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ALL ML SYSTEMS" sheetId="1" r:id="rId1"/>
    <sheet name="NOTABLE ML SYSTEMS" sheetId="2" r:id="rId2"/>
    <sheet name="ML DOMAINS AND TASKS" sheetId="3" r:id="rId3"/>
    <sheet name="PREVIOUS WORK" sheetId="4" r:id="rId4"/>
    <sheet name="CITING OUR WORK" sheetId="5" r:id="rId5"/>
    <sheet name="SUGGESTIONS" sheetId="6" r:id="rId6"/>
    <sheet name="RETIRED SYSTEMS" sheetId="7" r:id="rId7"/>
    <sheet name="PROJECT GOALS AND TASKS" sheetId="8" r:id="rId8"/>
    <sheet name="2021-01-12-NOTABLE-ML-SYSTEMS" sheetId="9" state="hidden" r:id="rId9"/>
    <sheet name="AUTOMATICALLY DETECTED MODELS" sheetId="10" state="hidden" r:id="rId10"/>
    <sheet name="NOTABLE NON ML AI DEVELOPMENTS" sheetId="11" state="hidden" r:id="rId11"/>
    <sheet name="NOTABLE AI JOURNALS  CONFERENCE" sheetId="12" state="hidden" r:id="rId12"/>
    <sheet name="SOTA_IMPROVEMENTS" sheetId="13" r:id="rId13"/>
    <sheet name="HARDWARE_DATA" sheetId="14" r:id="rId14"/>
    <sheet name="PAPERS AND HARDWARE MODELS" sheetId="15" r:id="rId15"/>
    <sheet name="REFERENCES TO OUR WORK" sheetId="16" r:id="rId16"/>
    <sheet name="OBSERVATION COUNT OVERVIEW" sheetId="17" r:id="rId17"/>
    <sheet name="NOTABLE DATASETS" sheetId="18" state="hidden" r:id="rId18"/>
  </sheets>
  <definedNames>
    <definedName name="_xlnm._FilterDatabase" localSheetId="0" hidden="1">'ALL ML SYSTEMS'!$A$1:$AE$542</definedName>
    <definedName name="_xlnm._FilterDatabase" localSheetId="1" hidden="1">'NOTABLE ML SYSTEMS'!$A$1:$AD$1007</definedName>
    <definedName name="_xlnm._FilterDatabase" localSheetId="8" hidden="1">'2021-01-12-NOTABLE-ML-SYSTEMS'!$A$1:$U$454</definedName>
    <definedName name="_xlnm._FilterDatabase" localSheetId="14" hidden="1">'PAPERS AND HARDWARE MODELS'!$A$1:$G$36</definedName>
    <definedName name="Z_89D46002_BAFD_4762_ACB0_4E4D20C6227E_.wvu.FilterData" localSheetId="13" hidden="1">HARDWARE_DATA!$A$1:$AL$22</definedName>
    <definedName name="Z_15FEB674_83BE_4B19_BAA1_07E7449B8093_.wvu.FilterData" localSheetId="0" hidden="1">'ALL ML SYSTEMS'!$A$1:$W$436</definedName>
    <definedName name="Z_15FEB674_83BE_4B19_BAA1_07E7449B8093_.wvu.FilterData" localSheetId="8" hidden="1">'2021-01-12-NOTABLE-ML-SYSTEMS'!$A$1:$U$402</definedName>
    <definedName name="Z_5F4383BB_2FE0_433E_9350_D218CF9D3701_.wvu.FilterData" localSheetId="0" hidden="1">'ALL ML SYSTEMS'!$A$1:$W$439</definedName>
    <definedName name="Z_5F4383BB_2FE0_433E_9350_D218CF9D3701_.wvu.FilterData" localSheetId="8" hidden="1">'2021-01-12-NOTABLE-ML-SYSTEMS'!$A$1:$U$406</definedName>
    <definedName name="Z_E086B786_E23A_4249_A01F_868640B6757E_.wvu.FilterData" localSheetId="0" hidden="1">'ALL ML SYSTEMS'!$A$1:$W$440</definedName>
    <definedName name="Z_E086B786_E23A_4249_A01F_868640B6757E_.wvu.FilterData" localSheetId="8" hidden="1">'2021-01-12-NOTABLE-ML-SYSTEMS'!$A$1:$U$407</definedName>
  </definedNames>
  <calcPr calcId="144525"/>
  <customWorkbookViews>
    <customWorkbookView name="Has inference compute" guid="{15FEB674-83BE-4B19-BAA1-07E7449B8093}" maximized="1" windowWidth="0" windowHeight="0" activeSheetId="0"/>
    <customWorkbookView name="Filter 1" guid="{89D46002-BAFD-4762-ACB0-4E4D20C6227E}" maximized="1" windowWidth="0" windowHeight="0" activeSheetId="0"/>
    <customWorkbookView name="Vision only" guid="{E086B786-E23A-4249-A01F-868640B6757E}" maximized="1" windowWidth="0" windowHeight="0" activeSheetId="0"/>
    <customWorkbookView name="Recognition/ detection tasks" guid="{5F4383BB-2FE0-433E-9350-D218CF9D3701}" maximized="1" windowWidth="0" windowHeight="0" activeSheetId="0"/>
  </customWorkbookViews>
</workbook>
</file>

<file path=xl/comments1.xml><?xml version="1.0" encoding="utf-8"?>
<comments xmlns="http://schemas.openxmlformats.org/spreadsheetml/2006/main">
  <authors>
    <author/>
  </authors>
  <commentList>
    <comment ref="A1" authorId="0">
      <text>
        <r>
          <rPr>
            <sz val="10"/>
            <rFont val="SimSun"/>
            <charset val="134"/>
          </rPr>
          <t>"Parameter, Compute and Data Trends in Machine Learning" 
CC-BY Jaime Sevilla, Pablo Villalobos, Juan Felipe Cerón, Matthew Burtell, Lennart Heim, Amogh B. Nanjajjar, Anson Ho, Tamay Besiroglu, Marius Hobbhahn and Jean-Stanislas Denain.
An interactive visualization of the dataset is available at 
https://ourworldindata.org/grapher/ai-training-computation
&amp;
https://epochai.org/mlinputs/visualization
If you find an error, want to add new information or suggest a new entry, leave a comment or email jaimesevillamolina@gmail.com
We thank:
- Miguel Arjona for help with data entry
- Tilman Rauker, Nuño Sempere and Max Rauker for providing a couple of estimates
- Finn Hambly for noticing a mistake
----
M6-10T and Yuan 1.0 have swapped names @jaimesevillamolina@gmail.com
	-PABLO VILLALOBOS SANCHEZ
----
This is wrong (comes from the wrong paper) @jaimesevillamolina@gmail.com, probably two papers were mixed up or something
	-PABLO VILLALOBOS SANCHEZ
----
This cannot be right
	-Jaime Sevilla
----
weird that this is the same for both representations. Mistake?
	-Jaime Sevilla
----
Looks like all of the four names here should be moved up one row
	-Onni Aarne
----
Not sure how to handle sequential data in the form of protein sequences - not really "natural language" processing here
	-Anson Ho
----
TODO: make consistent with dataset guidelines?
	-Anson Ho
----
@pavill01@ucm.es can we delete this sheet?
	-Jaime Sevilla
Yep
	-PABLO VILLALOBOS SANCHEZ</t>
        </r>
      </text>
    </comment>
    <comment ref="B1" authorId="0">
      <text>
        <r>
          <rPr>
            <sz val="10"/>
            <rFont val="SimSun"/>
            <charset val="134"/>
          </rPr>
          <t>Vision, speech, language, games, etc</t>
        </r>
      </text>
    </comment>
    <comment ref="C1" authorId="0">
      <text>
        <r>
          <rPr>
            <sz val="10"/>
            <rFont val="SimSun"/>
            <charset val="134"/>
          </rPr>
          <t>The concrete task the system was trained to perform</t>
        </r>
      </text>
    </comment>
    <comment ref="G1" authorId="0">
      <text>
        <r>
          <rPr>
            <sz val="10"/>
            <rFont val="SimSun"/>
            <charset val="134"/>
          </rPr>
          <t>Day / Month / Year format
When the day is not know we fill it in as 15/XX/XXXX
When the month is now known we fill it in as 01/07/XXXX
A note will indicate what information has been filled in</t>
        </r>
      </text>
    </comment>
    <comment ref="K1" authorId="0">
      <text>
        <r>
          <rPr>
            <sz val="10"/>
            <rFont val="SimSun"/>
            <charset val="134"/>
          </rPr>
          <t>Extracted automatically from Google Scholar on 11/08/2021
Code: 
https://colab.research.google.com/drive/1rRrDwZtINXeiSbhKnxh_lsOpraYjOpmF?usp=sharing</t>
        </r>
      </text>
    </comment>
    <comment ref="L1" authorId="0">
      <text>
        <r>
          <rPr>
            <sz val="10"/>
            <rFont val="SimSun"/>
            <charset val="134"/>
          </rPr>
          <t xml:space="preserve">SOTA improvement, highly cited, historical relevance, significant use
</t>
        </r>
      </text>
    </comment>
    <comment ref="N1" authorId="0">
      <text>
        <r>
          <rPr>
            <sz val="10"/>
            <rFont val="SimSun"/>
            <charset val="134"/>
          </rPr>
          <t>Number of free parameters
----
This column is not well syncronized with the rest of the dataset!
	-Jaime Sevilla</t>
        </r>
      </text>
    </comment>
    <comment ref="O1" authorId="0">
      <text>
        <r>
          <rPr>
            <sz val="10"/>
            <rFont val="SimSun"/>
            <charset val="134"/>
          </rPr>
          <t>Total amount of floating point operations used to train the model
Counts a multadd as 2 operations</t>
        </r>
      </text>
    </comment>
    <comment ref="R1" authorId="0">
      <text>
        <r>
          <rPr>
            <sz val="10"/>
            <rFont val="SimSun"/>
            <charset val="134"/>
          </rPr>
          <t>Number of hidden layers</t>
        </r>
      </text>
    </comment>
    <comment ref="S1" authorId="0">
      <text>
        <r>
          <rPr>
            <sz val="10"/>
            <rFont val="SimSun"/>
            <charset val="134"/>
          </rPr>
          <t>Total amount of floating point operations to process one single input to the model
Note: multadds are counted as 2 operations</t>
        </r>
      </text>
    </comment>
    <comment ref="U1" authorId="0">
      <text>
        <r>
          <rPr>
            <sz val="10"/>
            <rFont val="SimSun"/>
            <charset val="134"/>
          </rPr>
          <t>Training time x cores (hours)</t>
        </r>
      </text>
    </comment>
    <comment ref="X1" authorId="0">
      <text>
        <r>
          <rPr>
            <sz val="10"/>
            <rFont val="SimSun"/>
            <charset val="134"/>
          </rPr>
          <t>Supervised ML, unsupervised ML, RL, statistical modelling, etc</t>
        </r>
      </text>
    </comment>
    <comment ref="Y1" authorId="0">
      <text>
        <r>
          <rPr>
            <sz val="10"/>
            <rFont val="SimSun"/>
            <charset val="134"/>
          </rPr>
          <t>Whether the model is dense or sparse</t>
        </r>
      </text>
    </comment>
    <comment ref="Z1" authorId="0">
      <text>
        <r>
          <rPr>
            <sz val="10"/>
            <rFont val="SimSun"/>
            <charset val="134"/>
          </rPr>
          <t>The metric that was used as training loss</t>
        </r>
      </text>
    </comment>
    <comment ref="AA1" authorId="0">
      <text>
        <r>
          <rPr>
            <sz val="10"/>
            <rFont val="SimSun"/>
            <charset val="134"/>
          </rPr>
          <t>Training compute cost was calculated as the training compute divided by a FLOP/$ value.
The FLOP/$ value was calculated using one of two methods:
1. The value of FLOP/s per $ at the time of the system's publication, according to the "Our data" trendline in Figure 1 of https://epochai.org/blog/trends-in-gpu-price-performance
2. Dividing the theoretical peak throughput (including "Tensor Core" performance) by the reported unit price of the hardware that was actually used for training.
We expect that Method 2 is more accurate on average. So when an estimate via Method 2 is available, we report that estimate, otherwise we fall back to Method 1.
Additionally, we made the following assumptions for all systems, in order to convert theoretical peak FLOP/s per $ into realised FLOP/$:
1. Hardware utilization is 35%
2. The amount of time the given hardware is running for in its lifetime is 2 years
These are crude assumptions that we hope to improve upon in the future.</t>
        </r>
      </text>
    </comment>
    <comment ref="AB1" authorId="0">
      <text>
        <r>
          <rPr>
            <sz val="10"/>
            <rFont val="SimSun"/>
            <charset val="134"/>
          </rPr>
          <t>Makes substantial use of self-supervised or unsupervised training.</t>
        </r>
      </text>
    </comment>
    <comment ref="AD1" authorId="0">
      <text>
        <r>
          <rPr>
            <sz val="10"/>
            <rFont val="SimSun"/>
            <charset val="134"/>
          </rPr>
          <t>This column is based on the "Organization Categorization" but simplifies it to "Academia" and "Industry" for answering the question "Who provided the computational resources for the final training run?".
When it's a mixed affiliation/categorization, we labeled the run as industry, because in practice we’ve found that with access to both, industry-controlled compute is the preferred path.
For resaerch collectives we adapt this manually and name our reason as a note.</t>
        </r>
      </text>
    </comment>
    <comment ref="F2" authorId="0">
      <text>
        <r>
          <rPr>
            <sz val="10"/>
            <rFont val="SimSun"/>
            <charset val="134"/>
          </rPr>
          <t>From the paper, footnote on p.1: 'Please cite this work as “OpenAI (2023)". Full authorship contribution statements appear at the end of the
document.'</t>
        </r>
      </text>
    </comment>
    <comment ref="L2" authorId="0">
      <text>
        <r>
          <rPr>
            <sz val="10"/>
            <rFont val="SimSun"/>
            <charset val="134"/>
          </rPr>
          <t>See the paper, p.1: "On a suite of traditional NLP benchmarks, GPT-4 outperforms both previous large language models and most state-of-the-art systems (which often have benchmark-specific training or hand-engineering)."</t>
        </r>
      </text>
    </comment>
    <comment ref="O2" authorId="0">
      <text>
        <r>
          <rPr>
            <sz val="10"/>
            <rFont val="SimSun"/>
            <charset val="134"/>
          </rPr>
          <t>90% CI: 9E+24 to 5E+25
NOTE: this is a rough estimate based on public information, much less information than most other systems in the database.
Calculation and confidence intervals here: https://colab.research.google.com/drive/1O99z9b1I5O66bT78r9ScslE_nOj5irN9?usp=sharing</t>
        </r>
      </text>
    </comment>
    <comment ref="N3" authorId="0">
      <text>
        <r>
          <rPr>
            <sz val="10"/>
            <rFont val="SimSun"/>
            <charset val="134"/>
          </rPr>
          <t>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r>
      </text>
    </comment>
    <comment ref="P3" authorId="0">
      <text>
        <r>
          <rPr>
            <sz val="10"/>
            <rFont val="SimSun"/>
            <charset val="134"/>
          </rPr>
          <t>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r>
      </text>
    </comment>
    <comment ref="Q3" authorId="0">
      <text>
        <r>
          <rPr>
            <sz val="10"/>
            <rFont val="SimSun"/>
            <charset val="134"/>
          </rPr>
          <t>Unless specified otherwise, we train a 1.8B parameter Phenaki model on a corpus of ∼15M textvideo pairs at 8 FPS mixed with ∼50M text-images plus ∼400M pairs of LAION-400M [41] (more
details in Appendix B.3). The model used in the visualisations in this paper was trained for 1 million
steps at a batch size of 512, which took less than 5 days. In this setup 80% of the training data came
from the video dataset and each image dataset contributed 10%.</t>
        </r>
      </text>
    </comment>
    <comment ref="N4" authorId="0">
      <text>
        <r>
          <rPr>
            <sz val="10"/>
            <rFont val="SimSun"/>
            <charset val="134"/>
          </rPr>
          <t>"To further our understanding of the
impact of scale on few-shot learning, we trained a 540-billion parameter, densely activated, Transformer
language model, which we call Pathways Language Model (PaLM)."
Our approach is to start with the PaLM pretrained decoder-only transformer language models Chowdhery
et al. (2022), and further train (finetune) them on our mathematical dataset using an autoregressive objective.
Table 2 contains the main model and training hyperparameters.
See Table 2</t>
        </r>
      </text>
    </comment>
    <comment ref="O4" authorId="0">
      <text>
        <r>
          <rPr>
            <sz val="10"/>
            <rFont val="SimSun"/>
            <charset val="134"/>
          </rPr>
          <t>See calculation from linked sheet
1024 TPUv4 for 29*24=696 hours is 8% of the training time of PaLM (6144 chips for 1200 hours). So total
compute is PaLM's compute * 1.08
----
Could we mention the figure/section in the note? Or the calc? I couldn't find it with a quick search of the paper.
I found "and the 540B model was trained for 29 days on a v4-1024"
	-Lennart Heim
Just added it to the note. It was calculated by comparing the total TPU-hours to train Minerva and PaLM and multiplying the PaLM compute accordingly. I also checked it directly using the public figures for TPUv4 FLOPs and 0.33 utilization rate and it's roughly the same
	-Pablo Villalobos</t>
        </r>
      </text>
    </comment>
    <comment ref="Q4" authorId="0">
      <text>
        <r>
          <rPr>
            <sz val="10"/>
            <rFont val="SimSun"/>
            <charset val="134"/>
          </rPr>
          <t>"Our models were trained on a dataset of 38.5B tokens" + PaLM</t>
        </r>
      </text>
    </comment>
    <comment ref="J5" authorId="0">
      <text>
        <r>
          <rPr>
            <sz val="10"/>
            <rFont val="SimSun"/>
            <charset val="134"/>
          </rPr>
          <t>Archived link 
https://arxiv.org/pdf/2204.02311.pdf</t>
        </r>
      </text>
    </comment>
    <comment ref="L5" authorId="0">
      <text>
        <r>
          <rPr>
            <sz val="10"/>
            <rFont val="SimSun"/>
            <charset val="134"/>
          </rPr>
          <t>Demonstrates continued benefits of scaling, as well as discontinuous improvements in performance</t>
        </r>
      </text>
    </comment>
    <comment ref="N5" authorId="0">
      <text>
        <r>
          <rPr>
            <sz val="10"/>
            <rFont val="SimSun"/>
            <charset val="134"/>
          </rPr>
          <t>"To further our understanding of the
impact of scale on few-shot learning, we trained a 540-billion parameter, densely activated, Transformer
language model, which we call Pathways Language Model (PaLM)."</t>
        </r>
      </text>
    </comment>
    <comment ref="O5" authorId="0">
      <text>
        <r>
          <rPr>
            <sz val="10"/>
            <rFont val="SimSun"/>
            <charset val="134"/>
          </rPr>
          <t>See Table 20
https://storage.googleapis.com/pathways-language-model/PaLM-paper.pdf</t>
        </r>
      </text>
    </comment>
    <comment ref="Q5" authorId="0">
      <text>
        <r>
          <rPr>
            <sz val="10"/>
            <rFont val="SimSun"/>
            <charset val="134"/>
          </rPr>
          <t>"The PaLM pretraining dataset consists of a high-quality corpus of 780 billion tokens that represent a wide range of natural language use cases."
1 token ~ 0.75 words</t>
        </r>
      </text>
    </comment>
    <comment ref="J6" authorId="0">
      <text>
        <r>
          <rPr>
            <sz val="10"/>
            <rFont val="SimSun"/>
            <charset val="134"/>
          </rPr>
          <t>Archived link 
https://arxiv.org/pdf/2205.01068.pdf
https://web.archive.org/web/20220531181747/https://ai.facebook.com/blog/democratizing-access-to-large-scale-language-models-with-opt-175b/</t>
        </r>
      </text>
    </comment>
    <comment ref="N6" authorId="0">
      <text>
        <r>
          <rPr>
            <sz val="10"/>
            <rFont val="SimSun"/>
            <charset val="134"/>
          </rPr>
          <t>"In line with Meta AI’s commitment to open science, we are sharing Open Pretrained Transformer (OPT-175B), a language model with 175 billion parameters trained on 
publicly available data sets"</t>
        </r>
      </text>
    </comment>
    <comment ref="O6" authorId="0">
      <text>
        <r>
          <rPr>
            <sz val="10"/>
            <rFont val="SimSun"/>
            <charset val="134"/>
          </rPr>
          <t>We are also releasing both the
logbook of our model creation as well as our codebase, metaseq,3 which enabled training OPT-175B
on 992 80GB A100 GPUs, reaching 147 TFLOP/s
utilization per GPU. 
Training lasted for around 2 months
3600s/h * 24h/day * 60days * 1.47e14 FLOP/s * 992 = 7.56e23
----
A direct estimate of 4.30E+23 FLOPs is given here:
https://github.com/facebookresearch/metaseq/blob/main/projects/OPT/chronicles/final_update.md
"As of yesterday, at 12:46pm PST on January 6, our 175B model finally completed its training run on 300B tokens. This required ~4.30E+23 FLOPs of compute"
	-Ben Cottier</t>
        </r>
      </text>
    </comment>
    <comment ref="Q6" authorId="0">
      <text>
        <r>
          <rPr>
            <sz val="10"/>
            <rFont val="SimSun"/>
            <charset val="134"/>
          </rPr>
          <t>"The training data contains
180B tokens corresponding to 800 GB of data"
1 token ~ 0.75 words</t>
        </r>
      </text>
    </comment>
    <comment ref="J7" authorId="0">
      <text>
        <r>
          <rPr>
            <sz val="10"/>
            <rFont val="SimSun"/>
            <charset val="134"/>
          </rPr>
          <t>Archived link 
https://arxiv.org/pdf/2203.15556.pdf</t>
        </r>
      </text>
    </comment>
    <comment ref="L7" authorId="0">
      <text>
        <r>
          <rPr>
            <sz val="10"/>
            <rFont val="SimSun"/>
            <charset val="134"/>
          </rPr>
          <t>Proposes new scaling law, with good empirical results</t>
        </r>
      </text>
    </comment>
    <comment ref="N7" authorId="0">
      <text>
        <r>
          <rPr>
            <sz val="10"/>
            <rFont val="SimSun"/>
            <charset val="134"/>
          </rPr>
          <t>"We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t>
        </r>
      </text>
    </comment>
    <comment ref="O7" authorId="0">
      <text>
        <r>
          <rPr>
            <sz val="10"/>
            <rFont val="SimSun"/>
            <charset val="134"/>
          </rPr>
          <t>"Both Chinchilla and Gopher have been trained for the same number of FLOPs but differ in the
size of the model and the number of training tokens."
We see the number of flops in table 3</t>
        </r>
      </text>
    </comment>
    <comment ref="Q7" authorId="0">
      <text>
        <r>
          <rPr>
            <sz val="10"/>
            <rFont val="SimSun"/>
            <charset val="134"/>
          </rPr>
          <t>Table 1 shows Chinchilla was training on 1.4 trillion tokens
1 token ~ 0.75 words</t>
        </r>
      </text>
    </comment>
    <comment ref="L8" authorId="0">
      <text>
        <r>
          <rPr>
            <sz val="10"/>
            <rFont val="SimSun"/>
            <charset val="134"/>
          </rPr>
          <t>Second, we achieve consistent quality improvements by scaling the encoder-decoder Transformer model up to 20B parameters, with a new state-of-the-art zero-shot FID score of 7.23 and finetuned FID score of 3.22 on MS-COCO</t>
        </r>
      </text>
    </comment>
    <comment ref="N8" authorId="0">
      <text>
        <r>
          <rPr>
            <sz val="10"/>
            <rFont val="SimSun"/>
            <charset val="134"/>
          </rPr>
          <t>Abstract: "we achieve consistent quality improvements
by scaling the encoder-decoder Transformer model up to 20B parameters"</t>
        </r>
      </text>
    </comment>
    <comment ref="O8" authorId="0">
      <text>
        <r>
          <rPr>
            <sz val="10"/>
            <rFont val="SimSun"/>
            <charset val="134"/>
          </rPr>
          <t>Calculated from architecture. Does not take into account the encoding and decoding of text and images, only the transformer stack.
Table 1 shows for the 20B model
16 encoder layers
64 decoder layers
Dmodel = 4096
Dhidden = 16384
Num heads = 64
Just below table 1:
"We use a maximum length of text tokens of 128, and the length of image tokens are fixed to 1024"
I take the length of the sequence to be 100 for the encoder stack and 1024 for the decoder stack.
Section 3, Training: "a total
of 450,000 steps and final ratio of 0.025. We use a global batch size of 8192 during training."</t>
        </r>
      </text>
    </comment>
    <comment ref="J9" authorId="0">
      <text>
        <r>
          <rPr>
            <sz val="10"/>
            <rFont val="SimSun"/>
            <charset val="134"/>
          </rPr>
          <t>Archived link 
https://web.archive.org/web/20220211080518/https://arxiv.org/pdf/2201.08239.pdf</t>
        </r>
      </text>
    </comment>
    <comment ref="N9" authorId="0">
      <text>
        <r>
          <rPr>
            <sz val="10"/>
            <rFont val="SimSun"/>
            <charset val="134"/>
          </rPr>
          <t>"LaMDA is a family of Transformer-
based neural language models specialized for dialog, which have up to 137B parameters"</t>
        </r>
      </text>
    </comment>
    <comment ref="O9" authorId="0">
      <text>
        <r>
          <rPr>
            <sz val="10"/>
            <rFont val="SimSun"/>
            <charset val="134"/>
          </rPr>
          <t xml:space="preserve">"The total FLOPS is 56.5% * 123 TFLOPS/s * 1024 chips * 57.7 days
= 3.55E+23"
From https://arxiv.org/pdf/2201.08239.pdf p.18
</t>
        </r>
      </text>
    </comment>
    <comment ref="P9" authorId="0">
      <text>
        <r>
          <rPr>
            <sz val="10"/>
            <rFont val="SimSun"/>
            <charset val="134"/>
          </rPr>
          <t>LaMDA's underlying dataset is called 'Infiniset', and besides the dialogue also involves common crawl, wikipedia, a mixture of english and non-english web documents, and data from programming-related sites (so LaMDA models can also dabble in code).</t>
        </r>
      </text>
    </comment>
    <comment ref="Q9" authorId="0">
      <text>
        <r>
          <rPr>
            <sz val="10"/>
            <rFont val="SimSun"/>
            <charset val="134"/>
          </rPr>
          <t>"and are pre-trained on 1.56T words of public dialog data and web text"
----
This is off by 3 OOMs - 1.5T is 1.5E+12
	-John Croxton</t>
        </r>
      </text>
    </comment>
    <comment ref="J10" authorId="0">
      <text>
        <r>
          <rPr>
            <sz val="10"/>
            <rFont val="SimSun"/>
            <charset val="134"/>
          </rPr>
          <t>No real paper insofar as I can tell. This was published by a Yandex employee, insofar as I can see; publication date and year are for this article.</t>
        </r>
      </text>
    </comment>
    <comment ref="O10" authorId="0">
      <text>
        <r>
          <rPr>
            <sz val="10"/>
            <rFont val="SimSun"/>
            <charset val="134"/>
          </rPr>
          <t>"It took us 65 days to train the model on a pool of 800 A100 graphics cards and 1.7 TB of online texts, books, and countless other sources."</t>
        </r>
      </text>
    </comment>
    <comment ref="L11" authorId="0">
      <text>
        <r>
          <rPr>
            <sz val="10"/>
            <rFont val="SimSun"/>
            <charset val="134"/>
          </rPr>
          <t>The Abstract of the paper reports SOTA improvement on multiple benchmarks.</t>
        </r>
      </text>
    </comment>
    <comment ref="N11" authorId="0">
      <text>
        <r>
          <rPr>
            <sz val="10"/>
            <rFont val="SimSun"/>
            <charset val="134"/>
          </rPr>
          <t>See Table 1 on p.3 of the paper</t>
        </r>
      </text>
    </comment>
    <comment ref="O11" authorId="0">
      <text>
        <r>
          <rPr>
            <sz val="10"/>
            <rFont val="SimSun"/>
            <charset val="134"/>
          </rPr>
          <t>Training throughput is reported as 154 TFLOP/s - see p.5 of the paper.
"We relied on an internal and optimized version of DeepSpeed that we have since open-sourced (Chiu &amp; Zheng, 2022) to obtain training throughput of up to 154 TFLOPS/GPU on 16 AWS p4d.24xlarge compute instances."
Accelerator compute days are reported as 15,360 days - see Table 17 on p.18 of the paper.</t>
        </r>
      </text>
    </comment>
    <comment ref="P11" authorId="0">
      <text>
        <r>
          <rPr>
            <sz val="10"/>
            <rFont val="SimSun"/>
            <charset val="134"/>
          </rPr>
          <t>See Table 2 on p.3 of the paper.</t>
        </r>
      </text>
    </comment>
    <comment ref="T11" authorId="0">
      <text>
        <r>
          <rPr>
            <sz val="10"/>
            <rFont val="SimSun"/>
            <charset val="134"/>
          </rPr>
          <t>See p.5 of the paper: "We trained AlexaTM 20B for 120 days on 128 A100 GPUs..."</t>
        </r>
      </text>
    </comment>
    <comment ref="U11" authorId="0">
      <text>
        <r>
          <rPr>
            <sz val="10"/>
            <rFont val="SimSun"/>
            <charset val="134"/>
          </rPr>
          <t>See p.5 of the paper: "We trained AlexaTM 20B for 120 days on 128 A100 GPUs..."</t>
        </r>
      </text>
    </comment>
    <comment ref="G12" authorId="0">
      <text>
        <r>
          <rPr>
            <sz val="10"/>
            <rFont val="SimSun"/>
            <charset val="134"/>
          </rPr>
          <t>I believe a demonstration happened in 1958
	-Jaime Sevilla</t>
        </r>
      </text>
    </comment>
    <comment ref="O12" authorId="0">
      <text>
        <r>
          <rPr>
            <sz val="10"/>
            <rFont val="SimSun"/>
            <charset val="134"/>
          </rPr>
          <t>https://towardsdatascience.com/run-bloom-the-largest-open-access-ai-model-on-your-desktop-computer-f48e1e2a9a32
384 A100 GPUs * 116 days</t>
        </r>
      </text>
    </comment>
    <comment ref="P12" authorId="0">
      <text>
        <r>
          <rPr>
            <sz val="10"/>
            <rFont val="SimSun"/>
            <charset val="134"/>
          </rPr>
          <t>https://bigscience.huggingface.co/blog/building-a-tb-scale-multilingual-dataset-for-language-modeling</t>
        </r>
      </text>
    </comment>
    <comment ref="J13" authorId="0">
      <text>
        <r>
          <rPr>
            <sz val="10"/>
            <rFont val="SimSun"/>
            <charset val="134"/>
          </rPr>
          <t>Archived link 
https://web.archive.org/web/20220531175218/https://blog.eleuther.ai/announcing-20b/</t>
        </r>
      </text>
    </comment>
    <comment ref="O13" authorId="0">
      <text>
        <r>
          <rPr>
            <sz val="10"/>
            <rFont val="SimSun"/>
            <charset val="134"/>
          </rPr>
          <t>Trained for 3 months on 96 A100s (according to correspondence with author). Let's say 0.4 utilization rate.</t>
        </r>
      </text>
    </comment>
    <comment ref="Q13" authorId="0">
      <text>
        <r>
          <rPr>
            <sz val="10"/>
            <rFont val="SimSun"/>
            <charset val="134"/>
          </rPr>
          <t>"In aggregate, the Pile consists of over 825GiB of raw text data"
1 GB ~ 200M words</t>
        </r>
      </text>
    </comment>
    <comment ref="AD13" authorId="0">
      <text>
        <r>
          <rPr>
            <sz val="10"/>
            <rFont val="SimSun"/>
            <charset val="134"/>
          </rPr>
          <t xml:space="preserve">"... on GPUs generously provided by our friends at CoreWeave."
Sponsored by a corporation
</t>
        </r>
      </text>
    </comment>
    <comment ref="N14" authorId="0">
      <text>
        <r>
          <rPr>
            <sz val="10"/>
            <rFont val="SimSun"/>
            <charset val="134"/>
          </rPr>
          <t>See Table 1</t>
        </r>
      </text>
    </comment>
    <comment ref="O14" authorId="0">
      <text>
        <r>
          <rPr>
            <sz val="10"/>
            <rFont val="SimSun"/>
            <charset val="134"/>
          </rPr>
          <t>"I get 5e22 FLOP. 150k hours on A100 [1] gives 150*10^3 hours * 3600 seconds/hour * 3.12E+14 peak performance of A100 * 0.33 utilisation = 5e22  FLOP"
[1] https://twitter.com/EMostaque/status/1563870674111832066</t>
        </r>
      </text>
    </comment>
    <comment ref="P14" authorId="0">
      <text>
        <r>
          <rPr>
            <sz val="10"/>
            <rFont val="SimSun"/>
            <charset val="134"/>
          </rPr>
          <t>Depends on the specific task; see sec 4
"we train a 1.45B parameter
KL-regularized LDM conditioned on language prompts on
LAION-400M"</t>
        </r>
      </text>
    </comment>
    <comment ref="N15" authorId="0">
      <text>
        <r>
          <rPr>
            <sz val="10"/>
            <rFont val="SimSun"/>
            <charset val="134"/>
          </rPr>
          <t>Table 1</t>
        </r>
      </text>
    </comment>
    <comment ref="O15" authorId="0">
      <text>
        <r>
          <rPr>
            <sz val="10"/>
            <rFont val="SimSun"/>
            <charset val="134"/>
          </rPr>
          <t>https://plotdigitizer.com/app
See figure 9</t>
        </r>
      </text>
    </comment>
    <comment ref="Q15" authorId="0">
      <text>
        <r>
          <rPr>
            <sz val="10"/>
            <rFont val="SimSun"/>
            <charset val="134"/>
          </rPr>
          <t>When scaled
to 680,000 hours of multilingual and multitask
supervision, the resulting models generalize well
to standard benchmarks and are often competitive
with prior fully supervised results but in a zeroshot transfer setting without the need for any finetuning. 
13,680 words/h * 680,000h = 9302400000 words</t>
        </r>
      </text>
    </comment>
    <comment ref="N16" authorId="0">
      <text>
        <r>
          <rPr>
            <sz val="10"/>
            <rFont val="SimSun"/>
            <charset val="134"/>
          </rPr>
          <t>Dense model</t>
        </r>
      </text>
    </comment>
    <comment ref="O16" authorId="0">
      <text>
        <r>
          <rPr>
            <sz val="10"/>
            <rFont val="SimSun"/>
            <charset val="134"/>
          </rPr>
          <t xml:space="preserve">96 Nvidia A100 GPUs for 2 months
</t>
        </r>
      </text>
    </comment>
    <comment ref="AD16" authorId="0">
      <text>
        <r>
          <rPr>
            <sz val="10"/>
            <rFont val="SimSun"/>
            <charset val="134"/>
          </rPr>
          <t xml:space="preserve"> Per https://keg.cs.tsinghua.edu.cn/glm-130b/posts/glm-130b/ "received a generous computing sponsorship from Zhipu.AI" </t>
        </r>
      </text>
    </comment>
    <comment ref="J17" authorId="0">
      <text>
        <r>
          <rPr>
            <sz val="10"/>
            <rFont val="SimSun"/>
            <charset val="134"/>
          </rPr>
          <t>Archived link 
https://web.archive.org/web/20220227222850/https://deepmind.com/blog/article/Competitive-programming-with-AlphaCode</t>
        </r>
      </text>
    </comment>
    <comment ref="O17" authorId="0">
      <text>
        <r>
          <rPr>
            <sz val="10"/>
            <rFont val="SimSun"/>
            <charset val="134"/>
          </rPr>
          <t>Figure 7 shows a maximum compute budget of approx 2500 TPU-days, from reading the graph. The chips used were TPUv4s (Sec 4.1) which are approximately 2.7x faster than TPUv3s (https://venturebeat.com/2021/05/18/google-details-new-ai-accelerator-chips/). The Google LaMDA paper said that researchers achieved "123 TFLOPS/sec with 56.5% FLOPS utilization", so assume the TPUv4 gives 2.7 x 123 TFLOPS/sec = 332 TFLOPS/sec with the same utilization. This gives us 0.332 PFLOPS/sec x 0.565 x 2500 TPU*days = 470 PFLOPS/sec*days. We can probably (?) assume better utilization for the v4 chips, so this is a lower bound.
(from Edouard Harris, Ai tracker)
----
This number should be 1 OOM larger. The graph shows 25k TPU-days, not 2.5k. I already corrected it
	-Pablo Villalobos</t>
        </r>
      </text>
    </comment>
    <comment ref="Q17" authorId="0">
      <text>
        <r>
          <rPr>
            <sz val="10"/>
            <rFont val="SimSun"/>
            <charset val="134"/>
          </rPr>
          <t>Appendix part A has answers for pretraining.
----
Also uses GB of data, like with OpenAI's automated theorem proving - perhaps we should stick to this too? Seems pretty common for other modern papers to do this too
GB also seems fairly universally applicable across fields, although I suppose a pitfall is that the amount of data is heavily dependent on the representation?
	-Anson Ho
I really dislike that GB depends on compression, yeah. I think we want a measure that is more dependent on the content and not the representation
	-Jaime Sevilla</t>
        </r>
      </text>
    </comment>
    <comment ref="L18" authorId="0">
      <text>
        <r>
          <rPr>
            <sz val="10"/>
            <rFont val="SimSun"/>
            <charset val="134"/>
          </rPr>
          <t>Our model achieves an improvement of 44% BLEU relative to the previous state-of-the-art</t>
        </r>
      </text>
    </comment>
    <comment ref="N18" authorId="0">
      <text>
        <r>
          <rPr>
            <sz val="10"/>
            <rFont val="SimSun"/>
            <charset val="134"/>
          </rPr>
          <t>Section 8.2.4: "The model has a total of 54.5B parameters
and FLOPs similar to that of a 3.3B dense model"</t>
        </r>
      </text>
    </comment>
    <comment ref="O18" authorId="0">
      <text>
        <r>
          <rPr>
            <sz val="10"/>
            <rFont val="SimSun"/>
            <charset val="134"/>
          </rPr>
          <t>Section 8.8:
" To train NLLB-200, a cumulative
of 51968 GPU hours of computation was performed on hardware of type A100-SXM-80GB"
See also Table 48
Section 8.2.4 states they use FP16
NVIDIA Datasheet states 312TFLOPS for FP16
https://www.nvidia.com/content/dam/en-zz/Solutions/Data-Center/a100/pdf/nvidia-a100-datasheet-nvidia-us-2188504-web.pdf
Assuming 0.3 utilization:
312e12*3600*51968*0.3
Also:
"Our final model is a Transformer
encoder-decoder model in which we replace the Feed Forward Network (FFN) layer in
every 4th Transformer block with a Sparsely Gated Mixture of Experts layer containing 128
experts. We use model dimension 2048, FFN dimension 8192, 16 attention heads, 24 encoder
layers and 24 decoder layers. We use Pre-LayerNorm (Xiong et al., 2020) as described in
Section 6.1.1. We share the embedding weights of the encoder input embedding, decoder
input embedding and decoder output embedding layers. We use an overall dropout of 0.3,
attention dropout 0.1 and EOM with peom=0.2. The model has a total of 54.5B parameters
and FLOPs similar to that of a 3.3B dense model."</t>
        </r>
      </text>
    </comment>
    <comment ref="Q18" authorId="0">
      <text>
        <r>
          <rPr>
            <sz val="10"/>
            <rFont val="SimSun"/>
            <charset val="134"/>
          </rPr>
          <t>[WORDS]
Section 8.2.2: "As we prepare to train on the final 202 language dataset comprising of over 18B sentence
pairs and 2440 language directions"
18B sentences * 20 words/sentence</t>
        </r>
      </text>
    </comment>
    <comment ref="J19" authorId="0">
      <text>
        <r>
          <rPr>
            <sz val="10"/>
            <rFont val="SimSun"/>
            <charset val="134"/>
          </rPr>
          <t>Archived link 
https://arxiv.org/pdf/2109.08668.pdf</t>
        </r>
      </text>
    </comment>
    <comment ref="N19" authorId="0">
      <text>
        <r>
          <rPr>
            <sz val="10"/>
            <rFont val="SimSun"/>
            <charset val="134"/>
          </rPr>
          <t>"For instance, in a 1.9B parameter configuration similar to GPT-3 XL, Primer uses 1/3 of the training compute to achieve the same one-shot performance as Transformer"</t>
        </r>
      </text>
    </comment>
    <comment ref="O19" authorId="0">
      <text>
        <r>
          <rPr>
            <sz val="10"/>
            <rFont val="SimSun"/>
            <charset val="134"/>
          </rPr>
          <t>From the email they claim to have use 72K TPUv4 hours for training
Thus: 
72000 h * 0.1 * 275e12 FLOP/s 3600s/h = 7.1e21 FLOP</t>
        </r>
      </text>
    </comment>
    <comment ref="Q19" authorId="0">
      <text>
        <r>
          <rPr>
            <sz val="10"/>
            <rFont val="SimSun"/>
            <charset val="134"/>
          </rPr>
          <t>In GB - TODO convert to words
"Dataset size: 806.92 GiB"
https://www.tensorflow.org/datasets/catalog/c4
This was the largest dataset that the authors used 
"These benefits are robust and hold across model sizes (20M
to 1.9B parameters), across compute scales (10 to 105
accelerator hours), across datasets (LM1B,
C4, PG19 [22])"
802.92 GiB ~ 866.42 GB
1 GB ~ 200M words</t>
        </r>
      </text>
    </comment>
    <comment ref="J20" authorId="0">
      <text>
        <r>
          <rPr>
            <sz val="10"/>
            <rFont val="SimSun"/>
            <charset val="134"/>
          </rPr>
          <t>Archived link 
https://web.archive.org/web/20220531181813/https://www.deepmind.com/publications/a-generalist-agent</t>
        </r>
      </text>
    </comment>
    <comment ref="N20" authorId="0">
      <text>
        <r>
          <rPr>
            <sz val="10"/>
            <rFont val="SimSun"/>
            <charset val="134"/>
          </rPr>
          <t>"This section focuses on in-simulation evaluation.
Figure 10 compares the full 1.18B parameter Gato" p.10</t>
        </r>
      </text>
    </comment>
    <comment ref="O20" authorId="0">
      <text>
        <r>
          <rPr>
            <sz val="10"/>
            <rFont val="SimSun"/>
            <charset val="134"/>
          </rPr>
          <t>256 (16x16x) TPUv3 chips x 123e12 FLOPS/chip x 4 days x 86400 seconds/day * 0.5 utilization = 5.44e21 FLOPs</t>
        </r>
      </text>
    </comment>
    <comment ref="O21" authorId="0">
      <text>
        <r>
          <rPr>
            <sz val="10"/>
            <rFont val="SimSun"/>
            <charset val="134"/>
          </rPr>
          <t>From section 4: "Training was performed on GPU resources from the Berzelius Superpod, which is currently the fastest super
computer in Sweden, equipped with 60 Nvidia DGX
A100 servers, each of which consists of 8 Nvidia A100
GPUs with 320 GB Total GPU memory. Our training
process took 2.5 days utilizing 16 of the DGX A100
servers (in total 128 GPUs)."</t>
        </r>
      </text>
    </comment>
    <comment ref="J22" authorId="0">
      <text>
        <r>
          <rPr>
            <sz val="10"/>
            <rFont val="SimSun"/>
            <charset val="134"/>
          </rPr>
          <t>Archived link 
https://arxiv.org/pdf/2203.06850.pdf</t>
        </r>
      </text>
    </comment>
    <comment ref="L22" authorId="0">
      <text>
        <r>
          <rPr>
            <sz val="10"/>
            <rFont val="SimSun"/>
            <charset val="134"/>
          </rPr>
          <t>Abstract:
"Our model also outperforms
the RoBERTa-Large model on several English tasks of the GLUE benchmark by 0.3% on average while handling 99 more languages."</t>
        </r>
      </text>
    </comment>
    <comment ref="O22" authorId="0">
      <text>
        <r>
          <rPr>
            <sz val="10"/>
            <rFont val="SimSun"/>
            <charset val="134"/>
          </rPr>
          <t xml:space="preserve">20.41 hours on 32 V100 GPUs
assumed 0.33 util rate
</t>
        </r>
      </text>
    </comment>
    <comment ref="L23" authorId="0">
      <text>
        <r>
          <rPr>
            <sz val="10"/>
            <rFont val="SimSun"/>
            <charset val="134"/>
          </rPr>
          <t xml:space="preserve">
</t>
        </r>
      </text>
    </comment>
    <comment ref="L24" authorId="0">
      <text>
        <r>
          <rPr>
            <sz val="10"/>
            <rFont val="SimSun"/>
            <charset val="134"/>
          </rPr>
          <t>"Experiments on the major benchmarks of speech recognition, image classification, and natural lan guage understanding demonstrate a new state of the art or competitive performance to predominant approaches"</t>
        </r>
      </text>
    </comment>
    <comment ref="N24" authorId="0">
      <text>
        <r>
          <rPr>
            <sz val="10"/>
            <rFont val="SimSun"/>
            <charset val="134"/>
          </rPr>
          <t xml:space="preserve">Section 4: "We experiment with two model sizes: data2vec Base and
data2vec Large, containing either L = 12 or L = 24 Trans-
former blocks with H = 768 or H = 1024 hidden dimen-
sion (with 4 × H feed-forward inner-dimension)"
</t>
        </r>
      </text>
    </comment>
    <comment ref="Q24" authorId="0">
      <text>
        <r>
          <rPr>
            <sz val="10"/>
            <rFont val="SimSun"/>
            <charset val="134"/>
          </rPr>
          <t>Section 5.1: 
"we pretrain data2vec on the images of the ImageNet-1K training
set"</t>
        </r>
      </text>
    </comment>
    <comment ref="L25" authorId="0">
      <text>
        <r>
          <rPr>
            <sz val="10"/>
            <rFont val="SimSun"/>
            <charset val="134"/>
          </rPr>
          <t>"Experiments on the major benchmarks of speech recognition, image classification, and natural lan guage understanding demonstrate a new state of the art or competitive performance to predominant approaches"</t>
        </r>
      </text>
    </comment>
    <comment ref="N25" authorId="0">
      <text>
        <r>
          <rPr>
            <sz val="10"/>
            <rFont val="SimSun"/>
            <charset val="134"/>
          </rPr>
          <t xml:space="preserve">Section 4: "We experiment with two model sizes: data2vec Base and
data2vec Large, containing either L = 12 or L = 24 Trans-
former blocks with H = 768 or H = 1024 hidden dimen-
sion (with 4 × H feed-forward inner-dimension)"
</t>
        </r>
      </text>
    </comment>
    <comment ref="Q25" authorId="0">
      <text>
        <r>
          <rPr>
            <sz val="10"/>
            <rFont val="SimSun"/>
            <charset val="134"/>
          </rPr>
          <t>Section 5.2:
"we pre-train data2vec on the 960
hours of speech audio data from Librispeech (LS-960)"
13,680 words per hour</t>
        </r>
      </text>
    </comment>
    <comment ref="L26" authorId="0">
      <text>
        <r>
          <rPr>
            <sz val="10"/>
            <rFont val="SimSun"/>
            <charset val="134"/>
          </rPr>
          <t>"Experiments on the major benchmarks of speech recognition, image classification, and natural lan guage understanding demonstrate a new state of the art or competitive performance to predominant approaches"</t>
        </r>
      </text>
    </comment>
    <comment ref="N26" authorId="0">
      <text>
        <r>
          <rPr>
            <sz val="10"/>
            <rFont val="SimSun"/>
            <charset val="134"/>
          </rPr>
          <t xml:space="preserve">Section 4: "We experiment with two model sizes: data2vec Base and
data2vec Large, containing either L = 12 or L = 24 Trans-
former blocks with H = 768 or H = 1024 hidden dimen-
sion (with 4 × H feed-forward inner-dimension)"
</t>
        </r>
      </text>
    </comment>
    <comment ref="Q26" authorId="0">
      <text>
        <r>
          <rPr>
            <sz val="10"/>
            <rFont val="SimSun"/>
            <charset val="134"/>
          </rPr>
          <t>Section 5.3: "we
adopt the same training setup as BERT (Devlin et al., 2019)
by pre-training on the Books Corpus (Zhu et al., 2015) and
English Wikipedia data over 1M updates and a batch size
of 256 sequences."</t>
        </r>
      </text>
    </comment>
    <comment ref="J27" authorId="0">
      <text>
        <r>
          <rPr>
            <sz val="10"/>
            <rFont val="SimSun"/>
            <charset val="134"/>
          </rPr>
          <t>Archived link 
https://web.archive.org/web/20220219083802/https://cdn.openai.com/papers/Training_language_models_to_follow_instructions_with_human_feedback.pdf</t>
        </r>
      </text>
    </comment>
    <comment ref="Q27" authorId="0">
      <text>
        <r>
          <rPr>
            <sz val="10"/>
            <rFont val="SimSun"/>
            <charset val="134"/>
          </rPr>
          <t>Table 6 - describes **number of prompts**
26584 + 6623 = 33207
----
Fine-tuning, so the number is a lot smaller than other models with similar notability. In general should we add this with the base model for finetuning/transfer learning?
	-Anson Ho
I lean towards counting all the data (pre-train + fine-tuning).
	-Tamay Besiroglu</t>
        </r>
      </text>
    </comment>
    <comment ref="J28" authorId="0">
      <text>
        <r>
          <rPr>
            <sz val="10"/>
            <rFont val="SimSun"/>
            <charset val="134"/>
          </rPr>
          <t>Archived link 
https://web.archive.org/web/20220227231005/https://arxiv.org/pdf/2112.04426.pdf</t>
        </r>
      </text>
    </comment>
    <comment ref="N28" authorId="0">
      <text>
        <r>
          <rPr>
            <sz val="10"/>
            <rFont val="SimSun"/>
            <charset val="134"/>
          </rPr>
          <t>"Retro provides a constant gain for models ranging from 150M to 7B parameters, and Retro can be improved at evaluation time by increasing the database size and the number of retrieved neighbours. "</t>
        </r>
      </text>
    </comment>
    <comment ref="Q28" authorId="0">
      <text>
        <r>
          <rPr>
            <sz val="10"/>
            <rFont val="SimSun"/>
            <charset val="134"/>
          </rPr>
          <t>"With a 2 trillion token database, our Retrieval-Enhanced Transformer (RETRO) obtains comparable performance to GPT-3 and Jurassic-1 on the Pile, despite using 25× fewer parameters."
1 token = 0.75 words
----
The size of the retrieval db is 2T tokens, but the training data for the model itself is only ~420B tokens. The 2T number is probably more appropriate though
	-PABLO VILLALOBOS SANCHEZ
I dont understand. How do the 2T tokens get whittled down to 420B?
	-Jaime Sevilla
This is a ML system augmented with a token retrieval database. The 2T token database is part of the model, not part of the training data, if I'm understanding correctly
The neural part of the model is trained on 420B tokens.
	-PABLO VILLALOBOS SANCHEZ
I see! Tricky decision.
	-Jaime Sevilla</t>
        </r>
      </text>
    </comment>
    <comment ref="J30" authorId="0">
      <text>
        <r>
          <rPr>
            <sz val="10"/>
            <rFont val="SimSun"/>
            <charset val="134"/>
          </rPr>
          <t>Archived link 
https://arxiv.org/pdf/2203.00555.pdf</t>
        </r>
      </text>
    </comment>
    <comment ref="N30" authorId="0">
      <text>
        <r>
          <rPr>
            <sz val="10"/>
            <rFont val="SimSun"/>
            <charset val="134"/>
          </rPr>
          <t>"Remarkably, on a multilingual benchmark with 7,482 translation directions, our 200-layer model with 3.2B parameters significantly outperforms the 48-layer state-of-the-art model with 12B parameters by 5 BLEU points, which indicates a promising scaling direction"
EDIT 05/05/2022: The 12B model was presented in an earlier paper. This paper presents a 3.2B model</t>
        </r>
      </text>
    </comment>
    <comment ref="Q30" authorId="0">
      <text>
        <r>
          <rPr>
            <sz val="10"/>
            <rFont val="SimSun"/>
            <charset val="134"/>
          </rPr>
          <t>" The final data consists of 102 languages, 1932 directions, and
12B sentence pairs."</t>
        </r>
      </text>
    </comment>
    <comment ref="J31" authorId="0">
      <text>
        <r>
          <rPr>
            <sz val="10"/>
            <rFont val="SimSun"/>
            <charset val="134"/>
          </rPr>
          <t>Archived link 
https://web.archive.org/web/20220205111139/https://arxiv.org/pdf/2202.01344.pdf</t>
        </r>
      </text>
    </comment>
    <comment ref="Q31" authorId="0">
      <text>
        <r>
          <rPr>
            <sz val="10"/>
            <rFont val="SimSun"/>
            <charset val="134"/>
          </rPr>
          <t>Go to the table on pg 12 and convert from GB to words?
----
Unit for maths equations? The authors use GB of data here
	-Anson Ho
I guess I would just use the same conversion factor as from GB to words
	-Jaime Sevilla</t>
        </r>
      </text>
    </comment>
    <comment ref="J32" authorId="0">
      <text>
        <r>
          <rPr>
            <sz val="10"/>
            <rFont val="SimSun"/>
            <charset val="134"/>
          </rPr>
          <t xml:space="preserve">
Archived link 
https://web.archive.org/web/20220606045446/https://keg.cs.tsinghua.edu.cn/jietang/publications/PPOPP22-Ma%20et%20al.-BaGuaLu%20Targeting%20Brain%20Scale%20Pretrained%20Models%20w.pdf
pdf link- https://keg.cs.tsinghua.edu.cn/jietang/publications/PPOPP22-Ma%20et%20al.-BaGuaLu%20Targeting%20Brain%20Scale%20Pretrained%20Models%20w.pdf</t>
        </r>
      </text>
    </comment>
    <comment ref="N32" authorId="0">
      <text>
        <r>
          <rPr>
            <sz val="10"/>
            <rFont val="SimSun"/>
            <charset val="134"/>
          </rPr>
          <t>"The evaluation shows that BaGuaLu can train 14.5-trillionparameter models with a performance of over 1 EFLOPS using mixed-precision and has the capability to train 174-trillion-parameter models, which rivals the number of synapses in a human brain."</t>
        </r>
      </text>
    </comment>
    <comment ref="C33" authorId="0">
      <text>
        <r>
          <rPr>
            <sz val="10"/>
            <rFont val="SimSun"/>
            <charset val="134"/>
          </rPr>
          <t>Text-to-image
	-Hamish
Right? Is there a reason this cell isn't filled in?
	-Hamish</t>
        </r>
      </text>
    </comment>
    <comment ref="J33" authorId="0">
      <text>
        <r>
          <rPr>
            <sz val="10"/>
            <rFont val="SimSun"/>
            <charset val="134"/>
          </rPr>
          <t>Archived link 
https://arxiv.org/pdf/2204.06125.pdf
https://web.archive.org/web/20220531182453/https://openai.com/blog/dall-e/</t>
        </r>
      </text>
    </comment>
    <comment ref="N33" authorId="0">
      <text>
        <r>
          <rPr>
            <sz val="10"/>
            <rFont val="SimSun"/>
            <charset val="134"/>
          </rPr>
          <t>"Our decoder architecture is the 3.5 billion parameter GLIDE model"</t>
        </r>
      </text>
    </comment>
    <comment ref="O33" authorId="0">
      <text>
        <r>
          <rPr>
            <sz val="10"/>
            <rFont val="SimSun"/>
            <charset val="134"/>
          </rPr>
          <t>Need to slowly work through Table 3...</t>
        </r>
      </text>
    </comment>
    <comment ref="Q33" authorId="0">
      <text>
        <r>
          <rPr>
            <sz val="10"/>
            <rFont val="SimSun"/>
            <charset val="134"/>
          </rPr>
          <t>"When training the encoder, we sample from the CLIP [39] and DALL-E [40] datasets (approximately
650M images in total) with equal probability"</t>
        </r>
      </text>
    </comment>
    <comment ref="J34" authorId="0">
      <text>
        <r>
          <rPr>
            <sz val="10"/>
            <rFont val="SimSun"/>
            <charset val="134"/>
          </rPr>
          <t>Archived link 
https://arxiv.org/pdf/2204.14198.pdf</t>
        </r>
      </text>
    </comment>
    <comment ref="L34" authorId="0">
      <text>
        <r>
          <rPr>
            <sz val="10"/>
            <rFont val="SimSun"/>
            <charset val="134"/>
          </rPr>
          <t>we demonstrate that a single Flamingo model can achieve a new state of the
art for few-shot learning</t>
        </r>
      </text>
    </comment>
    <comment ref="N34" authorId="0">
      <text>
        <r>
          <rPr>
            <sz val="10"/>
            <rFont val="SimSun"/>
            <charset val="134"/>
          </rPr>
          <t>We obtain three models, Flamingo-3B, Flamingo-9B and Flamingo-80B</t>
        </r>
      </text>
    </comment>
    <comment ref="O34" authorId="0">
      <text>
        <r>
          <rPr>
            <sz val="10"/>
            <rFont val="SimSun"/>
            <charset val="134"/>
          </rPr>
          <t>All training and evaluation
was performed on TPUv4 instances. The largest model containing 80 billion parameters is trained on
QUSV chips for 15 days and sharded across 16 devices.
All trained parameters and optimizer accumulators are stored
and updated in float32; all activations and gradients are computed in bfloat16 after downcasting
of parameters from float32 to bfloat16</t>
        </r>
      </text>
    </comment>
    <comment ref="L36" authorId="0">
      <text>
        <r>
          <rPr>
            <sz val="10"/>
            <rFont val="SimSun"/>
            <charset val="134"/>
          </rPr>
          <t xml:space="preserve">by scaling our model up to 20B parameters, we achieve SOTA
performance on 50 well-established supervised NLP tasks </t>
        </r>
      </text>
    </comment>
    <comment ref="N36" authorId="0">
      <text>
        <r>
          <rPr>
            <sz val="10"/>
            <rFont val="SimSun"/>
            <charset val="134"/>
          </rPr>
          <t>Taken from Directory of LLMs</t>
        </r>
      </text>
    </comment>
    <comment ref="J37" authorId="0">
      <text>
        <r>
          <rPr>
            <sz val="10"/>
            <rFont val="SimSun"/>
            <charset val="134"/>
          </rPr>
          <t>Archived link 
https://web.archive.org/web/20220528215831/https://imagen.research.google/</t>
        </r>
      </text>
    </comment>
    <comment ref="L38" authorId="0">
      <text>
        <r>
          <rPr>
            <sz val="10"/>
            <rFont val="SimSun"/>
            <charset val="134"/>
          </rPr>
          <t>Abstract: "Experimental results across various language-only and vision-language benchmarks show that our model outperforms or is competitive with specialized models on finetuning, zero-shot generalization, and few-shot learning."</t>
        </r>
      </text>
    </comment>
    <comment ref="N40" authorId="0">
      <text>
        <r>
          <rPr>
            <sz val="10"/>
            <rFont val="SimSun"/>
            <charset val="134"/>
          </rPr>
          <t>"The largest 120B model we train runs on a single NVIDIA A100 node"</t>
        </r>
      </text>
    </comment>
    <comment ref="Q40" authorId="0">
      <text>
        <r>
          <rPr>
            <sz val="10"/>
            <rFont val="SimSun"/>
            <charset val="134"/>
          </rPr>
          <t>"Total dataset size = 106 billion tokens"</t>
        </r>
      </text>
    </comment>
    <comment ref="N41" authorId="0">
      <text>
        <r>
          <rPr>
            <sz val="10"/>
            <rFont val="SimSun"/>
            <charset val="134"/>
          </rPr>
          <t>"We took R2C2 (22) as our base model – a 2.7B parameter Transformer-based (23) encoder-decoder model pre-trained on text from the Internet using a BART de-noising objective (24)."</t>
        </r>
      </text>
    </comment>
    <comment ref="Q41" authorId="0">
      <text>
        <r>
          <rPr>
            <sz val="10"/>
            <rFont val="SimSun"/>
            <charset val="134"/>
          </rPr>
          <t>"We obtained a dataset of 125,261 games of Diplomacy played online at webDiplomacy.net. Of these, 40,408 games contained dialogue, with a total of 12,901,662 messages exchanged between players. Player accounts were de-identified and automated redaction of personally identifiable information (PII) was performed by webDiplomacy. We refer to this dataset hereafter as WebDiplomacy ."</t>
        </r>
      </text>
    </comment>
    <comment ref="N42" authorId="0">
      <text>
        <r>
          <rPr>
            <sz val="10"/>
            <rFont val="SimSun"/>
            <charset val="134"/>
          </rPr>
          <t>Figure 6 summarizes the entire cascading pipeline of Imagen Video. In total, we have 1 frozen text
encoder, 1 base video diffusion model, 3 SSR (spatial super-resolution), and 3 TSR (temporal superresolution) models – for a total of 7 video diffusion models, with a total of 11.6B diffusion model
parameters</t>
        </r>
      </text>
    </comment>
    <comment ref="Q42" authorId="0">
      <text>
        <r>
          <rPr>
            <sz val="10"/>
            <rFont val="SimSun"/>
            <charset val="134"/>
          </rPr>
          <t>We train our models on a combination of an internal dataset consisting of 14 million video-text pairs
and 60 million image-text pairs, and the publicly available LAION-400M image-text dataset.</t>
        </r>
      </text>
    </comment>
    <comment ref="A43" authorId="0">
      <text>
        <r>
          <rPr>
            <sz val="10"/>
            <rFont val="SimSun"/>
            <charset val="134"/>
          </rPr>
          <t>How do we distinguish between the Megatron LMs?
	-Jaime Sevilla
I changed the names to include the number of parameters, and to reflect that the other Megatron-LM system is from the original paper that introduced the Megatron-LM (whereas this paper is more like a reimplementation)
	-Anson Ho</t>
        </r>
      </text>
    </comment>
    <comment ref="J43" authorId="0">
      <text>
        <r>
          <rPr>
            <sz val="10"/>
            <rFont val="SimSun"/>
            <charset val="134"/>
          </rPr>
          <t>Archived link 
https://web.archive.org/web/20220303162129/https://arxiv.org/pdf/2104.04473.pdf</t>
        </r>
      </text>
    </comment>
    <comment ref="N43" authorId="0">
      <text>
        <r>
          <rPr>
            <sz val="10"/>
            <rFont val="SimSun"/>
            <charset val="134"/>
          </rPr>
          <t>[NOTE: They didn't train the model fully end-to-end, probably just to obtain enough information to gauge the ability to do model parallelisation]
"Our approach allows us to perform training iterations on a model with 1 trillion parameters at 502 petaFLOP/s on 3072 GPUs with achieved per-GPU throughput of 52% of theoretical peak."</t>
        </r>
      </text>
    </comment>
    <comment ref="O43" authorId="0">
      <text>
        <r>
          <rPr>
            <sz val="10"/>
            <rFont val="SimSun"/>
            <charset val="134"/>
          </rPr>
          <t>[NOTE: They didn't train the model fully end-to-end, probably just to obtain enough information to gauge the ability to do model parallelisation]
“For the 1 trillion parameter model, we assume that 450 billion tokens are needed for end-to-end training. With 3072 A100 GPUs, we can achieve a per-GPU throughput of 163 teraFLOP/s, and end-to-end training time of 84 days. We believe these training times (using a reasonable number of GPUs) are practical.”
Table 1 gives a utilisation rate of 52%
Plugging this into the calculator: https://epochai.org/blog/estimating-training-compute
84 days, 3072 GPUs, NVIDIA A100, FP16, 52% utilisation rate --&gt; 3.6e24 FLOP</t>
        </r>
      </text>
    </comment>
    <comment ref="J44" authorId="0">
      <text>
        <r>
          <rPr>
            <sz val="10"/>
            <rFont val="SimSun"/>
            <charset val="134"/>
          </rPr>
          <t>Archived link 
https://arxiv.org/pdf/2201.11990.pdf
https://web.archive.org/web/20220227231513/https://www.microsoft.com/en-us/research/blog/using-deepspeed-and-megatron-to-train-megatron-turing-nlg-530b-the-worlds-largest-and-most-powerful-generative-language-model/</t>
        </r>
      </text>
    </comment>
    <comment ref="O44" authorId="0">
      <text>
        <r>
          <rPr>
            <sz val="10"/>
            <rFont val="SimSun"/>
            <charset val="134"/>
          </rPr>
          <t>https://www.lesswrong.com/posts/bGuMrzhJdENCo8BxX/nvidia-and-microsoft-releases-530b-parameter-transformer?commentId=HSJSNspKp94tFcSCx</t>
        </r>
      </text>
    </comment>
    <comment ref="Q44" authorId="0">
      <text>
        <r>
          <rPr>
            <sz val="10"/>
            <rFont val="SimSun"/>
            <charset val="134"/>
          </rPr>
          <t>"We trained the model on 270 billion tokens."
1 token ~ 0.75 words</t>
        </r>
      </text>
    </comment>
    <comment ref="J45" authorId="0">
      <text>
        <r>
          <rPr>
            <sz val="10"/>
            <rFont val="SimSun"/>
            <charset val="134"/>
          </rPr>
          <t>Archived link 
https://arxiv.org/pdf/2112.11446.pdf
https://web.archive.org/web/20220227231342/https://deepmind.com/blog/article/language-modelling-at-scale</t>
        </r>
      </text>
    </comment>
    <comment ref="N45" authorId="0">
      <text>
        <r>
          <rPr>
            <sz val="10"/>
            <rFont val="SimSun"/>
            <charset val="134"/>
          </rPr>
          <t>"In this paper, we present an analysis of Transformer-based language model performance across a wide range of model scales — from models with tens of millions of parameters up to a 280 billion parameter model called Gopher."</t>
        </r>
      </text>
    </comment>
    <comment ref="O45" authorId="0">
      <text>
        <r>
          <rPr>
            <sz val="10"/>
            <rFont val="SimSun"/>
            <charset val="134"/>
          </rPr>
          <t>See table A24
6.31E+08 Train PFLOPs</t>
        </r>
      </text>
    </comment>
    <comment ref="Q45" authorId="0">
      <text>
        <r>
          <rPr>
            <sz val="10"/>
            <rFont val="SimSun"/>
            <charset val="134"/>
          </rPr>
          <t>"We train all models for 300 billion tokens with a 2048 token context window, using the Adam (Kingma
and Ba, 2014) optimiser."
1 token ~ 0.75 words</t>
        </r>
      </text>
    </comment>
    <comment ref="J46" authorId="0">
      <text>
        <r>
          <rPr>
            <sz val="10"/>
            <rFont val="SimSun"/>
            <charset val="134"/>
          </rPr>
          <t>Archived link 
https://arxiv.org/pdf/2110.04725.pdf</t>
        </r>
      </text>
    </comment>
    <comment ref="N46" authorId="0">
      <text>
        <r>
          <rPr>
            <sz val="10"/>
            <rFont val="SimSun"/>
            <charset val="134"/>
          </rPr>
          <t>"With this method, Yuan 1.0, the current largest singleton language model with 245B parameters, achieves excellent performance on thousands GPUs during training, and the state-of-the-art results on NLP tasks."</t>
        </r>
      </text>
    </comment>
    <comment ref="O46" authorId="0">
      <text>
        <r>
          <rPr>
            <sz val="10"/>
            <rFont val="SimSun"/>
            <charset val="134"/>
          </rPr>
          <t>source: https://www.aitracker.org/</t>
        </r>
      </text>
    </comment>
    <comment ref="Q46" authorId="0">
      <text>
        <r>
          <rPr>
            <sz val="10"/>
            <rFont val="SimSun"/>
            <charset val="134"/>
          </rPr>
          <t>"Yuan 1.0 was trained on a new Chinese dataset of 5TB
high-quality text that was built on 850TB raw data from Internet."
1 GB ~ 167M words</t>
        </r>
      </text>
    </comment>
    <comment ref="J47" authorId="0">
      <text>
        <r>
          <rPr>
            <sz val="10"/>
            <rFont val="SimSun"/>
            <charset val="134"/>
          </rPr>
          <t>Archived link 
https://web.archive.org/web/20220223014718/https://uploads-ssl.webflow.com/60fd4503684b466578c0d307/61138924626a6981ee09caf6_jurassic_tech_paper.pdf</t>
        </r>
      </text>
    </comment>
    <comment ref="N47" authorId="0">
      <text>
        <r>
          <rPr>
            <sz val="10"/>
            <rFont val="SimSun"/>
            <charset val="134"/>
          </rPr>
          <t>"Jurassic-1 models come in two sizes, where the Jumbo version, at 178B parameters, is the largest and most sophisticated language model ever released for general use by developers."</t>
        </r>
      </text>
    </comment>
    <comment ref="O47" authorId="0">
      <text>
        <r>
          <rPr>
            <sz val="10"/>
            <rFont val="SimSun"/>
            <charset val="134"/>
          </rPr>
          <t>see here https://docs.google.com/document/d/1B8x6XYcmB1u6Tmq3VcbAtj5bzhDaj2TcIPyK6Wpupx4/edit</t>
        </r>
      </text>
    </comment>
    <comment ref="Q47" authorId="0">
      <text>
        <r>
          <rPr>
            <sz val="10"/>
            <rFont val="SimSun"/>
            <charset val="134"/>
          </rPr>
          <t>"Our model was trained with the conventional self-supervised auto-regressive training objective on 300B tokens drawn from publicly available resources"
1 token ~ 0.75 words</t>
        </r>
      </text>
    </comment>
    <comment ref="J49" authorId="0">
      <text>
        <r>
          <rPr>
            <sz val="10"/>
            <rFont val="SimSun"/>
            <charset val="134"/>
          </rPr>
          <t>Archived link 
https://web.archive.org/web/20220125023712/https://arxiv.org/pdf/2102.05918.pdf</t>
        </r>
      </text>
    </comment>
    <comment ref="N49" authorId="0">
      <text>
        <r>
          <rPr>
            <sz val="10"/>
            <rFont val="SimSun"/>
            <charset val="134"/>
          </rPr>
          <t>From author communication
 480M (image tower) + 340 M (text tower)</t>
        </r>
      </text>
    </comment>
    <comment ref="O49" authorId="0">
      <text>
        <r>
          <rPr>
            <sz val="10"/>
            <rFont val="SimSun"/>
            <charset val="134"/>
          </rPr>
          <t xml:space="preserve">From author communication
14.82K TPUv3 core-days
Precision: bfloat16
Estimation
TPUv3 at float16: 4.20E+14 
0.1 * 4.20E+14 FLOP/s * 14.82k TPU-days * 24h/day * 3600s/h
= 2.15E+23
</t>
        </r>
      </text>
    </comment>
    <comment ref="Q49" authorId="0">
      <text>
        <r>
          <rPr>
            <sz val="10"/>
            <rFont val="SimSun"/>
            <charset val="134"/>
          </rPr>
          <t>From author communication
----
What is the unit of data?
	-Jaime Sevilla</t>
        </r>
      </text>
    </comment>
    <comment ref="J50" authorId="0">
      <text>
        <r>
          <rPr>
            <sz val="10"/>
            <rFont val="SimSun"/>
            <charset val="134"/>
          </rPr>
          <t>Archived link 
https://web.archive.org/web/20220121133949/https://arxiv.org/pdf/2003.10580.pdf</t>
        </r>
      </text>
    </comment>
    <comment ref="N50" authorId="0">
      <text>
        <r>
          <rPr>
            <sz val="10"/>
            <rFont val="SimSun"/>
            <charset val="134"/>
          </rPr>
          <t>Table 4
 480M</t>
        </r>
      </text>
    </comment>
    <comment ref="O50" authorId="0">
      <text>
        <r>
          <rPr>
            <sz val="10"/>
            <rFont val="SimSun"/>
            <charset val="134"/>
          </rPr>
          <t xml:space="preserve">
From communication with author:
22671 TPU days on specific hardware.
Which hardware did you use and in which configuration?
2048 cores of TPU v3.
Precision: Mixed. bfloat16 for activations, float32 for weights and optimizer slots.
TPU v3
float32: 1.23E+14	
float16: 4.20E+14
➔ use 2.7E+14 as average due to mixed precision
0.4 * 2.70E+14 TFLOP/s * 22671 days * 24h/day * 3600s/h 
= 2.12E+23</t>
        </r>
      </text>
    </comment>
    <comment ref="Q50" authorId="0">
      <text>
        <r>
          <rPr>
            <sz val="10"/>
            <rFont val="SimSun"/>
            <charset val="134"/>
          </rPr>
          <t>Section 4
Datasets. For this experiment, we use the entire ImageNet
training set as labeled data, and use the JFT dataset as unlabeled data. The JFT dataset has 300 million images, and
then is filtered down to 130 million images by Noisy Student
using confidence thresholds and up-sampling [77]. We use
the same 130 million images as Noisy Student</t>
        </r>
      </text>
    </comment>
    <comment ref="J51" authorId="0">
      <text>
        <r>
          <rPr>
            <sz val="10"/>
            <rFont val="SimSun"/>
            <charset val="134"/>
          </rPr>
          <t>Archived link 
https://web.archive.org/web/20220131104109/https://arxiv.org/pdf/2101.03961.pdf</t>
        </r>
      </text>
    </comment>
    <comment ref="N51" authorId="0">
      <text>
        <r>
          <rPr>
            <sz val="10"/>
            <rFont val="SimSun"/>
            <charset val="134"/>
          </rPr>
          <t>Combining expert, model and data parallelism, we design two large Switch Transformer models, one
with 395 billion and 1.6 trillion parameters</t>
        </r>
      </text>
    </comment>
    <comment ref="O51" authorId="0">
      <text>
        <r>
          <rPr>
            <sz val="10"/>
            <rFont val="SimSun"/>
            <charset val="134"/>
          </rPr>
          <t>Table 4
https://arxiv.org/ftp/arxiv/papers/2104/2104.10350.pdf</t>
        </r>
      </text>
    </comment>
    <comment ref="Q51" authorId="0">
      <text>
        <r>
          <rPr>
            <sz val="10"/>
            <rFont val="SimSun"/>
            <charset val="134"/>
          </rPr>
          <t>"In our protocol we pre-train with 220 (1,048,576) tokens
per batch for 550k steps amounting to 576B total tokens."
1 token ~ 0.75 words</t>
        </r>
      </text>
    </comment>
    <comment ref="J52" authorId="0">
      <text>
        <r>
          <rPr>
            <sz val="10"/>
            <rFont val="SimSun"/>
            <charset val="134"/>
          </rPr>
          <t>Archived link 
https://arxiv.org/pdf/2107.12808.pdf
https://web.archive.org/web/20220227031924/https://deepmind.com/blog/article/generally-capable-agents-emerge-from-open-ended-play</t>
        </r>
      </text>
    </comment>
    <comment ref="N52" authorId="0">
      <text>
        <r>
          <rPr>
            <sz val="10"/>
            <rFont val="SimSun"/>
            <charset val="134"/>
          </rPr>
          <t>estimate described here: https://docs.google.com/document/d/1S9xZyCeITDOs-P1W_-liNW0WgVN-OLsSudVrPXMaLqw/edit?usp=sharing</t>
        </r>
      </text>
    </comment>
    <comment ref="O52" authorId="0">
      <text>
        <r>
          <rPr>
            <sz val="10"/>
            <rFont val="SimSun"/>
            <charset val="134"/>
          </rPr>
          <t>[Final calculation]
(8 TPUs)(4.20e14 FLOP/s)(0.1 utilisation rate)(32 agents)(7.3e6 s/agent) = 7.8e22 FLOPs
==========================
NOTES BELOW
[Hardware]
- "Each agent is trained using 8 TPUv3s and consumes approximately 50,000 agent steps (observations) per second."
- TPUv3 (half precision): 4.2e14 FLOP/s
- Number of TPUs: 8
- Utilisation rate: 0.1
[Timesteps]
- Figure 16 shows steps per generation and agent. In total there are 1.5e10 + 4.0e10 + 2.5e10 + 1.1e11 + 2e11 = 3.9e11 steps per agent.
- 3.9e11 / 5e4 = 8e6 s → ~93 days
- 100 million steps is equivalent to 30 minutes of wall-clock time in our setup. (pg 29, fig 27)
- 1e8 steps → 0.5h
- 3.9e11 steps → 1950h → 7.0e6 s → ~82 days
- Both of these seem like overestimates, because:
“Finally, on the largest timescale (days), generational training iteratively improves population performance by bootstrapping off previous generations, whilst also iteratively updating the validation normalised percentile metric itself.” (pg 16)
- Suggests that the above is an overestimate of the number of days needed, else they would have said (months) or (weeks)?
- Final choice (guesstimate): 85 days = 7.3e6 s
[Population size]
- 8 agents? (pg 21) → this is describing the case where they’re not using PBT, so ignore this number
- The original PBT paper uses 32 agents for one task https://arxiv.org/pdf/1711.09846.pdf (in general it uses between 10 and 80)
- (Guesstimate) Average population size: 32</t>
        </r>
      </text>
    </comment>
    <comment ref="Q52" authorId="0">
      <text>
        <r>
          <rPr>
            <sz val="10"/>
            <rFont val="SimSun"/>
            <charset val="134"/>
          </rPr>
          <t>Figure 16 shows steps per generation and agent. In total there are 1.5e10 + 4.0e10 + 2.5e10 + 1.1e11 + 2e11 = 3.9e11 steps per agent.</t>
        </r>
      </text>
    </comment>
    <comment ref="J53" authorId="0">
      <text>
        <r>
          <rPr>
            <sz val="10"/>
            <rFont val="SimSun"/>
            <charset val="134"/>
          </rPr>
          <t>Archived link 
https://web.archive.org/web/20220303161339/https://www.biorxiv.org/content/10.1101/2020.07.12.199554v3</t>
        </r>
      </text>
    </comment>
    <comment ref="N53" authorId="0">
      <text>
        <r>
          <rPr>
            <sz val="10"/>
            <rFont val="SimSun"/>
            <charset val="134"/>
          </rPr>
          <t>source: https://lair.lighton.ai/akronomicon/</t>
        </r>
      </text>
    </comment>
    <comment ref="O53" authorId="0">
      <text>
        <r>
          <rPr>
            <sz val="10"/>
            <rFont val="SimSun"/>
            <charset val="134"/>
          </rPr>
          <t>source: https://lair.lighton.ai/akronomicon/</t>
        </r>
      </text>
    </comment>
    <comment ref="Q53" authorId="0">
      <text>
        <r>
          <rPr>
            <sz val="10"/>
            <rFont val="SimSun"/>
            <charset val="134"/>
          </rPr>
          <t>"Here, we trained two auto-regressive models (Transformer-XL, XLNet) and four auto-encoder models (BERT, Albert, Electra, T5) on data from UniRef and BFD containing up to 393 billion amino acids."</t>
        </r>
      </text>
    </comment>
    <comment ref="J54" authorId="0">
      <text>
        <r>
          <rPr>
            <sz val="10"/>
            <rFont val="SimSun"/>
            <charset val="134"/>
          </rPr>
          <t>Archived link 
https://web.archive.org/web/20220303161334/https://www.navercorp.com/promotion/pressReleasesView/30546</t>
        </r>
      </text>
    </comment>
    <comment ref="N54" authorId="0">
      <text>
        <r>
          <rPr>
            <sz val="10"/>
            <rFont val="SimSun"/>
            <charset val="134"/>
          </rPr>
          <t>source: https://lair.lighton.ai/akronomicon/</t>
        </r>
      </text>
    </comment>
    <comment ref="O54" authorId="0">
      <text>
        <r>
          <rPr>
            <sz val="10"/>
            <rFont val="SimSun"/>
            <charset val="134"/>
          </rPr>
          <t>source: https://lair.lighton.ai/akronomicon/</t>
        </r>
      </text>
    </comment>
    <comment ref="Q54" authorId="0">
      <text>
        <r>
          <rPr>
            <sz val="10"/>
            <rFont val="SimSun"/>
            <charset val="134"/>
          </rPr>
          <t>"네이버는 하이퍼클로바 개발을 위해 5,600억개 토큰(token)의 한국어 대용량 데이터를 구축했다."
5,600억 = 560,000,000,000 = 560e9
5.6e11 Korean tokens = 5.6e11 words</t>
        </r>
      </text>
    </comment>
    <comment ref="D55" authorId="0">
      <text>
        <r>
          <rPr>
            <sz val="10"/>
            <rFont val="SimSun"/>
            <charset val="134"/>
          </rPr>
          <t>Huawei Noah's Ark Lab
	-Yawen Duan</t>
        </r>
      </text>
    </comment>
    <comment ref="J55" authorId="0">
      <text>
        <r>
          <rPr>
            <sz val="10"/>
            <rFont val="SimSun"/>
            <charset val="134"/>
          </rPr>
          <t>Archived link 
https://web.archive.org/web/20220303170421/https://arxiv.org/pdf/2104.12369.pdf</t>
        </r>
      </text>
    </comment>
    <comment ref="N55" authorId="0">
      <text>
        <r>
          <rPr>
            <sz val="10"/>
            <rFont val="SimSun"/>
            <charset val="134"/>
          </rPr>
          <t>Table in https://git.openi.org.cn/PCL-Platform.Intelligence/PanGu-Alpha
Note: Directory of LLMs (https://docs.google.com/spreadsheets/d/1gc6yse74XCwBx028HV_cvdxwXkmXejVjkO-Mz2uwE0k/edit#gid=0)
gives a slightly lower estimate, not sure about source</t>
        </r>
      </text>
    </comment>
    <comment ref="O55" authorId="0">
      <text>
        <r>
          <rPr>
            <sz val="10"/>
            <rFont val="SimSun"/>
            <charset val="134"/>
          </rPr>
          <t>source: https://lair.lighton.ai/akronomicon/</t>
        </r>
      </text>
    </comment>
    <comment ref="Q55" authorId="0">
      <text>
        <r>
          <rPr>
            <sz val="10"/>
            <rFont val="SimSun"/>
            <charset val="134"/>
          </rPr>
          <t>"The composition of our corpus and the processing steps adopted to each data source is shown in Table 3.2.
Based on the new corpus, we construct two training datasets with 100GB and 1TB text data for our medium (2.6B and 13B) and large (200B) models, respectively"
1 TB = 1000 GB
1 GB ~ 200M words</t>
        </r>
      </text>
    </comment>
    <comment ref="O56" authorId="0">
      <text>
        <r>
          <rPr>
            <sz val="10"/>
            <rFont val="SimSun"/>
            <charset val="134"/>
          </rPr>
          <t>From section 2.4: "60 hours on a TPUv3 with 128 cores." I assume that "128 cores" = 128 TPUv3s. Which took less than 2% of total time (see environmental considerations section)</t>
        </r>
      </text>
    </comment>
    <comment ref="Q56" authorId="0">
      <text>
        <r>
          <rPr>
            <sz val="10"/>
            <rFont val="SimSun"/>
            <charset val="134"/>
          </rPr>
          <t>"Model architecture and pretraining. In our experiments, we use LaMDA-PT, a dense left-to-right,
decoder-only transformer language model of 137B parameters (Thoppilan et al., 2022). This model
is pretrained on a collection of web documents (including those with computer code), dialog data,
and Wikipedia, tokenized into 2.49T BPE tokens with a 32k vocabulary using the SentencePiece
library (Kudo &amp; Richardson, 2018). Around 10% of the pretraining data was non-English. Note that
LaMDA-PT only has language model pretraining (c.f. LaMDA, which was finetuned for dialog)."
2.49e12 tokens ~= 1.87e12 words</t>
        </r>
      </text>
    </comment>
    <comment ref="J57" authorId="0">
      <text>
        <r>
          <rPr>
            <sz val="10"/>
            <rFont val="SimSun"/>
            <charset val="134"/>
          </rPr>
          <t>Archived link 
https://web.archive.org/web/20220531182453/https://openai.com/blog/dall-e/</t>
        </r>
      </text>
    </comment>
    <comment ref="N57" authorId="0">
      <text>
        <r>
          <rPr>
            <sz val="10"/>
            <rFont val="SimSun"/>
            <charset val="134"/>
          </rPr>
          <t>DALL·E is a 12-billion parameter version of GPT-3 trained to generate images from text descriptions</t>
        </r>
      </text>
    </comment>
    <comment ref="O57" authorId="0">
      <text>
        <r>
          <rPr>
            <sz val="10"/>
            <rFont val="SimSun"/>
            <charset val="134"/>
          </rPr>
          <t>source: https://lair.lighton.ai/akronomicon/</t>
        </r>
      </text>
    </comment>
    <comment ref="Q57" authorId="0">
      <text>
        <r>
          <rPr>
            <sz val="10"/>
            <rFont val="SimSun"/>
            <charset val="134"/>
          </rPr>
          <t>"To scale up to 12-billion parameters, we created a dataset of a similar scale to JFT-300M (Sun et al., 2017) by collecting
250 million text-images pairs from the internet. "</t>
        </r>
      </text>
    </comment>
    <comment ref="AB57" authorId="0">
      <text>
        <r>
          <rPr>
            <sz val="10"/>
            <rFont val="SimSun"/>
            <charset val="134"/>
          </rPr>
          <t>I'm unsure about this one.
	-Owen Dudney</t>
        </r>
      </text>
    </comment>
    <comment ref="L58" authorId="0">
      <text>
        <r>
          <rPr>
            <sz val="10"/>
            <rFont val="SimSun"/>
            <charset val="134"/>
          </rPr>
          <t>Was a SOTA in CLUE 1.0 https://www.cluebenchmarks.com/classification10.html</t>
        </r>
      </text>
    </comment>
    <comment ref="O58" authorId="0">
      <text>
        <r>
          <rPr>
            <sz val="10"/>
            <rFont val="SimSun"/>
            <charset val="134"/>
          </rPr>
          <t>128 Nvidia A100 for 35 days</t>
        </r>
      </text>
    </comment>
    <comment ref="J59" authorId="0">
      <text>
        <r>
          <rPr>
            <sz val="10"/>
            <rFont val="SimSun"/>
            <charset val="134"/>
          </rPr>
          <t>Archived link 
https://arxiv.org/pdf/2105.13290.pdf</t>
        </r>
      </text>
    </comment>
    <comment ref="N59" authorId="0">
      <text>
        <r>
          <rPr>
            <sz val="10"/>
            <rFont val="SimSun"/>
            <charset val="134"/>
          </rPr>
          <t>"We propose CogView, a 4-billion-parameter Transformer with VQ-VAE tokenizer to advance this problem."</t>
        </r>
      </text>
    </comment>
    <comment ref="O59" authorId="0">
      <text>
        <r>
          <rPr>
            <sz val="10"/>
            <rFont val="SimSun"/>
            <charset val="134"/>
          </rPr>
          <t>source: https://lair.lighton.ai/akronomicon/</t>
        </r>
      </text>
    </comment>
    <comment ref="Q59" authorId="0">
      <text>
        <r>
          <rPr>
            <sz val="10"/>
            <rFont val="SimSun"/>
            <charset val="134"/>
          </rPr>
          <t>"We collected about 30 million text-image pairs from multiple channels, and built a 2.5TB new
dataset (after tokenization, the size becomes about 250GB)."</t>
        </r>
      </text>
    </comment>
    <comment ref="O60" authorId="0">
      <text>
        <r>
          <rPr>
            <sz val="10"/>
            <rFont val="SimSun"/>
            <charset val="134"/>
          </rPr>
          <t>From section B.1: "These training runs corresponded to about 270 total hours of training on a v3-512 Cloud TPU device." (512 cores for 270 hours)</t>
        </r>
      </text>
    </comment>
    <comment ref="J61" authorId="0">
      <text>
        <r>
          <rPr>
            <sz val="10"/>
            <rFont val="SimSun"/>
            <charset val="134"/>
          </rPr>
          <t>Archived link 
https://web.archive.org/web/20220303161355/https://arankomatsuzaki.wordpress.com/2021/06/04/gpt-j/</t>
        </r>
      </text>
    </comment>
    <comment ref="N61" authorId="0">
      <text>
        <r>
          <rPr>
            <sz val="10"/>
            <rFont val="SimSun"/>
            <charset val="134"/>
          </rPr>
          <t>source: model details table in GitHub</t>
        </r>
      </text>
    </comment>
    <comment ref="O61" authorId="0">
      <text>
        <r>
          <rPr>
            <sz val="10"/>
            <rFont val="SimSun"/>
            <charset val="134"/>
          </rPr>
          <t>source: zero shot evaluation table in GitHub</t>
        </r>
      </text>
    </comment>
    <comment ref="Q61" authorId="0">
      <text>
        <r>
          <rPr>
            <sz val="10"/>
            <rFont val="SimSun"/>
            <charset val="134"/>
          </rPr>
          <t>"The model was trained on 400B tokens from The Pile dataset with 800GB text."
1 GB ~ 200M words</t>
        </r>
      </text>
    </comment>
    <comment ref="AD61" authorId="0">
      <text>
        <r>
          <rPr>
            <sz val="10"/>
            <rFont val="SimSun"/>
            <charset val="134"/>
          </rPr>
          <t>Trained on TPUs sponsored/provided(?) by Google.</t>
        </r>
      </text>
    </comment>
    <comment ref="J62" authorId="0">
      <text>
        <r>
          <rPr>
            <sz val="10"/>
            <rFont val="SimSun"/>
            <charset val="134"/>
          </rPr>
          <t>Archived link 
https://web.archive.org/web/20220215025401/https://arxiv.org/pdf/2103.00020.pdf</t>
        </r>
      </text>
    </comment>
    <comment ref="N62" authorId="0">
      <text>
        <r>
          <rPr>
            <sz val="10"/>
            <rFont val="SimSun"/>
            <charset val="134"/>
          </rPr>
          <t>Image encoder
Vision Transformer
Table 1 in https://arxiv.org/pdf/2010.11929.pdf
Authors fine-tuned ViT L/14 at additional 336px resolution, hence the @336 (See ViT)
307M params
Text encoder
~Transformer (from paper)
63M params</t>
        </r>
      </text>
    </comment>
    <comment ref="O62" authorId="0">
      <text>
        <r>
          <rPr>
            <sz val="10"/>
            <rFont val="SimSun"/>
            <charset val="134"/>
          </rPr>
          <t>https://docs.google.com/document/d/156miAJkFN9DDX06C3s03UDsretCtymCKiGDddLBCgQE/edit?usp=sharing</t>
        </r>
      </text>
    </comment>
    <comment ref="S62" authorId="0">
      <text>
        <r>
          <rPr>
            <sz val="10"/>
            <rFont val="SimSun"/>
            <charset val="134"/>
          </rPr>
          <t>Figure 10 https://arxiv.org/pdf/2103.00020.pdf</t>
        </r>
      </text>
    </comment>
    <comment ref="U62" authorId="0">
      <text>
        <r>
          <rPr>
            <sz val="10"/>
            <rFont val="SimSun"/>
            <charset val="134"/>
          </rPr>
          <t>"In the end, our best performing CLIP model trains on 256 GPUs for 2 weeks which is similar to existing large scale image models."</t>
        </r>
      </text>
    </comment>
    <comment ref="AA62" authorId="0">
      <text>
        <r>
          <rPr>
            <sz val="10"/>
            <rFont val="SimSun"/>
            <charset val="134"/>
          </rPr>
          <t xml:space="preserve">https://www.kdnuggets.com/2021/03/beginners-guide-clip-model.html
</t>
        </r>
      </text>
    </comment>
    <comment ref="I63" authorId="0">
      <text>
        <r>
          <rPr>
            <sz val="10"/>
            <rFont val="SimSun"/>
            <charset val="134"/>
          </rPr>
          <t>There might be an associated publication IDK
	-Jaime Sevilla</t>
        </r>
      </text>
    </comment>
    <comment ref="J63" authorId="0">
      <text>
        <r>
          <rPr>
            <sz val="10"/>
            <rFont val="SimSun"/>
            <charset val="134"/>
          </rPr>
          <t>Archived link 
https://web.archive.org/web/20220303162519/https://www.eleuther.ai/projects/gpt-neo/</t>
        </r>
      </text>
    </comment>
    <comment ref="N63" authorId="0">
      <text>
        <r>
          <rPr>
            <sz val="10"/>
            <rFont val="SimSun"/>
            <charset val="134"/>
          </rPr>
          <t>source: https://www.eleuther.ai/projects/gpt-neo/
Note: Directory of LLMs (https://docs.google.com/spreadsheets/d/1gc6yse74XCwBx028HV_cvdxwXkmXejVjkO-Mz2uwE0k/edit#gid=0) gives a somewhat lower estimate (2e9)</t>
        </r>
      </text>
    </comment>
    <comment ref="O63" authorId="0">
      <text>
        <r>
          <rPr>
            <sz val="10"/>
            <rFont val="SimSun"/>
            <charset val="134"/>
          </rPr>
          <t>source: https://www.aitracker.org/</t>
        </r>
      </text>
    </comment>
    <comment ref="Q63" authorId="0">
      <text>
        <r>
          <rPr>
            <sz val="10"/>
            <rFont val="SimSun"/>
            <charset val="134"/>
          </rPr>
          <t>"In aggregate, the Pile consists of over 825GiB of raw text data"
(see GPT-NeoX)</t>
        </r>
      </text>
    </comment>
    <comment ref="AD63" authorId="0">
      <text>
        <r>
          <rPr>
            <sz val="10"/>
            <rFont val="SimSun"/>
            <charset val="134"/>
          </rPr>
          <t>Trained on TPUs sponsored/provided(?) by Google.</t>
        </r>
      </text>
    </comment>
    <comment ref="J64" authorId="0">
      <text>
        <r>
          <rPr>
            <sz val="10"/>
            <rFont val="SimSun"/>
            <charset val="134"/>
          </rPr>
          <t xml:space="preserve">Archived link 
https://web.archive.org/web/20220531182228/https://medium.com/syncedreview/chinas-gpt-3-baai-introduces-superscale-intelligence-model-wu-dao-1-0-98a573fc4d70
</t>
        </r>
      </text>
    </comment>
    <comment ref="N64" authorId="0">
      <text>
        <r>
          <rPr>
            <sz val="10"/>
            <rFont val="SimSun"/>
            <charset val="134"/>
          </rPr>
          <t>"Currently, the model has 1 billion parameters and is trained on 50 million graphic pairs collected from open sources."
https://medium.com/syncedreview/chinas-gpt-3-baai-introduces-superscale-intelligence-model-wu-dao-1-0-98a573fc4d70</t>
        </r>
      </text>
    </comment>
    <comment ref="O64" authorId="0">
      <text>
        <r>
          <rPr>
            <sz val="10"/>
            <rFont val="SimSun"/>
            <charset val="134"/>
          </rPr>
          <t xml:space="preserve">128 Nvidia A100 GPUs for 7 days
128 GPUs * 3.1e14 FLOP/s /GPU * 7*24*60*60s* 0.3 [utilization rate]
</t>
        </r>
      </text>
    </comment>
    <comment ref="J65" authorId="0">
      <text>
        <r>
          <rPr>
            <sz val="10"/>
            <rFont val="SimSun"/>
            <charset val="134"/>
          </rPr>
          <t>Archived link 
https://web.archive.org/web/20220109132057/https://arxiv.org/pdf/2006.03654.pdf</t>
        </r>
      </text>
    </comment>
    <comment ref="N65" authorId="0">
      <text>
        <r>
          <rPr>
            <sz val="10"/>
            <rFont val="SimSun"/>
            <charset val="134"/>
          </rPr>
          <t>"...we scale up DeBERTa by training a larger version that consists of 48 Transform layers with 1.5 billion parameters"
Other versions are smaller and use a smaller pre-training dataset. These are distinguished in the paper (e.g. DeBERTa1.5B is the version of DeBERTa with 1.5 billion parameters).</t>
        </r>
      </text>
    </comment>
    <comment ref="O65" authorId="0">
      <text>
        <r>
          <rPr>
            <sz val="10"/>
            <rFont val="SimSun"/>
            <charset val="134"/>
          </rPr>
          <t>From section 5.1.1: "We use 6 DGX-2 machines (96 V100 GPUs) to train the models. A single model trained with 2K batch size and 1M steps takes about 20 days." 
This specifically refers to the largest models referred to in the paper, and smaller models are described elsewhere, but I'm assuming the large models are what we care about here. 
Apparently there are multiple types of GPUs referred to as V100s. I'm guessing these are NVIDIA Tesla SMX2s.</t>
        </r>
      </text>
    </comment>
    <comment ref="Q65" authorId="0">
      <text>
        <r>
          <rPr>
            <sz val="10"/>
            <rFont val="SimSun"/>
            <charset val="134"/>
          </rPr>
          <t>" DeBERTa is pretrained on 78G training data"
1GB ~ 200M words</t>
        </r>
      </text>
    </comment>
    <comment ref="W65" authorId="0">
      <text>
        <r>
          <rPr>
            <sz val="10"/>
            <rFont val="SimSun"/>
            <charset val="134"/>
          </rPr>
          <t>"DeBERTa1.5B is trained on a pre-training dataset amounting to 160G,
similar to that in Liu et al."</t>
        </r>
      </text>
    </comment>
    <comment ref="J66" authorId="0">
      <text>
        <r>
          <rPr>
            <sz val="10"/>
            <rFont val="SimSun"/>
            <charset val="134"/>
          </rPr>
          <t>Archived link 
https://web.archive.org/web/20220219162541/https://arxiv.org/pdf/2106.07447.pdf</t>
        </r>
      </text>
    </comment>
    <comment ref="L66" authorId="0">
      <text>
        <r>
          <rPr>
            <sz val="10"/>
            <rFont val="SimSun"/>
            <charset val="134"/>
          </rPr>
          <t>Abstract: 
" the
HuBERT model either matches or improves upon the state-ofthe-art wav2vec 2.0 performance on the Librispeech (960h) and
Libri-light (60,000h) benchmarks with 10min, 1h, 10h, 100h, and
960h fine-tuning subsets."</t>
        </r>
      </text>
    </comment>
    <comment ref="N66" authorId="0">
      <text>
        <r>
          <rPr>
            <sz val="10"/>
            <rFont val="SimSun"/>
            <charset val="134"/>
          </rPr>
          <t>From abstract:
"Using a 1B parameter model, HuBERT shows up to 19% and 13% relative WER reduction on the more challenging dev-other and test-other evaluation subsets"</t>
        </r>
      </text>
    </comment>
    <comment ref="O66" authorId="0">
      <text>
        <r>
          <rPr>
            <sz val="10"/>
            <rFont val="SimSun"/>
            <charset val="134"/>
          </rPr>
          <t>GPU NOT SPECIFIED - for the sake of argument I assume something on the order of 1 TFLOP/s
Numbers from Section IV part C
0.1 * (960h * 32GPUs + 60000h * 256 GPUs) * 3600s/h * 1 TFLOP/s/GPU</t>
        </r>
      </text>
    </comment>
    <comment ref="Q66" authorId="0">
      <text>
        <r>
          <rPr>
            <sz val="10"/>
            <rFont val="SimSun"/>
            <charset val="134"/>
          </rPr>
          <t>"When the HuBERT model is pre-trained on either the standard Librispeech 960h [24] or the Libri-Light 60k hours [25], it either matches or improves upon the state-of-theart wav2vec 2.0 [6] performance on all fine-tuning subsets of 10mins, 1h, 10h, 100h, and 960h."
1h ~ 13,680 words
13,680 * 60,000 = 820800000</t>
        </r>
      </text>
    </comment>
    <comment ref="J67" authorId="0">
      <text>
        <r>
          <rPr>
            <sz val="10"/>
            <rFont val="SimSun"/>
            <charset val="134"/>
          </rPr>
          <t>Archived link 
https://web.archive.org/web/20220218223443/https://arxiv.org/pdf/2110.03888.pdf</t>
        </r>
      </text>
    </comment>
    <comment ref="N67" authorId="0">
      <text>
        <r>
          <rPr>
            <sz val="10"/>
            <rFont val="SimSun"/>
            <charset val="134"/>
          </rPr>
          <t>"We demonstrate a practice of pretraining unprecedented 10-trillion-parameter model, an order of magnitude larger than the state-of-the-art, on solely 512 GPUs within 10 days"</t>
        </r>
      </text>
    </comment>
    <comment ref="O67" authorId="0">
      <text>
        <r>
          <rPr>
            <sz val="10"/>
            <rFont val="SimSun"/>
            <charset val="134"/>
          </rPr>
          <t>512 GPUs in 10 days - using NVIDIA V100 GPUs
Using the NVIDIA V100 Specifications this works out to be: 
0.10 * 125E12 * 512 * 10 * 86400 = 5.53E21
(Assuming 10% utilisation, and 125TFLOPS)</t>
        </r>
      </text>
    </comment>
    <comment ref="Q67" authorId="0">
      <text>
        <r>
          <rPr>
            <sz val="10"/>
            <rFont val="SimSun"/>
            <charset val="134"/>
          </rPr>
          <t>"We conduct experiments for pretraining and finetuning to analyze model competence in upstream and
downstream tasks. Following the classical data setup for pretraining and finetuning, we pretrain the model on BookCorpus [52] and English Wikipedia [9], which are corpora with around 16GB of plain
texts."
I used http://extraconversion.com/data-storage/gigabits/gigabits-to-words.html for the conversion to number of words</t>
        </r>
      </text>
    </comment>
    <comment ref="U67" authorId="0">
      <text>
        <r>
          <rPr>
            <sz val="10"/>
            <rFont val="SimSun"/>
            <charset val="134"/>
          </rPr>
          <t>512 GPUs * 10 days * 24 h/day</t>
        </r>
      </text>
    </comment>
    <comment ref="L68" authorId="0">
      <text>
        <r>
          <rPr>
            <sz val="10"/>
            <rFont val="SimSun"/>
            <charset val="134"/>
          </rPr>
          <t>NÜWA achieves state-of-the-art results on text-to-image generation, text-to-video generation, video prediction, etc</t>
        </r>
      </text>
    </comment>
    <comment ref="N68" authorId="0">
      <text>
        <r>
          <rPr>
            <sz val="10"/>
            <rFont val="SimSun"/>
            <charset val="134"/>
          </rPr>
          <t>Section 4.1</t>
        </r>
      </text>
    </comment>
    <comment ref="O68" authorId="0">
      <text>
        <r>
          <rPr>
            <sz val="10"/>
            <rFont val="SimSun"/>
            <charset val="134"/>
          </rPr>
          <t>From AI Tracker:
"Compute cost: End of Sec 4.1: "We pre-train on 64 A100 GPUs for two weeks". Info sheet from NVIDIA (https://www.nvidia.com/content/dam/en-zz/Solutions/Data-Center/a100/pdf/nvidia-a100-datasheet.pdf) gives single precision TensorFloat 32 performance of 156 TFLOPs/s. So we get 64 x 14 x 156 = 140,000 TFLOPs/s x days."
Multiply by seconds/day and 30% utilization</t>
        </r>
      </text>
    </comment>
    <comment ref="Q68" authorId="0">
      <text>
        <r>
          <rPr>
            <sz val="10"/>
            <rFont val="SimSun"/>
            <charset val="134"/>
          </rPr>
          <t>we first pre-train N  ̈UWA on three
datasets: Conceptual Captions [22] for text-to-image (T2I)
generation, which includes 2.9M text-image pairs, Mo-
ments in Time [26] for video prediction (V2V), which in-
cludes 727K videos, and VATEX dataset [43] for text-to-
video (T2V) generation, which includes 241K text-video
pairs.</t>
        </r>
      </text>
    </comment>
    <comment ref="AB68" authorId="0">
      <text>
        <r>
          <rPr>
            <sz val="10"/>
            <rFont val="SimSun"/>
            <charset val="134"/>
          </rPr>
          <t>NUWA is a multimodal model that works with video and images. Its training on images was self-supervised, but the datasets used to train it on video were annotated by humans.</t>
        </r>
      </text>
    </comment>
    <comment ref="J69" authorId="0">
      <text>
        <r>
          <rPr>
            <sz val="10"/>
            <rFont val="SimSun"/>
            <charset val="134"/>
          </rPr>
          <t>Archived link 
https://web.archive.org/web/20210501021641/https://arxiv.org/pdf/2103.01988.pdf</t>
        </r>
      </text>
    </comment>
    <comment ref="L69" authorId="0">
      <text>
        <r>
          <rPr>
            <sz val="10"/>
            <rFont val="SimSun"/>
            <charset val="134"/>
          </rPr>
          <t>Applies self-supervised learning to outside ImageNet and unbounded datasets, with good results</t>
        </r>
      </text>
    </comment>
    <comment ref="N69" authorId="0">
      <text>
        <r>
          <rPr>
            <sz val="10"/>
            <rFont val="SimSun"/>
            <charset val="134"/>
          </rPr>
          <t>From abstract:
" Our final SElf-supERvised (SEER) model, a RegNetY with 1.3B parameters..."</t>
        </r>
      </text>
    </comment>
    <comment ref="O69" authorId="0">
      <text>
        <r>
          <rPr>
            <sz val="10"/>
            <rFont val="SimSun"/>
            <charset val="134"/>
          </rPr>
          <t>Numbers from section 3.2
512 GPUs * 0.1 * 8days * 24h/day * 3600s/h * 125 TFLOP/s</t>
        </r>
      </text>
    </comment>
    <comment ref="P69" authorId="0">
      <text>
        <r>
          <rPr>
            <sz val="10"/>
            <rFont val="SimSun"/>
            <charset val="134"/>
          </rPr>
          <t>Section 3.3:
"For our billion scale pretraining, we consider a dataloader that directly samples random, public, and non-EU images from Instagram"
Note the dataset is not static - it is refreshed every 90 days</t>
        </r>
      </text>
    </comment>
    <comment ref="Q69" authorId="0">
      <text>
        <r>
          <rPr>
            <sz val="10"/>
            <rFont val="SimSun"/>
            <charset val="134"/>
          </rPr>
          <t>"Overall, we train
on 1B images for a total of 122K iterations."</t>
        </r>
      </text>
    </comment>
    <comment ref="J70" authorId="0">
      <text>
        <r>
          <rPr>
            <sz val="10"/>
            <rFont val="SimSun"/>
            <charset val="134"/>
          </rPr>
          <t>Archived link 
https://arxiv.org/pdf/2106.04560.pdf</t>
        </r>
      </text>
    </comment>
    <comment ref="N70" authorId="0">
      <text>
        <r>
          <rPr>
            <sz val="10"/>
            <rFont val="SimSun"/>
            <charset val="134"/>
          </rPr>
          <t>source: https://lair.lighton.ai/akronomicon/</t>
        </r>
      </text>
    </comment>
    <comment ref="O70" authorId="0">
      <text>
        <r>
          <rPr>
            <sz val="10"/>
            <rFont val="SimSun"/>
            <charset val="134"/>
          </rPr>
          <t>source: https://lair.lighton.ai/akronomicon/</t>
        </r>
      </text>
    </comment>
    <comment ref="Q70" authorId="0">
      <text>
        <r>
          <rPr>
            <sz val="10"/>
            <rFont val="SimSun"/>
            <charset val="134"/>
          </rPr>
          <t>"For this study, we use the proprietary JFT-3B dataset, a larger version of the JFT-300M dataset used
in many previous works on large-scale computer vision models [31, 18, 11]. This dataset consists of
nearly 3 billion images, annotated with a class-hierarchy of around 30k labels via a semi-automatic
pipeline"</t>
        </r>
      </text>
    </comment>
    <comment ref="AB70" authorId="0">
      <text>
        <r>
          <rPr>
            <sz val="10"/>
            <rFont val="SimSun"/>
            <charset val="134"/>
          </rPr>
          <t>Trained on JFT-3B dataset, which doesn't seem to be human-labeled but was labeled by an "algorithm"-- since this is a proprietary database used only by Google, I can't find a lot of details about it.</t>
        </r>
      </text>
    </comment>
    <comment ref="A71" authorId="0">
      <text>
        <r>
          <rPr>
            <sz val="10"/>
            <rFont val="SimSun"/>
            <charset val="134"/>
          </rPr>
          <t>@anson.ho.work@gmail.com I think DLRM-2022 is a different one. The duplicate was DLRM-12T
_Assigned to Anson Ho_
	-Jaime Sevilla</t>
        </r>
      </text>
    </comment>
    <comment ref="I71" authorId="0">
      <text>
        <r>
          <rPr>
            <sz val="10"/>
            <rFont val="SimSun"/>
            <charset val="134"/>
          </rPr>
          <t>Not a direct reference to the system</t>
        </r>
      </text>
    </comment>
    <comment ref="J71" authorId="0">
      <text>
        <r>
          <rPr>
            <sz val="10"/>
            <rFont val="SimSun"/>
            <charset val="134"/>
          </rPr>
          <t>Archived link 
https://web.archive.org/web/20220217015416/https://arxiv.org/pdf/2104.05158.pdf</t>
        </r>
      </text>
    </comment>
    <comment ref="N71" authorId="0">
      <text>
        <r>
          <rPr>
            <sz val="10"/>
            <rFont val="SimSun"/>
            <charset val="134"/>
          </rPr>
          <t>Figure 1
https://arxiv.org/abs/2104.05158</t>
        </r>
      </text>
    </comment>
    <comment ref="O71" authorId="0">
      <text>
        <r>
          <rPr>
            <sz val="10"/>
            <rFont val="SimSun"/>
            <charset val="134"/>
          </rPr>
          <t>Figure 1
https://arxiv.org/abs/2104.05158</t>
        </r>
      </text>
    </comment>
    <comment ref="Q71" authorId="0">
      <text>
        <r>
          <rPr>
            <sz val="10"/>
            <rFont val="SimSun"/>
            <charset val="134"/>
          </rPr>
          <t>Figure 8 seems to imply somewhere between 50 and 60 billion samples but I am not sure
	-Jaime Sevilla</t>
        </r>
      </text>
    </comment>
    <comment ref="E72" authorId="0">
      <text>
        <r>
          <rPr>
            <sz val="10"/>
            <rFont val="SimSun"/>
            <charset val="134"/>
          </rPr>
          <t>@lennart.heim@icloud.com Should BAAI be listed as a non-profit or something else?
	-Tamay Besiroglu
Good question. I'd say collaboration and probably learn towards academic.
Maybe new category "state project" :D
	-Lennart Heim</t>
        </r>
      </text>
    </comment>
    <comment ref="G72" authorId="0">
      <text>
        <r>
          <rPr>
            <sz val="10"/>
            <rFont val="SimSun"/>
            <charset val="134"/>
          </rPr>
          <t>Unsure
	-Jaime Sevilla</t>
        </r>
      </text>
    </comment>
    <comment ref="J72" authorId="0">
      <text>
        <r>
          <rPr>
            <sz val="10"/>
            <rFont val="SimSun"/>
            <charset val="134"/>
          </rPr>
          <t>Archived link 
https://web.archive.org/web/20220531182228/https://medium.com/syncedreview/chinas-gpt-3-baai-introduces-superscale-intelligence-model-wu-dao-1-0-98a573fc4d70
----
@amoghdvg@gmail.com can you try finding a better source of information for the Wu Dao models?
	-Jaime Sevilla</t>
        </r>
      </text>
    </comment>
    <comment ref="N72" authorId="0">
      <text>
        <r>
          <rPr>
            <sz val="10"/>
            <rFont val="SimSun"/>
            <charset val="134"/>
          </rPr>
          <t>"It has 2.6 billion parameters and is capable of performing cognitive activities such as memorization, comprehension, retrieval, numerical calculation, multi-language, etc."
https://medium.com/syncedreview/chinas-gpt-3-baai-introduces-superscale-intelligence-model-wu-dao-1-0-98a573fc4d70</t>
        </r>
      </text>
    </comment>
    <comment ref="O72" authorId="0">
      <text>
        <r>
          <rPr>
            <sz val="10"/>
            <rFont val="SimSun"/>
            <charset val="134"/>
          </rPr>
          <t xml:space="preserve">64 Nvidia V100 GPUs for two weeks
64 GPUs * 2.8e13 FLOP/s /GPU * 14*24*60*60s * 0.3 [utilization rate]
</t>
        </r>
      </text>
    </comment>
    <comment ref="O73" authorId="0">
      <text>
        <r>
          <rPr>
            <sz val="10"/>
            <rFont val="SimSun"/>
            <charset val="134"/>
          </rPr>
          <t>From section 8: "About 62k GPU-hours on the Jean Zay HPC Cluster." Jean Zay uses both A100 and V100 GPUs, and maybe other stuff as well?
https://www.hpcwire.com/2021/11/17/frances-jean-zay-supercomputer-gets-ai-boost-from-hpe-nvidia/</t>
        </r>
      </text>
    </comment>
    <comment ref="AB73" authorId="0">
      <text>
        <r>
          <rPr>
            <sz val="10"/>
            <rFont val="SimSun"/>
            <charset val="134"/>
          </rPr>
          <t>validated on French TreeBank</t>
        </r>
      </text>
    </comment>
    <comment ref="J74" authorId="0">
      <text>
        <r>
          <rPr>
            <sz val="10"/>
            <rFont val="SimSun"/>
            <charset val="134"/>
          </rPr>
          <t xml:space="preserve">Archived link 
https://web.archive.org/web/20220531182228/https://medium.com/syncedreview/chinas-gpt-3-baai-introduces-superscale-intelligence-model-wu-dao-1-0-98a573fc4d70
</t>
        </r>
      </text>
    </comment>
    <comment ref="N74" authorId="0">
      <text>
        <r>
          <rPr>
            <sz val="10"/>
            <rFont val="SimSun"/>
            <charset val="134"/>
          </rPr>
          <t>"Wu Dao — Wen Hui has reached 11.3 billion parameters, and through simple fine-tuning can generate poetry, make videos, draw pictures, retrieve text, perform complex reasoning, etc."
https://medium.com/syncedreview/chinas-gpt-3-baai-introduces-superscale-intelligence-model-wu-dao-1-0-98a573fc4d70</t>
        </r>
      </text>
    </comment>
    <comment ref="O74" authorId="0">
      <text>
        <r>
          <rPr>
            <sz val="10"/>
            <rFont val="SimSun"/>
            <charset val="134"/>
          </rPr>
          <t xml:space="preserve">64 Nvidia V100 GPUs for 2.5 days
64 GPUs * 2.8e13 FLOP/s /GPU * 2.5*24*60*60s* 0.3 [utilization rate]
</t>
        </r>
      </text>
    </comment>
    <comment ref="J75" authorId="0">
      <text>
        <r>
          <rPr>
            <sz val="10"/>
            <rFont val="SimSun"/>
            <charset val="134"/>
          </rPr>
          <t>Archived link 
https://arxiv.org/pdf/2105.12723v2.pdf</t>
        </r>
      </text>
    </comment>
    <comment ref="O75" authorId="0">
      <text>
        <r>
          <rPr>
            <sz val="10"/>
            <rFont val="SimSun"/>
            <charset val="134"/>
          </rPr>
          <t xml:space="preserve">17.9 GFLOPS per forward pass
300 epochs
1.28M training examples
3.5 f_to_b pass ratio
(From Imagenet paper-data, Besiroglu et al., forthcoming) </t>
        </r>
      </text>
    </comment>
    <comment ref="J76" authorId="0">
      <text>
        <r>
          <rPr>
            <sz val="10"/>
            <rFont val="SimSun"/>
            <charset val="134"/>
          </rPr>
          <t>Archived link 
https://arxiv.org/pdf/2112.12731.pdf
https://web.archive.org/web/20220303013913/http://research.baidu.com/Blog/index-view?id=160</t>
        </r>
      </text>
    </comment>
    <comment ref="N76" authorId="0">
      <text>
        <r>
          <rPr>
            <sz val="10"/>
            <rFont val="SimSun"/>
            <charset val="134"/>
          </rPr>
          <t>We trained the model with 10 billion parameters on a 4TB corpus consisting of plain texts and a large-scale knowledge graph.</t>
        </r>
      </text>
    </comment>
    <comment ref="O76" authorId="0">
      <text>
        <r>
          <rPr>
            <sz val="10"/>
            <rFont val="SimSun"/>
            <charset val="134"/>
          </rPr>
          <t>Table 11 shows that the base 10 billion parameter model is trained in 4h (11h30m without progressive learning)
"For both two settings, we carry out pre-training on 8 NVIDIA Tesla V100 GPUs."
Each Tesla V100 GPU ought to have ~120 peak teraFLOP/s in deep learning settings.
source: https://www.nvidia.com/en-gb/data-center/tesla-v100/
We assume 0.17 utilization factor, in line with https://openai.com/blog/ai-and-compute/
Total training compute is then 8 GPU *120 TFLOP/(s*GPU) * (4*60*60s)*0.17
----
This estimate seems wrong. The note says
"Table 11 shows that the base 10 billion parameter model is trained in 4h (11h30m without progressive learning)"
But the "base" model in table 11 is not ERNIE 3.0, it's ERNIE 1.0 (I think).
Table 11 is comparing two smaller versions of ERNIE, trained in 8 GPUs, not the full model.
The actual training details for ERNIE 3.0 are given in section 3.3.3, they say
"The model is trained for
a total of 375 billion tokens with 384 NVDIA v100 GPU cards"
So the actual training compute is probably on the order of 10B params x 375B tokens ~ 3e21, three orders of magnitude higher than the current estimate
	-Pablo Villalobos</t>
        </r>
      </text>
    </comment>
    <comment ref="Q76" authorId="0">
      <text>
        <r>
          <rPr>
            <sz val="10"/>
            <rFont val="SimSun"/>
            <charset val="134"/>
          </rPr>
          <t>"To ensure the success of the pre-training of ERNIE 3.0, we construct a large-scale, wide-variety and high-quality Chinese text corpora amounting to 4TB storage size in 11 different categories."
1 GB ~ 167M chinese words</t>
        </r>
      </text>
    </comment>
    <comment ref="A77" authorId="0">
      <text>
        <r>
          <rPr>
            <sz val="10"/>
            <rFont val="SimSun"/>
            <charset val="134"/>
          </rPr>
          <t>Appendix B:
" Our CIFAR10 model has 35.7 million parameters, and our LSUN and
CelebA-HQ models have 114 million parameters. We also trained a larger variant of the LSUN Bedroom model with approximately 256 million parameters by increasing filter count."</t>
        </r>
      </text>
    </comment>
    <comment ref="J77" authorId="0">
      <text>
        <r>
          <rPr>
            <sz val="10"/>
            <rFont val="SimSun"/>
            <charset val="134"/>
          </rPr>
          <t>Archived link 
https://web.archive.org/web/20220124165328/https://arxiv.org/pdf/2006.11239.pdf</t>
        </r>
      </text>
    </comment>
    <comment ref="L77" authorId="0">
      <text>
        <r>
          <rPr>
            <sz val="10"/>
            <rFont val="SimSun"/>
            <charset val="134"/>
          </rPr>
          <t>Novel approach to image synthesis that yields SOTA results on datasets like CIFAR-10
Abstract: 
"On the unconditional CIFAR10 dataset, we obtain an Inception score of 9.46 and a state-of-the-art FID score of 3.17. "</t>
        </r>
      </text>
    </comment>
    <comment ref="N77" authorId="0">
      <text>
        <r>
          <rPr>
            <sz val="10"/>
            <rFont val="SimSun"/>
            <charset val="134"/>
          </rPr>
          <t>Appendix B: 
" Our CIFAR10 model has 35.7 million parameters, and our LSUN and
CelebA-HQ models have 114 million parameters. We also trained a larger variant of the LSUN Bedroom model with approximately 256 million parameters by increasing filter count."</t>
        </r>
      </text>
    </comment>
    <comment ref="O77" authorId="0">
      <text>
        <r>
          <rPr>
            <sz val="10"/>
            <rFont val="SimSun"/>
            <charset val="134"/>
          </rPr>
          <t>Numbers in Appendix B
420 TFLOPs * 10.6h * 3600s/h * 0.1 = 1.6e18</t>
        </r>
      </text>
    </comment>
    <comment ref="Q77" authorId="0">
      <text>
        <r>
          <rPr>
            <sz val="10"/>
            <rFont val="SimSun"/>
            <charset val="134"/>
          </rPr>
          <t xml:space="preserve">"We trained on CelebA-HQ for 0.5M steps, LSUN Bedroom for 2.4M steps, LSUN Cat for 1.8M steps, and LSUN Church for 1.2M steps."
"The CelebA-HQ dataset is a high-quality version of CelebA that consists of 30,000 images at 1024×1024 resolution."
https://paperswithcode.com/dataset/celeba-hq
LSUN bedroom has 3,033,042 examples. LSUN cat has 1,657,266 examples. LSUN church has 126,227 examples.
https://www.tensorflow.org/datasets/catalog/lsun
</t>
        </r>
      </text>
    </comment>
    <comment ref="A78" authorId="0">
      <text>
        <r>
          <rPr>
            <sz val="10"/>
            <rFont val="SimSun"/>
            <charset val="134"/>
          </rPr>
          <t>Not sure if this is the name?
	-Jaime Sevilla</t>
        </r>
      </text>
    </comment>
    <comment ref="J78" authorId="0">
      <text>
        <r>
          <rPr>
            <sz val="10"/>
            <rFont val="SimSun"/>
            <charset val="134"/>
          </rPr>
          <t>Archived link 
https://arxiv.org/pdf/2112.12731.pdf</t>
        </r>
      </text>
    </comment>
    <comment ref="N78" authorId="0">
      <text>
        <r>
          <rPr>
            <sz val="10"/>
            <rFont val="SimSun"/>
            <charset val="134"/>
          </rPr>
          <t>source: https://twitter.com/BaiduResearch/status/1468633977242243078?t=6q4zuLNdTSc4GUBe9OM5Aw&amp;s=19</t>
        </r>
      </text>
    </comment>
    <comment ref="O78" authorId="0">
      <text>
        <r>
          <rPr>
            <sz val="10"/>
            <rFont val="SimSun"/>
            <charset val="134"/>
          </rPr>
          <t>This model requires 2.1TB for parameter and optimizer states storage and 3.14E11 TeraFLOPS for training 300 billion tokens.</t>
        </r>
      </text>
    </comment>
    <comment ref="Q78" authorId="0">
      <text>
        <r>
          <rPr>
            <sz val="10"/>
            <rFont val="SimSun"/>
            <charset val="134"/>
          </rPr>
          <t>"To ensure the success of the pre-training of ERNIE 3.0 Titan, we utilize the ERNIE 3.0 Corpus [ 2 ], a large-scale,
wide-variety, and high-quality Chinese text corpora amounting to 4TB"
Assuming 167M words per GB</t>
        </r>
      </text>
    </comment>
    <comment ref="J79" authorId="0">
      <text>
        <r>
          <rPr>
            <sz val="10"/>
            <rFont val="SimSun"/>
            <charset val="134"/>
          </rPr>
          <t>Archived link 
https://web.archive.org/web/20220215025401/https://arxiv.org/pdf/2103.00020.pdf</t>
        </r>
      </text>
    </comment>
    <comment ref="N79" authorId="0">
      <text>
        <r>
          <rPr>
            <sz val="10"/>
            <rFont val="SimSun"/>
            <charset val="134"/>
          </rPr>
          <t>Image encoder
~ResNet-50 (from paper)
25.6M params
Text encoder
~Transformer (from paper)
63M params</t>
        </r>
      </text>
    </comment>
    <comment ref="S79" authorId="0">
      <text>
        <r>
          <rPr>
            <sz val="10"/>
            <rFont val="SimSun"/>
            <charset val="134"/>
          </rPr>
          <t>Figure 10 https://arxiv.org/pdf/2103.00020.pdf</t>
        </r>
      </text>
    </comment>
    <comment ref="J80" authorId="0">
      <text>
        <r>
          <rPr>
            <sz val="10"/>
            <rFont val="SimSun"/>
            <charset val="134"/>
          </rPr>
          <t>Archived link 
https://arxiv.org/pdf/2109.13226.pdf</t>
        </r>
      </text>
    </comment>
    <comment ref="N80" authorId="0">
      <text>
        <r>
          <rPr>
            <sz val="10"/>
            <rFont val="SimSun"/>
            <charset val="134"/>
          </rPr>
          <t>"... we study the utility of large models, with the parameter count ranging from 600M to 8B..."</t>
        </r>
      </text>
    </comment>
    <comment ref="Q80" authorId="0">
      <text>
        <r>
          <rPr>
            <sz val="10"/>
            <rFont val="SimSun"/>
            <charset val="134"/>
          </rPr>
          <t>Sum all values in Table VII, and add 34k for English VAD, and 926k for English Youtube = 3116k hours
Note this involves significant self-training: "Noisy student training (NST) [23], [41] is a self-training
method where a teacher model generates pseudo-labels for a
large unlabeled dataset, which is in turn used to train a student
model with augmentation."
1 hour ~ 13,680 words
13680 * 3116000 = 42626880000</t>
        </r>
      </text>
    </comment>
    <comment ref="J81" authorId="0">
      <text>
        <r>
          <rPr>
            <sz val="10"/>
            <rFont val="SimSun"/>
            <charset val="134"/>
          </rPr>
          <t>Archived link 
https://web.archive.org/web/20220303170819/https://arxiv.org/pdf/2102.09407v1.pdf</t>
        </r>
      </text>
    </comment>
    <comment ref="N81" authorId="0">
      <text>
        <r>
          <rPr>
            <sz val="10"/>
            <rFont val="SimSun"/>
            <charset val="134"/>
          </rPr>
          <t>See figure 7</t>
        </r>
      </text>
    </comment>
    <comment ref="J82" authorId="0">
      <text>
        <r>
          <rPr>
            <sz val="10"/>
            <rFont val="SimSun"/>
            <charset val="134"/>
          </rPr>
          <t>Archived link 
https://web.archive.org/web/20220303170013/https://arxiv.org/abs/2103.00823</t>
        </r>
      </text>
    </comment>
    <comment ref="N82" authorId="0">
      <text>
        <r>
          <rPr>
            <sz val="10"/>
            <rFont val="SimSun"/>
            <charset val="134"/>
          </rPr>
          <t>"We scale the
model size up to 10 billion and 100 billion parameters, and build
the largest pretrained model in Chinese."</t>
        </r>
      </text>
    </comment>
    <comment ref="O82" authorId="0">
      <text>
        <r>
          <rPr>
            <sz val="10"/>
            <rFont val="SimSun"/>
            <charset val="134"/>
          </rPr>
          <t>"We implement M6-100B with around 100 billion parameters
on 128 Nvidia A100s and the speed of pretraining achieves 1440
samples/s (for samples of the sequence length of 272)."
Their response to our email doesn't say enough to tell us what the compute is for this paper, but allows us to determine the compute for the follow-up paper with the M6-10T model (but we knew this already)</t>
        </r>
      </text>
    </comment>
    <comment ref="Q82" authorId="0">
      <text>
        <r>
          <rPr>
            <sz val="10"/>
            <rFont val="SimSun"/>
            <charset val="134"/>
          </rPr>
          <t>"1.9TB images and 292GB texts"
TODO: figure out what to do for multimodal pretraining datasets</t>
        </r>
      </text>
    </comment>
    <comment ref="J83" authorId="0">
      <text>
        <r>
          <rPr>
            <sz val="10"/>
            <rFont val="SimSun"/>
            <charset val="134"/>
          </rPr>
          <t>Archived link 
https://arxiv.org/pdf/2103.00823.pdf</t>
        </r>
      </text>
    </comment>
    <comment ref="N83" authorId="0">
      <text>
        <r>
          <rPr>
            <sz val="10"/>
            <rFont val="SimSun"/>
            <charset val="134"/>
          </rPr>
          <t>"We scale the
model size up to 10 billion and 100 billion parameters, and build
the largest pretrained model in Chinese."</t>
        </r>
      </text>
    </comment>
    <comment ref="Q83" authorId="0">
      <text>
        <r>
          <rPr>
            <sz val="10"/>
            <rFont val="SimSun"/>
            <charset val="134"/>
          </rPr>
          <t>"1.9TB images and 292GB texts"
TODO: figure out what to do for multimodal pretraining datasets</t>
        </r>
      </text>
    </comment>
    <comment ref="J84" authorId="0">
      <text>
        <r>
          <rPr>
            <sz val="10"/>
            <rFont val="SimSun"/>
            <charset val="134"/>
          </rPr>
          <t xml:space="preserve">Archived link 
https://web.archive.org/web/20220531182228/https://medium.com/syncedreview/chinas-gpt-3-baai-introduces-superscale-intelligence-model-wu-dao-1-0-98a573fc4d70
</t>
        </r>
      </text>
    </comment>
    <comment ref="A85" authorId="0">
      <text>
        <r>
          <rPr>
            <sz val="10"/>
            <rFont val="SimSun"/>
            <charset val="134"/>
          </rPr>
          <t xml:space="preserve">In figure 1 they name their model
Generative BST 9.4B
</t>
        </r>
      </text>
    </comment>
    <comment ref="J85" authorId="0">
      <text>
        <r>
          <rPr>
            <sz val="10"/>
            <rFont val="SimSun"/>
            <charset val="134"/>
          </rPr>
          <t>Archived link 
https://web.archive.org/web/20220216192542/https://arxiv.org/pdf/2004.13637.pdf</t>
        </r>
      </text>
    </comment>
    <comment ref="L85" authorId="0">
      <text>
        <r>
          <rPr>
            <sz val="10"/>
            <rFont val="SimSun"/>
            <charset val="134"/>
          </rPr>
          <t>Abstract:
"Human evaluations show our best models are superior to existing approaches in multi-turn dialogue in terms of engagingness and humanness measurements. We then discuss the limitations of this work by analyzing failure cases of our models."</t>
        </r>
      </text>
    </comment>
    <comment ref="N85" authorId="0">
      <text>
        <r>
          <rPr>
            <sz val="10"/>
            <rFont val="SimSun"/>
            <charset val="134"/>
          </rPr>
          <t>Abstract:
"We build variants of these recipes with 90M, 2.7B and 9.4B parameter models"</t>
        </r>
      </text>
    </comment>
    <comment ref="O85" authorId="0">
      <text>
        <r>
          <rPr>
            <sz val="10"/>
            <rFont val="SimSun"/>
            <charset val="134"/>
          </rPr>
          <t>Unclear - no mention of GPUs used, or training time, and the architecture is terribly complicated
----
See https://github.com/amirgholami/ai_and_memory_wall - they find 1.1e16 FLOPs
	-Anson Ho</t>
        </r>
      </text>
    </comment>
    <comment ref="P85" authorId="0">
      <text>
        <r>
          <rPr>
            <sz val="10"/>
            <rFont val="SimSun"/>
            <charset val="134"/>
          </rPr>
          <t>Section 6:
Pushshfit.io Reddit, ConvAI 2, Wizard of Wikipedia</t>
        </r>
      </text>
    </comment>
    <comment ref="J86" authorId="0">
      <text>
        <r>
          <rPr>
            <sz val="10"/>
            <rFont val="SimSun"/>
            <charset val="134"/>
          </rPr>
          <t>Archived link 
https://web.archive.org/web/20220209101755/https://arxiv.org/pdf/2105.15082.pdf</t>
        </r>
      </text>
    </comment>
    <comment ref="L86" authorId="0">
      <text>
        <r>
          <rPr>
            <sz val="10"/>
            <rFont val="SimSun"/>
            <charset val="134"/>
          </rPr>
          <t>Improves on hardware SOTA for similar problems
Abstract: 
"We push the model
scale to over 1 trillion parameters and implement it on solely 480 NVIDIA V100-32GB GPUs, in comparison with the recent SOTAs [11; 6] on 2048 TPU cores."</t>
        </r>
      </text>
    </comment>
    <comment ref="N86" authorId="0">
      <text>
        <r>
          <rPr>
            <sz val="10"/>
            <rFont val="SimSun"/>
            <charset val="134"/>
          </rPr>
          <t>Section 4, pg 8:
"Due to limited computational resources, we attempt to
figure out solutions to implement a 1-trillion-parameter model on solely 480 NVIDIA V100-32GB
GPUs."</t>
        </r>
      </text>
    </comment>
    <comment ref="O86" authorId="0">
      <text>
        <r>
          <rPr>
            <sz val="10"/>
            <rFont val="SimSun"/>
            <charset val="134"/>
          </rPr>
          <t xml:space="preserve">Confused - calculating this requires understanding their routing algorithm, which will take some time.
Note: </t>
        </r>
      </text>
    </comment>
    <comment ref="Q86" authorId="0">
      <text>
        <r>
          <rPr>
            <sz val="10"/>
            <rFont val="SimSun"/>
            <charset val="134"/>
          </rPr>
          <t>Images</t>
        </r>
      </text>
    </comment>
    <comment ref="J87" authorId="0">
      <text>
        <r>
          <rPr>
            <sz val="10"/>
            <rFont val="SimSun"/>
            <charset val="134"/>
          </rPr>
          <t>Archived link 
https://web.archive.org/web/20220217015416/https://arxiv.org/pdf/2104.05158.pdf</t>
        </r>
      </text>
    </comment>
    <comment ref="N87" authorId="0">
      <text>
        <r>
          <rPr>
            <sz val="10"/>
            <rFont val="SimSun"/>
            <charset val="134"/>
          </rPr>
          <t>"We demonstrate the capability to train very large DLRMs with up to 12 Trillion parameters"
https://arxiv.org/abs/2104.05158</t>
        </r>
      </text>
    </comment>
    <comment ref="G88" authorId="0">
      <text>
        <r>
          <rPr>
            <sz val="10"/>
            <rFont val="SimSun"/>
            <charset val="134"/>
          </rPr>
          <t>Unsure
	-Jaime Sevilla</t>
        </r>
      </text>
    </comment>
    <comment ref="J88" authorId="0">
      <text>
        <r>
          <rPr>
            <sz val="10"/>
            <rFont val="SimSun"/>
            <charset val="134"/>
          </rPr>
          <t>https://www.engadget.com/chinas-gigantic-multi-modal-ai-is-no-one-trick-pony-211414388.html
Archived link 
https://web.archive.org/web/20220531182006/https://www.engadget.com/chinas-gigantic-multi-modal-ai-is-no-one-trick-pony-211414388.html</t>
        </r>
      </text>
    </comment>
    <comment ref="N88" authorId="0">
      <text>
        <r>
          <rPr>
            <sz val="10"/>
            <rFont val="SimSun"/>
            <charset val="134"/>
          </rPr>
          <t>"It's been trained on 1.75 trillion parameters"</t>
        </r>
      </text>
    </comment>
    <comment ref="J89" authorId="0">
      <text>
        <r>
          <rPr>
            <sz val="10"/>
            <rFont val="SimSun"/>
            <charset val="134"/>
          </rPr>
          <t>Archived link 
https://arxiv.org/pdf/2107.03374.pdf
https://web.archive.org/web/20220303013253/https://openai.com/blog/openai-codex/</t>
        </r>
      </text>
    </comment>
    <comment ref="N89" authorId="0">
      <text>
        <r>
          <rPr>
            <sz val="10"/>
            <rFont val="SimSun"/>
            <charset val="134"/>
          </rPr>
          <t>"With just a single sample, a 12B parameter Codex solves 28.8% of these problems, and a 300M parameter Codex solves 13.2% of these problems"</t>
        </r>
      </text>
    </comment>
    <comment ref="O89" authorId="0">
      <text>
        <r>
          <rPr>
            <sz val="10"/>
            <rFont val="SimSun"/>
            <charset val="134"/>
          </rPr>
          <t xml:space="preserve">"The original training of GPT-3-12B consumed hundreds of petaflop/sdays of compute, while fine-tuning it to create Codex-12B
consumed a similar amount of compute."
</t>
        </r>
      </text>
    </comment>
    <comment ref="Q89" authorId="0">
      <text>
        <r>
          <rPr>
            <sz val="10"/>
            <rFont val="SimSun"/>
            <charset val="134"/>
          </rPr>
          <t>"Our training dataset was collected in May 2020 from 54 million public software repositories hosted on GitHub, containing 179 GB of unique Python files under 1 MB. We filtered out files which were likely auto-generated, had average line
length greater than 100, had maximum line length greater
than 1000, or contained a small percentage of alphanumeric
characters. After filtering, our final dataset totaled 159 GB."
1 GB ~ 200M words</t>
        </r>
      </text>
    </comment>
    <comment ref="J90" authorId="0">
      <text>
        <r>
          <rPr>
            <sz val="10"/>
            <rFont val="SimSun"/>
            <charset val="134"/>
          </rPr>
          <t>Archived link 
https://web.archive.org/web/20210802135239/https://arxiv.org/pdf/2105.00572.pdf</t>
        </r>
      </text>
    </comment>
    <comment ref="L90" authorId="0">
      <text>
        <r>
          <rPr>
            <sz val="10"/>
            <rFont val="SimSun"/>
            <charset val="134"/>
          </rPr>
          <t>Abstract:
"Our model also outperforms
the RoBERTa-Large model on several English tasks of the GLUE benchmark by 0.3% on average while handling 99 more languages."</t>
        </r>
      </text>
    </comment>
    <comment ref="N90" authorId="0">
      <text>
        <r>
          <rPr>
            <sz val="10"/>
            <rFont val="SimSun"/>
            <charset val="134"/>
          </rPr>
          <t>Section 2.1:
" ...XLM-RXXL (L= 48, H = 4096, A = 32, 10.7B params)"</t>
        </r>
      </text>
    </comment>
    <comment ref="Q90" authorId="0">
      <text>
        <r>
          <rPr>
            <sz val="10"/>
            <rFont val="SimSun"/>
            <charset val="134"/>
          </rPr>
          <t>"We pretrain the models on the CC100 dataset, which corresponds to 167B tokens in 100 languages."
1 token ~ 0.7 words</t>
        </r>
      </text>
    </comment>
    <comment ref="A91" authorId="0">
      <text>
        <r>
          <rPr>
            <sz val="10"/>
            <rFont val="SimSun"/>
            <charset val="134"/>
          </rPr>
          <t>Abstract: 
"We take a 137B parameter pretrained model and instruction tune it on over 60 NLP datasets verbalized via natural language instruction templates. We evaluate this instruction-tuned model, which we call FLAN, on unseen task types."</t>
        </r>
      </text>
    </comment>
    <comment ref="J91" authorId="0">
      <text>
        <r>
          <rPr>
            <sz val="10"/>
            <rFont val="SimSun"/>
            <charset val="134"/>
          </rPr>
          <t>Archived link 
https://web.archive.org/web/20220301035212/https://arxiv.org/pdf/2109.01652.pdf</t>
        </r>
      </text>
    </comment>
    <comment ref="L91" authorId="0">
      <text>
        <r>
          <rPr>
            <sz val="10"/>
            <rFont val="SimSun"/>
            <charset val="134"/>
          </rPr>
          <t>Abstract: 
"FLAN substantially improves the performance of its unmodified counterpart and surpasses zero-shot 175B GPT-3 on 20 of 25 datasets that we evaluate."</t>
        </r>
      </text>
    </comment>
    <comment ref="N91" authorId="0">
      <text>
        <r>
          <rPr>
            <sz val="10"/>
            <rFont val="SimSun"/>
            <charset val="134"/>
          </rPr>
          <t>Abstract:
"We take a 137B parameter pretrained language model and instruction tune it on
over 60 NLP datasets verbalized via natural language instruction templates. We
evaluate this instruction-tuned model, which we call FLAN, on unseen task types."
Many models seem to be using the same 137B base transformer model?</t>
        </r>
      </text>
    </comment>
    <comment ref="P91" authorId="0">
      <text>
        <r>
          <rPr>
            <sz val="10"/>
            <rFont val="SimSun"/>
            <charset val="134"/>
          </rPr>
          <t>Abstract: "We take a 137B parameter pretrained language model and instruction tune it on
over 60 NLP datasets"</t>
        </r>
      </text>
    </comment>
    <comment ref="Q91" authorId="0">
      <text>
        <r>
          <rPr>
            <sz val="10"/>
            <rFont val="SimSun"/>
            <charset val="134"/>
          </rPr>
          <t>Section 2.4: 
"This model is pretrained on a collection of web documents (including those with computer code), dialog data, and Wikipedia, tokenized into 2.49T BPE tokens with a 32k vocabulary using the SentencePiece library "
1 token ~ 0.75 words</t>
        </r>
      </text>
    </comment>
    <comment ref="J92" authorId="0">
      <text>
        <r>
          <rPr>
            <sz val="10"/>
            <rFont val="SimSun"/>
            <charset val="134"/>
          </rPr>
          <t>Archived link 
https://web.archive.org/web/20220301035321/https://www.microsoft.com/en-us/research/blog/make-every-feature-binary-a-135b-parameter-sparse-neural-network-for-massively-improved-search-relevance/</t>
        </r>
      </text>
    </comment>
    <comment ref="L92" authorId="0">
      <text>
        <r>
          <rPr>
            <sz val="10"/>
            <rFont val="SimSun"/>
            <charset val="134"/>
          </rPr>
          <t>"MEB is running in production for 100 percent of Bing searches, in all regions and languages."</t>
        </r>
      </text>
    </comment>
    <comment ref="N92" authorId="0">
      <text>
        <r>
          <rPr>
            <sz val="10"/>
            <rFont val="SimSun"/>
            <charset val="134"/>
          </rPr>
          <t>See paper title</t>
        </r>
      </text>
    </comment>
    <comment ref="Q92" authorId="0">
      <text>
        <r>
          <rPr>
            <sz val="10"/>
            <rFont val="SimSun"/>
            <charset val="134"/>
          </rPr>
          <t>"MEB uses three years of search logs from Bing as training data." TODO convert</t>
        </r>
      </text>
    </comment>
    <comment ref="E93" authorId="0">
      <text>
        <r>
          <rPr>
            <sz val="10"/>
            <rFont val="SimSun"/>
            <charset val="134"/>
          </rPr>
          <t>HuggingFace is incorporated and I'd therefore classify it as industry.</t>
        </r>
      </text>
    </comment>
    <comment ref="J93" authorId="0">
      <text>
        <r>
          <rPr>
            <sz val="10"/>
            <rFont val="SimSun"/>
            <charset val="134"/>
          </rPr>
          <t>Archived link 
https://arxiv.org/pdf/2110.08207.pdf</t>
        </r>
      </text>
    </comment>
    <comment ref="N93" authorId="0">
      <text>
        <r>
          <rPr>
            <sz val="10"/>
            <rFont val="SimSun"/>
            <charset val="134"/>
          </rPr>
          <t>"Unless specified otherwise, we use the XXL version which
has 11B parameters."</t>
        </r>
      </text>
    </comment>
    <comment ref="Q93" authorId="0">
      <text>
        <r>
          <rPr>
            <sz val="10"/>
            <rFont val="SimSun"/>
            <charset val="134"/>
          </rPr>
          <t>Multitask - 12 tasks, 62 datasets. See fig 2 for details. 
This is going to be a nightmare to figure out! TODO figure out the sizes of each of these 62 datasets!
All datasets from here: https://arxiv.org/pdf/2109.02846.pdf</t>
        </r>
      </text>
    </comment>
    <comment ref="J94" authorId="0">
      <text>
        <r>
          <rPr>
            <sz val="10"/>
            <rFont val="SimSun"/>
            <charset val="134"/>
          </rPr>
          <t>Archived link 
https://web.archive.org/web/20220227231453/https://arxiv.org/pdf/2110.11316.pdf</t>
        </r>
      </text>
    </comment>
    <comment ref="Q94" authorId="0">
      <text>
        <r>
          <rPr>
            <sz val="10"/>
            <rFont val="SimSun"/>
            <charset val="134"/>
          </rPr>
          <t>[Image-text pairs]
"To be comparable to the CLIP results, we use the same subset of 15 million samples from the YFCC100M dataset"</t>
        </r>
      </text>
    </comment>
    <comment ref="J95" authorId="0">
      <text>
        <r>
          <rPr>
            <sz val="10"/>
            <rFont val="SimSun"/>
            <charset val="134"/>
          </rPr>
          <t>Archived link 
https://web.archive.org/web/20220227231449/https://arxiv.org/pdf/2111.00210.pdf</t>
        </r>
      </text>
    </comment>
    <comment ref="O95" authorId="0">
      <text>
        <r>
          <rPr>
            <sz val="10"/>
            <rFont val="SimSun"/>
            <charset val="134"/>
          </rPr>
          <t>"Our implementation is computationally friendly. To train an Atari agent for 100k steps, it only needs 4 GPUs to train 7 hours."</t>
        </r>
      </text>
    </comment>
    <comment ref="J96" authorId="0">
      <text>
        <r>
          <rPr>
            <sz val="10"/>
            <rFont val="SimSun"/>
            <charset val="134"/>
          </rPr>
          <t>Archived link 
https://arxiv.org/pdf/2109.05217.pdf</t>
        </r>
      </text>
    </comment>
    <comment ref="N96" authorId="0">
      <text>
        <r>
          <rPr>
            <sz val="10"/>
            <rFont val="SimSun"/>
            <charset val="134"/>
          </rPr>
          <t>"We examined the improvement in model size in detail by considering four model sizes: 0.35B, 0.7B, 1.1B, and 1.6B parameters"</t>
        </r>
      </text>
    </comment>
    <comment ref="Q96" authorId="0">
      <text>
        <r>
          <rPr>
            <sz val="10"/>
            <rFont val="SimSun"/>
            <charset val="134"/>
          </rPr>
          <t>[Pairs of text]
"We obtained 2.1 billion (521 GB) pairs by this method. The average number of utterances in the input context was 2.913, and the average number of characters was 62.3 for the input context and 20.3 for the target utterance"</t>
        </r>
      </text>
    </comment>
    <comment ref="L97" authorId="0">
      <text>
        <r>
          <rPr>
            <sz val="10"/>
            <rFont val="SimSun"/>
            <charset val="134"/>
          </rPr>
          <t>Player of Games reaches strong performance in chess and Go, beats the strongest openly available agent in heads-up no-limit Texas hold'em poker (Slumbot), and defeats the state-of-the-art agent in Scotland Yard</t>
        </r>
      </text>
    </comment>
    <comment ref="J98" authorId="0">
      <text>
        <r>
          <rPr>
            <sz val="10"/>
            <rFont val="SimSun"/>
            <charset val="134"/>
          </rPr>
          <t>Archived link 
https://arxiv.org/pdf/2112.10741.pdf</t>
        </r>
      </text>
    </comment>
    <comment ref="N98" authorId="0">
      <text>
        <r>
          <rPr>
            <sz val="10"/>
            <rFont val="SimSun"/>
            <charset val="134"/>
          </rPr>
          <t>"Samples from a 3.5 billion parameter text-conditional diffusion model using classifier-free guidance are favored by human evaluators to those from DALL-E, even when the latter uses expensive CLIP reranking"</t>
        </r>
      </text>
    </comment>
    <comment ref="Q98" authorId="0">
      <text>
        <r>
          <rPr>
            <sz val="10"/>
            <rFont val="SimSun"/>
            <charset val="134"/>
          </rPr>
          <t>Section 4:
"We train our model on the same dataset as DALL-E (Ramesh
et al., 2021)"
This paper used 250M image-text pairs
https://arxiv.org/pdf/2102.12092.pdf</t>
        </r>
      </text>
    </comment>
    <comment ref="L99" authorId="0">
      <text>
        <r>
          <rPr>
            <sz val="10"/>
            <rFont val="SimSun"/>
            <charset val="134"/>
          </rPr>
          <t>Our largest model (XGLM7.5B) sets a new
state of the art performance for few-shot learning in
more than 20 representative languages (including
medium- and low-resource languages) for the tasks
of commonsense reasoning, natural language infer-
ence and machine translation.</t>
        </r>
      </text>
    </comment>
    <comment ref="N100" authorId="0">
      <text>
        <r>
          <rPr>
            <sz val="10"/>
            <rFont val="SimSun"/>
            <charset val="134"/>
          </rPr>
          <t>To explore the landscape of large-scale pre-training for bidirectional text-image generation,
we pre-train a 10-billion parameter model on a large-scale dataset of 145 million high-quality Chinese image-text pairs.</t>
        </r>
      </text>
    </comment>
    <comment ref="Q100" authorId="0">
      <text>
        <r>
          <rPr>
            <sz val="10"/>
            <rFont val="SimSun"/>
            <charset val="134"/>
          </rPr>
          <t>To explore the landscape of large-scale pre-training for bidirectional text-image generation,
we pre-train a 10-billion parameter model on a large-scale dataset of 145 million high-quality Chinese image-text pairs.</t>
        </r>
      </text>
    </comment>
    <comment ref="A101" authorId="0">
      <text>
        <r>
          <rPr>
            <sz val="10"/>
            <rFont val="SimSun"/>
            <charset val="134"/>
          </rPr>
          <t>AKA "davinci" base model https://beta.openai.com/docs/engines</t>
        </r>
      </text>
    </comment>
    <comment ref="J101" authorId="0">
      <text>
        <r>
          <rPr>
            <sz val="10"/>
            <rFont val="SimSun"/>
            <charset val="134"/>
          </rPr>
          <t>Archived link 
https://arxiv.org/pdf/2005.14165.pdf</t>
        </r>
      </text>
    </comment>
    <comment ref="N101" authorId="0">
      <text>
        <r>
          <rPr>
            <sz val="10"/>
            <rFont val="SimSun"/>
            <charset val="134"/>
          </rPr>
          <t>we train GPT-3, an autoregressive language model with 175 billion parameters</t>
        </r>
      </text>
    </comment>
    <comment ref="O101" authorId="0">
      <text>
        <r>
          <rPr>
            <sz val="10"/>
            <rFont val="SimSun"/>
            <charset val="134"/>
          </rPr>
          <t>Table D.1
https://arxiv.org/abs/2005.14165</t>
        </r>
      </text>
    </comment>
    <comment ref="P101" authorId="0">
      <text>
        <r>
          <rPr>
            <sz val="10"/>
            <rFont val="SimSun"/>
            <charset val="134"/>
          </rPr>
          <t>Table 2.2 (other datasets also used)</t>
        </r>
      </text>
    </comment>
    <comment ref="Q101" authorId="0">
      <text>
        <r>
          <rPr>
            <sz val="10"/>
            <rFont val="SimSun"/>
            <charset val="134"/>
          </rPr>
          <t>From table 2.2, we determine that there are 410 + 19 + 12 + 55 + 3 = 499 billion tokens. 
We multiply this by 0.75 to give 374B words. 
3.74e11
========================
[Anson: I think the calculation below doesn't look at all the data, the CommonCrawl data only constitutes 60% of the data. Multiplying by 5/3 gives 4.75e11]
"The CommonCrawl data was downloaded from 41 shards of monthly CommonCrawl covering 2016 to 2019, constituting 45TB of compressed plaintext before filtering and 570GB after filtering, roughly equivalent to 400 billion byte-pair-encoded tokens. "
Converted to words using 
http://extraconversion.com/data-storage/gigabits/gigabits-to-words.html
2.85e11</t>
        </r>
      </text>
    </comment>
    <comment ref="S101" authorId="0">
      <text>
        <r>
          <rPr>
            <sz val="10"/>
            <rFont val="SimSun"/>
            <charset val="134"/>
          </rPr>
          <t>Rados (FLOPs)
https://drive.google.com/drive/folders/1bhy5z6hh1n3wCHx6528Xb7xB1KhYdAL1</t>
        </r>
      </text>
    </comment>
    <comment ref="J102" authorId="0">
      <text>
        <r>
          <rPr>
            <sz val="10"/>
            <rFont val="SimSun"/>
            <charset val="134"/>
          </rPr>
          <t>Archived link 
https://arxiv.org/pdf/2001.09977.pdf
https://web.archive.org/web/20220531200218/https://ai.googleblog.com/2020/01/towards-conversational-agent-that-can.html</t>
        </r>
      </text>
    </comment>
    <comment ref="N102" authorId="0">
      <text>
        <r>
          <rPr>
            <sz val="10"/>
            <rFont val="SimSun"/>
            <charset val="134"/>
          </rPr>
          <t>We present Meena, a multi-turn open-domain chatbot trained end-to-end on data mined and filtered from public domain social media conversations. This 2.6B parameter neural network is simply trained to minimize perplexity of the next token.</t>
        </r>
      </text>
    </comment>
    <comment ref="O102" authorId="0">
      <text>
        <r>
          <rPr>
            <sz val="10"/>
            <rFont val="SimSun"/>
            <charset val="134"/>
          </rPr>
          <t>https://arxiv.org/ftp/arxiv/papers/2104/2104.10350.pdf
Table 4</t>
        </r>
      </text>
    </comment>
    <comment ref="Q102" authorId="0">
      <text>
        <r>
          <rPr>
            <sz val="10"/>
            <rFont val="SimSun"/>
            <charset val="134"/>
          </rPr>
          <t>"The final Meena dataset contains 341GB of text
(40B words)"
Converting from GB to words yields 6.8e10, which is in the same OOM</t>
        </r>
      </text>
    </comment>
    <comment ref="J103" authorId="0">
      <text>
        <r>
          <rPr>
            <sz val="10"/>
            <rFont val="SimSun"/>
            <charset val="134"/>
          </rPr>
          <t>Archived link 
https://cdn.openai.com/papers/Generative_Pretraining_from_Pixels_V1_ICML.pdf</t>
        </r>
      </text>
    </comment>
    <comment ref="N103" authorId="0">
      <text>
        <r>
          <rPr>
            <sz val="10"/>
            <rFont val="SimSun"/>
            <charset val="134"/>
          </rPr>
          <t>source: https://openai.com/blog/image-gpt/#rfref53</t>
        </r>
      </text>
    </comment>
    <comment ref="O103" authorId="0">
      <text>
        <r>
          <rPr>
            <sz val="10"/>
            <rFont val="SimSun"/>
            <charset val="134"/>
          </rPr>
          <t>Taken from here
https://www.lesswrong.com/posts/wfpdejMWog4vEDLDg/ai-and-compute-trend-isn-t-predictive-of-what-is-happening</t>
        </r>
      </text>
    </comment>
    <comment ref="Q103" authorId="0">
      <text>
        <r>
          <rPr>
            <sz val="10"/>
            <rFont val="SimSun"/>
            <charset val="134"/>
          </rPr>
          <t xml:space="preserve">"We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t>
        </r>
      </text>
    </comment>
    <comment ref="J104" authorId="0">
      <text>
        <r>
          <rPr>
            <sz val="10"/>
            <rFont val="SimSun"/>
            <charset val="134"/>
          </rPr>
          <t>Archived link 
https://arxiv.org/pdf/2006.16668.pdf</t>
        </r>
      </text>
    </comment>
    <comment ref="N104" authorId="0">
      <text>
        <r>
          <rPr>
            <sz val="10"/>
            <rFont val="SimSun"/>
            <charset val="134"/>
          </rPr>
          <t>"Our best quality dense single Transformer model (2.3B parameters) achieving ∆BLEU
of 6.1, was trained with GPipe [15] on 2048 TPU v3 cores for 6 weeks or total of 235.5 TPU v3
core-years."</t>
        </r>
      </text>
    </comment>
    <comment ref="O104" authorId="0">
      <text>
        <r>
          <rPr>
            <sz val="10"/>
            <rFont val="SimSun"/>
            <charset val="134"/>
          </rPr>
          <t>Estimated in the blogpost below
https://www.lesswrong.com/posts/wfpdejMWog4vEDLDg/ai-and-compute-trend-isn-t-predictive-of-what-is-happening</t>
        </r>
      </text>
    </comment>
    <comment ref="Q104" authorId="0">
      <text>
        <r>
          <rPr>
            <sz val="10"/>
            <rFont val="SimSun"/>
            <charset val="134"/>
          </rPr>
          <t>"We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t>
        </r>
      </text>
    </comment>
    <comment ref="J105" authorId="0">
      <text>
        <r>
          <rPr>
            <sz val="10"/>
            <rFont val="SimSun"/>
            <charset val="134"/>
          </rPr>
          <t>Archived link 
https://web.archive.org/web/20220531200030/https://www.microsoft.com/en-us/research/blog/turing-nlg-a-17-billion-parameter-language-model-by-microsoft/</t>
        </r>
      </text>
    </comment>
    <comment ref="N105" authorId="0">
      <text>
        <r>
          <rPr>
            <sz val="10"/>
            <rFont val="SimSun"/>
            <charset val="134"/>
          </rPr>
          <t>source: https://lair.lighton.ai/akronomicon/</t>
        </r>
      </text>
    </comment>
    <comment ref="O105" authorId="0">
      <text>
        <r>
          <rPr>
            <sz val="10"/>
            <rFont val="SimSun"/>
            <charset val="134"/>
          </rPr>
          <t>source: https://lair.lighton.ai/akronomicon/</t>
        </r>
      </text>
    </comment>
    <comment ref="Q105" authorId="0">
      <text>
        <r>
          <rPr>
            <sz val="10"/>
            <rFont val="SimSun"/>
            <charset val="134"/>
          </rPr>
          <t>Authors say they pretrain on the same data as for Megatron-LM. 
From Megatron-LM paper: https://arxiv.org/pdf/1909.08053.pdf
"The resulting aggregate
corpus contains 174 GB of deduplicated text."
174GB * 2e8words/GB = 3.48e10 words</t>
        </r>
      </text>
    </comment>
    <comment ref="S105" authorId="0">
      <text>
        <r>
          <rPr>
            <sz val="10"/>
            <rFont val="SimSun"/>
            <charset val="134"/>
          </rPr>
          <t>Rados (FLOPs)
https://drive.google.com/drive/folders/1bhy5z6hh1n3wCHx6528Xb7xB1KhYdAL1</t>
        </r>
      </text>
    </comment>
    <comment ref="J106" authorId="0">
      <text>
        <r>
          <rPr>
            <sz val="10"/>
            <rFont val="SimSun"/>
            <charset val="134"/>
          </rPr>
          <t>Archived link 
https://arxiv.org/pdf/2006.16668.pdf</t>
        </r>
      </text>
    </comment>
    <comment ref="N106" authorId="0">
      <text>
        <r>
          <rPr>
            <sz val="10"/>
            <rFont val="SimSun"/>
            <charset val="134"/>
          </rPr>
          <t>"The 600B parameters model that achieved the best translation quality was trained with 2048 TPU v3 cores for 4 days, a total cost of 22 TPU v3 core-years."</t>
        </r>
      </text>
    </comment>
    <comment ref="O106" authorId="0">
      <text>
        <r>
          <rPr>
            <sz val="10"/>
            <rFont val="SimSun"/>
            <charset val="134"/>
          </rPr>
          <t>https://arxiv.org/ftp/arxiv/papers/2104/2104.10350.pdf
Table 4</t>
        </r>
      </text>
    </comment>
    <comment ref="Q106" authorId="0">
      <text>
        <r>
          <rPr>
            <sz val="10"/>
            <rFont val="SimSun"/>
            <charset val="134"/>
          </rPr>
          <t>"We focus on improving the translation quality (measured in terms of BLEU score [48]) from all 100 languages to English. This resulted in approximately 13 billion training examples to be used for model training"
Each example is a sentence pair. Assuming 20 words per sentence, that is 13*20 billion words.</t>
        </r>
      </text>
    </comment>
    <comment ref="J107" authorId="0">
      <text>
        <r>
          <rPr>
            <sz val="10"/>
            <rFont val="SimSun"/>
            <charset val="134"/>
          </rPr>
          <t>Archived link 
https://arxiv.org/pdf/2010.11929.pdf
https://web.archive.org/web/20220531195742/https://openreview.net/forum?id=YicbFdNTTy</t>
        </r>
      </text>
    </comment>
    <comment ref="O107" authorId="0">
      <text>
        <r>
          <rPr>
            <sz val="10"/>
            <rFont val="SimSun"/>
            <charset val="134"/>
          </rPr>
          <t xml:space="preserve">Table 5
They also report TPUv3 days, which aligns with the number on table 5
(From Imagenet paper-data, Besiroglu et al., forthcoming) </t>
        </r>
      </text>
    </comment>
    <comment ref="J108" authorId="0">
      <text>
        <r>
          <rPr>
            <sz val="10"/>
            <rFont val="SimSun"/>
            <charset val="134"/>
          </rPr>
          <t>Archived link 
https://cdn.openai.com/papers/Generative_Pretraining_from_Pixels_V1_ICML.pdf</t>
        </r>
      </text>
    </comment>
    <comment ref="N108" authorId="0">
      <text>
        <r>
          <rPr>
            <sz val="10"/>
            <rFont val="SimSun"/>
            <charset val="134"/>
          </rPr>
          <t>source: https://openai.com/blog/image-gpt/#rfref53</t>
        </r>
      </text>
    </comment>
    <comment ref="O108" authorId="0">
      <text>
        <r>
          <rPr>
            <sz val="10"/>
            <rFont val="SimSun"/>
            <charset val="134"/>
          </rPr>
          <t>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t>
        </r>
      </text>
    </comment>
    <comment ref="Q108" authorId="0">
      <text>
        <r>
          <rPr>
            <sz val="10"/>
            <rFont val="SimSun"/>
            <charset val="134"/>
          </rPr>
          <t xml:space="preserve">"We use the ImageNet ILSVRC 2012 training dataset, splitting off 4% as our experimental validation set and report results on the ILSVRC 2012 validation set as our test set."
https://image-net.org/challenges/LSVRC/2012/
"The goal of this competition is to estimate the content of photographs for the purpose of retrieval and automatic annotation using a subset of the large hand-labeled ImageNet dataset (10,000,000 labeled images depicting 10,000+ object categories) as training."
</t>
        </r>
      </text>
    </comment>
    <comment ref="J109" authorId="0">
      <text>
        <r>
          <rPr>
            <sz val="10"/>
            <rFont val="SimSun"/>
            <charset val="134"/>
          </rPr>
          <t>Archived link 
https://web.archive.org/web/20220130050315/https://arxiv.org/pdf/1909.11942.pdf</t>
        </r>
      </text>
    </comment>
    <comment ref="O109" authorId="0">
      <text>
        <r>
          <rPr>
            <sz val="10"/>
            <rFont val="SimSun"/>
            <charset val="134"/>
          </rPr>
          <t xml:space="preserve">34 hours of training
512 TPU V3s
0.33 utilization rate
</t>
        </r>
      </text>
    </comment>
    <comment ref="Q109" authorId="0">
      <text>
        <r>
          <rPr>
            <sz val="10"/>
            <rFont val="SimSun"/>
            <charset val="134"/>
          </rPr>
          <t>Pretraining same as for BERT - Wikipedia and BookCorpus
"For the pre-training corpus we
use the BooksCorpus (800M words) (Zhu et al., 2015) and English Wikipedia (2,500M words)"</t>
        </r>
      </text>
    </comment>
    <comment ref="S109" authorId="0">
      <text>
        <r>
          <rPr>
            <sz val="10"/>
            <rFont val="SimSun"/>
            <charset val="134"/>
          </rPr>
          <t>Source: https://github.com/amirgholami/ai_and_memory_wall</t>
        </r>
      </text>
    </comment>
    <comment ref="J110" authorId="0">
      <text>
        <r>
          <rPr>
            <sz val="10"/>
            <rFont val="SimSun"/>
            <charset val="134"/>
          </rPr>
          <t>Archived link 
https://arxiv.org/pdf/2012.15520.pdf</t>
        </r>
      </text>
    </comment>
    <comment ref="N110" authorId="0">
      <text>
        <r>
          <rPr>
            <sz val="10"/>
            <rFont val="SimSun"/>
            <charset val="134"/>
          </rPr>
          <t>source: https://lair.lighton.ai/akronomicon/</t>
        </r>
      </text>
    </comment>
    <comment ref="O110" authorId="0">
      <text>
        <r>
          <rPr>
            <sz val="10"/>
            <rFont val="SimSun"/>
            <charset val="134"/>
          </rPr>
          <t>source: https://lair.lighton.ai/akronomicon/
From author communication:
For the Mega model: 9 days on a TPUv3-128
Precision: bfloat16
TPUv3: 4.20E+14
0.4 * 4.20E+14 TFLOP/s * 9 days * 24h/day * 3600s/h
= 1.31E+20
----
Got like an OOM difference to the estimate from Akronomicon (see cell note). I looked on their website and didn't manage to find their source for the estimate, the arxiv paper doesn't seem to include the info either. Anyone have experience with their database?
	-Max Ra</t>
        </r>
      </text>
    </comment>
    <comment ref="Q110" authorId="0">
      <text>
        <r>
          <rPr>
            <sz val="10"/>
            <rFont val="SimSun"/>
            <charset val="134"/>
          </rPr>
          <t>"The total dataset size is 77GB with 8.8B words [word count was done after preprocessing, where a white
space is inserted before and after punctuations, brackets, numbers... which increased the total word count]"</t>
        </r>
      </text>
    </comment>
    <comment ref="J111" authorId="0">
      <text>
        <r>
          <rPr>
            <sz val="10"/>
            <rFont val="SimSun"/>
            <charset val="134"/>
          </rPr>
          <t>Archived link 
https://web.archive.org/web/20220124050156/https://arxiv.org/pdf/2012.00413.pdf</t>
        </r>
      </text>
    </comment>
    <comment ref="N111" authorId="0">
      <text>
        <r>
          <rPr>
            <sz val="10"/>
            <rFont val="SimSun"/>
            <charset val="134"/>
          </rPr>
          <t>"To the best of our knowledge, CPM, with 2.6 billion parameters and 100GB Chinese training data, is the largest Chinese pre-trained language mode"</t>
        </r>
      </text>
    </comment>
    <comment ref="O111" authorId="0">
      <text>
        <r>
          <rPr>
            <sz val="10"/>
            <rFont val="SimSun"/>
            <charset val="134"/>
          </rPr>
          <t>source: https://lair.lighton.ai/akronomicon/</t>
        </r>
      </text>
    </comment>
    <comment ref="Q111" authorId="0">
      <text>
        <r>
          <rPr>
            <sz val="10"/>
            <rFont val="SimSun"/>
            <charset val="134"/>
          </rPr>
          <t>"language model, with 2.6 billion parameters and 100GB Chinese training data."
We use the conversion factor 1GB ~ 167M words</t>
        </r>
      </text>
    </comment>
    <comment ref="AA111" authorId="0">
      <text>
        <r>
          <rPr>
            <sz val="10"/>
            <rFont val="SimSun"/>
            <charset val="134"/>
          </rPr>
          <t>https://towardsdatascience.com/the-future-of-ai-is-decentralized-848d4931a29a#:~:text=Training%20GPT%2D3%20reportedly%20cost,a%20single%20training%20run%C2%B9.</t>
        </r>
      </text>
    </comment>
    <comment ref="J112" authorId="0">
      <text>
        <r>
          <rPr>
            <sz val="10"/>
            <rFont val="SimSun"/>
            <charset val="134"/>
          </rPr>
          <t>Archived link 
https://arxiv.org/pdf/1908.09791.pdf</t>
        </r>
      </text>
    </comment>
    <comment ref="O112" authorId="0">
      <text>
        <r>
          <rPr>
            <sz val="10"/>
            <rFont val="SimSun"/>
            <charset val="134"/>
          </rPr>
          <t xml:space="preserve">4.2k V100-hours (table 1)
0.33 utilization rate
</t>
        </r>
      </text>
    </comment>
    <comment ref="J113" authorId="0">
      <text>
        <r>
          <rPr>
            <sz val="10"/>
            <rFont val="SimSun"/>
            <charset val="134"/>
          </rPr>
          <t>Archived link 
https://web.archive.org/web/20220114123054/https://arxiv.org/pdf/2006.11477.pdf</t>
        </r>
      </text>
    </comment>
    <comment ref="L113" authorId="0">
      <text>
        <r>
          <rPr>
            <sz val="10"/>
            <rFont val="SimSun"/>
            <charset val="134"/>
          </rPr>
          <t>Arguably an "important" paper? 
Abstract: 
"We show for the first time that learning powerful representations from speech audio alone followed by fine-tuning on transcribed speech can outperform the best semi-supervised methods while being conceptually simpler."</t>
        </r>
      </text>
    </comment>
    <comment ref="N113" authorId="0">
      <text>
        <r>
          <rPr>
            <sz val="10"/>
            <rFont val="SimSun"/>
            <charset val="134"/>
          </rPr>
          <t xml:space="preserve">Section 5.1:
"We consider two model sizes: BASE (95m parameters) and LARGE (317m parameters)
</t>
        </r>
      </text>
    </comment>
    <comment ref="O113" authorId="0">
      <text>
        <r>
          <rPr>
            <sz val="10"/>
            <rFont val="SimSun"/>
            <charset val="134"/>
          </rPr>
          <t>Section 4.2:
0.4 * 64 GPUs * 125 TFLOP/s * 1.6days * 24h/day * 3600s/h
= 4.44E+20
From surveying the authors
We trained the base model on 64 V100 GPUs for 400k updates. This takes about 3 days to complete. The large model is trained on 128 V100 GPUs for 1 million updates, and this takes about 7 days to complete.
V100 GPU for float16: 28000000000000 (2.8E+13)
0.4 * 64 GPUs * 28TFLOP/s * 7 days * 24h/day * 3600s/h
= 4.34E+20
----
The previous entry here accidentally showed the performance of the base model instead of the large model, though surprisingly it doesn't make any difference despite training 3x as long with 2x as many GPUs
	-Max Ra
Great catch Max!
	-Jaime Sevilla
I think I know why using the base model didn't change the bottom line: because the paper didn't mention it used mostly half-precision/float16, the calculation used FLOPs numbers that were 5x too high. Maybe good to keep in mind that this can be a source of error for other estimates, too?
	-Max Ra
A question: Does the factor of 0.1 in the compute calculation in the cell note represent the utilization factor of the GPU? I assumed so and copied it, but if I understand correctly you now believe the factor is bigger, right?
	-Max Ra
I do not know where the 0.1 came from.
I think you are right, and that this is the GPU utilization rate, in which case it should be higher, eg 40% since this is not a massive model
	-Jaime Sevilla
Okay, thanks, fixing this!
	-Max Ra</t>
        </r>
      </text>
    </comment>
    <comment ref="Q113" authorId="0">
      <text>
        <r>
          <rPr>
            <sz val="10"/>
            <rFont val="SimSun"/>
            <charset val="134"/>
          </rPr>
          <t>pg 4, section 4.1
"As unlabeled data we consider the Librispeech corpus [40] without transcriptions containing 960 hours of audio (LS-960) or the audio data from LibriVox (LV-60k). For the latter we follow the preprocessing of [27] resulting in 53.2k hours of audio."
53.2k h * 13,680 words/h = 727776000 words</t>
        </r>
      </text>
    </comment>
    <comment ref="G114" authorId="0">
      <text>
        <r>
          <rPr>
            <sz val="10"/>
            <rFont val="SimSun"/>
            <charset val="134"/>
          </rPr>
          <t>unaware of day and month</t>
        </r>
      </text>
    </comment>
    <comment ref="I114" authorId="0">
      <text>
        <r>
          <rPr>
            <sz val="10"/>
            <rFont val="SimSun"/>
            <charset val="134"/>
          </rPr>
          <t>Not a direct reference to the system</t>
        </r>
      </text>
    </comment>
    <comment ref="J114" authorId="0">
      <text>
        <r>
          <rPr>
            <sz val="10"/>
            <rFont val="SimSun"/>
            <charset val="134"/>
          </rPr>
          <t>Archived link 
https://web.archive.org/web/20220531200918/https://www.arxiv-vanity.com/papers/2104.05158/</t>
        </r>
      </text>
    </comment>
    <comment ref="N114" authorId="0">
      <text>
        <r>
          <rPr>
            <sz val="10"/>
            <rFont val="SimSun"/>
            <charset val="134"/>
          </rPr>
          <t>Figure 1
https://arxiv.org/abs/2104.05158</t>
        </r>
      </text>
    </comment>
    <comment ref="O114" authorId="0">
      <text>
        <r>
          <rPr>
            <sz val="10"/>
            <rFont val="SimSun"/>
            <charset val="134"/>
          </rPr>
          <t>Figure 1
https://arxiv.org/abs/2104.05158</t>
        </r>
      </text>
    </comment>
    <comment ref="AA114" authorId="0">
      <text>
        <r>
          <rPr>
            <sz val="10"/>
            <rFont val="SimSun"/>
            <charset val="134"/>
          </rPr>
          <t xml:space="preserve">https://bdtechtalks.com/2020/02/03/google-meena-chatbot-ai-language-model/
</t>
        </r>
      </text>
    </comment>
    <comment ref="J115" authorId="0">
      <text>
        <r>
          <rPr>
            <sz val="10"/>
            <rFont val="SimSun"/>
            <charset val="134"/>
          </rPr>
          <t>Archived link 
https://web.archive.org/web/20220531200017/https://www.biorxiv.org/content/10.1101/2020.03.07.982272v2</t>
        </r>
      </text>
    </comment>
    <comment ref="N115" authorId="0">
      <text>
        <r>
          <rPr>
            <sz val="10"/>
            <rFont val="SimSun"/>
            <charset val="134"/>
          </rPr>
          <t>source: https://lair.lighton.ai/akronomicon/</t>
        </r>
      </text>
    </comment>
    <comment ref="O115" authorId="0">
      <text>
        <r>
          <rPr>
            <sz val="10"/>
            <rFont val="SimSun"/>
            <charset val="134"/>
          </rPr>
          <t>source: https://lair.lighton.ai/akronomicon/</t>
        </r>
      </text>
    </comment>
    <comment ref="AB115" authorId="0">
      <text>
        <r>
          <rPr>
            <sz val="10"/>
            <rFont val="SimSun"/>
            <charset val="134"/>
          </rPr>
          <t>Fine-tuning was unsupervised, but training was supervised? Kind of an edge case</t>
        </r>
      </text>
    </comment>
    <comment ref="O116" authorId="0">
      <text>
        <r>
          <rPr>
            <sz val="10"/>
            <rFont val="SimSun"/>
            <charset val="134"/>
          </rPr>
          <t>From Table 1: 4d on 16 TPUv3s</t>
        </r>
      </text>
    </comment>
    <comment ref="J117" authorId="0">
      <text>
        <r>
          <rPr>
            <sz val="10"/>
            <rFont val="SimSun"/>
            <charset val="134"/>
          </rPr>
          <t>Archived link 
https://web.archive.org/web/20220127181747/https://arxiv.org/pdf/1911.06136.pdf</t>
        </r>
      </text>
    </comment>
    <comment ref="O117" authorId="0">
      <text>
        <r>
          <rPr>
            <sz val="10"/>
            <rFont val="SimSun"/>
            <charset val="134"/>
          </rPr>
          <t xml:space="preserve">From author communication
"About 128 GPU-days using Nvidia V100 (16GB). "
precision: float16
V100 GPU for float16: 28000000000000 (2.8E+13)
0.4 * 28TFLOP/s * 128 GPU-days * 24h/day * 3600s/h
= 1.24E+20
</t>
        </r>
      </text>
    </comment>
    <comment ref="P117" authorId="0">
      <text>
        <r>
          <rPr>
            <sz val="10"/>
            <rFont val="SimSun"/>
            <charset val="134"/>
          </rPr>
          <t>From author communication
    For the language modeling objective, we use Wikipedia+BookCorpus datasets (about 13GB).    For the knowledge embedding objective, we use Wikidata5m (about 1GB).
----
They use two different datasets for their tasks. Should I default to the bigger one? Or are we particularly interested in either a) language modeling (13GB) or b) knowledge embedding (1GB)?
	-Max Ra
Default to the bigger one, or add two rows (one for each)
We discuss this issue of what to do when multiple models are trained in the notability criteria
https://docs.google.com/document/d/19ZFfr8q1VHrIxAAJHAE-OWdIO1ZMUeY31Lu6Ht2ejFM/edit#heading=h.vb5oc2q9sme
	-Jaime Sevilla</t>
        </r>
      </text>
    </comment>
    <comment ref="Q117" authorId="0">
      <text>
        <r>
          <rPr>
            <sz val="10"/>
            <rFont val="SimSun"/>
            <charset val="134"/>
          </rPr>
          <t>For BookCorpus + English Wikipedia: 800M + 2500M
For Wikidata5M: 20614279
See table 1. Contains "entities", "relations", and "triplets"</t>
        </r>
      </text>
    </comment>
    <comment ref="S117" authorId="0">
      <text>
        <r>
          <rPr>
            <sz val="10"/>
            <rFont val="SimSun"/>
            <charset val="134"/>
          </rPr>
          <t>From author communication
It depends on the length of the input sequences. The inference computation of KEPLER is the same as RoBERTa (base) and you may estimate it with this.</t>
        </r>
      </text>
    </comment>
    <comment ref="J118" authorId="0">
      <text>
        <r>
          <rPr>
            <sz val="10"/>
            <rFont val="SimSun"/>
            <charset val="134"/>
          </rPr>
          <t>Archived link 
https://web.archive.org/web/20220528030226/https://discovery.ucl.ac.uk/id/eprint/10089234/1/343019_3_art_0_py4t4l_convrt.pdf
https://web.archive.org/web/20220531041428/https://www.nature.com/articles/s41586-019-1923-7</t>
        </r>
      </text>
    </comment>
    <comment ref="L118" authorId="0">
      <text>
        <r>
          <rPr>
            <sz val="10"/>
            <rFont val="SimSun"/>
            <charset val="134"/>
          </rPr>
          <t>"On April 13th, 2019, OpenAI Five became the first AI system to defeat the world champions at an esports game."</t>
        </r>
      </text>
    </comment>
    <comment ref="N118" authorId="0">
      <text>
        <r>
          <rPr>
            <sz val="10"/>
            <rFont val="SimSun"/>
            <charset val="134"/>
          </rPr>
          <t>Quick estimation, probably wrong</t>
        </r>
      </text>
    </comment>
    <comment ref="O118" authorId="0">
      <text>
        <r>
          <rPr>
            <sz val="10"/>
            <rFont val="SimSun"/>
            <charset val="134"/>
          </rPr>
          <t>Estimated in the blogpost below
https://www.lesswrong.com/posts/wfpdejMWog4vEDLDg/ai-and-compute-trend-isn-t-predictive-of-what-is-happening</t>
        </r>
      </text>
    </comment>
    <comment ref="Q118" authorId="0">
      <text>
        <r>
          <rPr>
            <sz val="10"/>
            <rFont val="SimSun"/>
            <charset val="134"/>
          </rPr>
          <t>Multiple tasks! Different units</t>
        </r>
      </text>
    </comment>
    <comment ref="AB118" authorId="0">
      <text>
        <r>
          <rPr>
            <sz val="10"/>
            <rFont val="SimSun"/>
            <charset val="134"/>
          </rPr>
          <t xml:space="preserve">Very uncertain-- the alphafold paper is much more interested in the details of protein folding than in the details of the model.
</t>
        </r>
      </text>
    </comment>
    <comment ref="J119" authorId="0">
      <text>
        <r>
          <rPr>
            <sz val="10"/>
            <rFont val="SimSun"/>
            <charset val="134"/>
          </rPr>
          <t>Archived link 
https://arxiv.org/pdf/2002.02925.pdf</t>
        </r>
      </text>
    </comment>
    <comment ref="N119" authorId="0">
      <text>
        <r>
          <rPr>
            <sz val="10"/>
            <rFont val="SimSun"/>
            <charset val="134"/>
          </rPr>
          <t>Rados, also specified in Table 1 in the paper</t>
        </r>
      </text>
    </comment>
    <comment ref="S119" authorId="0">
      <text>
        <r>
          <rPr>
            <sz val="10"/>
            <rFont val="SimSun"/>
            <charset val="134"/>
          </rPr>
          <t>Rados (FLOPs)
https://drive.google.com/drive/folders/1bhy5z6hh1n3wCHx6528Xb7xB1KhYdAL1</t>
        </r>
      </text>
    </comment>
    <comment ref="J120" authorId="0">
      <text>
        <r>
          <rPr>
            <sz val="10"/>
            <rFont val="SimSun"/>
            <charset val="134"/>
          </rPr>
          <t>Archived link 
https://web.archive.org/web/20211228091110/https://arxiv.org/pdf/2107.14795.pdf</t>
        </r>
      </text>
    </comment>
    <comment ref="J121" authorId="0">
      <text>
        <r>
          <rPr>
            <sz val="10"/>
            <rFont val="SimSun"/>
            <charset val="134"/>
          </rPr>
          <t>Archived link 
https://arxiv.org/pdf/2002.05709.pdf</t>
        </r>
      </text>
    </comment>
    <comment ref="N121" authorId="0">
      <text>
        <r>
          <rPr>
            <sz val="10"/>
            <rFont val="SimSun"/>
            <charset val="134"/>
          </rPr>
          <t>source: https://openai.com/blog/image-gpt/</t>
        </r>
      </text>
    </comment>
    <comment ref="J122" authorId="0">
      <text>
        <r>
          <rPr>
            <sz val="10"/>
            <rFont val="SimSun"/>
            <charset val="134"/>
          </rPr>
          <t>Archived link 
https://arxiv.org/pdf/2003.10555v1.pdf</t>
        </r>
      </text>
    </comment>
    <comment ref="N122" authorId="0">
      <text>
        <r>
          <rPr>
            <sz val="10"/>
            <rFont val="SimSun"/>
            <charset val="134"/>
          </rPr>
          <t>Rados</t>
        </r>
      </text>
    </comment>
    <comment ref="O122" authorId="0">
      <text>
        <r>
          <rPr>
            <sz val="10"/>
            <rFont val="SimSun"/>
            <charset val="134"/>
          </rPr>
          <t>https://github.com/amirgholami/ai_and_memory_wall
3.1e18 FLOPs</t>
        </r>
      </text>
    </comment>
    <comment ref="S122" authorId="0">
      <text>
        <r>
          <rPr>
            <sz val="10"/>
            <rFont val="SimSun"/>
            <charset val="134"/>
          </rPr>
          <t>Rados (FLOPs)
https://drive.google.com/drive/folders/1bhy5z6hh1n3wCHx6528Xb7xB1KhYdAL1</t>
        </r>
      </text>
    </comment>
    <comment ref="J123" authorId="0">
      <text>
        <r>
          <rPr>
            <sz val="10"/>
            <rFont val="SimSun"/>
            <charset val="134"/>
          </rPr>
          <t>Archived link 
https://arxiv.org/pdf/2003.12140.pdf</t>
        </r>
      </text>
    </comment>
    <comment ref="J124" authorId="0">
      <text>
        <r>
          <rPr>
            <sz val="10"/>
            <rFont val="SimSun"/>
            <charset val="134"/>
          </rPr>
          <t>Archived link 
https://arxiv.org/pdf/2003.13350.pdf</t>
        </r>
      </text>
    </comment>
    <comment ref="J125" authorId="0">
      <text>
        <r>
          <rPr>
            <sz val="10"/>
            <rFont val="SimSun"/>
            <charset val="134"/>
          </rPr>
          <t>Archived link 
https://arxiv.org/pdf/1708.04896.pdf
https://web.archive.org/web/20220531195948/https://ojs.aaai.org/index.php/AAAI/article/view/7000</t>
        </r>
      </text>
    </comment>
    <comment ref="J126" authorId="0">
      <text>
        <r>
          <rPr>
            <sz val="10"/>
            <rFont val="SimSun"/>
            <charset val="134"/>
          </rPr>
          <t>Archived link 
https://arxiv.org/pdf/2004.02984.pdf</t>
        </r>
      </text>
    </comment>
    <comment ref="N126" authorId="0">
      <text>
        <r>
          <rPr>
            <sz val="10"/>
            <rFont val="SimSun"/>
            <charset val="134"/>
          </rPr>
          <t>Rados</t>
        </r>
      </text>
    </comment>
    <comment ref="S126" authorId="0">
      <text>
        <r>
          <rPr>
            <sz val="10"/>
            <rFont val="SimSun"/>
            <charset val="134"/>
          </rPr>
          <t>Rados (FLOPs)
https://drive.google.com/drive/folders/1bhy5z6hh1n3wCHx6528Xb7xB1KhYdAL1</t>
        </r>
      </text>
    </comment>
    <comment ref="J127" authorId="0">
      <text>
        <r>
          <rPr>
            <sz val="10"/>
            <rFont val="SimSun"/>
            <charset val="134"/>
          </rPr>
          <t>Archived link 
https://arxiv.org/pdf/2004.04136v4.pdf</t>
        </r>
      </text>
    </comment>
    <comment ref="J128" authorId="0">
      <text>
        <r>
          <rPr>
            <sz val="10"/>
            <rFont val="SimSun"/>
            <charset val="134"/>
          </rPr>
          <t>Archived link 
https://arxiv.org/pdf/2004.12919.pdf</t>
        </r>
      </text>
    </comment>
    <comment ref="J129" authorId="0">
      <text>
        <r>
          <rPr>
            <sz val="10"/>
            <rFont val="SimSun"/>
            <charset val="134"/>
          </rPr>
          <t>Archived link 
https://arxiv.org/pdf/2006.11316.pdf</t>
        </r>
      </text>
    </comment>
    <comment ref="N129" authorId="0">
      <text>
        <r>
          <rPr>
            <sz val="10"/>
            <rFont val="SimSun"/>
            <charset val="134"/>
          </rPr>
          <t>Rados</t>
        </r>
      </text>
    </comment>
    <comment ref="S129" authorId="0">
      <text>
        <r>
          <rPr>
            <sz val="10"/>
            <rFont val="SimSun"/>
            <charset val="134"/>
          </rPr>
          <t>Rados (FLOPs)
https://drive.google.com/drive/folders/1bhy5z6hh1n3wCHx6528Xb7xB1KhYdAL1</t>
        </r>
      </text>
    </comment>
    <comment ref="J130" authorId="0">
      <text>
        <r>
          <rPr>
            <sz val="10"/>
            <rFont val="SimSun"/>
            <charset val="134"/>
          </rPr>
          <t>Archived link 
https://arxiv.org/pdf/2008.02217.pdf</t>
        </r>
      </text>
    </comment>
    <comment ref="J131" authorId="0">
      <text>
        <r>
          <rPr>
            <sz val="10"/>
            <rFont val="SimSun"/>
            <charset val="134"/>
          </rPr>
          <t>Archived link 
https://openaccess.thecvf.com/content_CVPR_2020/papers/Tan_EfficientDet_Scalable_and_Efficient_Object_Detection_CVPR_2020_paper.pdf
https://web.archive.org/web/20220505142459/https://openaccess.thecvf.com/content_CVPR_2020/papers/Tan_EfficientDet_Scalable_and_Efficient_Object_Detection_CVPR_2020_paper.pdf
https://web.archive.org/web/20220531195827/https://openaccess.thecvf.com/content_CVPR_2020/html/Tan_EfficientDet_Scalable_and_Efficient_Object_Detection_CVPR_2020_paper.html</t>
        </r>
      </text>
    </comment>
    <comment ref="N131" authorId="0">
      <text>
        <r>
          <rPr>
            <sz val="10"/>
            <rFont val="SimSun"/>
            <charset val="134"/>
          </rPr>
          <t>"In particular, with single-model and single-scale, our EfficientDetD7 achieves state-of-the-art 52.2 AP on COCO test-dev with 52M parameters and 325B FLOPs"</t>
        </r>
      </text>
    </comment>
    <comment ref="S131" authorId="0">
      <text>
        <r>
          <rPr>
            <sz val="10"/>
            <rFont val="SimSun"/>
            <charset val="134"/>
          </rPr>
          <t>"In particular, with single-model and single-scale, our EfficientDetD7 achieves state-of-the-art 52.2 AP on COCO test-dev with 52M parameters and 325B FLOPs"</t>
        </r>
      </text>
    </comment>
    <comment ref="J132" authorId="0">
      <text>
        <r>
          <rPr>
            <sz val="10"/>
            <rFont val="SimSun"/>
            <charset val="134"/>
          </rPr>
          <t>Archived link 
https://arxiv.org/pdf/2001.11314.pdf</t>
        </r>
      </text>
    </comment>
    <comment ref="N132" authorId="0">
      <text>
        <r>
          <rPr>
            <sz val="10"/>
            <rFont val="SimSun"/>
            <charset val="134"/>
          </rPr>
          <t>We train a base model ERNIEGENBASE (L=12, H=768, A=12, Total Parameters=110M)1
and a large model ERNIE-GENLARGE (L=24, H=1024,
A=16, Total Parameters=340M) with parameters initialized
by BERTBASE and BERTLARGE respectively</t>
        </r>
      </text>
    </comment>
    <comment ref="A133" authorId="0">
      <text>
        <r>
          <rPr>
            <sz val="10"/>
            <rFont val="SimSun"/>
            <charset val="134"/>
          </rPr>
          <t>ViT-L/16 represents the large (there are small, large and huge) with 16x16 image input</t>
        </r>
      </text>
    </comment>
    <comment ref="J133" authorId="0">
      <text>
        <r>
          <rPr>
            <sz val="10"/>
            <rFont val="SimSun"/>
            <charset val="134"/>
          </rPr>
          <t>Archived link 
https://web.archive.org/web/20220218142338/https://arxiv.org/pdf/2010.11929.pdf</t>
        </r>
      </text>
    </comment>
    <comment ref="N133" authorId="0">
      <text>
        <r>
          <rPr>
            <sz val="10"/>
            <rFont val="SimSun"/>
            <charset val="134"/>
          </rPr>
          <t>Table 1 https://arxiv.org/pdf/2010.11929.pdf</t>
        </r>
      </text>
    </comment>
    <comment ref="J134" authorId="0">
      <text>
        <r>
          <rPr>
            <sz val="10"/>
            <rFont val="SimSun"/>
            <charset val="134"/>
          </rPr>
          <t>Archived link 
https://web.archive.org/web/20220218142338/https://arxiv.org/pdf/2010.11929.pdf</t>
        </r>
      </text>
    </comment>
    <comment ref="N134" authorId="0">
      <text>
        <r>
          <rPr>
            <sz val="10"/>
            <rFont val="SimSun"/>
            <charset val="134"/>
          </rPr>
          <t>Table 1 https://arxiv.org/pdf/2010.11929.pdf</t>
        </r>
      </text>
    </comment>
    <comment ref="J135" authorId="0">
      <text>
        <r>
          <rPr>
            <sz val="10"/>
            <rFont val="SimSun"/>
            <charset val="134"/>
          </rPr>
          <t>Archived link 
https://web.archive.org/web/20220105213036/https://arxiv.org/pdf/2006.10029.pdf</t>
        </r>
      </text>
    </comment>
    <comment ref="N135" authorId="0">
      <text>
        <r>
          <rPr>
            <sz val="10"/>
            <rFont val="SimSun"/>
            <charset val="134"/>
          </rPr>
          <t>From author communication
We trained different model sizes (from 24M to 795M), and they're summarized in Table 1 of the paper (https://arxiv.org/pdf/2006.10029.pdf).</t>
        </r>
      </text>
    </comment>
    <comment ref="Q135" authorId="0">
      <text>
        <r>
          <rPr>
            <sz val="10"/>
            <rFont val="SimSun"/>
            <charset val="134"/>
          </rPr>
          <t>[Double check this, uncertain if this is right]
"Following the semi-supervised learning setting in [30, 19, 1], we evaluate the proposed method
on ImageNet ILSVRC-2012 [21]. While all ∼1.28 million images are available, only a randomly
sub-sampled 1% (12811) or 10% (128116) of images are associated with labels"</t>
        </r>
      </text>
    </comment>
    <comment ref="J136" authorId="0">
      <text>
        <r>
          <rPr>
            <sz val="10"/>
            <rFont val="SimSun"/>
            <charset val="134"/>
          </rPr>
          <t>Archived link 
https://web.archive.org/web/20220531182500/https://www.nature.com/articles/s41586-021-03819-2</t>
        </r>
      </text>
    </comment>
    <comment ref="J137" authorId="0">
      <text>
        <r>
          <rPr>
            <sz val="10"/>
            <rFont val="SimSun"/>
            <charset val="134"/>
          </rPr>
          <t>Archived link 
https://arxiv.org/pdf/2012.09841.pdf
https://web.archive.org/web/20220306003636/https://github.com/CompVis/taming-transformers</t>
        </r>
      </text>
    </comment>
    <comment ref="Q137" authorId="0">
      <text>
        <r>
          <rPr>
            <sz val="10"/>
            <rFont val="SimSun"/>
            <charset val="134"/>
          </rPr>
          <t>I'm confused - I guess they pretrained on several different datasets? I think the model is also able to do zero-shot learning</t>
        </r>
      </text>
    </comment>
    <comment ref="J138" authorId="0">
      <text>
        <r>
          <rPr>
            <sz val="10"/>
            <rFont val="SimSun"/>
            <charset val="134"/>
          </rPr>
          <t>Archived link 
https://web.archive.org/web/20220606202722/https://www.deepmind.com/blog/alphastar-grandmaster-level-in-starcraft-ii-using-multi-agent-reinforcement-learning</t>
        </r>
      </text>
    </comment>
    <comment ref="N138" authorId="0">
      <text>
        <r>
          <rPr>
            <sz val="10"/>
            <rFont val="SimSun"/>
            <charset val="134"/>
          </rPr>
          <t>AlphaStar has 139 million weights, but only 55 million weights are required during inference.</t>
        </r>
      </text>
    </comment>
    <comment ref="O138" authorId="0">
      <text>
        <r>
          <rPr>
            <sz val="10"/>
            <rFont val="SimSun"/>
            <charset val="134"/>
          </rPr>
          <t>Estimated in the blogpost below
https://www.lesswrong.com/posts/wfpdejMWog4vEDLDg/ai-and-compute-trend-isn-t-predictive-of-what-is-happening</t>
        </r>
      </text>
    </comment>
    <comment ref="Q138" authorId="0">
      <text>
        <r>
          <rPr>
            <sz val="10"/>
            <rFont val="SimSun"/>
            <charset val="134"/>
          </rPr>
          <t>Multiple data types. First supervised learning, then other stuff</t>
        </r>
      </text>
    </comment>
    <comment ref="J139" authorId="0">
      <text>
        <r>
          <rPr>
            <sz val="10"/>
            <rFont val="SimSun"/>
            <charset val="134"/>
          </rPr>
          <t>Archived link 
https://arxiv.org/pdf/1912.06680.pdf</t>
        </r>
      </text>
    </comment>
    <comment ref="L139" authorId="0">
      <text>
        <r>
          <rPr>
            <sz val="10"/>
            <rFont val="SimSun"/>
            <charset val="134"/>
          </rPr>
          <t>"On April 13th, 2019, OpenAI Five became the first AI system to defeat the world champions at an esports game."</t>
        </r>
      </text>
    </comment>
    <comment ref="N139" authorId="0">
      <text>
        <r>
          <rPr>
            <sz val="10"/>
            <rFont val="SimSun"/>
            <charset val="134"/>
          </rPr>
          <t>"We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r>
      </text>
    </comment>
    <comment ref="O139" authorId="0">
      <text>
        <r>
          <rPr>
            <sz val="10"/>
            <rFont val="SimSun"/>
            <charset val="134"/>
          </rPr>
          <t>"770±50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t>
        </r>
      </text>
    </comment>
    <comment ref="Q139" authorId="0">
      <text>
        <r>
          <rPr>
            <sz val="10"/>
            <rFont val="SimSun"/>
            <charset val="134"/>
          </rPr>
          <t>"Although the Dota 2 engine runs at 30 frames per second, OpenAI Five only acts on every 4th
frame which we call a timestep"
--&gt; 7.5 timesteps/s
"OpenAI Five is a single training run that ran from June 30th, 2018 to April 22nd, 2019. " --&gt; 296 days
296 * 24*3600 * 7.5 = 1.92e8
This number seems a little low? The DQN paper had 1e7 timesteps. Might be to do with sample efficiency?
EDIT 14/06/2022
Multiple copies of OpenAI Five were trained in parallel, so the total training time is much higher than 296 days.
Table 1 shows 220,000 GPU iterations, each iteration has a batch size of between 1M and 3M timesteps (Table 2), so the total number of episodes is on the order of 2e11</t>
        </r>
      </text>
    </comment>
    <comment ref="AB139" authorId="0">
      <text>
        <r>
          <rPr>
            <sz val="10"/>
            <rFont val="SimSun"/>
            <charset val="134"/>
          </rPr>
          <t>OA5 was trained using self-play, but its strategies were determined by carefully shaped, human-made reward. Its training was designed to encourage multi-agent collaboration, successes early in the game, and other desired aspects of gameplay.</t>
        </r>
      </text>
    </comment>
    <comment ref="J140" authorId="0">
      <text>
        <r>
          <rPr>
            <sz val="10"/>
            <rFont val="SimSun"/>
            <charset val="134"/>
          </rPr>
          <t>Archived link 
https://arxiv.org/pdf/1909.08053.pdf</t>
        </r>
      </text>
    </comment>
    <comment ref="N140" authorId="0">
      <text>
        <r>
          <rPr>
            <sz val="10"/>
            <rFont val="SimSun"/>
            <charset val="134"/>
          </rPr>
          <t>Source: https://lair.lighton.ai/akronomicon/</t>
        </r>
      </text>
    </comment>
    <comment ref="O140" authorId="0">
      <text>
        <r>
          <rPr>
            <sz val="10"/>
            <rFont val="SimSun"/>
            <charset val="134"/>
          </rPr>
          <t>Source: https://lair.lighton.ai/akronomicon/</t>
        </r>
      </text>
    </comment>
    <comment ref="Q140" authorId="0">
      <text>
        <r>
          <rPr>
            <sz val="10"/>
            <rFont val="SimSun"/>
            <charset val="134"/>
          </rPr>
          <t>"The resulting aggregate
corpus contains 174 GB of deduplicated text."</t>
        </r>
      </text>
    </comment>
    <comment ref="J141" authorId="0">
      <text>
        <r>
          <rPr>
            <sz val="10"/>
            <rFont val="SimSun"/>
            <charset val="134"/>
          </rPr>
          <t>Archived link 
https://arxiv.org/pdf/1910.10683.pdf</t>
        </r>
      </text>
    </comment>
    <comment ref="N141" authorId="0">
      <text>
        <r>
          <rPr>
            <sz val="10"/>
            <rFont val="SimSun"/>
            <charset val="134"/>
          </rPr>
          <t>The full 11-billion parameter model</t>
        </r>
      </text>
    </comment>
    <comment ref="O141" authorId="0">
      <text>
        <r>
          <rPr>
            <sz val="10"/>
            <rFont val="SimSun"/>
            <charset val="134"/>
          </rPr>
          <t>https://arxiv.org/ftp/arxiv/papers/2104/2104.10350.pdf
Table 4</t>
        </r>
      </text>
    </comment>
    <comment ref="Q141" authorId="0">
      <text>
        <r>
          <rPr>
            <sz val="10"/>
            <rFont val="SimSun"/>
            <charset val="134"/>
          </rPr>
          <t>"This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t>
        </r>
      </text>
    </comment>
    <comment ref="A142" authorId="0">
      <text>
        <r>
          <rPr>
            <sz val="10"/>
            <rFont val="SimSun"/>
            <charset val="134"/>
          </rPr>
          <t>I need someone to check this against the previous OpenAI Five entry
	-Jaime Sevilla
@js_denain@berkeley.edu
I am confused on the difference between this entry and the previous one. I suspect the previous one si the more correct one, but can you double check?
	-Jaime Sevilla
The first one refers to the "normal" OpenAI Five training process, and the second one refers to the Rerun model https://arxiv.org/pdf/1912.06680.pdf#page=10
Here's my current understanding:
Rerun is better than "normal" OpenAI Five (beats it 98% of the time), and used less compute in its final training run. 
But the environment in which it was trained, the model architecture it used, were obtained thanks to the "normal" training process.
Insofar as we are only interested in final training run FLOPs, Rerun is probably what we want. If we're interested in the more general: "how much compute does it take to get a model with performance X", I think  Rerun is an underestimate.
	-Jean-Stanislas Denain
From Ajeya Cotra and Tom Davidson's spreadsheet:
"The DOTA team first trained their model in an early run before they had figured out the best settings of hyperparameters, and tuned those along the way without stopping training. Afterward, they restarted training with optimal settings from the beginning. The paper reports compute usage for both runs, providing an interesting opportunity to calibrate how total project costs should compare to final training run costs. This is the estimate for the clean run, the estimate for the first run is immediately below."
(I didn't find the estimate for the first run immediately below in the spreadsheet).
	-Jean-Stanislas Denain
Ohh I see! 
We want the total amount then, I agree with you.
What about the discrepancy in parameters? Also what do you think ought to be the date of release?
	-Jaime Sevilla
I suspect that the discrepancy in parameters is due to a typo in the accompanying OpenAI blog post, so I think the 159M parameter count is correct (the blog post says approx 10M, when they probably meant 100M). Not sure if this is the reason, but I'm 90% confident that 159M is correct.
As for the date of release, I think: 
- OpenAI Five: probably 22 April 2019 (see pg 8 of paper), because this is the date where OpenAI Five played against the Dota champions, and this is the value for which we calculate the compute
- OpenAI Five *Rerun*: 10 June 2019 (pg 10 of paper) is when they stopped training
	-Anson Ho</t>
        </r>
      </text>
    </comment>
    <comment ref="G142" authorId="0">
      <text>
        <r>
          <rPr>
            <sz val="10"/>
            <rFont val="SimSun"/>
            <charset val="134"/>
          </rPr>
          <t>Unsure of this date. OpenAI's work on DOTA seems to predate this date for a couple of years??
	-Jaime Sevilla</t>
        </r>
      </text>
    </comment>
    <comment ref="J142" authorId="0">
      <text>
        <r>
          <rPr>
            <sz val="10"/>
            <rFont val="SimSun"/>
            <charset val="134"/>
          </rPr>
          <t>Archived link 
https://web.archive.org/web/20220408182228/https://cdn.openai.com/dota-2.pdf</t>
        </r>
      </text>
    </comment>
    <comment ref="L142" authorId="0">
      <text>
        <r>
          <rPr>
            <sz val="10"/>
            <rFont val="SimSun"/>
            <charset val="134"/>
          </rPr>
          <t>"On April 13th, 2019, OpenAI Five became the first AI system to defeat the world champions at an esports game."</t>
        </r>
      </text>
    </comment>
    <comment ref="N142" authorId="0">
      <text>
        <r>
          <rPr>
            <sz val="10"/>
            <rFont val="SimSun"/>
            <charset val="134"/>
          </rPr>
          <t>"We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r>
      </text>
    </comment>
    <comment ref="O142" authorId="0">
      <text>
        <r>
          <rPr>
            <sz val="10"/>
            <rFont val="SimSun"/>
            <charset val="134"/>
          </rPr>
          <t>THIS CALCULATION IS FOR RERUN
source: https://docs.google.com/spreadsheets/d/1Kj4Q5WADcDXtUJLIOfGTCE3tGvxNczEMwyy8QtgSkHk/edit#gid=54587040&amp;fvid=1361937389</t>
        </r>
      </text>
    </comment>
    <comment ref="Q142" authorId="0">
      <text>
        <r>
          <rPr>
            <sz val="10"/>
            <rFont val="SimSun"/>
            <charset val="134"/>
          </rPr>
          <t>54k iterations (Fig 7)
with a batch size of 983040 (Table 2)</t>
        </r>
      </text>
    </comment>
    <comment ref="AB142" authorId="0">
      <text>
        <r>
          <rPr>
            <sz val="10"/>
            <rFont val="SimSun"/>
            <charset val="134"/>
          </rPr>
          <t>OA5 was trained using self-play, but its strategies were determined by carefully shaped, human-made reward. Its training was designed to encourage multi-agent collaboration, successes early in the game, and other desired aspects of gameplay.</t>
        </r>
      </text>
    </comment>
    <comment ref="J143" authorId="0">
      <text>
        <r>
          <rPr>
            <sz val="10"/>
            <rFont val="SimSun"/>
            <charset val="134"/>
          </rPr>
          <t>Archived link 
https://arxiv.org/pdf/1910.10683.pdf</t>
        </r>
      </text>
    </comment>
    <comment ref="N143" authorId="0">
      <text>
        <r>
          <rPr>
            <sz val="10"/>
            <rFont val="SimSun"/>
            <charset val="134"/>
          </rPr>
          <t>source: https://lair.lighton.ai/akronomicon/</t>
        </r>
      </text>
    </comment>
    <comment ref="O143" authorId="0">
      <text>
        <r>
          <rPr>
            <sz val="10"/>
            <rFont val="SimSun"/>
            <charset val="134"/>
          </rPr>
          <t>source: https://lair.lighton.ai/akronomicon/</t>
        </r>
      </text>
    </comment>
    <comment ref="Q143" authorId="0">
      <text>
        <r>
          <rPr>
            <sz val="10"/>
            <rFont val="SimSun"/>
            <charset val="134"/>
          </rPr>
          <t>"This produces a collection of text that is not only
orders of magnitude larger than most data sets used for pre-training (about 750 GB) but also
comprises reasonably clean and natural English text. We dub this data set the “Colossal
Clean Crawled Corpus” (or C4 for short) and release it as part of TensorFlow Datasets"
750GB * 200M word/GB = 1.5e11</t>
        </r>
      </text>
    </comment>
    <comment ref="J144" authorId="0">
      <text>
        <r>
          <rPr>
            <sz val="10"/>
            <rFont val="SimSun"/>
            <charset val="134"/>
          </rPr>
          <t>Archived link 
https://arxiv.org/pdf/1909.08053.pdf</t>
        </r>
      </text>
    </comment>
    <comment ref="N144" authorId="0">
      <text>
        <r>
          <rPr>
            <sz val="10"/>
            <rFont val="SimSun"/>
            <charset val="134"/>
          </rPr>
          <t xml:space="preserve">Source: https://lair.lighton.ai/akronomicon/
Archived source: https://web.archive.org/web/20211220142906/https://lair.lighton.ai/akronomicon/
</t>
        </r>
      </text>
    </comment>
    <comment ref="O144" authorId="0">
      <text>
        <r>
          <rPr>
            <sz val="10"/>
            <rFont val="SimSun"/>
            <charset val="134"/>
          </rPr>
          <t>Source: https://lair.lighton.ai/akronomicon/</t>
        </r>
      </text>
    </comment>
    <comment ref="Q144" authorId="0">
      <text>
        <r>
          <rPr>
            <sz val="10"/>
            <rFont val="SimSun"/>
            <charset val="134"/>
          </rPr>
          <t>"The resulting aggregate
corpus contains 174 GB of deduplicated text."</t>
        </r>
      </text>
    </comment>
    <comment ref="S144" authorId="0">
      <text>
        <r>
          <rPr>
            <sz val="10"/>
            <rFont val="SimSun"/>
            <charset val="134"/>
          </rPr>
          <t>Rados (FLOPs)
https://drive.google.com/drive/folders/1bhy5z6hh1n3wCHx6528Xb7xB1KhYdAL1</t>
        </r>
      </text>
    </comment>
    <comment ref="A145" authorId="0">
      <text>
        <r>
          <rPr>
            <sz val="10"/>
            <rFont val="SimSun"/>
            <charset val="134"/>
          </rPr>
          <t>Version with temporal hierarchy, matchmaking, PBT, and internal reward signal</t>
        </r>
      </text>
    </comment>
    <comment ref="J145" authorId="0">
      <text>
        <r>
          <rPr>
            <sz val="10"/>
            <rFont val="SimSun"/>
            <charset val="134"/>
          </rPr>
          <t>Archived link 
https://arxiv.org/pdf/1807.01281.pdf
https://web.archive.org/web/20220531201253/https://www.deepmind.com/research/publications/capture-the-flag</t>
        </r>
      </text>
    </comment>
    <comment ref="N145" authorId="0">
      <text>
        <r>
          <rPr>
            <sz val="10"/>
            <rFont val="SimSun"/>
            <charset val="134"/>
          </rPr>
          <t>Architecture described in figure S11 of the supplement
The architecture includes modules for visual embedding, reward prediction, recurrent processing, policy, baseline and pixel control.
Input is 84x84x3 pixels as seen in figure S10 of the supplement
"We elected to use a resolution of 84x84 pixels as in previous related work in this environment. Each pixel is represented by a triple of three bytes"
Visual embedding (84x84x3 -&gt; 256)
32*(8*8*3+1)+64*(4*4*32+1)+64*(3*3*64+1)+64*(3*3*64+1) + (84/(S^4)*84/(S^4)*64+1)*256
Note there is no information about the stride S used in the convolutions; we assume S = 1
Reward prediction (256 -&gt; 3)
(256+1)*128 + (128+1)*3
Recurrent processing (n-&gt; 512)
VU1 (256 -&gt; 512)
4*(799+2*32)*((512+(32*2) + 3*32 + 5*2 + 3)+(799+2*32)+1) + 2*(256+1)*256
VU2 (512 -&gt; 512)
4*(512+2*32)*((512+(32*2) + 3*32 + 5*2 + 3)+(512+2*32)+1) + 2*(256+1)*256
LSTMs usually have 4*(n*m+n*n+n) parameters, where n=input size and m=output size.
This DNS + LSTM takes as input the concatenation of the previous layer of size n and R read vectors of size W=32; and outputs m units plus an interface vector of size (W*R) + 3*W + 5*R + 3, for a total of about 4*(n+R*W)*((m+(W*R) + 3*W + 5*R + 3)+(n+R*32)+1) parameters
I assume R=2 since that seems implied by the previous paper (?)
The first VU has as input the visual embedding (size 256), the previous action (size 540) and the previous reward (size 3), for a total size of 256+540+3 = 799. The output is size 512.
The second VU has input size 512 and output size 512
The DNC memory architecture is described in https://www.nature.com/articles/nature20101.epdf
Policy (512 -&gt; 5x3x3x3x2x2)
6*(512+1)*256 + (256+1)*5 + 3*(256+1)*3 + 2*(256+1)*2
Baseline
(512+1)*256 + (256+1)*1
Pixel control
(512+1)*32*7*7 + 32*(9*9+1) + 5*(4*4+1) + 3*2*(4*4+1) + 2*2*(4*4+1) + 1*(4*4+1)
"we trained independent pixel control policies for each of the six action groups"</t>
        </r>
      </text>
    </comment>
    <comment ref="O145" authorId="0">
      <text>
        <r>
          <rPr>
            <sz val="10"/>
            <rFont val="SimSun"/>
            <charset val="134"/>
          </rPr>
          <t xml:space="preserve">We assume that most operations happen in the visual embedding.
2* 84^2*84^2 * 32 * 3 / 1^2 = 9.5 *10^9
new image size: 76 x 76 x 32
ignore ReLU/additions becaue probably very little influence 
2 * 76^2 * 76^2 * 10* 64 = 4 *10^10
new image size: 72 x 72 x 64
2 * 72^2 *72^2 * 64 * 64 * 3=  6.6 * 10^11
new image size: 69 x 69 x 64
2 * 69^2 *69^2 * 64 * 64 * 3=  5.5 * 10^11
new image size: 66 x 66 x 64
Linear layer: 2* ( 66*66*64)*256 = 1.4*10^8
Total aprox: 1.21e+12 FLOP/forward pass
</t>
        </r>
      </text>
    </comment>
    <comment ref="J146" authorId="0">
      <text>
        <r>
          <rPr>
            <sz val="10"/>
            <rFont val="SimSun"/>
            <charset val="134"/>
          </rPr>
          <t>Archived link 
https://arxiv.org/pdf/1807.11626.pdf</t>
        </r>
      </text>
    </comment>
    <comment ref="O146" authorId="0">
      <text>
        <r>
          <rPr>
            <sz val="10"/>
            <rFont val="SimSun"/>
            <charset val="134"/>
          </rPr>
          <t>4.5 days of training
64 TPUv2 devices, which have a peak performance of 180 TFLOPS
Assume 1/3 utilization rate
0.33*4.5*8.64*10^4*64*1.8*10^14 ~= 1.5×10^21</t>
        </r>
      </text>
    </comment>
    <comment ref="J147" authorId="0">
      <text>
        <r>
          <rPr>
            <sz val="10"/>
            <rFont val="SimSun"/>
            <charset val="134"/>
          </rPr>
          <t>Archived link 
https://arxiv.org/pdf/1807.11626.pdf</t>
        </r>
      </text>
    </comment>
    <comment ref="N147" authorId="0">
      <text>
        <r>
          <rPr>
            <sz val="10"/>
            <rFont val="SimSun"/>
            <charset val="134"/>
          </rPr>
          <t>From https://arxiv.org/pdf/1807.11626.pdf</t>
        </r>
      </text>
    </comment>
    <comment ref="O147" authorId="0">
      <text>
        <r>
          <rPr>
            <sz val="10"/>
            <rFont val="SimSun"/>
            <charset val="134"/>
          </rPr>
          <t>4.5 days of training
64 TPUv2 devices, which have a peak performance of 180 TFLOPS
Assume 1/3 utilization rate
0.33*4.5*8.64*10^4*64*1.8*10^14 ~= 1.5×10^21</t>
        </r>
      </text>
    </comment>
    <comment ref="Q147" authorId="0">
      <text>
        <r>
          <rPr>
            <sz val="10"/>
            <rFont val="SimSun"/>
            <charset val="134"/>
          </rPr>
          <t>"In this paper, we directly perform our architecture search on the ImageNet training set but with fewer training steps (5 epochs). As a common practice, we reserve randomly selected 50K images from the training set as the fixed validation set. "</t>
        </r>
      </text>
    </comment>
    <comment ref="J148" authorId="0">
      <text>
        <r>
          <rPr>
            <sz val="10"/>
            <rFont val="SimSun"/>
            <charset val="134"/>
          </rPr>
          <t>Archived link 
https://d4mucfpksywv.cloudfront.net/better-language-models/language_models_are_unsupervised_multitask_learners.pdf
https://web.archive.org/web/20220507024620/https://d4mucfpksywv.cloudfront.net/better-language-models/language_models_are_unsupervised_multitask_learners.pdf
https://web.archive.org/web/20220531201311/https://openai.com/blog/better-language-models/</t>
        </r>
      </text>
    </comment>
    <comment ref="N148" authorId="0">
      <text>
        <r>
          <rPr>
            <sz val="10"/>
            <rFont val="SimSun"/>
            <charset val="134"/>
          </rPr>
          <t>"GPT-2 is a large transformer-based language model with 1.5 billion parameters"</t>
        </r>
      </text>
    </comment>
    <comment ref="O148" authorId="0">
      <text>
        <r>
          <rPr>
            <sz val="10"/>
            <rFont val="SimSun"/>
            <charset val="134"/>
          </rPr>
          <t>We use COMPUTE = FORWARD COMPUTE PER TOKEN * 3 BACKWARD FORWARD ADJUSTMENT* N EPOCHS * N TOKENS IN TRAINING DATASET
The number of epochs is not reported, but this other paper [1] claims in table 1 that it is 20 or 100 epochs. 100 epochs is consistent with the original GPT paper.
[1] https://arxiv.org/abs/1906.06669</t>
        </r>
      </text>
    </comment>
    <comment ref="Q148" authorId="0">
      <text>
        <r>
          <rPr>
            <sz val="10"/>
            <rFont val="SimSun"/>
            <charset val="134"/>
          </rPr>
          <t xml:space="preserve">“All results presented in this paper use a preliminary version of WebText which does not include links created after Dec 2017 and which after de-duplication and some heuristic based cleaning contains slightly over 8 million documents for a total of 40 GB of text.”
40GB is approximately 3e9 words.
</t>
        </r>
      </text>
    </comment>
    <comment ref="S148" authorId="0">
      <text>
        <r>
          <rPr>
            <sz val="10"/>
            <rFont val="SimSun"/>
            <charset val="134"/>
          </rPr>
          <t>Rados (FLOPs)
https://drive.google.com/drive/folders/1bhy5z6hh1n3wCHx6528Xb7xB1KhYdAL1
----
This is absurdly high
GPT-2 has no parameter sharing, so I would expect the forward compute per token to be roughly twice the number of parameters
	-Jaime Sevilla
Ah, I see what is going on. The context size of the transformer is 2048, which explains the discrepancy
	-Jaime Sevilla</t>
        </r>
      </text>
    </comment>
    <comment ref="W148" authorId="0">
      <text>
        <r>
          <rPr>
            <sz val="10"/>
            <rFont val="SimSun"/>
            <charset val="134"/>
          </rPr>
          <t>"Our model, called GPT-2 (a successor to GPT), was trained simply to predict the next word in 40GB of Internet text."</t>
        </r>
      </text>
    </comment>
    <comment ref="AA148" authorId="0">
      <text>
        <r>
          <rPr>
            <sz val="10"/>
            <rFont val="SimSun"/>
            <charset val="134"/>
          </rPr>
          <t>https://en.wikipedia.org/wiki/GPT-2#:~:text=The%20cloud%20compute%20costs%20for,full%201.5%20billion%20parameter%20model).</t>
        </r>
      </text>
    </comment>
    <comment ref="J149" authorId="0">
      <text>
        <r>
          <rPr>
            <sz val="10"/>
            <rFont val="SimSun"/>
            <charset val="134"/>
          </rPr>
          <t>Archived link 
https://arxiv.org/pdf/1910.07113.pdf
https://web.archive.org/web/20220531201044/https://openai.com/blog/solving-rubiks-cube/</t>
        </r>
      </text>
    </comment>
    <comment ref="N149" authorId="0">
      <text>
        <r>
          <rPr>
            <sz val="10"/>
            <rFont val="SimSun"/>
            <charset val="134"/>
          </rPr>
          <t>Table 13 on pg. 44 of the Cube paper, saved in "RL papers" folder. Sum of all the trainable parameters (dominated by the value and policy networks).
source: https://docs.google.com/spreadsheets/d/1Kj4Q5WADcDXtUJLIOfGTCE3tGvxNczEMwyy8QtgSkHk/edit#gid=54587040&amp;fvid=1361937389</t>
        </r>
      </text>
    </comment>
    <comment ref="O149" authorId="0">
      <text>
        <r>
          <rPr>
            <sz val="10"/>
            <rFont val="SimSun"/>
            <charset val="134"/>
          </rPr>
          <t>source: https://docs.google.com/spreadsheets/d/1Kj4Q5WADcDXtUJLIOfGTCE3tGvxNczEMwyy8QtgSkHk/edit#gid=54587040&amp;fvid=1361937389</t>
        </r>
      </text>
    </comment>
    <comment ref="Q149" authorId="0">
      <text>
        <r>
          <rPr>
            <sz val="10"/>
            <rFont val="SimSun"/>
            <charset val="134"/>
          </rPr>
          <t>" The cumulative amount of experience over that period used for training on the
Rubik’s cube is roughly 13 thousand years, which is on the same order of magnitude as the 40 thousand years used by
OpenAI Five"
13/40 * 1.92e8 = 6.24e7</t>
        </r>
      </text>
    </comment>
    <comment ref="J150" authorId="0">
      <text>
        <r>
          <rPr>
            <sz val="10"/>
            <rFont val="SimSun"/>
            <charset val="134"/>
          </rPr>
          <t>Archived link 
https://arxiv.org/pdf/1911.08265v2.pdf</t>
        </r>
      </text>
    </comment>
    <comment ref="N150" authorId="0">
      <text>
        <r>
          <rPr>
            <sz val="10"/>
            <rFont val="SimSun"/>
            <charset val="134"/>
          </rPr>
          <t>Both the representation and dynamics function use the same architecture asAlphaZero, but with 16 instead of20 residual blocks [15]. We use 3x3 kernels and 256 hidden planes for each convolution.
Previous downsampling:
•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t>
        </r>
      </text>
    </comment>
    <comment ref="O150" authorId="0">
      <text>
        <r>
          <rPr>
            <sz val="10"/>
            <rFont val="SimSun"/>
            <charset val="134"/>
          </rPr>
          <t>third-generation Google Cloud TPU
(For each board game, we used 16 TPUs for training and 1000 TPUs for self-play)
For each game in Atari, we used 8 TPUs for training and 32 TPUs for self-play
Training for 12 hours (for Atari)
Data from Parameter, Compute and Data Trends in Machine Learning
Google v3 TPU: 1.23E+14 FLOP/s (although with the caveat that it might be not applicable)
Utilization rate 
In LaMDA: Language Models for Dialog Applications, they report for TPU V3: 56.5%
Calculations for Atari:
12 hours → 43200 seconds
(8 TPUs for training) * (1.23*10^14 FLOP/s) * (43.2 *10^3 s) * (0.565 utilization rate) = 2.4017472 * 10^19 FLOP
Training time missing for boardgames
Assumption also 12 hours 
Also: 2.4017472 * 10^19 FLOP
Total cost ≈ 4.8 * 10^19 FLOP</t>
        </r>
      </text>
    </comment>
    <comment ref="Q150" authorId="0">
      <text>
        <r>
          <rPr>
            <sz val="10"/>
            <rFont val="SimSun"/>
            <charset val="134"/>
          </rPr>
          <t>Table 1
https://arxiv.org/pdf/1911.08265.pdf</t>
        </r>
      </text>
    </comment>
    <comment ref="J151" authorId="0">
      <text>
        <r>
          <rPr>
            <sz val="10"/>
            <rFont val="SimSun"/>
            <charset val="134"/>
          </rPr>
          <t>Archived link 
https://arxiv.org/pdf/1812.00332.pdf</t>
        </r>
      </text>
    </comment>
    <comment ref="O151" authorId="0">
      <text>
        <r>
          <rPr>
            <sz val="10"/>
            <rFont val="SimSun"/>
            <charset val="134"/>
          </rPr>
          <t>For their searched Imagenet models, they used 200 GPU hours on a V100 GPU.
At FP32, a V100 GPU has a peak performance of 1.56E+14 FLOPS.
Utilization rate of 0.33.</t>
        </r>
      </text>
    </comment>
    <comment ref="S151" authorId="0">
      <text>
        <r>
          <rPr>
            <sz val="10"/>
            <rFont val="SimSun"/>
            <charset val="134"/>
          </rPr>
          <t xml:space="preserve">5.1 Miliseconds on a V100 GPU
</t>
        </r>
      </text>
    </comment>
    <comment ref="J152" authorId="0">
      <text>
        <r>
          <rPr>
            <sz val="10"/>
            <rFont val="SimSun"/>
            <charset val="134"/>
          </rPr>
          <t>Archived link 
https://web.archive.org/web/20211227075805/https://papers.nips.cc/paper/2019/file/97af07a14cacba681feacf3012730892-Paper.pdf</t>
        </r>
      </text>
    </comment>
    <comment ref="O152" authorId="0">
      <text>
        <r>
          <rPr>
            <sz val="10"/>
            <rFont val="SimSun"/>
            <charset val="134"/>
          </rPr>
          <t>3-5 days of training (say, 4.5), 50 teraFLOP/second at 50% utilization rate (reported) = 1.94E19</t>
        </r>
      </text>
    </comment>
    <comment ref="Q152" authorId="0">
      <text>
        <r>
          <rPr>
            <sz val="10"/>
            <rFont val="SimSun"/>
            <charset val="134"/>
          </rPr>
          <t>In total, 95,824 images were collected from 5,982 workers out of which 50,000 images were retained
after validation and included in the dataset</t>
        </r>
      </text>
    </comment>
    <comment ref="J153" authorId="0">
      <text>
        <r>
          <rPr>
            <sz val="10"/>
            <rFont val="SimSun"/>
            <charset val="134"/>
          </rPr>
          <t>Archived link 
https://arxiv.org/pdf/1903.11059.pdf</t>
        </r>
      </text>
    </comment>
    <comment ref="A154" authorId="0">
      <text>
        <r>
          <rPr>
            <sz val="10"/>
            <rFont val="SimSun"/>
            <charset val="134"/>
          </rPr>
          <t>These and the two below are mentioned in the 2021 DLRM paper from FAIR, but I am not sure about what systems they are referring to
	-Jaime Sevilla</t>
        </r>
      </text>
    </comment>
    <comment ref="J154" authorId="0">
      <text>
        <r>
          <rPr>
            <sz val="10"/>
            <rFont val="SimSun"/>
            <charset val="134"/>
          </rPr>
          <t>Archived link 
https://arxiv.org/pdf/1906.00091.pdf</t>
        </r>
      </text>
    </comment>
    <comment ref="N154" authorId="0">
      <text>
        <r>
          <rPr>
            <sz val="10"/>
            <rFont val="SimSun"/>
            <charset val="134"/>
          </rPr>
          <t>Figure 1
https://arxiv.org/abs/2104.05158</t>
        </r>
      </text>
    </comment>
    <comment ref="O154" authorId="0">
      <text>
        <r>
          <rPr>
            <sz val="10"/>
            <rFont val="SimSun"/>
            <charset val="134"/>
          </rPr>
          <t>Figure 1
https://arxiv.org/abs/2104.05158</t>
        </r>
      </text>
    </comment>
    <comment ref="J155" authorId="0">
      <text>
        <r>
          <rPr>
            <sz val="10"/>
            <rFont val="SimSun"/>
            <charset val="134"/>
          </rPr>
          <t>Archived link 
https://arxiv.org/pdf/1902.09492.pdf</t>
        </r>
      </text>
    </comment>
    <comment ref="O155" authorId="0">
      <text>
        <r>
          <rPr>
            <sz val="10"/>
            <rFont val="SimSun"/>
            <charset val="134"/>
          </rPr>
          <t>From author communication:
Precision: float32
Hardware: 4 GPU  NVIDIA 1080Ti
NVIDIA 1080Ti: 1.06E+13
Compute: 7 GPU-days
0.4 * 1.06E+13 FLOP/s * 7 days * 24h/day * 3600s/h
= 2.56E+18</t>
        </r>
      </text>
    </comment>
    <comment ref="S155" authorId="0">
      <text>
        <r>
          <rPr>
            <sz val="10"/>
            <rFont val="SimSun"/>
            <charset val="134"/>
          </rPr>
          <t xml:space="preserve">From author communication:
Precision: float32
Hardware: 4 GPU  NVIDIA 1080Ti
NVIDIA 1080Ti: 1.06E+13
Compute (Estimate): 0.00001 GPU Days
0.4 * 1.06E+13 FLOP/s * 0.00001 days * 24h/day * 3600s/h
= 3.66E+12
</t>
        </r>
      </text>
    </comment>
    <comment ref="J156" authorId="0">
      <text>
        <r>
          <rPr>
            <sz val="10"/>
            <rFont val="SimSun"/>
            <charset val="134"/>
          </rPr>
          <t>Archived link 
https://web.archive.org/web/20211118013651/https://arxiv.org/pdf/1711.05101.pdf</t>
        </r>
      </text>
    </comment>
    <comment ref="K156" authorId="0">
      <text>
        <r>
          <rPr>
            <sz val="10"/>
            <rFont val="SimSun"/>
            <charset val="134"/>
          </rPr>
          <t>if it's green, the inclusion criterium for highly cited is fulfilled, correct?
	-Max Ra</t>
        </r>
      </text>
    </comment>
    <comment ref="N156" authorId="0">
      <text>
        <r>
          <rPr>
            <sz val="10"/>
            <rFont val="SimSun"/>
            <charset val="134"/>
          </rPr>
          <t>From author communication
WideResNet 28-10 models with 36.5 million parameters (3.65E+07)</t>
        </r>
      </text>
    </comment>
    <comment ref="O156" authorId="0">
      <text>
        <r>
          <rPr>
            <sz val="10"/>
            <rFont val="SimSun"/>
            <charset val="134"/>
          </rPr>
          <t>From author communication
Per image: 5.24 billion FLOPs (5.24E+09)  Per training run: 50k times 5.24E+09 times 1800 epochs = 2.47E+18 FLOPs</t>
        </r>
      </text>
    </comment>
    <comment ref="S156" authorId="0">
      <text>
        <r>
          <rPr>
            <sz val="10"/>
            <rFont val="SimSun"/>
            <charset val="134"/>
          </rPr>
          <t>From author communication
Best estimate: 1.73E+09</t>
        </r>
      </text>
    </comment>
    <comment ref="J157" authorId="0">
      <text>
        <r>
          <rPr>
            <sz val="10"/>
            <rFont val="SimSun"/>
            <charset val="134"/>
          </rPr>
          <t>Archived link 
https://arxiv.org/pdf/1909.07528.pdf
https://web.archive.org/web/20220531201036/https://openai.com/blog/emergent-tool-use/</t>
        </r>
      </text>
    </comment>
    <comment ref="N157" authorId="0">
      <text>
        <r>
          <rPr>
            <sz val="10"/>
            <rFont val="SimSun"/>
            <charset val="134"/>
          </rPr>
          <t>"The default model, which uses a batch size of 64,000 and 1.6 million parameters,..." pg. 7 of the Hide and Seek paper, stored in "RL papers"
source: https://docs.google.com/spreadsheets/d/1Kj4Q5WADcDXtUJLIOfGTCE3tGvxNczEMwyy8QtgSkHk/edit#gid=54587040&amp;fvid=1361937389</t>
        </r>
      </text>
    </comment>
    <comment ref="O157" authorId="0">
      <text>
        <r>
          <rPr>
            <sz val="10"/>
            <rFont val="SimSun"/>
            <charset val="134"/>
          </rPr>
          <t>source: https://docs.google.com/spreadsheets/d/1Kj4Q5WADcDXtUJLIOfGTCE3tGvxNczEMwyy8QtgSkHk/edit#gid=54587040&amp;fvid=1361937389</t>
        </r>
      </text>
    </comment>
    <comment ref="Q157" authorId="0">
      <text>
        <r>
          <rPr>
            <sz val="10"/>
            <rFont val="SimSun"/>
            <charset val="134"/>
          </rPr>
          <t>"The default model, which uses a batch size of 64,000 and 1.6 million parameters, requires 132.3 million episodes (31.7 billion frames) over 34 hours of training to reach stage 4 of the skill progression, i.e. ramp defense."</t>
        </r>
      </text>
    </comment>
    <comment ref="A158" authorId="0">
      <text>
        <r>
          <rPr>
            <sz val="10"/>
            <rFont val="SimSun"/>
            <charset val="134"/>
          </rPr>
          <t>Not clear to me if relevant, this is proposing a new benchmark rather than pushing the limits
	-Jaime Sevilla</t>
        </r>
      </text>
    </comment>
    <comment ref="J158" authorId="0">
      <text>
        <r>
          <rPr>
            <sz val="10"/>
            <rFont val="SimSun"/>
            <charset val="134"/>
          </rPr>
          <t>Archived link 
https://arxiv.org/pdf/1902.00506.pdf</t>
        </r>
      </text>
    </comment>
    <comment ref="N158" authorId="0">
      <text>
        <r>
          <rPr>
            <sz val="10"/>
            <rFont val="SimSun"/>
            <charset val="134"/>
          </rPr>
          <t>source: https://docs.google.com/spreadsheets/d/1Kj4Q5WADcDXtUJLIOfGTCE3tGvxNczEMwyy8QtgSkHk/edit#gid=54587040&amp;fvid=1361937389</t>
        </r>
      </text>
    </comment>
    <comment ref="O158" authorId="0">
      <text>
        <r>
          <rPr>
            <sz val="10"/>
            <rFont val="SimSun"/>
            <charset val="134"/>
          </rPr>
          <t>source: https://docs.google.com/spreadsheets/d/1Kj4Q5WADcDXtUJLIOfGTCE3tGvxNczEMwyy8QtgSkHk/edit#gid=54587040&amp;fvid=1361937389</t>
        </r>
      </text>
    </comment>
    <comment ref="O159" authorId="0">
      <text>
        <r>
          <rPr>
            <sz val="10"/>
            <rFont val="SimSun"/>
            <charset val="134"/>
          </rPr>
          <t>Trained in 8 days on a 64 core CPU
https://ai.facebook.com/blog/pluribus-first-ai-to-beat-pros-in-6-player-poker/
"We trained the blueprint strategy for Pluribus in eight days on a 64-core server and required less than 512 GB of RAM. No GPUs were used. At typical cloud computing instance rates, it would cost less than $150 to train."
Guess: trained on i7 Intel CPU, approx 5e9 FLOP/s for each core.
 https://epochai.org/blog/estimating-training-compute
8 days, 64 cores, 5e9 FLOP, 30%</t>
        </r>
      </text>
    </comment>
    <comment ref="J160" authorId="0">
      <text>
        <r>
          <rPr>
            <sz val="10"/>
            <rFont val="SimSun"/>
            <charset val="134"/>
          </rPr>
          <t>Archived link 
https://arxiv.org/pdf/1808.08949.pdf
https://web.archive.org/web/20220531201325/https://www.semanticscholar.org/paper/Dissecting-Contextual-Word-Embeddings%3A-Architecture-Peters-Neumann/ac11062f1f368d97f4c826c317bf50dcc13fdb59</t>
        </r>
      </text>
    </comment>
    <comment ref="J161" authorId="0">
      <text>
        <r>
          <rPr>
            <sz val="10"/>
            <rFont val="SimSun"/>
            <charset val="134"/>
          </rPr>
          <t>Archived link 
https://arxiv.org/pdf/1901.11504.pdf</t>
        </r>
      </text>
    </comment>
    <comment ref="J162" authorId="0">
      <text>
        <r>
          <rPr>
            <sz val="10"/>
            <rFont val="SimSun"/>
            <charset val="134"/>
          </rPr>
          <t>Archived link 
https://arxiv.org/pdf/1904.08779.pdf</t>
        </r>
      </text>
    </comment>
    <comment ref="J163" authorId="0">
      <text>
        <r>
          <rPr>
            <sz val="10"/>
            <rFont val="SimSun"/>
            <charset val="134"/>
          </rPr>
          <t>Archived link 
https://arxiv.org/pdf/1809.02983.pdf
https://web.archive.org/web/20220531201336/https://openaccess.thecvf.com/content_CVPR_2019/html/Fu_Dual_Attention_Network_for_Scene_Segmentation_CVPR_2019_paper.html</t>
        </r>
      </text>
    </comment>
    <comment ref="J164" authorId="0">
      <text>
        <r>
          <rPr>
            <sz val="10"/>
            <rFont val="SimSun"/>
            <charset val="134"/>
          </rPr>
          <t>Archived link 
https://d4mucfpksywv.cloudfront.net/better-language-models/language_models_are_unsupervised_multitask_learners.pdf</t>
        </r>
      </text>
    </comment>
    <comment ref="J165" authorId="0">
      <text>
        <r>
          <rPr>
            <sz val="10"/>
            <rFont val="SimSun"/>
            <charset val="134"/>
          </rPr>
          <t>Archived link 
https://arxiv.org/pdf/1905.00546.pdf</t>
        </r>
      </text>
    </comment>
    <comment ref="J166" authorId="0">
      <text>
        <r>
          <rPr>
            <sz val="10"/>
            <rFont val="SimSun"/>
            <charset val="134"/>
          </rPr>
          <t>Archived link 
https://arxiv.org/pdf/1905.09272.pdf</t>
        </r>
      </text>
    </comment>
    <comment ref="N166" authorId="0">
      <text>
        <r>
          <rPr>
            <sz val="10"/>
            <rFont val="SimSun"/>
            <charset val="134"/>
          </rPr>
          <t>source: https://openai.com/blog/image-gpt/#rfref25d</t>
        </r>
      </text>
    </comment>
    <comment ref="A167" authorId="0">
      <text>
        <r>
          <rPr>
            <sz val="10"/>
            <rFont val="SimSun"/>
            <charset val="134"/>
          </rPr>
          <t>I am not sure if EfficientNet-L2 was proposed and trained in this paper or if it is from  the later Noisy Student paper
	-Jaime Sevilla</t>
        </r>
      </text>
    </comment>
    <comment ref="J167" authorId="0">
      <text>
        <r>
          <rPr>
            <sz val="10"/>
            <rFont val="SimSun"/>
            <charset val="134"/>
          </rPr>
          <t>Archived link 
https://arxiv.org/pdf/1905.11946.pdf</t>
        </r>
      </text>
    </comment>
    <comment ref="S167" authorId="0">
      <text>
        <r>
          <rPr>
            <sz val="10"/>
            <rFont val="SimSun"/>
            <charset val="134"/>
          </rPr>
          <t xml:space="preserve">table 2: using efficientnet_b0
</t>
        </r>
      </text>
    </comment>
    <comment ref="J168" authorId="0">
      <text>
        <r>
          <rPr>
            <sz val="10"/>
            <rFont val="SimSun"/>
            <charset val="134"/>
          </rPr>
          <t>Archived link 
https://arxiv.org/pdf/1905.12616.pdf</t>
        </r>
      </text>
    </comment>
    <comment ref="J169" authorId="0">
      <text>
        <r>
          <rPr>
            <sz val="10"/>
            <rFont val="SimSun"/>
            <charset val="134"/>
          </rPr>
          <t>Archived link 
https://arxiv.org/pdf/1901.07291.pdf</t>
        </r>
      </text>
    </comment>
    <comment ref="J170" authorId="0">
      <text>
        <r>
          <rPr>
            <sz val="10"/>
            <rFont val="SimSun"/>
            <charset val="134"/>
          </rPr>
          <t>Archived link 
https://arxiv.org/pdf/1906.08237.pdf</t>
        </r>
      </text>
    </comment>
    <comment ref="N170" authorId="0">
      <text>
        <r>
          <rPr>
            <sz val="10"/>
            <rFont val="SimSun"/>
            <charset val="134"/>
          </rPr>
          <t>Need to double check
	-Jaime Sevilla</t>
        </r>
      </text>
    </comment>
    <comment ref="J171" authorId="0">
      <text>
        <r>
          <rPr>
            <sz val="10"/>
            <rFont val="SimSun"/>
            <charset val="134"/>
          </rPr>
          <t>Archived link 
https://arxiv.org/pdf/1906.00910.pdf</t>
        </r>
      </text>
    </comment>
    <comment ref="N171" authorId="0">
      <text>
        <r>
          <rPr>
            <sz val="10"/>
            <rFont val="SimSun"/>
            <charset val="134"/>
          </rPr>
          <t>source: https://openai.com/blog/image-gpt/#rfref13e</t>
        </r>
      </text>
    </comment>
    <comment ref="J172" authorId="0">
      <text>
        <r>
          <rPr>
            <sz val="10"/>
            <rFont val="SimSun"/>
            <charset val="134"/>
          </rPr>
          <t>Archived link 
https://arxiv.org/pdf/1906.06423.pdf</t>
        </r>
      </text>
    </comment>
    <comment ref="Q172" authorId="0">
      <text>
        <r>
          <rPr>
            <sz val="10"/>
            <rFont val="SimSun"/>
            <charset val="134"/>
          </rPr>
          <t>"Conversely, when training a ResNeXt-101 32x48d pre-trained in weakly-supervised fashion on 940 million public images at resolution 224x224 and further optimizing for test resolution 320x320, we obtain a test top-1 accuracy of 86.4% (top-5: 98.0%) (single-crop)"</t>
        </r>
      </text>
    </comment>
    <comment ref="AA172" authorId="0">
      <text>
        <r>
          <rPr>
            <sz val="10"/>
            <rFont val="SimSun"/>
            <charset val="134"/>
          </rPr>
          <t>https://medium.com/swlh/deepmind-achieved-starcraft-ii-grandmaster-level-but-at-what-cost-32891dd990e4#:~:text=According%20to%20the%20analysis%20by,Source%3A%20DeepMind.</t>
        </r>
      </text>
    </comment>
    <comment ref="J173" authorId="0">
      <text>
        <r>
          <rPr>
            <sz val="10"/>
            <rFont val="SimSun"/>
            <charset val="134"/>
          </rPr>
          <t>Archived link 
https://arxiv.org/pdf/1907.11692.pdf</t>
        </r>
      </text>
    </comment>
    <comment ref="N173" authorId="0">
      <text>
        <r>
          <rPr>
            <sz val="10"/>
            <rFont val="SimSun"/>
            <charset val="134"/>
          </rPr>
          <t>Compare with https://github.com/amirgholami/ai_and_memory_wall
Should this entry be RoBERTa large? Also double check inference compute
	-Anson Ho</t>
        </r>
      </text>
    </comment>
    <comment ref="S173" authorId="0">
      <text>
        <r>
          <rPr>
            <sz val="10"/>
            <rFont val="SimSun"/>
            <charset val="134"/>
          </rPr>
          <t>Authors of KEPLER say their model has the same inference compute as RoBERTa, so if we calculate this we may use it for KEPLER, too
"    It depends on the length of the input sequences. The inference computation of KEPLER is the same as RoBERTa (base) and you may estimate it with this."</t>
        </r>
      </text>
    </comment>
    <comment ref="J174" authorId="0">
      <text>
        <r>
          <rPr>
            <sz val="10"/>
            <rFont val="SimSun"/>
            <charset val="134"/>
          </rPr>
          <t>Archived link 
https://arxiv.org/pdf/1907.02544.pdf</t>
        </r>
      </text>
    </comment>
    <comment ref="N174" authorId="0">
      <text>
        <r>
          <rPr>
            <sz val="10"/>
            <rFont val="SimSun"/>
            <charset val="134"/>
          </rPr>
          <t>https://openai.com/blog/image-gpt/#rfref53</t>
        </r>
      </text>
    </comment>
    <comment ref="D175" authorId="0">
      <text>
        <r>
          <rPr>
            <sz val="10"/>
            <rFont val="SimSun"/>
            <charset val="134"/>
          </rPr>
          <t>Im a bit confused on Google Brain vs Google AI vs Google Research
	-Jaime Sevilla</t>
        </r>
      </text>
    </comment>
    <comment ref="J175" authorId="0">
      <text>
        <r>
          <rPr>
            <sz val="10"/>
            <rFont val="SimSun"/>
            <charset val="134"/>
          </rPr>
          <t>Archived link 
https://arxiv.org/pdf/1909.11942.pdf</t>
        </r>
      </text>
    </comment>
    <comment ref="N175" authorId="0">
      <text>
        <r>
          <rPr>
            <sz val="10"/>
            <rFont val="SimSun"/>
            <charset val="134"/>
          </rPr>
          <t>An ALBERT
configuration similar to BERT-large has 18x fewer parameters and can be trained about 1.7x faster.
----
Formula error here. ALBERT-large (main one, which has 18x fewer parameters than BERT-Large) has 1.80E+07 parameters. The cell reference for BERT is M352
	-Finn Hambly</t>
        </r>
      </text>
    </comment>
    <comment ref="Q175" authorId="0">
      <text>
        <r>
          <rPr>
            <sz val="10"/>
            <rFont val="SimSun"/>
            <charset val="134"/>
          </rPr>
          <t>Pretraining same as for BERT - Wikipedia and BookCorpus
"For the pre-training corpus we
use the BooksCorpus (800M words) (Zhu et al., 2015) and English Wikipedia (2,500M words)"</t>
        </r>
      </text>
    </comment>
    <comment ref="S175" authorId="0">
      <text>
        <r>
          <rPr>
            <sz val="10"/>
            <rFont val="SimSun"/>
            <charset val="134"/>
          </rPr>
          <t>Rados dataset  (FLOPs)
https://drive.google.com/drive/folders/1bhy5z6hh1n3wCHx6528Xb7xB1KhYdAL1</t>
        </r>
      </text>
    </comment>
    <comment ref="J176" authorId="0">
      <text>
        <r>
          <rPr>
            <sz val="10"/>
            <rFont val="SimSun"/>
            <charset val="134"/>
          </rPr>
          <t>Archived link 
https://arxiv.org/pdf/1910.01108.pdf</t>
        </r>
      </text>
    </comment>
    <comment ref="J177" authorId="0">
      <text>
        <r>
          <rPr>
            <sz val="10"/>
            <rFont val="SimSun"/>
            <charset val="134"/>
          </rPr>
          <t>Archived link 
https://arxiv.org/pdf/1910.13461.pdf</t>
        </r>
      </text>
    </comment>
    <comment ref="N177" authorId="0">
      <text>
        <r>
          <rPr>
            <sz val="10"/>
            <rFont val="SimSun"/>
            <charset val="134"/>
          </rPr>
          <t>"In total, BART contains roughly 10% more parameters than the equivalently sized BERT model."
I counted the parameters in the huggingface model
https://huggingface.co/facebook/bart-large/tree/main
from transformers import AutoTokenizer, AutoModel
tokenizer = AutoTokenizer.from_pretrained("facebook/bart-large")
model = AutoModel.from_pretrained("facebook/bart-large")
sum(p.numel() for p in model.parameters() if p.requires_grad)</t>
        </r>
      </text>
    </comment>
    <comment ref="J178" authorId="0">
      <text>
        <r>
          <rPr>
            <sz val="10"/>
            <rFont val="SimSun"/>
            <charset val="134"/>
          </rPr>
          <t>Archived link 
https://arxiv.org/pdf/1911.04252.pdf
https://web.archive.org/web/20220531041455/https://paperswithcode.com/paper/self-training-with-noisy-student-improves/review/</t>
        </r>
      </text>
    </comment>
    <comment ref="S178" authorId="0">
      <text>
        <r>
          <rPr>
            <sz val="10"/>
            <rFont val="SimSun"/>
            <charset val="134"/>
          </rPr>
          <t>Rados (FLOPs)
https://drive.google.com/drive/folders/1bhy5z6hh1n3wCHx6528Xb7xB1KhYdAL1</t>
        </r>
      </text>
    </comment>
    <comment ref="U178" authorId="0">
      <text>
        <r>
          <rPr>
            <sz val="10"/>
            <rFont val="SimSun"/>
            <charset val="134"/>
          </rPr>
          <t>"Xie et al. (2020) required 33 TPUv3 core-years to train their Noisy Student EfficientNet-L2"
https://arxiv.org/abs/2103.00020</t>
        </r>
      </text>
    </comment>
    <comment ref="J179" authorId="0">
      <text>
        <r>
          <rPr>
            <sz val="10"/>
            <rFont val="SimSun"/>
            <charset val="134"/>
          </rPr>
          <t>Archived link 
https://arxiv.org/pdf/1911.05722.pdf</t>
        </r>
      </text>
    </comment>
    <comment ref="N179" authorId="0">
      <text>
        <r>
          <rPr>
            <sz val="10"/>
            <rFont val="SimSun"/>
            <charset val="134"/>
          </rPr>
          <t>https://openai.com/blog/image-gpt/#rfref53</t>
        </r>
      </text>
    </comment>
    <comment ref="J180" authorId="0">
      <text>
        <r>
          <rPr>
            <sz val="10"/>
            <rFont val="SimSun"/>
            <charset val="134"/>
          </rPr>
          <t>Archived link 
https://arxiv.org/pdf/1911.11130.pdf</t>
        </r>
      </text>
    </comment>
    <comment ref="J181" authorId="0">
      <text>
        <r>
          <rPr>
            <sz val="10"/>
            <rFont val="SimSun"/>
            <charset val="134"/>
          </rPr>
          <t>Archived link 
https://arxiv.org/pdf/1912.01865.pdf</t>
        </r>
      </text>
    </comment>
    <comment ref="J182" authorId="0">
      <text>
        <r>
          <rPr>
            <sz val="10"/>
            <rFont val="SimSun"/>
            <charset val="134"/>
          </rPr>
          <t>Archived link 
https://arxiv.org/pdf/1912.11370.pdf</t>
        </r>
      </text>
    </comment>
    <comment ref="J183" authorId="0">
      <text>
        <r>
          <rPr>
            <sz val="10"/>
            <rFont val="SimSun"/>
            <charset val="134"/>
          </rPr>
          <t>Archived link 
https://arxiv.org/pdf/1809.11096.pdf</t>
        </r>
      </text>
    </comment>
    <comment ref="N183" authorId="0">
      <text>
        <r>
          <rPr>
            <sz val="10"/>
            <rFont val="SimSun"/>
            <charset val="134"/>
          </rPr>
          <t>I used the publicly available implementation available at [1]
There I loaded the biggan-deep512/1 model, and ran script [2] to compute the number of parameters
[1] https://colab.research.google.com/github/tensorflow/hub/blob/master/examples/colab/biggan_generation_with_tf_hub.ipynb
[2]
n_params = 0
for var in module.variables:
  n_params += np.prod(var.shape.as_list())
  pass
print(n_params)</t>
        </r>
      </text>
    </comment>
    <comment ref="O183" authorId="0">
      <text>
        <r>
          <rPr>
            <sz val="10"/>
            <rFont val="SimSun"/>
            <charset val="134"/>
          </rPr>
          <t>Estimate taken from here
https://www.lesswrong.com/posts/wfpdejMWog4vEDLDg/ai-and-compute-trend-isn-t-predictive-of-what-is-happening
----
Unclear if this refers to the deep version
	-Jaime Sevilla
And what image input size. 256 is the default, I am assuming that is the one it is referring to?
	-Jaime Sevilla
Turns out it is the 512x512 version
	-Jaime Sevilla</t>
        </r>
      </text>
    </comment>
    <comment ref="Q183" authorId="0">
      <text>
        <r>
          <rPr>
            <sz val="10"/>
            <rFont val="SimSun"/>
            <charset val="134"/>
          </rPr>
          <t>"To confirm that our design choices are effective for even larger and more complex and diverse datasets, we also present results of our system on a subset of JFT-300M (Sun et al., 2017). The full JFT-300M dataset contains 300M real-world images labeled with 18K categories. Since the category distribution is heavily long-tailed, we subsample the dataset to keep only images with the 8.5K most common labels. The resulting dataset contains 292M images – two orders of magnitude larger than ImageNet. "</t>
        </r>
      </text>
    </comment>
    <comment ref="B184" authorId="0">
      <text>
        <r>
          <rPr>
            <sz val="10"/>
            <rFont val="SimSun"/>
            <charset val="134"/>
          </rPr>
          <t>Arguably architecture search
	-Jaime Sevilla</t>
        </r>
      </text>
    </comment>
    <comment ref="J184" authorId="0">
      <text>
        <r>
          <rPr>
            <sz val="10"/>
            <rFont val="SimSun"/>
            <charset val="134"/>
          </rPr>
          <t>450 K40 GPUs for 20k models (approx. 7 days).
Archived link 
https://arxiv.org/pdf/1802.01548.pdf</t>
        </r>
      </text>
    </comment>
    <comment ref="N184" authorId="0">
      <text>
        <r>
          <rPr>
            <sz val="10"/>
            <rFont val="SimSun"/>
            <charset val="134"/>
          </rPr>
          <t>Table 2</t>
        </r>
      </text>
    </comment>
    <comment ref="O184" authorId="0">
      <text>
        <r>
          <rPr>
            <sz val="10"/>
            <rFont val="SimSun"/>
            <charset val="134"/>
          </rPr>
          <t xml:space="preserve">450 K40 GPUs for 20k models (approx. 7 days).
(From Imagenet paper-data, Besiroglu et al., forthcoming) </t>
        </r>
      </text>
    </comment>
    <comment ref="J185" authorId="0">
      <text>
        <r>
          <rPr>
            <sz val="10"/>
            <rFont val="SimSun"/>
            <charset val="134"/>
          </rPr>
          <t>Archived link 
https://arxiv.org/pdf/1810.04805.pdf</t>
        </r>
      </text>
    </comment>
    <comment ref="O185" authorId="0">
      <text>
        <r>
          <rPr>
            <sz val="10"/>
            <rFont val="SimSun"/>
            <charset val="134"/>
          </rPr>
          <t>more info here https://docs.google.com/document/d/1B8x6XYcmB1u6Tmq3VcbAtj5bzhDaj2TcIPyK6Wpupx4/edit?usp=sharing</t>
        </r>
      </text>
    </comment>
    <comment ref="Q185" authorId="0">
      <text>
        <r>
          <rPr>
            <sz val="10"/>
            <rFont val="SimSun"/>
            <charset val="134"/>
          </rPr>
          <t>"For the pre-training corpus we
use the BooksCorpus (800M words) (Zhu et al., 2015) and English Wikipedia (2,500M words)"</t>
        </r>
      </text>
    </comment>
    <comment ref="S185" authorId="0">
      <text>
        <r>
          <rPr>
            <sz val="10"/>
            <rFont val="SimSun"/>
            <charset val="134"/>
          </rPr>
          <t>Rados (FLOPs)
https://drive.google.com/drive/folders/1bhy5z6hh1n3wCHx6528Xb7xB1KhYdAL1
----
Inconsistent with https://github.com/amirgholami/ai_and_memory_wall
	-Anson Ho</t>
        </r>
      </text>
    </comment>
    <comment ref="J186" authorId="0">
      <text>
        <r>
          <rPr>
            <sz val="10"/>
            <rFont val="SimSun"/>
            <charset val="134"/>
          </rPr>
          <t>Archived link 
https://arxiv.org/pdf/1802.01561.pdf</t>
        </r>
      </text>
    </comment>
    <comment ref="N186" authorId="0">
      <text>
        <r>
          <rPr>
            <sz val="10"/>
            <rFont val="SimSun"/>
            <charset val="134"/>
          </rPr>
          <t>"Figure 3 in the paper states that the large architecture has 1.6 million parameters. I am using the large model because it was the only one trained on all the Atari games at once, which seems like the most impressive task in the suite."
Source: https://docs.google.com/spreadsheets/d/1Kj4Q5WADcDXtUJLIOfGTCE3tGvxNczEMwyy8QtgSkHk/edit#gid=54587040&amp;fvid=1361937389</t>
        </r>
      </text>
    </comment>
    <comment ref="O186" authorId="0">
      <text>
        <r>
          <rPr>
            <sz val="10"/>
            <rFont val="SimSun"/>
            <charset val="134"/>
          </rPr>
          <t>source: https://docs.google.com/spreadsheets/d/1Kj4Q5WADcDXtUJLIOfGTCE3tGvxNczEMwyy8QtgSkHk/edit#gid=54587040&amp;fvid=1361937389</t>
        </r>
      </text>
    </comment>
    <comment ref="Q186" authorId="0">
      <text>
        <r>
          <rPr>
            <sz val="10"/>
            <rFont val="SimSun"/>
            <charset val="134"/>
          </rPr>
          <t>From fig 6, there were 1e10 environment frames, and 24 agents. Thus we note down 2.4e11 for the "dataset size"</t>
        </r>
      </text>
    </comment>
    <comment ref="AB186" authorId="0">
      <text>
        <r>
          <rPr>
            <sz val="10"/>
            <rFont val="SimSun"/>
            <charset val="134"/>
          </rPr>
          <t>Not quite sure about this one</t>
        </r>
      </text>
    </comment>
    <comment ref="J187" authorId="0">
      <text>
        <r>
          <rPr>
            <sz val="10"/>
            <rFont val="SimSun"/>
            <charset val="134"/>
          </rPr>
          <t>Archived link 
https://arxiv.org/pdf/1804.02767.pdf</t>
        </r>
      </text>
    </comment>
    <comment ref="N187" authorId="0">
      <text>
        <r>
          <rPr>
            <sz val="10"/>
            <rFont val="SimSun"/>
            <charset val="134"/>
          </rPr>
          <t>Feature extractor (ignoring biases)
32*3*3*3 +
64*3*3*32 +
32*1*1*64 +
64*3*3*32 +
128*3*3*64 +
2*(64*1*1*128 +
128*3*3*64) +
256*3*3*128 +
8*(128*1*1*256 +
256*3*3*128) +
512*3*3*256 + 
8*(256*1*1*512 + 
512*3*3*256) + 
1024*3*3*512 + 
4*(512*1*1*1024 +
1024*3*3*512) +
8*8*1024*1000
source: table 1
----
Here I found a claim that it is 6.5e07 but by my calculations the feature extractor already has &gt;1e8 parameters
https://github.com/pjreddie/darknet/issues/1829
	-Jaime Sevilla</t>
        </r>
      </text>
    </comment>
    <comment ref="O187" authorId="0">
      <text>
        <r>
          <rPr>
            <sz val="10"/>
            <rFont val="SimSun"/>
            <charset val="134"/>
          </rPr>
          <t>We use the formula training_compute = ops_per_forward_pass * 3.5 * n_epochs * n_examples
Assuming 160 epochs of training as in https://arxiv.org/pdf/1612.08242.pdf</t>
        </r>
      </text>
    </comment>
    <comment ref="Q187" authorId="0">
      <text>
        <r>
          <rPr>
            <sz val="10"/>
            <rFont val="SimSun"/>
            <charset val="134"/>
          </rPr>
          <t>Source: https://image-net.org/download.php</t>
        </r>
      </text>
    </comment>
    <comment ref="S187" authorId="0">
      <text>
        <r>
          <rPr>
            <sz val="10"/>
            <rFont val="SimSun"/>
            <charset val="134"/>
          </rPr>
          <t>source: table 1 in https://arxiv.org/pdf/1911.09070.pdf
The backbone are 1.87e10 FLOP according to table 1 in https://arxiv.org/abs/1804.02767
----
The backbone are 1.87e10 FLOP according to table 1.
	-Jaime Sevilla</t>
        </r>
      </text>
    </comment>
    <comment ref="J188" authorId="0">
      <text>
        <r>
          <rPr>
            <sz val="10"/>
            <rFont val="SimSun"/>
            <charset val="134"/>
          </rPr>
          <t>Archived link 
https://arxiv.org/pdf/1807.01281.pdf</t>
        </r>
      </text>
    </comment>
    <comment ref="N188" authorId="0">
      <text>
        <r>
          <rPr>
            <sz val="10"/>
            <rFont val="SimSun"/>
            <charset val="134"/>
          </rPr>
          <t>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
Source: 
https://docs.google.com/spreadsheets/d/1Kj4Q5WADcDXtUJLIOfGTCE3tGvxNczEMwyy8QtgSkHk/edit#gid=54587040&amp;fvid=1361937389</t>
        </r>
      </text>
    </comment>
    <comment ref="O188" authorId="0">
      <text>
        <r>
          <rPr>
            <sz val="10"/>
            <rFont val="SimSun"/>
            <charset val="134"/>
          </rPr>
          <t>Source: 
https://docs.google.com/spreadsheets/d/1Kj4Q5WADcDXtUJLIOfGTCE3tGvxNczEMwyy8QtgSkHk/edit#gid=54587040&amp;fvid=1361937389</t>
        </r>
      </text>
    </comment>
    <comment ref="S188" authorId="0">
      <text>
        <r>
          <rPr>
            <sz val="10"/>
            <rFont val="SimSun"/>
            <charset val="134"/>
          </rPr>
          <t>"Agents were trained for two billion steps, corresponding to approximately 450K
games."
"We train a
population of 30 different agents together, which provides a diverse set of teammates and opponents to
play with, and is also used to evolve the internal rewards and hyperparameters of agents and learning
process"
30 * 2e9 = 6e10</t>
        </r>
      </text>
    </comment>
    <comment ref="J189" authorId="0">
      <text>
        <r>
          <rPr>
            <sz val="10"/>
            <rFont val="SimSun"/>
            <charset val="134"/>
          </rPr>
          <t>Archived link 
https://web.archive.org/web/20220531202208/https://openai.com/blog/language-unsupervised/</t>
        </r>
      </text>
    </comment>
    <comment ref="N189" authorId="0">
      <text>
        <r>
          <rPr>
            <sz val="10"/>
            <rFont val="SimSun"/>
            <charset val="134"/>
          </rPr>
          <t>"The model had 117M parameters in total."
source: https://medium.com/walmartglobaltech/the-journey-of-open-ai-gpt-models-32d95b7b7fb2</t>
        </r>
      </text>
    </comment>
    <comment ref="O189" authorId="0">
      <text>
        <r>
          <rPr>
            <sz val="10"/>
            <rFont val="SimSun"/>
            <charset val="134"/>
          </rPr>
          <t xml:space="preserve">COMPUTE = FORWARD COMPUTE PER TOKEN * 3 BACKWARD FORWARD ADJUSTMENT * EPOCHS * DATASET SIZE
"We train for 100 epochs on minibatches of 64 randomly sampled, contiguous sequences of 512 tokens."
</t>
        </r>
      </text>
    </comment>
    <comment ref="P189" authorId="0">
      <text>
        <r>
          <rPr>
            <sz val="10"/>
            <rFont val="SimSun"/>
            <charset val="134"/>
          </rPr>
          <t>"We use the BooksCorpus dataset [71] for training the language model"</t>
        </r>
      </text>
    </comment>
    <comment ref="Q189" authorId="0">
      <text>
        <r>
          <rPr>
            <sz val="10"/>
            <rFont val="SimSun"/>
            <charset val="134"/>
          </rPr>
          <t>"BookCorpus is a large collection of free novel books written by unpublished authors, which contains 11,038 books (around 74M sentences and 1G words) of 16 different sub-genres (e.g., Romance, Historical, Adventure, etc.)."
https://paperswithcode.com/dataset/bookcorpus
BookCorpus seems to have about 5000MB of content
source: https://huggingface.co/datasets/bookcorpusopen
Assuming a byte-pair encoder similar to GPT-2, there are 8 bytes / token.
So approximately 5000MB / 8 bytes / token = 5e9 / 8 tokens</t>
        </r>
      </text>
    </comment>
    <comment ref="S189" authorId="0">
      <text>
        <r>
          <rPr>
            <sz val="10"/>
            <rFont val="SimSun"/>
            <charset val="134"/>
          </rPr>
          <t>Rados dataset (FLOPs)
https://drive.google.com/drive/folders/1bhy5z6hh1n3wCHx6528Xb7xB1KhYdAL1
----
Inconsistent with https://github.com/amirgholami/ai_and_memory_wall
	-Anson Ho</t>
        </r>
      </text>
    </comment>
    <comment ref="J190" authorId="0">
      <text>
        <r>
          <rPr>
            <sz val="10"/>
            <rFont val="SimSun"/>
            <charset val="134"/>
          </rPr>
          <t>Archived link 
https://arxiv.org/pdf/1711.09349.pdf</t>
        </r>
      </text>
    </comment>
    <comment ref="J191" authorId="0">
      <text>
        <r>
          <rPr>
            <sz val="10"/>
            <rFont val="SimSun"/>
            <charset val="134"/>
          </rPr>
          <t>Archived link 
https://arxiv.org/pdf/1801.06146.pdf</t>
        </r>
      </text>
    </comment>
    <comment ref="J192" authorId="0">
      <text>
        <r>
          <rPr>
            <sz val="10"/>
            <rFont val="SimSun"/>
            <charset val="134"/>
          </rPr>
          <t>Archived link 
https://arxiv.org/pdf/1802.05365.pdf
https://web.archive.org/web/20220601011424/https://allenai.org/allennlp/software/elmo</t>
        </r>
      </text>
    </comment>
    <comment ref="O192" authorId="0">
      <text>
        <r>
          <rPr>
            <sz val="10"/>
            <rFont val="SimSun"/>
            <charset val="134"/>
          </rPr>
          <t>3300e12 - https://github.com/amirgholami/ai_and_memory_wall</t>
        </r>
      </text>
    </comment>
    <comment ref="S192" authorId="0">
      <text>
        <r>
          <rPr>
            <sz val="10"/>
            <rFont val="SimSun"/>
            <charset val="134"/>
          </rPr>
          <t>Rados dataset (FLOPs)
https://drive.google.com/drive/folders/1bhy5z6hh1n3wCHx6528Xb7xB1KhYdAL1</t>
        </r>
      </text>
    </comment>
    <comment ref="J193" authorId="0">
      <text>
        <r>
          <rPr>
            <sz val="10"/>
            <rFont val="SimSun"/>
            <charset val="134"/>
          </rPr>
          <t>Archived link 
https://arxiv.org/pdf/1802.01548.pdf</t>
        </r>
      </text>
    </comment>
    <comment ref="N193" authorId="0">
      <text>
        <r>
          <rPr>
            <sz val="10"/>
            <rFont val="SimSun"/>
            <charset val="134"/>
          </rPr>
          <t>Table 2</t>
        </r>
      </text>
    </comment>
    <comment ref="J194" authorId="0">
      <text>
        <r>
          <rPr>
            <sz val="10"/>
            <rFont val="SimSun"/>
            <charset val="134"/>
          </rPr>
          <t>Archived link 
https://arxiv.org/pdf/1802.02611v3.pdf</t>
        </r>
      </text>
    </comment>
    <comment ref="J195" authorId="0">
      <text>
        <r>
          <rPr>
            <sz val="10"/>
            <rFont val="SimSun"/>
            <charset val="134"/>
          </rPr>
          <t>Archived link 
https://arxiv.org/pdf/1802.05957.pdf</t>
        </r>
      </text>
    </comment>
    <comment ref="J196" authorId="0">
      <text>
        <r>
          <rPr>
            <sz val="10"/>
            <rFont val="SimSun"/>
            <charset val="134"/>
          </rPr>
          <t>Archived link 
https://web.archive.org/web/20220417184937/https://openaccess.thecvf.com/content_cvpr_2018/html/Zhang_Residual_Dense_Network_CVPR_2018_paper.html</t>
        </r>
      </text>
    </comment>
    <comment ref="G197" authorId="0">
      <text>
        <r>
          <rPr>
            <sz val="10"/>
            <rFont val="SimSun"/>
            <charset val="134"/>
          </rPr>
          <t>March 2018</t>
        </r>
      </text>
    </comment>
    <comment ref="J197" authorId="0">
      <text>
        <r>
          <rPr>
            <sz val="10"/>
            <rFont val="SimSun"/>
            <charset val="134"/>
          </rPr>
          <t>Archived link 
https://arxiv.org/pdf/1803.05567.pdf
https://web.archive.org/web/20220601011304/https://www.microsoft.com/en-us/research/publication/achieving-human-parity-on-automatic-chinese-to-english-news-translation/</t>
        </r>
      </text>
    </comment>
    <comment ref="J198" authorId="0">
      <text>
        <r>
          <rPr>
            <sz val="10"/>
            <rFont val="SimSun"/>
            <charset val="134"/>
          </rPr>
          <t>Archived link 
https://arxiv.org/pdf/1803.07728.pdf</t>
        </r>
      </text>
    </comment>
    <comment ref="N198" authorId="0">
      <text>
        <r>
          <rPr>
            <sz val="10"/>
            <rFont val="SimSun"/>
            <charset val="134"/>
          </rPr>
          <t>https://openai.com/blog/image-gpt/#rfref53</t>
        </r>
      </text>
    </comment>
    <comment ref="J199" authorId="0">
      <text>
        <r>
          <rPr>
            <sz val="10"/>
            <rFont val="SimSun"/>
            <charset val="134"/>
          </rPr>
          <t>Archived link 
https://arxiv.org/pdf/1805.00932.pdf
https://web.archive.org/web/20220531202219/https://paperswithcode.com/paper/exploring-the-limits-of-weakly-supervised</t>
        </r>
      </text>
    </comment>
    <comment ref="N199" authorId="0">
      <text>
        <r>
          <rPr>
            <sz val="10"/>
            <rFont val="SimSun"/>
            <charset val="134"/>
          </rPr>
          <t xml:space="preserve">Table 6
</t>
        </r>
      </text>
    </comment>
    <comment ref="O199" authorId="0">
      <text>
        <r>
          <rPr>
            <sz val="10"/>
            <rFont val="SimSun"/>
            <charset val="134"/>
          </rPr>
          <t>"Mahajan et al. (2018) required 19
GPU years to train their ResNeXt101-32x48d"
https://arxiv.org/abs/2103.00020</t>
        </r>
      </text>
    </comment>
    <comment ref="S199" authorId="0">
      <text>
        <r>
          <rPr>
            <sz val="10"/>
            <rFont val="SimSun"/>
            <charset val="134"/>
          </rPr>
          <t>Rados (FLOPs)
https://drive.google.com/drive/folders/1bhy5z6hh1n3wCHx6528Xb7xB1KhYdAL1</t>
        </r>
      </text>
    </comment>
    <comment ref="J200" authorId="0">
      <text>
        <r>
          <rPr>
            <sz val="10"/>
            <rFont val="SimSun"/>
            <charset val="134"/>
          </rPr>
          <t>Archived link 
https://arxiv.org/pdf/1801.04381.pdf
https://web.archive.org/web/20220531201935/https://ieeexplore.ieee.org/document/8578572</t>
        </r>
      </text>
    </comment>
    <comment ref="N200" authorId="0">
      <text>
        <r>
          <rPr>
            <sz val="10"/>
            <rFont val="SimSun"/>
            <charset val="134"/>
          </rPr>
          <t>Rados</t>
        </r>
      </text>
    </comment>
    <comment ref="S200" authorId="0">
      <text>
        <r>
          <rPr>
            <sz val="10"/>
            <rFont val="SimSun"/>
            <charset val="134"/>
          </rPr>
          <t>Rados (FLOPs)
https://drive.google.com/drive/folders/1bhy5z6hh1n3wCHx6528Xb7xB1KhYdAL1</t>
        </r>
      </text>
    </comment>
    <comment ref="J201" authorId="0">
      <text>
        <r>
          <rPr>
            <sz val="10"/>
            <rFont val="SimSun"/>
            <charset val="134"/>
          </rPr>
          <t>Archived link 
https://arxiv.org/pdf/1807.11164.pdf</t>
        </r>
      </text>
    </comment>
    <comment ref="S201" authorId="0">
      <text>
        <r>
          <rPr>
            <sz val="10"/>
            <rFont val="SimSun"/>
            <charset val="134"/>
          </rPr>
          <t>Rados (FLOPs)
https://drive.google.com/drive/folders/1bhy5z6hh1n3wCHx6528Xb7xB1KhYdAL1</t>
        </r>
      </text>
    </comment>
    <comment ref="J202" authorId="0">
      <text>
        <r>
          <rPr>
            <sz val="10"/>
            <rFont val="SimSun"/>
            <charset val="134"/>
          </rPr>
          <t>Archived link 
https://arxiv.org/pdf/1807.02758.pdf
https://web.archive.org/web/20220417185104/https://openaccess.thecvf.com/content_ECCV_2018/html/Yulun_Zhang_Image_Super-Resolution_Using_ECCV_2018_paper.html</t>
        </r>
      </text>
    </comment>
    <comment ref="J203" authorId="0">
      <text>
        <r>
          <rPr>
            <sz val="10"/>
            <rFont val="SimSun"/>
            <charset val="134"/>
          </rPr>
          <t>Archived link 
https://arxiv.org/pdf/1809.00219.pdf</t>
        </r>
      </text>
    </comment>
    <comment ref="J204" authorId="0">
      <text>
        <r>
          <rPr>
            <sz val="10"/>
            <rFont val="SimSun"/>
            <charset val="134"/>
          </rPr>
          <t>Archived link 
https://arxiv.org/pdf/1810.05017.pdf</t>
        </r>
      </text>
    </comment>
    <comment ref="N204" authorId="0">
      <text>
        <r>
          <rPr>
            <sz val="10"/>
            <rFont val="SimSun"/>
            <charset val="134"/>
          </rPr>
          <t>"This representational demand motivates the introduction of high-capacity deep neural networks. We found the architecture, shown in Figure 3, with residual connections, 20 convolution layers with 512 channels
for a total of 22 million parameters, and instance normalization to drastically improve performance, as shown in Figure 6 of the Experiments section."</t>
        </r>
      </text>
    </comment>
    <comment ref="J205" authorId="0">
      <text>
        <r>
          <rPr>
            <sz val="10"/>
            <rFont val="SimSun"/>
            <charset val="134"/>
          </rPr>
          <t>Archived link 
https://arxiv.org/pdf/1811.06965.pdf</t>
        </r>
      </text>
    </comment>
    <comment ref="N205" authorId="0">
      <text>
        <r>
          <rPr>
            <sz val="10"/>
            <rFont val="SimSun"/>
            <charset val="134"/>
          </rPr>
          <t>Section 4</t>
        </r>
      </text>
    </comment>
    <comment ref="Q205" authorId="0">
      <text>
        <r>
          <rPr>
            <sz val="10"/>
            <rFont val="SimSun"/>
            <charset val="134"/>
          </rPr>
          <t>Table 4</t>
        </r>
      </text>
    </comment>
    <comment ref="J206" authorId="0">
      <text>
        <r>
          <rPr>
            <sz val="10"/>
            <rFont val="SimSun"/>
            <charset val="134"/>
          </rPr>
          <t>Archived link 
https://arxiv.org/pdf/1811.06965.pdf</t>
        </r>
      </text>
    </comment>
    <comment ref="N206" authorId="0">
      <text>
        <r>
          <rPr>
            <sz val="10"/>
            <rFont val="SimSun"/>
            <charset val="134"/>
          </rPr>
          <t xml:space="preserve">Section 5: </t>
        </r>
      </text>
    </comment>
    <comment ref="Q206" authorId="0">
      <text>
        <r>
          <rPr>
            <sz val="10"/>
            <rFont val="SimSun"/>
            <charset val="134"/>
          </rPr>
          <t>[WORDS]
Section 5: "We use a
corpus of parallel documents over 102 languages and English, containing a total of 25 billion training examples, ranging from 10^4 to 10^9 per language"
10^9 sentences * 20 words per sentence</t>
        </r>
      </text>
    </comment>
    <comment ref="G207" authorId="0">
      <text>
        <r>
          <rPr>
            <sz val="10"/>
            <rFont val="SimSun"/>
            <charset val="134"/>
          </rPr>
          <t>On the deepmind webpage it says 18th instead of 19.  https://www.deepmind.com/publications/mastering-the-game-of-go-without-human-knowledge
	-Rene abc</t>
        </r>
      </text>
    </comment>
    <comment ref="J207" authorId="0">
      <text>
        <r>
          <rPr>
            <sz val="10"/>
            <rFont val="SimSun"/>
            <charset val="134"/>
          </rPr>
          <t xml:space="preserve">pdf link - https://hci.iwr.uni-heidelberg.de/system/files/private/downloads/36349047/report_florian_brunner.pdf
Archived link 
https://web.archive.org/web/20220606203628/https://hci.iwr.uni-heidelberg.de/system/files/private/downloads/36349047/report_florian_brunner.pdf
</t>
        </r>
      </text>
    </comment>
    <comment ref="N207" authorId="0">
      <text>
        <r>
          <rPr>
            <sz val="10"/>
            <rFont val="SimSun"/>
            <charset val="134"/>
          </rPr>
          <t>Quick calculation</t>
        </r>
      </text>
    </comment>
    <comment ref="O207" authorId="0">
      <text>
        <r>
          <rPr>
            <sz val="10"/>
            <rFont val="SimSun"/>
            <charset val="134"/>
          </rPr>
          <t>source: https://docs.google.com/spreadsheets/d/1Kj4Q5WADcDXtUJLIOfGTCE3tGvxNczEMwyy8QtgSkHk/edit#gid=54587040&amp;fvid=1361937389
AGZ had two models, one of which was small and another of which was large. The compute for AGZ is for the large model, which has 40 residual blocks instead of 20.</t>
        </r>
      </text>
    </comment>
    <comment ref="Q207" authorId="0">
      <text>
        <r>
          <rPr>
            <sz val="10"/>
            <rFont val="SimSun"/>
            <charset val="134"/>
          </rPr>
          <t>"Over the course of training, 29 million games of self-play were generated"
Approx 200 moves per Go game on average
https://homepages.cwi.nl/~aeb/go/misc/gostat.html
Thus 200 * 29e6 = 5.8e9</t>
        </r>
      </text>
    </comment>
    <comment ref="G208" authorId="0">
      <text>
        <r>
          <rPr>
            <sz val="10"/>
            <rFont val="SimSun"/>
            <charset val="134"/>
          </rPr>
          <t>Tehcnically not published until the paper for AlphaGo Zero was published, but this is when the model was first released to play against 60 Go players
https://deepmind.com/alphago-master-series</t>
        </r>
      </text>
    </comment>
    <comment ref="J208" authorId="0">
      <text>
        <r>
          <rPr>
            <sz val="10"/>
            <rFont val="SimSun"/>
            <charset val="134"/>
          </rPr>
          <t xml:space="preserve">pdf link - https://hci.iwr.uni-heidelberg.de/system/files/private/downloads/36349047/report_florian_brunner.pdf
Archived link 
https://web.archive.org/web/20220606203628/https://hci.iwr.uni-heidelberg.de/system/files/private/downloads/36349047/report_florian_brunner.pdf
</t>
        </r>
      </text>
    </comment>
    <comment ref="O208" authorId="0">
      <text>
        <r>
          <rPr>
            <sz val="10"/>
            <rFont val="SimSun"/>
            <charset val="134"/>
          </rPr>
          <t>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20 days (half of the total training time), I estimate the compute to be around half that of AGZ. I round this down to 1.5e23, and I expect this to only be accurate within an OOM.</t>
        </r>
      </text>
    </comment>
    <comment ref="J209" authorId="0">
      <text>
        <r>
          <rPr>
            <sz val="10"/>
            <rFont val="SimSun"/>
            <charset val="134"/>
          </rPr>
          <t>Archived link 
https://arxiv.org/pdf/1712.01815.pdf</t>
        </r>
      </text>
    </comment>
    <comment ref="O209" authorId="0">
      <text>
        <r>
          <rPr>
            <sz val="10"/>
            <rFont val="SimSun"/>
            <charset val="134"/>
          </rPr>
          <t>Extracted from AI and Compute (https://openai.com/blog/ai-and-compute/) charts by using https://automeris.io/WebPlotDigitizer/.</t>
        </r>
      </text>
    </comment>
    <comment ref="Q209" authorId="0">
      <text>
        <r>
          <rPr>
            <sz val="10"/>
            <rFont val="SimSun"/>
            <charset val="134"/>
          </rPr>
          <t>"We trained a separate instance of AlphaZero for each game. Training proceeded
for 700,000 steps"</t>
        </r>
      </text>
    </comment>
    <comment ref="S209" authorId="0">
      <text>
        <r>
          <rPr>
            <sz val="10"/>
            <rFont val="SimSun"/>
            <charset val="134"/>
          </rPr>
          <t>This post claims 0.8 seconds per move for the 40-day training version of the model (Go)
https://www.yuzeh.com/data/agz-cost.html</t>
        </r>
      </text>
    </comment>
    <comment ref="J210" authorId="0">
      <text>
        <r>
          <rPr>
            <sz val="10"/>
            <rFont val="SimSun"/>
            <charset val="134"/>
          </rPr>
          <t>Archived link 
https://web.archive.org/web/20220601012444/https://www.cs.cmu.edu/~noamb/papers/17-IJCAI-Libratus.pdf</t>
        </r>
      </text>
    </comment>
    <comment ref="L210" authorId="0">
      <text>
        <r>
          <rPr>
            <sz val="10"/>
            <rFont val="SimSun"/>
            <charset val="134"/>
          </rPr>
          <t>Claims to be first ML system to reach superhuman level at No Limit Poker Texas Hold Em</t>
        </r>
      </text>
    </comment>
    <comment ref="O210" authorId="0">
      <text>
        <r>
          <rPr>
            <sz val="10"/>
            <rFont val="SimSun"/>
            <charset val="134"/>
          </rPr>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25M core hours for 196 cores
2. We have  895 TFLOPS for 752 nodes a 2 CPUs a 14 cores
2.1 That's 42.5 GFLOPS per core.
3. Running this for 25M h
3.1 25 * 10^6 * 60 * 60 * 42.5 * 10^9 FLOP/S = 3.825e21 FLOPs
4. Assuming 30% utilization
 3.825e21 * 0.3
→ 1.1475e21 FLOPs</t>
        </r>
      </text>
    </comment>
    <comment ref="U210" authorId="0">
      <text>
        <r>
          <rPr>
            <sz val="10"/>
            <rFont val="SimSun"/>
            <charset val="134"/>
          </rPr>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t>
        </r>
      </text>
    </comment>
    <comment ref="A211" authorId="0">
      <text>
        <r>
          <rPr>
            <sz val="10"/>
            <rFont val="SimSun"/>
            <charset val="134"/>
          </rPr>
          <t>We need a reference and parameter counts for this @js_denain@berkeley.edu can you work on it?
_Assigned to Jean-Stanislas Denain_
	-Jaime Sevilla
Sure, I'll work on this this weekend!
	-Jean-Stanislas Denain
I've added a link to the blog on some information. Please check.
	-Lennart Heim</t>
        </r>
      </text>
    </comment>
    <comment ref="F211" authorId="0">
      <text>
        <r>
          <rPr>
            <sz val="10"/>
            <rFont val="SimSun"/>
            <charset val="134"/>
          </rPr>
          <t xml:space="preserve">Same authors from the article from row 245
</t>
        </r>
      </text>
    </comment>
    <comment ref="N211" authorId="0">
      <text>
        <r>
          <rPr>
            <sz val="10"/>
            <rFont val="SimSun"/>
            <charset val="134"/>
          </rPr>
          <t xml:space="preserve">Section 4: we used a model with over 150 million parameters
</t>
        </r>
      </text>
    </comment>
    <comment ref="O211" authorId="0">
      <text>
        <r>
          <rPr>
            <sz val="10"/>
            <rFont val="SimSun"/>
            <charset val="134"/>
          </rPr>
          <t>Extracted from AI and Compute (https://openai.com/blog/ai-and-compute/) charts by using https://automeris.io/WebPlotDigitizer/.</t>
        </r>
      </text>
    </comment>
    <comment ref="J212" authorId="0">
      <text>
        <r>
          <rPr>
            <sz val="10"/>
            <rFont val="SimSun"/>
            <charset val="134"/>
          </rPr>
          <t>Archived link 
https://arxiv.org/pdf/1707.02968.pdf</t>
        </r>
      </text>
    </comment>
    <comment ref="O212" authorId="0">
      <text>
        <r>
          <rPr>
            <sz val="10"/>
            <rFont val="SimSun"/>
            <charset val="134"/>
          </rPr>
          <t xml:space="preserve">2 months * 30 days * 50 K80 GPUs (5.60E+12 FLOPS/GPU) * 24 * 3600 * 0.33 = </t>
        </r>
      </text>
    </comment>
    <comment ref="C213" authorId="0">
      <text>
        <r>
          <rPr>
            <sz val="10"/>
            <rFont val="SimSun"/>
            <charset val="134"/>
          </rPr>
          <t>Maybe add one entry for each task / system
	-Jaime Sevilla</t>
        </r>
      </text>
    </comment>
    <comment ref="J213" authorId="0">
      <text>
        <r>
          <rPr>
            <sz val="10"/>
            <rFont val="SimSun"/>
            <charset val="134"/>
          </rPr>
          <t>Archived link 
https://arxiv.org/pdf/1701.06538.pdf</t>
        </r>
      </text>
    </comment>
    <comment ref="N213" authorId="0">
      <text>
        <r>
          <rPr>
            <sz val="10"/>
            <rFont val="SimSun"/>
            <charset val="134"/>
          </rPr>
          <t>Table 5
https://arxiv.org/abs/1701.06538</t>
        </r>
      </text>
    </comment>
    <comment ref="O213" authorId="0">
      <text>
        <r>
          <rPr>
            <sz val="10"/>
            <rFont val="SimSun"/>
            <charset val="134"/>
          </rPr>
          <t xml:space="preserve">12 days 
64 NVIDIA K40 GPUS (see hardware data sheet for performance)
0.33 util rate
 </t>
        </r>
      </text>
    </comment>
    <comment ref="Q213" authorId="0">
      <text>
        <r>
          <rPr>
            <sz val="10"/>
            <rFont val="SimSun"/>
            <charset val="134"/>
          </rPr>
          <t>[WORDS]
"We constructed a similar training set consisting of shuffled unique sentences from Google’s internal
news corpus, totalling roughly 100 billion words"</t>
        </r>
      </text>
    </comment>
    <comment ref="J214" authorId="0">
      <text>
        <r>
          <rPr>
            <sz val="10"/>
            <rFont val="SimSun"/>
            <charset val="134"/>
          </rPr>
          <t>Archived link 
https://arxiv.org/pdf/1712.00559.pdf</t>
        </r>
      </text>
    </comment>
    <comment ref="O214" authorId="0">
      <text>
        <r>
          <rPr>
            <sz val="10"/>
            <rFont val="SimSun"/>
            <charset val="134"/>
          </rPr>
          <t xml:space="preserve">8 times less compute than Zoph (2018), which used 500 p100s for 4 days.
(From Imagenet paper-data, Besiroglu et al., forthcoming) </t>
        </r>
      </text>
    </comment>
    <comment ref="J215" authorId="0">
      <text>
        <r>
          <rPr>
            <sz val="10"/>
            <rFont val="SimSun"/>
            <charset val="134"/>
          </rPr>
          <t>Archived link 
https://web.archive.org/web/20220529223806/https://proceedings.neurips.cc/paper/2017/file/3f5ee243547dee91fbd053c1c4a845aa-Paper.pdf</t>
        </r>
      </text>
    </comment>
    <comment ref="N215" authorId="0">
      <text>
        <r>
          <rPr>
            <sz val="10"/>
            <rFont val="SimSun"/>
            <charset val="134"/>
          </rPr>
          <t>This page suggests the transformer has 213M parameters.
"Although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
https://ricardokleinklein.github.io/2017/11/16/Attention-is-all-you-need.html</t>
        </r>
      </text>
    </comment>
    <comment ref="O215" authorId="0">
      <text>
        <r>
          <rPr>
            <sz val="10"/>
            <rFont val="SimSun"/>
            <charset val="134"/>
          </rPr>
          <t>"The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t>
        </r>
      </text>
    </comment>
    <comment ref="Q215" authorId="0">
      <text>
        <r>
          <rPr>
            <sz val="10"/>
            <rFont val="SimSun"/>
            <charset val="134"/>
          </rPr>
          <t>[WORDS]
"For English-French, we used the significantly larger WMT
2014 English-French dataset consisting of 36M sentences and split tokens into a 32000 word-piece vocabulary [31]"</t>
        </r>
      </text>
    </comment>
    <comment ref="S215" authorId="0">
      <text>
        <r>
          <rPr>
            <sz val="10"/>
            <rFont val="SimSun"/>
            <charset val="134"/>
          </rPr>
          <t>Source: rados dataset (FLOPs)
https://drive.google.com/drive/folders/1bhy5z6hh1n3wCHx6528Xb7xB1KhYdAL1</t>
        </r>
      </text>
    </comment>
    <comment ref="U215" authorId="0">
      <text>
        <r>
          <rPr>
            <sz val="10"/>
            <rFont val="SimSun"/>
            <charset val="134"/>
          </rPr>
          <t>We trained our models on one machine with 8 NVIDIA P100 GPUs. For our base models using
the hyperparameters described throughout the paper, each training step took about 0.4 seconds. We trained the base models for a total of 100,000 steps or 12 hours. For our big models,(described on the
bottom line of table 3), step time was 1.0 seconds. The big models were trained for 300,000 steps
(3.5 days).</t>
        </r>
      </text>
    </comment>
    <comment ref="J216" authorId="0">
      <text>
        <r>
          <rPr>
            <sz val="10"/>
            <rFont val="SimSun"/>
            <charset val="134"/>
          </rPr>
          <t>Archived link 
https://arxiv.org/pdf/1701.01724.pdf</t>
        </r>
      </text>
    </comment>
    <comment ref="N216" authorId="0">
      <text>
        <r>
          <rPr>
            <sz val="10"/>
            <rFont val="SimSun"/>
            <charset val="134"/>
          </rPr>
          <t>Figure 3, p.9
source: https://docs.google.com/spreadsheets/d/1Kj4Q5WADcDXtUJLIOfGTCE3tGvxNczEMwyy8QtgSkHk/edit#gid=54587040&amp;fvid=1361937389</t>
        </r>
      </text>
    </comment>
    <comment ref="O216" authorId="0">
      <text>
        <r>
          <rPr>
            <sz val="10"/>
            <rFont val="SimSun"/>
            <charset val="134"/>
          </rPr>
          <t>source: https://docs.google.com/spreadsheets/d/1Kj4Q5WADcDXtUJLIOfGTCE3tGvxNczEMwyy8QtgSkHk/edit#gid=54587040&amp;fvid=1361937389</t>
        </r>
      </text>
    </comment>
    <comment ref="Q216" authorId="0">
      <text>
        <r>
          <rPr>
            <sz val="10"/>
            <rFont val="SimSun"/>
            <charset val="134"/>
          </rPr>
          <t>"The turn network was trained by solving 10 million randomly generated poker turn
games. These turn games used randomly generated ranges, public cards, and a random pot
size (10)."</t>
        </r>
      </text>
    </comment>
    <comment ref="J217" authorId="0">
      <text>
        <r>
          <rPr>
            <sz val="10"/>
            <rFont val="SimSun"/>
            <charset val="134"/>
          </rPr>
          <t>Archived link 
https://arxiv.org/pdf/1608.03981.pdf
https://web.archive.org/web/20220601012426/https://ieeexplore.ieee.org/abstract/document/7839189</t>
        </r>
      </text>
    </comment>
    <comment ref="J218" authorId="0">
      <text>
        <r>
          <rPr>
            <sz val="10"/>
            <rFont val="SimSun"/>
            <charset val="134"/>
          </rPr>
          <t>Archived link 
https://arxiv.org/pdf/1703.05175.pdf</t>
        </r>
      </text>
    </comment>
    <comment ref="J219" authorId="0">
      <text>
        <r>
          <rPr>
            <sz val="10"/>
            <rFont val="SimSun"/>
            <charset val="134"/>
          </rPr>
          <t>Archived link 
https://arxiv.org/pdf/1703.06870.pdf</t>
        </r>
      </text>
    </comment>
    <comment ref="U219" authorId="0">
      <text>
        <r>
          <rPr>
            <sz val="10"/>
            <rFont val="SimSun"/>
            <charset val="134"/>
          </rPr>
          <t>Training with
ResNet-50-FPN on COCO trainval35k takes 32 hours
in our synchronized 8-GPU implementation (0.72s per 16-
image mini-batch), and 44 hours with ResNet-101-FPN</t>
        </r>
      </text>
    </comment>
    <comment ref="V219" authorId="0">
      <text>
        <r>
          <rPr>
            <sz val="10"/>
            <rFont val="SimSun"/>
            <charset val="134"/>
          </rPr>
          <t>"This model
runs at 195ms per image on an Nvidia Tesla M40 GPU"</t>
        </r>
      </text>
    </comment>
    <comment ref="J220" authorId="0">
      <text>
        <r>
          <rPr>
            <sz val="10"/>
            <rFont val="SimSun"/>
            <charset val="134"/>
          </rPr>
          <t>Archived link 
https://arxiv.org/pdf/1704.00028.pdf</t>
        </r>
      </text>
    </comment>
    <comment ref="J221" authorId="0">
      <text>
        <r>
          <rPr>
            <sz val="10"/>
            <rFont val="SimSun"/>
            <charset val="134"/>
          </rPr>
          <t>Archived link 
https://arxiv.org/pdf/1704.04861.pdf</t>
        </r>
      </text>
    </comment>
    <comment ref="S221" authorId="0">
      <text>
        <r>
          <rPr>
            <sz val="10"/>
            <rFont val="SimSun"/>
            <charset val="134"/>
          </rPr>
          <t>Rados (FLOPs)
https://drive.google.com/drive/folders/1bhy5z6hh1n3wCHx6528Xb7xB1KhYdAL1</t>
        </r>
      </text>
    </comment>
    <comment ref="J222" authorId="0">
      <text>
        <r>
          <rPr>
            <sz val="10"/>
            <rFont val="SimSun"/>
            <charset val="134"/>
          </rPr>
          <t>Archived link 
https://arxiv.org/pdf/1606.00915.pdf
https://web.archive.org/web/20220601012414/https://ieeexplore.ieee.org/abstract/document/7913730</t>
        </r>
      </text>
    </comment>
    <comment ref="J223" authorId="0">
      <text>
        <r>
          <rPr>
            <sz val="10"/>
            <rFont val="SimSun"/>
            <charset val="134"/>
          </rPr>
          <t>Archived link 
https://arxiv.org/pdf/1609.04802.pdf
https://web.archive.org/web/20220525060817/https://openaccess.thecvf.com/content_cvpr_2017/html/Ledig_Photo-Realistic_Single_Image_CVPR_2017_paper.html</t>
        </r>
      </text>
    </comment>
    <comment ref="J224" authorId="0">
      <text>
        <r>
          <rPr>
            <sz val="10"/>
            <rFont val="SimSun"/>
            <charset val="134"/>
          </rPr>
          <t>Archived link 
https://arxiv.org/pdf/1705.07750.pdf</t>
        </r>
      </text>
    </comment>
    <comment ref="J225" authorId="0">
      <text>
        <r>
          <rPr>
            <sz val="10"/>
            <rFont val="SimSun"/>
            <charset val="134"/>
          </rPr>
          <t>Archived link 
https://arxiv.org/pdf/1706.02413.pdf</t>
        </r>
      </text>
    </comment>
    <comment ref="J226" authorId="0">
      <text>
        <r>
          <rPr>
            <sz val="10"/>
            <rFont val="SimSun"/>
            <charset val="134"/>
          </rPr>
          <t>Archived link 
https://arxiv.org/pdf/1707.02921.pdf</t>
        </r>
      </text>
    </comment>
    <comment ref="J227" authorId="0">
      <text>
        <r>
          <rPr>
            <sz val="10"/>
            <rFont val="SimSun"/>
            <charset val="134"/>
          </rPr>
          <t>Archived link 
https://arxiv.org/pdf/1706.04208.pdf</t>
        </r>
      </text>
    </comment>
    <comment ref="J228" authorId="0">
      <text>
        <r>
          <rPr>
            <sz val="10"/>
            <rFont val="SimSun"/>
            <charset val="134"/>
          </rPr>
          <t>Archived link 
https://arxiv.org/pdf/1706.05587.pdf</t>
        </r>
      </text>
    </comment>
    <comment ref="J229" authorId="0">
      <text>
        <r>
          <rPr>
            <sz val="10"/>
            <rFont val="SimSun"/>
            <charset val="134"/>
          </rPr>
          <t>Archived link 
https://arxiv.org/pdf/1706.08500v1.pdf</t>
        </r>
      </text>
    </comment>
    <comment ref="J230" authorId="0">
      <text>
        <r>
          <rPr>
            <sz val="10"/>
            <rFont val="SimSun"/>
            <charset val="134"/>
          </rPr>
          <t>Archived link 
https://arxiv.org/pdf/1706.10295v3.pdf</t>
        </r>
      </text>
    </comment>
    <comment ref="J231" authorId="0">
      <text>
        <r>
          <rPr>
            <sz val="10"/>
            <rFont val="SimSun"/>
            <charset val="134"/>
          </rPr>
          <t>Archived link 
https://arxiv.org/pdf/1707.01083.pdf</t>
        </r>
      </text>
    </comment>
    <comment ref="S231" authorId="0">
      <text>
        <r>
          <rPr>
            <sz val="10"/>
            <rFont val="SimSun"/>
            <charset val="134"/>
          </rPr>
          <t>Table 4 (ShuffleNet 1x, g=8)
https://arxiv.org/abs/1707.01083</t>
        </r>
      </text>
    </comment>
    <comment ref="J232" authorId="0">
      <text>
        <r>
          <rPr>
            <sz val="10"/>
            <rFont val="SimSun"/>
            <charset val="134"/>
          </rPr>
          <t>Archived link 
https://arxiv.org/pdf/1707.07012.pdf</t>
        </r>
      </text>
    </comment>
    <comment ref="J233" authorId="0">
      <text>
        <r>
          <rPr>
            <sz val="10"/>
            <rFont val="SimSun"/>
            <charset val="134"/>
          </rPr>
          <t>Archived link 
https://arxiv.org/pdf/1612.01105.pdf
https://web.archive.org/web/20220601012141/https://ieeexplore.ieee.org/document/8100143</t>
        </r>
      </text>
    </comment>
    <comment ref="J234" authorId="0">
      <text>
        <r>
          <rPr>
            <sz val="10"/>
            <rFont val="SimSun"/>
            <charset val="134"/>
          </rPr>
          <t>Archived link 
https://arxiv.org/pdf/1708.02002.pdf</t>
        </r>
      </text>
    </comment>
    <comment ref="N234" authorId="0">
      <text>
        <r>
          <rPr>
            <sz val="10"/>
            <rFont val="SimSun"/>
            <charset val="134"/>
          </rPr>
          <t>source: table 2 in https://arxiv.org/pdf/1911.09070.pdf</t>
        </r>
      </text>
    </comment>
    <comment ref="S234" authorId="0">
      <text>
        <r>
          <rPr>
            <sz val="10"/>
            <rFont val="SimSun"/>
            <charset val="134"/>
          </rPr>
          <t>source: table 2 in https://arxiv.org/pdf/1911.09070.pdf</t>
        </r>
      </text>
    </comment>
    <comment ref="J235" authorId="0">
      <text>
        <r>
          <rPr>
            <sz val="10"/>
            <rFont val="SimSun"/>
            <charset val="134"/>
          </rPr>
          <t>Archived link 
https://arxiv.org/pdf/1708.02002.pdf</t>
        </r>
      </text>
    </comment>
    <comment ref="N235" authorId="0">
      <text>
        <r>
          <rPr>
            <sz val="10"/>
            <rFont val="SimSun"/>
            <charset val="134"/>
          </rPr>
          <t>source: table 2 in https://arxiv.org/pdf/1911.09070.pdf</t>
        </r>
      </text>
    </comment>
    <comment ref="S235" authorId="0">
      <text>
        <r>
          <rPr>
            <sz val="10"/>
            <rFont val="SimSun"/>
            <charset val="134"/>
          </rPr>
          <t>source: table 2 in https://arxiv.org/pdf/1911.09070.pdf</t>
        </r>
      </text>
    </comment>
    <comment ref="J236" authorId="0">
      <text>
        <r>
          <rPr>
            <sz val="10"/>
            <rFont val="SimSun"/>
            <charset val="134"/>
          </rPr>
          <t>Archived link 
https://arxiv.org/pdf/1708.05031.pdf</t>
        </r>
      </text>
    </comment>
    <comment ref="AA236" authorId="0">
      <text>
        <r>
          <rPr>
            <sz val="10"/>
            <rFont val="SimSun"/>
            <charset val="134"/>
          </rPr>
          <t>https://www.yuzeh.com/data/agz-cost.html</t>
        </r>
      </text>
    </comment>
    <comment ref="J237" authorId="0">
      <text>
        <r>
          <rPr>
            <sz val="10"/>
            <rFont val="SimSun"/>
            <charset val="134"/>
          </rPr>
          <t>Archived link 
https://arxiv.org/pdf/1708.05031.pdf</t>
        </r>
      </text>
    </comment>
    <comment ref="J238" authorId="0">
      <text>
        <r>
          <rPr>
            <sz val="10"/>
            <rFont val="SimSun"/>
            <charset val="134"/>
          </rPr>
          <t>Archived link 
https://arxiv.org/pdf/1709.01507.pdf</t>
        </r>
      </text>
    </comment>
    <comment ref="N238" authorId="0">
      <text>
        <r>
          <rPr>
            <sz val="10"/>
            <rFont val="SimSun"/>
            <charset val="134"/>
          </rPr>
          <t>Table 16</t>
        </r>
      </text>
    </comment>
    <comment ref="S238" authorId="0">
      <text>
        <r>
          <rPr>
            <sz val="10"/>
            <rFont val="SimSun"/>
            <charset val="134"/>
          </rPr>
          <t>Table 16</t>
        </r>
      </text>
    </comment>
    <comment ref="J239" authorId="0">
      <text>
        <r>
          <rPr>
            <sz val="10"/>
            <rFont val="SimSun"/>
            <charset val="134"/>
          </rPr>
          <t>Archived link 
https://arxiv.org/pdf/1701.07717.pdf
https://web.archive.org/web/20220601011438/https://ieeexplore.ieee.org/document/8237667/citations</t>
        </r>
      </text>
    </comment>
    <comment ref="J240" authorId="0">
      <text>
        <r>
          <rPr>
            <sz val="10"/>
            <rFont val="SimSun"/>
            <charset val="134"/>
          </rPr>
          <t>Archived link 
https://arxiv.org/pdf/1710.09829.pdf</t>
        </r>
      </text>
    </comment>
    <comment ref="N240" authorId="0">
      <text>
        <r>
          <rPr>
            <sz val="10"/>
            <rFont val="SimSun"/>
            <charset val="134"/>
          </rPr>
          <t>"In terms of number of parameters the baseline has 35.4M while CapsNet
has 8.2M parameters and 6.8M parameters without the reconstruction subnetwork"</t>
        </r>
      </text>
    </comment>
    <comment ref="J241" authorId="0">
      <text>
        <r>
          <rPr>
            <sz val="10"/>
            <rFont val="SimSun"/>
            <charset val="134"/>
          </rPr>
          <t>Archived link 
https://arxiv.org/pdf/1710.09829.pdf</t>
        </r>
      </text>
    </comment>
    <comment ref="N241" authorId="0">
      <text>
        <r>
          <rPr>
            <sz val="10"/>
            <rFont val="SimSun"/>
            <charset val="134"/>
          </rPr>
          <t>"This model has 24.56M parameters which is 2 times more parameters
than CapsNet with 11.36M parameters."</t>
        </r>
      </text>
    </comment>
    <comment ref="J242" authorId="0">
      <text>
        <r>
          <rPr>
            <sz val="10"/>
            <rFont val="SimSun"/>
            <charset val="134"/>
          </rPr>
          <t>Archived link 
https://arxiv.org/pdf/1710.10196.pdf</t>
        </r>
      </text>
    </comment>
    <comment ref="J243" authorId="0">
      <text>
        <r>
          <rPr>
            <sz val="10"/>
            <rFont val="SimSun"/>
            <charset val="134"/>
          </rPr>
          <t>Archived link
https://arxiv.org/pdf/1703.07737.pdf</t>
        </r>
      </text>
    </comment>
    <comment ref="J244" authorId="0">
      <text>
        <r>
          <rPr>
            <sz val="10"/>
            <rFont val="SimSun"/>
            <charset val="134"/>
          </rPr>
          <t>Archived link 
https://arxiv.org/pdf/1712.00559.pdf</t>
        </r>
      </text>
    </comment>
    <comment ref="J245" authorId="0">
      <text>
        <r>
          <rPr>
            <sz val="10"/>
            <rFont val="SimSun"/>
            <charset val="134"/>
          </rPr>
          <t>Archived link 
https://web.archive.org/web/20220417182101/https://research.google/pubs/pub45610/</t>
        </r>
      </text>
    </comment>
    <comment ref="N245" authorId="0">
      <text>
        <r>
          <rPr>
            <sz val="10"/>
            <rFont val="SimSun"/>
            <charset val="134"/>
          </rPr>
          <t>Table 5 in 'Outrageously Large Neural Networks: The Sparsely-Gated Mixture-of-Experts Layer'
https://arxiv.org/abs/1701.06538</t>
        </r>
      </text>
    </comment>
    <comment ref="O245" authorId="0">
      <text>
        <r>
          <rPr>
            <sz val="10"/>
            <rFont val="SimSun"/>
            <charset val="134"/>
          </rPr>
          <t>sqrt(10 * 100) factor added because production model used 2-3 orders of magnitude more data, but only 1 epoch rather than 10.
96 K80 GPU’s * 9 days * 8.5 TFLOPS * 0.33 utilization * sqrt(10 * 100)  
= 6.9e6 PF = 79 pfs-days
source: https://openai.com/blog/ai-and-compute/
----
What is the justification for this datapoint?
	-Jaime Sevilla
I'd also like to know.
I see 6 days on 96 NVIDIA K80 GPUs. With util=0.33, this is 9E19 FLOPS on my count. That said, I'm not super confident they only trained for 6 days.
	-Tamay Besiroglu
_Marked as resolved_
	-Jaime Sevilla
_Re-opened_
	-Jaime Sevilla</t>
        </r>
      </text>
    </comment>
    <comment ref="Q245" authorId="0">
      <text>
        <r>
          <rPr>
            <sz val="10"/>
            <rFont val="SimSun"/>
            <charset val="134"/>
          </rPr>
          <t>[WORDS]
" On WMT En→Fr, the training set contains 36M sentence pairs. On WMT En→De, the training set contains 5M sentence pairs."
36M sentences * 10 words/sentence</t>
        </r>
      </text>
    </comment>
    <comment ref="J246" authorId="0">
      <text>
        <r>
          <rPr>
            <sz val="10"/>
            <rFont val="SimSun"/>
            <charset val="134"/>
          </rPr>
          <t>Archived link 
https://arxiv.org/pdf/1611.01578.pdf</t>
        </r>
      </text>
    </comment>
    <comment ref="N246" authorId="0">
      <text>
        <r>
          <rPr>
            <sz val="10"/>
            <rFont val="SimSun"/>
            <charset val="134"/>
          </rPr>
          <t>Table 1</t>
        </r>
      </text>
    </comment>
    <comment ref="O246" authorId="0">
      <text>
        <r>
          <rPr>
            <sz val="10"/>
            <rFont val="SimSun"/>
            <charset val="134"/>
          </rPr>
          <t>50 epochs * 50,000 images * 10.0 GFLOPSs * 12800 networks * 2 add-multiply * 3 backward pass 
= 1.9e6 PF = 22 pfs-days
source: https://openai.com/blog/ai-and-compute/</t>
        </r>
      </text>
    </comment>
    <comment ref="R246" authorId="0">
      <text>
        <r>
          <rPr>
            <sz val="10"/>
            <rFont val="SimSun"/>
            <charset val="134"/>
          </rPr>
          <t>Table 1</t>
        </r>
      </text>
    </comment>
    <comment ref="J247" authorId="0">
      <text>
        <r>
          <rPr>
            <sz val="10"/>
            <rFont val="SimSun"/>
            <charset val="134"/>
          </rPr>
          <t xml:space="preserve">pdf link - https://hci.iwr.uni-heidelberg.de/system/files/private/downloads/36349047/report_florian_brunner.pdf
Archived link 
https://web.archive.org/web/20220606203628/https://hci.iwr.uni-heidelberg.de/system/files/private/downloads/36349047/report_florian_brunner.pdf
</t>
        </r>
      </text>
    </comment>
    <comment ref="O247" authorId="0">
      <text>
        <r>
          <rPr>
            <sz val="10"/>
            <rFont val="SimSun"/>
            <charset val="134"/>
          </rPr>
          <t>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t>
        </r>
      </text>
    </comment>
    <comment ref="Q247" authorId="0">
      <text>
        <r>
          <rPr>
            <sz val="10"/>
            <rFont val="SimSun"/>
            <charset val="134"/>
          </rPr>
          <t>We trained the policy network pσ to classify positions according to expert moves played in the KGS data set. This data set contains 29.4 million positions from 160,000 games played by KGS 6 to 9 dan human players; 35.4% of the games are handicap games.
----
The value network was trained separately on 30 million positions extracted from self play
	-Jaime Sevilla
_Marked as resolved_
	-Jaime Sevilla
_Re-opened_
	-Jaime Sevilla</t>
        </r>
      </text>
    </comment>
    <comment ref="J248" authorId="0">
      <text>
        <r>
          <rPr>
            <sz val="10"/>
            <rFont val="SimSun"/>
            <charset val="134"/>
          </rPr>
          <t>Archived link 
https://arxiv.org/abs/1610.02357.pdf</t>
        </r>
      </text>
    </comment>
    <comment ref="N248" authorId="0">
      <text>
        <r>
          <rPr>
            <sz val="10"/>
            <rFont val="SimSun"/>
            <charset val="134"/>
          </rPr>
          <t>Table 3</t>
        </r>
      </text>
    </comment>
    <comment ref="O248" authorId="0">
      <text>
        <r>
          <rPr>
            <sz val="10"/>
            <rFont val="SimSun"/>
            <charset val="134"/>
          </rPr>
          <t>60 K80 GPU’s * 3 days * 8.5 TFLOPS/GPU * 0.33 utilization 
= 4.4e4 PF = 0.44 pfs-days</t>
        </r>
      </text>
    </comment>
    <comment ref="P248" authorId="0">
      <text>
        <r>
          <rPr>
            <sz val="10"/>
            <rFont val="SimSun"/>
            <charset val="134"/>
          </rPr>
          <t>Also ImageNet, but JFT is significantly larger</t>
        </r>
      </text>
    </comment>
    <comment ref="Q248" authorId="0">
      <text>
        <r>
          <rPr>
            <sz val="10"/>
            <rFont val="SimSun"/>
            <charset val="134"/>
          </rPr>
          <t>"JFT is an internal Google dataset for large-scale image classification dataset, first introduced by Hinton et al. in [5], which comprises over 350 million high-resolution images annotated with labels from a set of 17,000 classes. To evaluate the performance of a model trained on JFT, we use an auxiliary dataset, FastEval14k"</t>
        </r>
      </text>
    </comment>
    <comment ref="S248" authorId="0">
      <text>
        <r>
          <rPr>
            <sz val="10"/>
            <rFont val="SimSun"/>
            <charset val="134"/>
          </rPr>
          <t>Rados (FLOPs)
https://drive.google.com/drive/folders/1bhy5z6hh1n3wCHx6528Xb7xB1KhYdAL1</t>
        </r>
      </text>
    </comment>
    <comment ref="J249" authorId="0">
      <text>
        <r>
          <rPr>
            <sz val="10"/>
            <rFont val="SimSun"/>
            <charset val="134"/>
          </rPr>
          <t>Archived link 
https://web.archive.org/web/20220130211042/https://arxiv.org/pdf/1607.06450.pdf</t>
        </r>
      </text>
    </comment>
    <comment ref="O249" authorId="0">
      <text>
        <r>
          <rPr>
            <sz val="10"/>
            <rFont val="SimSun"/>
            <charset val="134"/>
          </rPr>
          <t xml:space="preserve">12 hours of training for POS tagging
GeForce GTX TITAN X GPU
0.33 utilization rate
</t>
        </r>
      </text>
    </comment>
    <comment ref="J250" authorId="0">
      <text>
        <r>
          <rPr>
            <sz val="10"/>
            <rFont val="SimSun"/>
            <charset val="134"/>
          </rPr>
          <t>Archived link 
https://web.archive.org/web/20220130211042/https://arxiv.org/pdf/1607.06450.pdf</t>
        </r>
      </text>
    </comment>
    <comment ref="O250" authorId="0">
      <text>
        <r>
          <rPr>
            <sz val="10"/>
            <rFont val="SimSun"/>
            <charset val="134"/>
          </rPr>
          <t xml:space="preserve">8 hours of training for NER
GeForce GTX TITAN X GPU
0.33 utilization rate
</t>
        </r>
      </text>
    </comment>
    <comment ref="J251" authorId="0">
      <text>
        <r>
          <rPr>
            <sz val="10"/>
            <rFont val="SimSun"/>
            <charset val="134"/>
          </rPr>
          <t>Archived link 
https://web.archive.org/web/20220130032029/https://arxiv.org/pdf/1605.06409.pdf</t>
        </r>
      </text>
    </comment>
    <comment ref="O251" authorId="0">
      <text>
        <r>
          <rPr>
            <sz val="10"/>
            <rFont val="SimSun"/>
            <charset val="134"/>
          </rPr>
          <t>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t>
        </r>
      </text>
    </comment>
    <comment ref="V251" authorId="0">
      <text>
        <r>
          <rPr>
            <sz val="10"/>
            <rFont val="SimSun"/>
            <charset val="134"/>
          </rPr>
          <t xml:space="preserve">This is per image
</t>
        </r>
      </text>
    </comment>
    <comment ref="J252" authorId="0">
      <text>
        <r>
          <rPr>
            <sz val="10"/>
            <rFont val="SimSun"/>
            <charset val="134"/>
          </rPr>
          <t>Archived link 
https://arxiv.org/abs/1602.00134.pdf</t>
        </r>
      </text>
    </comment>
    <comment ref="J253" authorId="0">
      <text>
        <r>
          <rPr>
            <sz val="10"/>
            <rFont val="SimSun"/>
            <charset val="134"/>
          </rPr>
          <t>Archived link 
http://arxiv.org/abs/1602.01783v2.pdf</t>
        </r>
      </text>
    </comment>
    <comment ref="J254" authorId="0">
      <text>
        <r>
          <rPr>
            <sz val="10"/>
            <rFont val="SimSun"/>
            <charset val="134"/>
          </rPr>
          <t>Archived link 
https://arxiv.org/abs/1602.07261</t>
        </r>
      </text>
    </comment>
    <comment ref="N254" authorId="0">
      <text>
        <r>
          <rPr>
            <sz val="10"/>
            <rFont val="SimSun"/>
            <charset val="134"/>
          </rPr>
          <t>"The folks from Google strike again with Inception-v4, 43M parameters."
https://towardsdatascience.com/illustrated-10-cnn-architectures-95d78ace614d</t>
        </r>
      </text>
    </comment>
    <comment ref="S254" authorId="0">
      <text>
        <r>
          <rPr>
            <sz val="10"/>
            <rFont val="SimSun"/>
            <charset val="134"/>
          </rPr>
          <t>Rados (FLOPs)
https://drive.google.com/drive/folders/1bhy5z6hh1n3wCHx6528Xb7xB1KhYdAL1</t>
        </r>
      </text>
    </comment>
    <comment ref="J255" authorId="0">
      <text>
        <r>
          <rPr>
            <sz val="10"/>
            <rFont val="SimSun"/>
            <charset val="134"/>
          </rPr>
          <t xml:space="preserve">Archived link 
https://arxiv.org/abs/1602.07261.pdf
</t>
        </r>
      </text>
    </comment>
    <comment ref="S255" authorId="0">
      <text>
        <r>
          <rPr>
            <sz val="10"/>
            <rFont val="SimSun"/>
            <charset val="134"/>
          </rPr>
          <t>Rados (FLOPs)
https://drive.google.com/drive/folders/1bhy5z6hh1n3wCHx6528Xb7xB1KhYdAL1</t>
        </r>
      </text>
    </comment>
    <comment ref="J256" authorId="0">
      <text>
        <r>
          <rPr>
            <sz val="10"/>
            <rFont val="SimSun"/>
            <charset val="134"/>
          </rPr>
          <t>Archived link 
https://arxiv.org/abs/1602.07360.pdf</t>
        </r>
      </text>
    </comment>
    <comment ref="N256" authorId="0">
      <text>
        <r>
          <rPr>
            <sz val="10"/>
            <rFont val="SimSun"/>
            <charset val="134"/>
          </rPr>
          <t>The paper says "SqueezeNet achieves AlexNet-level accuracy on ImageNet with 50x fewer parameters."
AlexNet has 60 million parameters.</t>
        </r>
      </text>
    </comment>
    <comment ref="J257" authorId="0">
      <text>
        <r>
          <rPr>
            <sz val="10"/>
            <rFont val="SimSun"/>
            <charset val="134"/>
          </rPr>
          <t xml:space="preserve">Archived link 
https://arxiv.org/abs/1603.09056v2.pdf
</t>
        </r>
      </text>
    </comment>
    <comment ref="J258" authorId="0">
      <text>
        <r>
          <rPr>
            <sz val="10"/>
            <rFont val="SimSun"/>
            <charset val="134"/>
          </rPr>
          <t>Archived link 
https://web.archive.org/web/20220417180622/https://openaccess.thecvf.com/content_cvpr_2016/html/Feichtenhofer_Convolutional_Two-Stream_Network_CVPR_2016_paper.html</t>
        </r>
      </text>
    </comment>
    <comment ref="Q258" authorId="0">
      <text>
        <r>
          <rPr>
            <sz val="10"/>
            <rFont val="SimSun"/>
            <charset val="134"/>
          </rPr>
          <t>[SECONDS OF VIDEO]
They use UFC101, whose paper says
"We introduce UCF101 which is currently the largest dataset of human actions. It consists of 101 action classes, over 13k clips and 27 hours of video data"</t>
        </r>
      </text>
    </comment>
    <comment ref="J259" authorId="0">
      <text>
        <r>
          <rPr>
            <sz val="10"/>
            <rFont val="SimSun"/>
            <charset val="134"/>
          </rPr>
          <t>Archived link 
https://arxiv.org/pdf/1506.07285.pdf
https://web.archive.org/web/20220601014130/http://proceedings.mlr.press/v48/kumar16.html</t>
        </r>
      </text>
    </comment>
    <comment ref="J260" authorId="0">
      <text>
        <r>
          <rPr>
            <sz val="10"/>
            <rFont val="SimSun"/>
            <charset val="134"/>
          </rPr>
          <t>Archived link 
https://arxiv.org/pdf/1606.07792.pdf</t>
        </r>
      </text>
    </comment>
    <comment ref="J261" authorId="0">
      <text>
        <r>
          <rPr>
            <sz val="10"/>
            <rFont val="SimSun"/>
            <charset val="134"/>
          </rPr>
          <t>Archived link 
https://arxiv.org/pdf/1607.01759.pdf</t>
        </r>
      </text>
    </comment>
    <comment ref="J262" authorId="0">
      <text>
        <r>
          <rPr>
            <sz val="10"/>
            <rFont val="SimSun"/>
            <charset val="134"/>
          </rPr>
          <t>Archived link 
https://arxiv.org/pdf/1607.04606.pdf</t>
        </r>
      </text>
    </comment>
    <comment ref="J263" authorId="0">
      <text>
        <r>
          <rPr>
            <sz val="10"/>
            <rFont val="SimSun"/>
            <charset val="134"/>
          </rPr>
          <t xml:space="preserve">Archived link 
https://arxiv.org/pdf/1608.06993.pdf
</t>
        </r>
      </text>
    </comment>
    <comment ref="J264" authorId="0">
      <text>
        <r>
          <rPr>
            <sz val="10"/>
            <rFont val="SimSun"/>
            <charset val="134"/>
          </rPr>
          <t xml:space="preserve">Archived link 
https://arxiv.org/pdf/1604.02878.pdf
https://web.archive.org/web/20220601014019/https://ieeexplore.ieee.org/abstract/document/7553523
</t>
        </r>
      </text>
    </comment>
    <comment ref="J265" authorId="0">
      <text>
        <r>
          <rPr>
            <sz val="10"/>
            <rFont val="SimSun"/>
            <charset val="134"/>
          </rPr>
          <t xml:space="preserve">Archived link 
https://arxiv.org/pdf/1609.03499.pdf
</t>
        </r>
      </text>
    </comment>
    <comment ref="J266" authorId="0">
      <text>
        <r>
          <rPr>
            <sz val="10"/>
            <rFont val="SimSun"/>
            <charset val="134"/>
          </rPr>
          <t>Archived link 
https://web.archive.org/web/20220601013720/https://static.googleusercontent.com/media/research.google.com/en//pubs/archive/45530.pdf</t>
        </r>
      </text>
    </comment>
    <comment ref="J267" authorId="0">
      <text>
        <r>
          <rPr>
            <sz val="10"/>
            <rFont val="SimSun"/>
            <charset val="134"/>
          </rPr>
          <t>Archived link 
https://arxiv.org/pdf/1603.06937.pdf
https://web.archive.org/web/20220601013744/https://link.springer.com/chapter/10.1007/978-3-319-46484-8_29</t>
        </r>
      </text>
    </comment>
    <comment ref="J268" authorId="0">
      <text>
        <r>
          <rPr>
            <sz val="10"/>
            <rFont val="SimSun"/>
            <charset val="134"/>
          </rPr>
          <t>Archived link 
https://arxiv.org/pdf/1603.05027.pdf
https://web.archive.org/web/20220601015509/https://link.springer.com/chapter/10.1007/978-3-319-46493-0_38</t>
        </r>
      </text>
    </comment>
    <comment ref="J269" authorId="0">
      <text>
        <r>
          <rPr>
            <sz val="10"/>
            <rFont val="SimSun"/>
            <charset val="134"/>
          </rPr>
          <t>Archived link 
https://arxiv.org/pdf/1608.00859.pdf
https://web.archive.org/web/20220601015814/https://link.springer.com/chapter/10.1007/978-3-319-46484-8_2</t>
        </r>
      </text>
    </comment>
    <comment ref="J270" authorId="0">
      <text>
        <r>
          <rPr>
            <sz val="10"/>
            <rFont val="SimSun"/>
            <charset val="134"/>
          </rPr>
          <t>Archived link
https://arxiv.org/pdf/1607.07155.pdf 
https://web.archive.org/web/20220601015824/https://link.springer.com/chapter/10.1007/978-3-319-46493-0_22</t>
        </r>
      </text>
    </comment>
    <comment ref="J271" authorId="0">
      <text>
        <r>
          <rPr>
            <sz val="10"/>
            <rFont val="SimSun"/>
            <charset val="134"/>
          </rPr>
          <t>Archived link 
https://arxiv.org/pdf/1605.07146.pdf</t>
        </r>
      </text>
    </comment>
    <comment ref="J272" authorId="0">
      <text>
        <r>
          <rPr>
            <sz val="10"/>
            <rFont val="SimSun"/>
            <charset val="134"/>
          </rPr>
          <t>Archived link 
https://web.archive.org/web/20220607032204/https://www.gwern.net/docs/reinforcement-learning/model-free/2016-graves.pdf
https://web.archive.org/web/20220531052339/https://www.nature.com/articles/nature20101</t>
        </r>
      </text>
    </comment>
    <comment ref="J273" authorId="0">
      <text>
        <r>
          <rPr>
            <sz val="10"/>
            <rFont val="SimSun"/>
            <charset val="134"/>
          </rPr>
          <t>Archived link 
https://arxiv.org/pdf/1511.04491.pdf</t>
        </r>
      </text>
    </comment>
    <comment ref="J274" authorId="0">
      <text>
        <r>
          <rPr>
            <sz val="10"/>
            <rFont val="SimSun"/>
            <charset val="134"/>
          </rPr>
          <t>Archived link 
https://arxiv.org/pdf/1611.05431.pdf</t>
        </r>
      </text>
    </comment>
    <comment ref="N274" authorId="0">
      <text>
        <r>
          <rPr>
            <sz val="10"/>
            <rFont val="SimSun"/>
            <charset val="134"/>
          </rPr>
          <t>"If you’re thinking about ResNets, yes, they are related. ResNeXt-50 has 25M parameters (ResNet-50 has 25.5M)."
https://towardsdatascience.com/illustrated-10-cnn-architectures-95d78ace614d</t>
        </r>
      </text>
    </comment>
    <comment ref="S274" authorId="0">
      <text>
        <r>
          <rPr>
            <sz val="10"/>
            <rFont val="SimSun"/>
            <charset val="134"/>
          </rPr>
          <t>Rados  (FLOPs)
https://drive.google.com/drive/folders/1bhy5z6hh1n3wCHx6528Xb7xB1KhYdAL1</t>
        </r>
      </text>
    </comment>
    <comment ref="J275" authorId="0">
      <text>
        <r>
          <rPr>
            <sz val="10"/>
            <rFont val="SimSun"/>
            <charset val="134"/>
          </rPr>
          <t>Archived link 
https://arxiv.org/pdf/1611.05725.pdf</t>
        </r>
      </text>
    </comment>
    <comment ref="J276" authorId="0">
      <text>
        <r>
          <rPr>
            <sz val="10"/>
            <rFont val="SimSun"/>
            <charset val="134"/>
          </rPr>
          <t>Archived link 
https://arxiv.org/pdf/1611.06612v3.pdf</t>
        </r>
      </text>
    </comment>
    <comment ref="J277" authorId="0">
      <text>
        <r>
          <rPr>
            <sz val="10"/>
            <rFont val="SimSun"/>
            <charset val="134"/>
          </rPr>
          <t>Archived link 
https://arxiv.org/pdf/1611.07004.pdf</t>
        </r>
      </text>
    </comment>
    <comment ref="J278" authorId="0">
      <text>
        <r>
          <rPr>
            <sz val="10"/>
            <rFont val="SimSun"/>
            <charset val="134"/>
          </rPr>
          <t>Archived link 
https://arxiv.org/pdf/1612.00796.pdf</t>
        </r>
      </text>
    </comment>
    <comment ref="J279" authorId="0">
      <text>
        <r>
          <rPr>
            <sz val="10"/>
            <rFont val="SimSun"/>
            <charset val="134"/>
          </rPr>
          <t>Archived link 
https://arxiv.org/pdf/1612.00593.pdf</t>
        </r>
      </text>
    </comment>
    <comment ref="J280" authorId="0">
      <text>
        <r>
          <rPr>
            <sz val="10"/>
            <rFont val="SimSun"/>
            <charset val="134"/>
          </rPr>
          <t>Archived link 
https://arxiv.org/pdf/1606.03498.pdf
https://web.archive.org/web/20220601013400/https://dl.acm.org/doi/10.5555/3157096.3157346</t>
        </r>
      </text>
    </comment>
    <comment ref="J281" authorId="0">
      <text>
        <r>
          <rPr>
            <sz val="10"/>
            <rFont val="SimSun"/>
            <charset val="134"/>
          </rPr>
          <t>Archived link 
https://arxiv.org/pdf/1803.04337.pdf
https://web.archive.org/web/20220601013405/https://jamanetwork.com/journals/jama/article-abstract/2588763</t>
        </r>
      </text>
    </comment>
    <comment ref="A282" authorId="0">
      <text>
        <r>
          <rPr>
            <sz val="10"/>
            <rFont val="SimSun"/>
            <charset val="134"/>
          </rPr>
          <t>aka YOLO9000</t>
        </r>
      </text>
    </comment>
    <comment ref="J282" authorId="0">
      <text>
        <r>
          <rPr>
            <sz val="10"/>
            <rFont val="SimSun"/>
            <charset val="134"/>
          </rPr>
          <t>Archived link 
https://arxiv.org/pdf/1612.08242.pdf</t>
        </r>
      </text>
    </comment>
    <comment ref="N282" authorId="0">
      <text>
        <r>
          <rPr>
            <sz val="10"/>
            <rFont val="SimSun"/>
            <charset val="134"/>
          </rPr>
          <t>Source: https://resources.wolframcloud.com/NeuralNetRepository/resources/YOLO-V2-Trained-on-MS-COCO-Data_1</t>
        </r>
      </text>
    </comment>
    <comment ref="G283" authorId="0">
      <text>
        <r>
          <rPr>
            <sz val="10"/>
            <rFont val="SimSun"/>
            <charset val="134"/>
          </rPr>
          <t>Not an exact date - this is accurate up to the month, when Fan Hui played against AlphaGo Fan. 
Source: bottom of page 354, "The published version, which we refer to as AlphaGo Fan, defeated the European champion Fan Hui in October 2015."
https://www.nature.com/articles/nature24270.epdf?author_access_token=VJXbVjaSHxFoctQQ4p2k4tRgN0jAjWel9jnR3ZoTv0PVW4gB86EEpGqTRDtpIz-2rmo8-KG06gqVobU5NSCFeHILHcVFUeMsbvwS-lxjqQGg98faovwjxeTUgZAUMnRQ</t>
        </r>
      </text>
    </comment>
    <comment ref="J283" authorId="0">
      <text>
        <r>
          <rPr>
            <sz val="10"/>
            <rFont val="SimSun"/>
            <charset val="134"/>
          </rPr>
          <t xml:space="preserve">pdf link - https://hci.iwr.uni-heidelberg.de/system/files/private/downloads/36349047/report_florian_brunner.pdf
Archived link 
https://web.archive.org/web/20220606203628/https://hci.iwr.uni-heidelberg.de/system/files/private/downloads/36349047/report_florian_brunner.pdf
</t>
        </r>
      </text>
    </comment>
    <comment ref="N283" authorId="0">
      <text>
        <r>
          <rPr>
            <sz val="10"/>
            <rFont val="SimSun"/>
            <charset val="134"/>
          </rPr>
          <t>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
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t>
        </r>
      </text>
    </comment>
    <comment ref="O283" authorId="0">
      <text>
        <r>
          <rPr>
            <sz val="10"/>
            <rFont val="SimSun"/>
            <charset val="134"/>
          </rPr>
          <t>Assume 0.3 utilisation rate, 1e13 GPU FLOP/s [single precision]. Trained in three stages using 50 GPUs over 3 weeks + 1 day + 1 week
Training compute = (50 GPUs)(29 days)(86400s/day)(0.3 utilisation rate)(1e13 FLOP/s) = 3.8e20 FLOPs</t>
        </r>
      </text>
    </comment>
    <comment ref="Q283" authorId="0">
      <text>
        <r>
          <rPr>
            <sz val="10"/>
            <rFont val="SimSun"/>
            <charset val="134"/>
          </rPr>
          <t>Supervised learning + self-play</t>
        </r>
      </text>
    </comment>
    <comment ref="S283" authorId="0">
      <text>
        <r>
          <rPr>
            <sz val="10"/>
            <rFont val="SimSun"/>
            <charset val="134"/>
          </rPr>
          <t>Distributed: 176 GPUs + 1202 PUs + 40 search threads
Single machine: 8 GPUs + 48 CPUs 
https://www.nature.com/articles/nature16961</t>
        </r>
      </text>
    </comment>
    <comment ref="A284" authorId="0">
      <text>
        <r>
          <rPr>
            <sz val="10"/>
            <rFont val="SimSun"/>
            <charset val="134"/>
          </rPr>
          <t>Is this the English or the Mandarin system?
	-Jaime Sevilla</t>
        </r>
      </text>
    </comment>
    <comment ref="J284" authorId="0">
      <text>
        <r>
          <rPr>
            <sz val="10"/>
            <rFont val="SimSun"/>
            <charset val="134"/>
          </rPr>
          <t>Archived link 
https://arxiv.org/abs/1512.02595.pdf</t>
        </r>
      </text>
    </comment>
    <comment ref="N284" authorId="0">
      <text>
        <r>
          <rPr>
            <sz val="10"/>
            <rFont val="SimSun"/>
            <charset val="134"/>
          </rPr>
          <t>All networks have 38 million parameters.</t>
        </r>
      </text>
    </comment>
    <comment ref="O284" authorId="0">
      <text>
        <r>
          <rPr>
            <sz val="10"/>
            <rFont val="SimSun"/>
            <charset val="134"/>
          </rPr>
          <t>1 timestep = (1280 hidden units)^2 * (7 RNN layers * 4 matrices for bidirectional + 2 DNN layers) * (2 for doubling parameters from 36M to 72M) = 98 MFLOPs
20 epochs * 12,000 hours * 3600 seconds/hour * 50 samples/sec * 98 MFLOPs * 3 add-multiply * 2 backprop 
= 26,000 PF = 0.30 pfs-days
----
I dont understand the reasoning. 
You cannot compute the FLOP/S from the architecture!
	-Jaime Sevilla</t>
        </r>
      </text>
    </comment>
    <comment ref="Q284" authorId="0">
      <text>
        <r>
          <rPr>
            <sz val="10"/>
            <rFont val="SimSun"/>
            <charset val="134"/>
          </rPr>
          <t>"Our English speech system
is trained on 11,940 hours of speech, while the Mandarin system is trained on 9,400 hours."
11,940 * 13,680 = 163339200</t>
        </r>
      </text>
    </comment>
    <comment ref="R284" authorId="0">
      <text>
        <r>
          <rPr>
            <sz val="10"/>
            <rFont val="SimSun"/>
            <charset val="134"/>
          </rPr>
          <t>We explore architectures with up to 11 layers including many bidirectional recurrent layers and convolutional layers.</t>
        </r>
      </text>
    </comment>
    <comment ref="W284" authorId="0">
      <text>
        <r>
          <rPr>
            <sz val="10"/>
            <rFont val="SimSun"/>
            <charset val="134"/>
          </rPr>
          <t>Our English speech system
is trained on 11,940 hours of speech, while the Mandarin system is trained on 9,400 hours. We use data synthesis to further augment the data during training</t>
        </r>
      </text>
    </comment>
    <comment ref="I285" authorId="0">
      <text>
        <r>
          <rPr>
            <sz val="10"/>
            <rFont val="SimSun"/>
            <charset val="134"/>
          </rPr>
          <t>This is a duplicate of the data in the SPPNet row. Should this be "Delving Deep into Rectifiers: Surpassing Human-Level Performance on ImageNet Classification"? That's where I found an "MSRA" system and the proposal of PReLU functions.
Link: https://arxiv.org/abs/1502.01852
	-Ben Cottier</t>
        </r>
      </text>
    </comment>
    <comment ref="J285" authorId="0">
      <text>
        <r>
          <rPr>
            <sz val="10"/>
            <rFont val="SimSun"/>
            <charset val="134"/>
          </rPr>
          <t>45 hours on 32 TPUv3 cores
a TPUv3 board has a PTP of 420TFLOPS, and 8 cores
Archived link 
https://arxiv.org/pdf/1406.4729.pdf</t>
        </r>
      </text>
    </comment>
    <comment ref="N285" authorId="0">
      <text>
        <r>
          <rPr>
            <sz val="10"/>
            <rFont val="SimSun"/>
            <charset val="134"/>
          </rPr>
          <t xml:space="preserve">I used the architecture in table 3
I ignored biases, and assumed a SPP bin size of 256
</t>
        </r>
      </text>
    </comment>
    <comment ref="O285" authorId="0">
      <text>
        <r>
          <rPr>
            <sz val="10"/>
            <rFont val="SimSun"/>
            <charset val="134"/>
          </rPr>
          <t xml:space="preserve">"training C on eight K40 GPUs, takes about 3-4 weeks"
0.33 util rate
(From Imagenet paper-data, Besiroglu et al., forthcoming) </t>
        </r>
      </text>
    </comment>
    <comment ref="Q285" authorId="0">
      <text>
        <r>
          <rPr>
            <sz val="10"/>
            <rFont val="SimSun"/>
            <charset val="134"/>
          </rPr>
          <t>Reference?
	-Jaime Sevilla</t>
        </r>
      </text>
    </comment>
    <comment ref="J286" authorId="0">
      <text>
        <r>
          <rPr>
            <sz val="10"/>
            <rFont val="SimSun"/>
            <charset val="134"/>
          </rPr>
          <t>Archived link 
https://arxiv.org/abs/1512.03385.pdf</t>
        </r>
      </text>
    </comment>
    <comment ref="N286" authorId="0">
      <text>
        <r>
          <rPr>
            <sz val="10"/>
            <rFont val="SimSun"/>
            <charset val="134"/>
          </rPr>
          <t>Taken from https://arxiv.org/abs/1605.07146</t>
        </r>
      </text>
    </comment>
    <comment ref="O286" authorId="0">
      <text>
        <r>
          <rPr>
            <sz val="10"/>
            <rFont val="SimSun"/>
            <charset val="134"/>
          </rPr>
          <t>(11.4 *10^9) mult-adds per forward pass
2 FLOPS/ mult-add
3.5 for forward &amp; backward pass
1.2 * 10^6 examples in dataset
128 epochs
Source:x</t>
        </r>
      </text>
    </comment>
    <comment ref="P286" authorId="0">
      <text>
        <r>
          <rPr>
            <sz val="10"/>
            <rFont val="SimSun"/>
            <charset val="134"/>
          </rPr>
          <t>They won ILSVRC 2015, but actually the classification dataset is the same as 2012</t>
        </r>
      </text>
    </comment>
    <comment ref="Q286" authorId="0">
      <text>
        <r>
          <rPr>
            <sz val="10"/>
            <rFont val="SimSun"/>
            <charset val="134"/>
          </rPr>
          <t>Reference?
	-Jaime Sevilla</t>
        </r>
      </text>
    </comment>
    <comment ref="S286" authorId="0">
      <text>
        <r>
          <rPr>
            <sz val="10"/>
            <rFont val="SimSun"/>
            <charset val="134"/>
          </rPr>
          <t>Table 1</t>
        </r>
      </text>
    </comment>
    <comment ref="W286" authorId="0">
      <text>
        <r>
          <rPr>
            <sz val="10"/>
            <rFont val="SimSun"/>
            <charset val="134"/>
          </rPr>
          <t>https://cloud.google.com/tpu/docs/imagenet-setup</t>
        </r>
      </text>
    </comment>
    <comment ref="J287" authorId="0">
      <text>
        <r>
          <rPr>
            <sz val="10"/>
            <rFont val="SimSun"/>
            <charset val="134"/>
          </rPr>
          <t>Archived link 
https://arxiv.org/pdf/1409.4842.pdf
https://web.archive.org/web/20220601020700/https://ieeexplore.ieee.org/document/7298594</t>
        </r>
      </text>
    </comment>
    <comment ref="N287" authorId="0">
      <text>
        <r>
          <rPr>
            <sz val="10"/>
            <rFont val="SimSun"/>
            <charset val="134"/>
          </rPr>
          <t>Computed summing the parameters on table 1 of section 5</t>
        </r>
      </text>
    </comment>
    <comment ref="O287" authorId="0">
      <text>
        <r>
          <rPr>
            <sz val="10"/>
            <rFont val="SimSun"/>
            <charset val="134"/>
          </rPr>
          <t>Extracted from AI and Compute (https://openai.com/blog/ai-and-compute/) charts by using https://automeris.io/WebPlotDigitizer/.
	-Lennart Heim</t>
        </r>
      </text>
    </comment>
    <comment ref="Q287" authorId="0">
      <text>
        <r>
          <rPr>
            <sz val="10"/>
            <rFont val="SimSun"/>
            <charset val="134"/>
          </rPr>
          <t>"The ILSVRC 2014 classification challenge involves the
task of classifying the image into one of 1000 leaf-node categories in the Imagenet hierarchy. There are about 1.2 million images for training, 50,000 for validation and 100,000 images for testing
[...]
We participated in the challenge with no external data
used for training.
"</t>
        </r>
      </text>
    </comment>
    <comment ref="J288" authorId="0">
      <text>
        <r>
          <rPr>
            <sz val="10"/>
            <rFont val="SimSun"/>
            <charset val="134"/>
          </rPr>
          <t>Archived link 
https://arxiv.org/pdf/1502.03240.pdf</t>
        </r>
      </text>
    </comment>
    <comment ref="J289" authorId="0">
      <text>
        <r>
          <rPr>
            <sz val="10"/>
            <rFont val="SimSun"/>
            <charset val="134"/>
          </rPr>
          <t>Archived link 
https://web.archive.org/web/20220607033147/https://www.cs.toronto.edu/~duvenaud/courses/csc2541/slides/model-based-RL-deepmind.pdf
https://web.archive.org/web/20220601021030/https://www.nature.com/articles/nature14236</t>
        </r>
      </text>
    </comment>
    <comment ref="N289" authorId="0">
      <text>
        <r>
          <rPr>
            <sz val="10"/>
            <rFont val="SimSun"/>
            <charset val="134"/>
          </rPr>
          <t xml:space="preserve"> The input tothe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t>
        </r>
      </text>
    </comment>
    <comment ref="J290" authorId="0">
      <text>
        <r>
          <rPr>
            <sz val="10"/>
            <rFont val="SimSun"/>
            <charset val="134"/>
          </rPr>
          <t>Archived link 
https://arxiv.org/pdf/1503.00075.pdf</t>
        </r>
      </text>
    </comment>
    <comment ref="N290" authorId="0">
      <text>
        <r>
          <rPr>
            <sz val="10"/>
            <rFont val="SimSun"/>
            <charset val="134"/>
          </rPr>
          <t>Table 1
https://arxiv.org/abs/1503.00075</t>
        </r>
      </text>
    </comment>
    <comment ref="J291" authorId="0">
      <text>
        <r>
          <rPr>
            <sz val="10"/>
            <rFont val="SimSun"/>
            <charset val="134"/>
          </rPr>
          <t>Archived link 
https://arxiv.org/pdf/1504.08083.pdf</t>
        </r>
      </text>
    </comment>
    <comment ref="J292" authorId="0">
      <text>
        <r>
          <rPr>
            <sz val="10"/>
            <rFont val="SimSun"/>
            <charset val="134"/>
          </rPr>
          <t>Archived link 
https://web.archive.org/web/20220417180516/https://www.cv-foundation.org/openaccess/content_cvpr_2015/html/Ng_Beyond_Short_Snippets_2015_CVPR_paper.html</t>
        </r>
      </text>
    </comment>
    <comment ref="J293" authorId="0">
      <text>
        <r>
          <rPr>
            <sz val="10"/>
            <rFont val="SimSun"/>
            <charset val="134"/>
          </rPr>
          <t>Archived link 
https://web.archive.org/web/20220417180540/http://proceedings.mlr.press/v38/lee15a.pdf</t>
        </r>
      </text>
    </comment>
    <comment ref="J294" authorId="0">
      <text>
        <r>
          <rPr>
            <sz val="10"/>
            <rFont val="SimSun"/>
            <charset val="134"/>
          </rPr>
          <t xml:space="preserve">Archived link 
https://web.archive.org/web/20220607033314/https://www.cv-foundation.org/openaccess/content_cvpr_2015/papers/Wang_Action_Recognition_With_2015_CVPR_paper.pdf
pdf link
https://www.cv-foundation.org/openaccess/content_cvpr_2015/papers/Wang_Action_Recognition_With_2015_CVPR_paper.pdf
</t>
        </r>
      </text>
    </comment>
    <comment ref="J295" authorId="0">
      <text>
        <r>
          <rPr>
            <sz val="10"/>
            <rFont val="SimSun"/>
            <charset val="134"/>
          </rPr>
          <t>Archived link 
https://arxiv.org/abs/1506.01497.pdf</t>
        </r>
      </text>
    </comment>
    <comment ref="J296" authorId="0">
      <text>
        <r>
          <rPr>
            <sz val="10"/>
            <rFont val="SimSun"/>
            <charset val="134"/>
          </rPr>
          <t>Archived link 
https://arxiv.org/abs/1506.02640.pdf</t>
        </r>
      </text>
    </comment>
    <comment ref="N296" authorId="0">
      <text>
        <r>
          <rPr>
            <sz val="10"/>
            <rFont val="SimSun"/>
            <charset val="134"/>
          </rPr>
          <t>Quick calculation based on figure 3 of the paper</t>
        </r>
      </text>
    </comment>
    <comment ref="J297" authorId="0">
      <text>
        <r>
          <rPr>
            <sz val="10"/>
            <rFont val="SimSun"/>
            <charset val="134"/>
          </rPr>
          <t>Archived link 
https://arxiv.org/abs/1502.03167.pdf</t>
        </r>
      </text>
    </comment>
    <comment ref="J298" authorId="0">
      <text>
        <r>
          <rPr>
            <sz val="10"/>
            <rFont val="SimSun"/>
            <charset val="134"/>
          </rPr>
          <t>Archived link 
https://web.archive.org/web/20220122003128/https://arxiv.org/pdf/1508.01211.pdf</t>
        </r>
      </text>
    </comment>
    <comment ref="J299" authorId="0">
      <text>
        <r>
          <rPr>
            <sz val="10"/>
            <rFont val="SimSun"/>
            <charset val="134"/>
          </rPr>
          <t>Archived link 
https://arxiv.org/abs/1508.07909.pdf</t>
        </r>
      </text>
    </comment>
    <comment ref="Q299" authorId="0">
      <text>
        <r>
          <rPr>
            <sz val="10"/>
            <rFont val="SimSun"/>
            <charset val="134"/>
          </rPr>
          <t xml:space="preserve">[WORDS]
"We perform experiments on data from the shared translation task of WMT 2015. For English→German, our training set consists of 4.2 million sentence pairs, or approximately 100 million tokens. For English→Russian, the training set consists of 2.6 million sentence pairs, or approximately 50 million tokens"
100M tokens, around half will be in English, 0.75 words per token
</t>
        </r>
      </text>
    </comment>
    <comment ref="J300" authorId="0">
      <text>
        <r>
          <rPr>
            <sz val="10"/>
            <rFont val="SimSun"/>
            <charset val="134"/>
          </rPr>
          <t>Archived link 
https://arxiv.org/abs/1509.02971.pdf</t>
        </r>
      </text>
    </comment>
    <comment ref="J301" authorId="0">
      <text>
        <r>
          <rPr>
            <sz val="10"/>
            <rFont val="SimSun"/>
            <charset val="134"/>
          </rPr>
          <t>Archived link 
https://arxiv.org/abs/1511.06581.pdf</t>
        </r>
      </text>
    </comment>
    <comment ref="J302" authorId="0">
      <text>
        <r>
          <rPr>
            <sz val="10"/>
            <rFont val="SimSun"/>
            <charset val="134"/>
          </rPr>
          <t>Archived link 
https://arxiv.org/abs/1511.07122.pdf</t>
        </r>
      </text>
    </comment>
    <comment ref="G303" authorId="0">
      <text>
        <r>
          <rPr>
            <sz val="10"/>
            <rFont val="SimSun"/>
            <charset val="134"/>
          </rPr>
          <t>Unaware of day
Date in paper is December 2015</t>
        </r>
      </text>
    </comment>
    <comment ref="J303" authorId="0">
      <text>
        <r>
          <rPr>
            <sz val="10"/>
            <rFont val="SimSun"/>
            <charset val="134"/>
          </rPr>
          <t xml:space="preserve">Archived link 
pdf link - 
https://dl.acm.org/doi/pdf/10.1145/2843948
Archived link-
https://web.archive.org/web/20220607032805/https://dl.acm.org/doi/pdf/10.1145/2843948
</t>
        </r>
      </text>
    </comment>
    <comment ref="J304" authorId="0">
      <text>
        <r>
          <rPr>
            <sz val="10"/>
            <rFont val="SimSun"/>
            <charset val="134"/>
          </rPr>
          <t>Archived link 
https://arxiv.org/abs/1512.00567.pdf</t>
        </r>
      </text>
    </comment>
    <comment ref="N304" authorId="0">
      <text>
        <r>
          <rPr>
            <sz val="10"/>
            <rFont val="SimSun"/>
            <charset val="134"/>
          </rPr>
          <t>Table 3 from Xception paper</t>
        </r>
      </text>
    </comment>
    <comment ref="Q304" authorId="0">
      <text>
        <r>
          <rPr>
            <sz val="10"/>
            <rFont val="SimSun"/>
            <charset val="134"/>
          </rPr>
          <t>The full dataset is a lot larger and has far more categories. When people say "ImageNet" they're usually referring to the subset of the full dataset with 1000 categories and 1.2million images, found here: https://image-net.org/challenges/LSVRC/2012/</t>
        </r>
      </text>
    </comment>
    <comment ref="S304" authorId="0">
      <text>
        <r>
          <rPr>
            <sz val="10"/>
            <rFont val="SimSun"/>
            <charset val="134"/>
          </rPr>
          <t>Rados (FLOPs)
https://drive.google.com/drive/folders/1bhy5z6hh1n3wCHx6528Xb7xB1KhYdAL1</t>
        </r>
      </text>
    </comment>
    <comment ref="J305" authorId="0">
      <text>
        <r>
          <rPr>
            <sz val="10"/>
            <rFont val="SimSun"/>
            <charset val="134"/>
          </rPr>
          <t>Archived link 
https://arxiv.org/abs/1512.03385.pdf</t>
        </r>
      </text>
    </comment>
    <comment ref="N305" authorId="0">
      <text>
        <r>
          <rPr>
            <sz val="10"/>
            <rFont val="SimSun"/>
            <charset val="134"/>
          </rPr>
          <t>Table 6</t>
        </r>
      </text>
    </comment>
    <comment ref="J306" authorId="0">
      <text>
        <r>
          <rPr>
            <sz val="10"/>
            <rFont val="SimSun"/>
            <charset val="134"/>
          </rPr>
          <t xml:space="preserve">pdf link - https://www.cs.cmu.edu/~rsalakhu/papers/LakeEtAl2015Science.pdf
Archived link 
https://web.archive.org/web/20220505131719/https://www.cs.cmu.edu/~rsalakhu/papers/LakeEtAl2015Science.pdf
</t>
        </r>
      </text>
    </comment>
    <comment ref="J307" authorId="0">
      <text>
        <r>
          <rPr>
            <sz val="10"/>
            <rFont val="SimSun"/>
            <charset val="134"/>
          </rPr>
          <t>Archived link 
http://arxiv.org/abs/1512.04860v1.pdf</t>
        </r>
      </text>
    </comment>
    <comment ref="J308" authorId="0">
      <text>
        <r>
          <rPr>
            <sz val="10"/>
            <rFont val="SimSun"/>
            <charset val="134"/>
          </rPr>
          <t>Archived link 
https://arxiv.org/pdf/1409.1556.pdf</t>
        </r>
      </text>
    </comment>
    <comment ref="N308" authorId="0">
      <text>
        <r>
          <rPr>
            <sz val="10"/>
            <rFont val="SimSun"/>
            <charset val="134"/>
          </rPr>
          <t>Source: Table 2
https://arxiv.org/abs/1409.1556</t>
        </r>
      </text>
    </comment>
    <comment ref="O308" authorId="0">
      <text>
        <r>
          <rPr>
            <sz val="10"/>
            <rFont val="SimSun"/>
            <charset val="134"/>
          </rPr>
          <t>1.2 M images * 74 epochs * 16 GFLOPS * 2 add-multiply * 3 backward pass 
= 8524 PF = 0.098 pfs-days
----
This estimate makes no sense. Where do the numbers come from? Why are we multiplying by 2 for multadds if the results are already in FLOP?
	-Jaime Sevilla
I tried to check this, and I can't seem to find the GFLOPS numbers. That said, sometimes authors do write "FLOPS" but actually mean multi-adds.
	-Tamay Besiroglu</t>
        </r>
      </text>
    </comment>
    <comment ref="Q308" authorId="0">
      <text>
        <r>
          <rPr>
            <sz val="10"/>
            <rFont val="SimSun"/>
            <charset val="134"/>
          </rPr>
          <t>"In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t>
        </r>
      </text>
    </comment>
    <comment ref="S308" authorId="0">
      <text>
        <r>
          <rPr>
            <sz val="10"/>
            <rFont val="SimSun"/>
            <charset val="134"/>
          </rPr>
          <t>"Remarkably, although the depth is significantly increased, the 152-layer ResNet (11.3 billion FLOPs) still has lower complexity than VGG-16/19 nets (15.3/19.6 billion FLOPs)."
Source: https://www.cv-foundation.org/openaccess/content_cvpr_2016/papers/He_Deep_Residual_Learning_CVPR_2016_paper.pdf</t>
        </r>
      </text>
    </comment>
    <comment ref="J309" authorId="0">
      <text>
        <r>
          <rPr>
            <sz val="10"/>
            <rFont val="SimSun"/>
            <charset val="134"/>
          </rPr>
          <t>Archived link 
https://arxiv.org/pdf/1409.3215.pdf</t>
        </r>
      </text>
    </comment>
    <comment ref="N309" authorId="0">
      <text>
        <r>
          <rPr>
            <sz val="10"/>
            <rFont val="SimSun"/>
            <charset val="134"/>
          </rPr>
          <t>The resulting LSTM has 384M
parameters of which 64M are pure recurrent connections (32M for the “encoder” LSTM and 32M
for the “decoder” LSTM).</t>
        </r>
      </text>
    </comment>
    <comment ref="O309" authorId="0">
      <text>
        <r>
          <rPr>
            <sz val="10"/>
            <rFont val="SimSun"/>
            <charset val="134"/>
          </rPr>
          <t>(348M + 304M) words * 0.380 GF * 2 add-multiply * 3 backprop * 7.5 epoch
= 7,300 PF = 0.085 pfs-days</t>
        </r>
      </text>
    </comment>
    <comment ref="Q309" authorId="0">
      <text>
        <r>
          <rPr>
            <sz val="10"/>
            <rFont val="SimSun"/>
            <charset val="134"/>
          </rPr>
          <t>[WORDS]
"We used the WMT’14 English to French dataset. We trained our models on a subset of 12M sentences consisting of 348M French words and 304M English words, which is a clean “selected”
subset from [29]."</t>
        </r>
      </text>
    </comment>
    <comment ref="J310" authorId="0">
      <text>
        <r>
          <rPr>
            <sz val="10"/>
            <rFont val="SimSun"/>
            <charset val="134"/>
          </rPr>
          <t>Archived link 
https://arxiv.org/pdf/1406.4729.pdf</t>
        </r>
      </text>
    </comment>
    <comment ref="O310" authorId="0">
      <text>
        <r>
          <rPr>
            <sz val="10"/>
            <rFont val="SimSun"/>
            <charset val="134"/>
          </rPr>
          <t xml:space="preserve">"All networks in this paper can be
trained on a single GeForce GTX Titan GPU (6 GB memory) within two to four weeks."
(From Imagenet paper-data, Besiroglu et al., forthcoming) </t>
        </r>
      </text>
    </comment>
    <comment ref="Q310" authorId="0">
      <text>
        <r>
          <rPr>
            <sz val="10"/>
            <rFont val="SimSun"/>
            <charset val="134"/>
          </rPr>
          <t>Reference?
	-Jaime Sevilla</t>
        </r>
      </text>
    </comment>
    <comment ref="J311" authorId="0">
      <text>
        <r>
          <rPr>
            <sz val="10"/>
            <rFont val="SimSun"/>
            <charset val="134"/>
          </rPr>
          <t>Archived link 
https://arxiv.org/pdf/1409.0473.pdf</t>
        </r>
      </text>
    </comment>
    <comment ref="N311" authorId="0">
      <text>
        <r>
          <rPr>
            <sz val="10"/>
            <rFont val="SimSun"/>
            <charset val="134"/>
          </rPr>
          <t>I'm sure this is computable from the paper but my brain just exploded reading the notation
	-Jaime Sevilla</t>
        </r>
      </text>
    </comment>
    <comment ref="O311" authorId="0">
      <text>
        <r>
          <rPr>
            <sz val="10"/>
            <rFont val="SimSun"/>
            <charset val="134"/>
          </rPr>
          <t>From https://openai.com/blog/ai-and-compute/ Appendix.
0.018 pfs-days
(86400*10^15*0.018)
252 hours in a Quadro K-6000 GPU</t>
        </r>
      </text>
    </comment>
    <comment ref="Q311" authorId="0">
      <text>
        <r>
          <rPr>
            <sz val="10"/>
            <rFont val="SimSun"/>
            <charset val="134"/>
          </rPr>
          <t>[WORDS]
"WMT ’14 contains the following English-French parallel corpora: Europarl (61M words), news
commentary (5.5M), UN (421M) and two crawled corpora of 90M and 272.5M words respectively,
totaling 850M words. Following the procedure described in Cho et al. (2014a), we reduce the size of
the combined corpus to have 348M words using the data selection method by Axelrod et al. (2011)."</t>
        </r>
      </text>
    </comment>
    <comment ref="J312" authorId="0">
      <text>
        <r>
          <rPr>
            <sz val="10"/>
            <rFont val="SimSun"/>
            <charset val="134"/>
          </rPr>
          <t>Archived link 
https://arxiv.org/pdf/1406.2661.pdf</t>
        </r>
      </text>
    </comment>
    <comment ref="O312" authorId="0">
      <text>
        <r>
          <rPr>
            <sz val="10"/>
            <rFont val="SimSun"/>
            <charset val="134"/>
          </rPr>
          <t>From https://openai.com/blog/ai-and-compute/ Appendix
"Less than 0.006 pfs-days"
(86400*10^15*0.006)</t>
        </r>
      </text>
    </comment>
    <comment ref="Q312" authorId="0">
      <text>
        <r>
          <rPr>
            <sz val="10"/>
            <rFont val="SimSun"/>
            <charset val="134"/>
          </rPr>
          <t xml:space="preserve">"We trained adversarial nets an a range of datasets including MNIST[23], the Toronto Face Database (TFD) [28], and CIFAR-10 [21]."
MNIST has 60k images 
https://en.wikipedia.org/wiki/MNIST_database
TFD seems to have 2925 examples (?)
https://www.cs.toronto.edu/~urtasun/courses/CSC411/hw3-411.pdf
CIFAR-10 has 60k images
https://www.cs.toronto.edu/~kriz/cifar.html
</t>
        </r>
      </text>
    </comment>
    <comment ref="J313" authorId="0">
      <text>
        <r>
          <rPr>
            <sz val="10"/>
            <rFont val="SimSun"/>
            <charset val="134"/>
          </rPr>
          <t>Archived link 
https://arxiv.org/pdf/1412.6980.pdf</t>
        </r>
      </text>
    </comment>
    <comment ref="N313" authorId="0">
      <text>
        <r>
          <rPr>
            <sz val="10"/>
            <rFont val="SimSun"/>
            <charset val="134"/>
          </rPr>
          <t>CIFAR-10 with c64-c64-c128-1000 architecture</t>
        </r>
      </text>
    </comment>
    <comment ref="O313" authorId="0">
      <text>
        <r>
          <rPr>
            <sz val="10"/>
            <rFont val="SimSun"/>
            <charset val="134"/>
          </rPr>
          <t>From https://openai.com/blog/ai-and-compute/ Appendix
less than 0.0007 pfs-days (86400*10^15*0.0007)</t>
        </r>
      </text>
    </comment>
    <comment ref="J314" authorId="0">
      <text>
        <r>
          <rPr>
            <sz val="10"/>
            <rFont val="SimSun"/>
            <charset val="134"/>
          </rPr>
          <t>Archived link 
https://web.archive.org/web/20220529222909/https://nlp.stanford.edu/projects/glove/</t>
        </r>
      </text>
    </comment>
    <comment ref="N314" authorId="0">
      <text>
        <r>
          <rPr>
            <sz val="10"/>
            <rFont val="SimSun"/>
            <charset val="134"/>
          </rPr>
          <t>400k vocab * 300 vector dimensions</t>
        </r>
      </text>
    </comment>
    <comment ref="O314" authorId="0">
      <text>
        <r>
          <rPr>
            <sz val="10"/>
            <rFont val="SimSun"/>
            <charset val="134"/>
          </rPr>
          <t>"The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Details of dual 2.1GHz Intel Xeon E5-2658 machine:
https://www.intel.com/content/www/us/en/products/sku/61428/intel-xeon-processor-e52658-20m-2-10-ghz-8-0-gts-intel-qpi/specifications.html</t>
        </r>
      </text>
    </comment>
    <comment ref="Q314" authorId="0">
      <text>
        <r>
          <rPr>
            <sz val="10"/>
            <rFont val="SimSun"/>
            <charset val="134"/>
          </rPr>
          <t>"We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t>
        </r>
      </text>
    </comment>
    <comment ref="S314" authorId="0">
      <text>
        <r>
          <rPr>
            <sz val="10"/>
            <rFont val="SimSun"/>
            <charset val="134"/>
          </rPr>
          <t>Embeddings are precalculated</t>
        </r>
      </text>
    </comment>
    <comment ref="U314" authorId="0">
      <text>
        <r>
          <rPr>
            <sz val="10"/>
            <rFont val="SimSun"/>
            <charset val="134"/>
          </rPr>
          <t xml:space="preserve">Section 4.6 in original paper (https://nlp.stanford.edu/pubs/glove.pdf)
85 min to populate coocurrence matrix
+ 25 training iterations
Each iteration takes 14 minutes on 32 cores </t>
        </r>
      </text>
    </comment>
    <comment ref="V314" authorId="0">
      <text>
        <r>
          <rPr>
            <sz val="10"/>
            <rFont val="SimSun"/>
            <charset val="134"/>
          </rPr>
          <t>O(1) because embeddings are precalculated</t>
        </r>
      </text>
    </comment>
    <comment ref="W314" authorId="0">
      <text>
        <r>
          <rPr>
            <sz val="10"/>
            <rFont val="SimSun"/>
            <charset val="134"/>
          </rPr>
          <t xml:space="preserve">Wikipedia size from https://en.wikipedia.org/wiki/Wikipedia:Size_of_Wikipedia
Gigaword 5 size from https://catalog.ldc.upenn.edu/LDC2011T07
</t>
        </r>
      </text>
    </comment>
    <comment ref="G315" authorId="0">
      <text>
        <r>
          <rPr>
            <sz val="10"/>
            <rFont val="SimSun"/>
            <charset val="134"/>
          </rPr>
          <t>This system is from earlier actually
	-Jaime Sevilla</t>
        </r>
      </text>
    </comment>
    <comment ref="J315" authorId="0">
      <text>
        <r>
          <rPr>
            <sz val="10"/>
            <rFont val="SimSun"/>
            <charset val="134"/>
          </rPr>
          <t>Archived link 
Archived link 
https://web.archive.org/web/20220529222909/https://nlp.stanford.edu/projects/glove/</t>
        </r>
      </text>
    </comment>
    <comment ref="N315" authorId="0">
      <text>
        <r>
          <rPr>
            <sz val="10"/>
            <rFont val="SimSun"/>
            <charset val="134"/>
          </rPr>
          <t>400k vocab * 300 vector dimensions</t>
        </r>
      </text>
    </comment>
    <comment ref="O315" authorId="0">
      <text>
        <r>
          <rPr>
            <sz val="10"/>
            <rFont val="SimSun"/>
            <charset val="134"/>
          </rPr>
          <t>"The total run-time is split between populating X
and training the model. The former depends on
many factors, including window size, vocabulary
size, and corpus size. Though we did not do so,
this step could easily be parallelized across multiple machines (see, e.g., Lebret and Collobert
(2014) for some benchmarks). Using a single
thread of a dual 2.1GHz Intel Xeon E5-2658 machine, populating X with a 10 word symmetric
context window, a 400,000 word vocabulary, and
a 6 billion token corpus takes about 85 minutes.
Given X, the time it takes to train the model depends on the vector size and the number of iterations. For 300-dimensional vectors with the above settings (and using all 32 cores of the above machine), a single iteration takes 14 minutes. See Fig. 4 for a plot of the learning curve"
"We run 50 iterations for vectors smaller than
300 dimensions, and 100 iterations otherwise (see
Section 4.6 for more details about the convergence
rate)."
But we are interested in the 42B token model</t>
        </r>
      </text>
    </comment>
    <comment ref="Q315" authorId="0">
      <text>
        <r>
          <rPr>
            <sz val="10"/>
            <rFont val="SimSun"/>
            <charset val="134"/>
          </rPr>
          <t>"We trained our model on five corpora of varying sizes: a 2010 Wikipedia dump with 1 billion tokens; a 2014 Wikipedia dump with 1.6 billion tokens; Gigaword 5 which has 4.3 billion tokens; the combination Gigaword5 + Wikipedia2014, which has 6 billion tokens; and on 42 billion tokens of web data, from Common Crawl
[To demonstrate the scalability of the model, we also trained it on a much larger sixth corpus, containing 840 billion tokens of web data, but in this case we did not lowercase the vocabulary, so the results are not directly comparable.]"</t>
        </r>
      </text>
    </comment>
    <comment ref="S315" authorId="0">
      <text>
        <r>
          <rPr>
            <sz val="10"/>
            <rFont val="SimSun"/>
            <charset val="134"/>
          </rPr>
          <t>Embeddings are precalculated</t>
        </r>
      </text>
    </comment>
    <comment ref="U315" authorId="0">
      <text>
        <r>
          <rPr>
            <sz val="10"/>
            <rFont val="SimSun"/>
            <charset val="134"/>
          </rPr>
          <t xml:space="preserve">Section 4.6 in original paper (https://nlp.stanford.edu/pubs/glove.pdf)
85 min to populate coocurrence matrix
+ 25 training iterations
Each iteration takes 14 minutes on 32 cores </t>
        </r>
      </text>
    </comment>
    <comment ref="V315" authorId="0">
      <text>
        <r>
          <rPr>
            <sz val="10"/>
            <rFont val="SimSun"/>
            <charset val="134"/>
          </rPr>
          <t>O(1) because embeddings are precalculated</t>
        </r>
      </text>
    </comment>
    <comment ref="W315" authorId="0">
      <text>
        <r>
          <rPr>
            <sz val="10"/>
            <rFont val="SimSun"/>
            <charset val="134"/>
          </rPr>
          <t xml:space="preserve">Wikipedia size from https://en.wikipedia.org/wiki/Wikipedia:Size_of_Wikipedia
Gigaword 5 size from https://catalog.ldc.upenn.edu/LDC2011T07
</t>
        </r>
      </text>
    </comment>
    <comment ref="J316" authorId="0">
      <text>
        <r>
          <rPr>
            <sz val="10"/>
            <rFont val="SimSun"/>
            <charset val="134"/>
          </rPr>
          <t xml:space="preserve">Archived link 
http://www.cs.utoronto.ca/~hinton/absps/ruhijournal.pdf
https://web.archive.org/web/20220417023644/http://www.cs.utoronto.ca/~hinton/absps/ruhijournal.pdf
</t>
        </r>
      </text>
    </comment>
    <comment ref="N316" authorId="0">
      <text>
        <r>
          <rPr>
            <sz val="10"/>
            <rFont val="SimSun"/>
            <charset val="134"/>
          </rPr>
          <t>Assuming 1000 input features, 35 classes and 3 hidden layers of 500 units each</t>
        </r>
      </text>
    </comment>
    <comment ref="Q316" authorId="0">
      <text>
        <r>
          <rPr>
            <sz val="10"/>
            <rFont val="SimSun"/>
            <charset val="134"/>
          </rPr>
          <t>The training data has 27K automatically transcribed utterances amounting to 178K words.</t>
        </r>
      </text>
    </comment>
    <comment ref="R316" authorId="0">
      <text>
        <r>
          <rPr>
            <sz val="10"/>
            <rFont val="SimSun"/>
            <charset val="134"/>
          </rPr>
          <t xml:space="preserve"> We
use the architecture shown in Fig. III. It has three hidden layers
that are pre-trained, one at a time, as the hidden layers in a
stack of three RBMs without making any use of the class
labels.</t>
        </r>
      </text>
    </comment>
    <comment ref="J317" authorId="0">
      <text>
        <r>
          <rPr>
            <sz val="10"/>
            <rFont val="SimSun"/>
            <charset val="134"/>
          </rPr>
          <t>Archived link 
https://web.archive.org/web/20220102144648/https://www.cs.utexas.edu/~mhauskn/papers/atari.pdf
https://web.archive.org/web/20220601121854/https://ieeexplore.ieee.org/abstract/document/6756960
pdf link- https://www.cs.utexas.edu/~mhauskn/papers/atari.pdf</t>
        </r>
      </text>
    </comment>
    <comment ref="N317" authorId="0">
      <text>
        <r>
          <rPr>
            <sz val="10"/>
            <rFont val="SimSun"/>
            <charset val="134"/>
          </rPr>
          <t>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t>
        </r>
      </text>
    </comment>
    <comment ref="G318" authorId="0">
      <text>
        <r>
          <rPr>
            <sz val="10"/>
            <rFont val="SimSun"/>
            <charset val="134"/>
          </rPr>
          <t xml:space="preserve">unsure of date but aware of month and year
</t>
        </r>
      </text>
    </comment>
    <comment ref="J318" authorId="0">
      <text>
        <r>
          <rPr>
            <sz val="10"/>
            <rFont val="SimSun"/>
            <charset val="134"/>
          </rPr>
          <t>Archived link 
https://jmlr.org/papers/volume15/srivastava14a/srivastava14a.pdf</t>
        </r>
      </text>
    </comment>
    <comment ref="J319" authorId="0">
      <text>
        <r>
          <rPr>
            <sz val="10"/>
            <rFont val="SimSun"/>
            <charset val="134"/>
          </rPr>
          <t>Archived link 
https://arxiv.org/pdf/1406.1078.pdf</t>
        </r>
      </text>
    </comment>
    <comment ref="J320" authorId="0">
      <text>
        <r>
          <rPr>
            <sz val="10"/>
            <rFont val="SimSun"/>
            <charset val="134"/>
          </rPr>
          <t>Archived link 
https://arxiv.org/pdf/1406.2199.pdf</t>
        </r>
      </text>
    </comment>
    <comment ref="J321" authorId="0">
      <text>
        <r>
          <rPr>
            <sz val="10"/>
            <rFont val="SimSun"/>
            <charset val="134"/>
          </rPr>
          <t>Archived link 
https://static.googleusercontent.com/media/research.google.com/en//pubs/archive/42455.pdf
https://web.archive.org/web/20220601122152/https://ieeexplore.ieee.org/document/6909619</t>
        </r>
      </text>
    </comment>
    <comment ref="N321" authorId="0">
      <text>
        <r>
          <rPr>
            <sz val="10"/>
            <rFont val="SimSun"/>
            <charset val="134"/>
          </rPr>
          <t>"Using shorthand notation, the full [single frame] architecture is C(96, 11, 3)-N-P-C(256, 5, 1)-N-P-C(384, 3, 1)-C(384, 3, 1)-C(256, 3, 1)-P-FC(4096)-FC(4096), where C(d, f, s) indicates a convolutional layer with d filters of spatial size f ×f, applied to the input with stride s"
Two such single-frame architectures are concatenated as shown in figure 2
"Since the input is only of half the
spatial size as the full-frame models, we take out the last
pooling layer to ensure that both streams still terminate in a
layer of size 7×7×256. "
We assume the input are T=10 frames with C=3 color channels each
2*(256*(10*3*5*5+1) + 384*(256*3*3+1) + 384*(384*3*3+1) + 256*(384*3*3+1)) + (2*7*7*256 + 1)*4096 + (4096+1)*4096
----
Seems quite large but maybe taking into account is video format is correct?
	-Jaime Sevilla</t>
        </r>
      </text>
    </comment>
    <comment ref="P321" authorId="0">
      <text>
        <r>
          <rPr>
            <sz val="10"/>
            <rFont val="SimSun"/>
            <charset val="134"/>
          </rPr>
          <t>"We further estimate the size of our dataset of sampled frames to be on the order of 50 million examples and that our networks have each seen approximately 500 million examples throughout the training period in total."</t>
        </r>
      </text>
    </comment>
    <comment ref="J322" authorId="0">
      <text>
        <r>
          <rPr>
            <sz val="10"/>
            <rFont val="SimSun"/>
            <charset val="134"/>
          </rPr>
          <t>Archived link 
https://web.archive.org/web/20220531090535/https://www.cs.toronto.edu/~ranzato/publications/taigman_cvpr14.pdf
https://web.archive.org/web/20220601021105/https://ieeexplore.ieee.org/document/6909616</t>
        </r>
      </text>
    </comment>
    <comment ref="G323" authorId="0">
      <text>
        <r>
          <rPr>
            <sz val="10"/>
            <rFont val="SimSun"/>
            <charset val="134"/>
          </rPr>
          <t>unaware of date and month</t>
        </r>
      </text>
    </comment>
    <comment ref="J323" authorId="0">
      <text>
        <r>
          <rPr>
            <sz val="10"/>
            <rFont val="SimSun"/>
            <charset val="134"/>
          </rPr>
          <t>Archived link 
https://www.aaai.org/ocs/index.php/WS/AAAIW14/paper/viewFile/8811/8351</t>
        </r>
      </text>
    </comment>
    <comment ref="L323" authorId="0">
      <text>
        <r>
          <rPr>
            <sz val="10"/>
            <rFont val="SimSun"/>
            <charset val="134"/>
          </rPr>
          <t>First RL system to achieve superhuman level at Poker Limit Texas Hold Em</t>
        </r>
      </text>
    </comment>
    <comment ref="J324" authorId="0">
      <text>
        <r>
          <rPr>
            <sz val="10"/>
            <rFont val="SimSun"/>
            <charset val="134"/>
          </rPr>
          <t xml:space="preserve">pdf link 
https://quinonero.net/Publications/predicting-clicks-facebook.pdf
Archived link 
https://web.archive.org/web/20220606204723/https://quinonero.net/Publications/predicting-clicks-facebook.pdf
</t>
        </r>
      </text>
    </comment>
    <comment ref="J325" authorId="0">
      <text>
        <r>
          <rPr>
            <sz val="10"/>
            <rFont val="SimSun"/>
            <charset val="134"/>
          </rPr>
          <t>Archived link 
https://arxiv.org/pdf/1409.1556.pdf</t>
        </r>
      </text>
    </comment>
    <comment ref="N325" authorId="0">
      <text>
        <r>
          <rPr>
            <sz val="10"/>
            <rFont val="SimSun"/>
            <charset val="134"/>
          </rPr>
          <t>Source: Table 2
https://arxiv.org/abs/1409.1556</t>
        </r>
      </text>
    </comment>
    <comment ref="Q325" authorId="0">
      <text>
        <r>
          <rPr>
            <sz val="10"/>
            <rFont val="SimSun"/>
            <charset val="134"/>
          </rPr>
          <t>"In this section, we present the image classification results achieved by the described
ConvNet architectures on the ILSVRC-2012 dataset (which was used for ILSVRC 2012–2014 challenges). The dataset includes images of 1000 classes, and is split into three sets: training (1.3M images), validation (50K images), and testing (100K images with held-out class labels)."</t>
        </r>
      </text>
    </comment>
    <comment ref="S325" authorId="0">
      <text>
        <r>
          <rPr>
            <sz val="10"/>
            <rFont val="SimSun"/>
            <charset val="134"/>
          </rPr>
          <t>"Remarkably, although the depth is significantly increased, the 152-layer ResNet (11.3 billion FLOPs) still has lower complexity than VGG-16/19 nets (15.3/19.6 billion FLOPs)."
Source: https://www.cv-foundation.org/openaccess/content_cvpr_2016/papers/He_Deep_Residual_Learning_CVPR_2016_paper.pdf</t>
        </r>
      </text>
    </comment>
    <comment ref="C326" authorId="0">
      <text>
        <r>
          <rPr>
            <sz val="10"/>
            <rFont val="SimSun"/>
            <charset val="134"/>
          </rPr>
          <t>Also trained for image captioning and video classification, but largest model (and thus parameter counts) is for video description</t>
        </r>
      </text>
    </comment>
    <comment ref="J326" authorId="0">
      <text>
        <r>
          <rPr>
            <sz val="10"/>
            <rFont val="SimSun"/>
            <charset val="134"/>
          </rPr>
          <t>Archived link 
https://arxiv.org/pdf/1411.4389.pdf</t>
        </r>
      </text>
    </comment>
    <comment ref="N326" authorId="0">
      <text>
        <r>
          <rPr>
            <sz val="10"/>
            <rFont val="SimSun"/>
            <charset val="134"/>
          </rPr>
          <t xml:space="preserve">1st model: CaffeNet fc6 feature extractor (4096-length vectors) -&gt; LSTM with 1024 hidden units
2nd model: CaffeNet fc6 feature extractor (4096-length vectors) -&gt; 2 layer LSTM with 1000 hidden units
3rd mode: Like the second, but has encoder and decoder LSTMs (both with 2 layers)
AlexNet (close relative to CaffeNet) has 61M params.
LSTM RNN number of parameters is given by L*(n*m + n^2 + n) where L:= Number of layers, n:= hidden units, m:= input vector length
</t>
        </r>
      </text>
    </comment>
    <comment ref="P326" authorId="0">
      <text>
        <r>
          <rPr>
            <sz val="10"/>
            <rFont val="SimSun"/>
            <charset val="134"/>
          </rPr>
          <t>Largest model is for image captioning:
Pretrained with ILSVRC 2021 (1.2M images)
Trained on 40k video-sentence pairs from TaCoS</t>
        </r>
      </text>
    </comment>
    <comment ref="J327" authorId="0">
      <text>
        <r>
          <rPr>
            <sz val="10"/>
            <rFont val="SimSun"/>
            <charset val="134"/>
          </rPr>
          <t>Archived link 
https://arxiv.org/pdf/1411.4038.pdf</t>
        </r>
      </text>
    </comment>
    <comment ref="J328" authorId="0">
      <text>
        <r>
          <rPr>
            <sz val="10"/>
            <rFont val="SimSun"/>
            <charset val="134"/>
          </rPr>
          <t>Archived link 
https://arxiv.org/pdf/1411.7766.pdf</t>
        </r>
      </text>
    </comment>
    <comment ref="J329" authorId="0">
      <text>
        <r>
          <rPr>
            <sz val="10"/>
            <rFont val="SimSun"/>
            <charset val="134"/>
          </rPr>
          <t>Archived link 
https://arxiv.org/pdf/1410.5401.pdf</t>
        </r>
      </text>
    </comment>
    <comment ref="J330" authorId="0">
      <text>
        <r>
          <rPr>
            <sz val="10"/>
            <rFont val="SimSun"/>
            <charset val="134"/>
          </rPr>
          <t>Archived link 
https://arxiv.org/pdf/1412.7062.pdf</t>
        </r>
      </text>
    </comment>
    <comment ref="J331" authorId="0">
      <text>
        <r>
          <rPr>
            <sz val="10"/>
            <rFont val="SimSun"/>
            <charset val="134"/>
          </rPr>
          <t>Archived link 
https://papers.nips.cc/paper/2013/file/1cecc7a77928ca8133fa24680a88d2f9-Paper.pdf
https://web.archive.org/web/20210917105732/https://papers.nips.cc/paper/2013/file/1cecc7a77928ca8133fa24680a88d2f9-Paper.pdf</t>
        </r>
      </text>
    </comment>
    <comment ref="O331" authorId="0">
      <text>
        <r>
          <rPr>
            <sz val="10"/>
            <rFont val="SimSun"/>
            <charset val="134"/>
          </rPr>
          <t xml:space="preserve">8 GPUs (they don''t specify which, so I used the average for FP32 for 2017 from the write-up table)
8 hours 
0.33 util rate
</t>
        </r>
      </text>
    </comment>
    <comment ref="Q331" authorId="0">
      <text>
        <r>
          <rPr>
            <sz val="10"/>
            <rFont val="SimSun"/>
            <charset val="134"/>
          </rPr>
          <t>"it can be successfully trained on a large scale data set with 1M
entities, 25k relationships and more than 17M training samples"</t>
        </r>
      </text>
    </comment>
    <comment ref="J332" authorId="0">
      <text>
        <r>
          <rPr>
            <sz val="10"/>
            <rFont val="SimSun"/>
            <charset val="134"/>
          </rPr>
          <t>Archived link 
https://arxiv.org/pdf/1311.2901.pdf</t>
        </r>
      </text>
    </comment>
    <comment ref="O332" authorId="0">
      <text>
        <r>
          <rPr>
            <sz val="10"/>
            <rFont val="SimSun"/>
            <charset val="134"/>
          </rPr>
          <t>1 GPU * 12 days * 1.54 TFLOPS/GTX 580 * 0.33 utilization 
= 532 PF = 0.0062 pfs-days
Source: https://openai.com/blog/ai-and-compute</t>
        </r>
      </text>
    </comment>
    <comment ref="J333" authorId="0">
      <text>
        <r>
          <rPr>
            <sz val="10"/>
            <rFont val="SimSun"/>
            <charset val="134"/>
          </rPr>
          <t>pdf link - http://www.cse.cuhk.edu.hk/~qdou/papers/2016/[2016][AAAI]Mitosis%20detection%20in%20breast%20cancer%20histology%20images%20via%20deep%20cascaded%20networks.pdf
Archived link 
https://web.archive.org/web/20220601123216/https://link.springer.com/chapter/10.1007/978-3-642-40763-5_51</t>
        </r>
      </text>
    </comment>
    <comment ref="N333" authorId="0">
      <text>
        <r>
          <rPr>
            <sz val="10"/>
            <rFont val="SimSun"/>
            <charset val="134"/>
          </rPr>
          <t>Sum numbers of weights in Table 1.b</t>
        </r>
      </text>
    </comment>
    <comment ref="O333" authorId="0">
      <text>
        <r>
          <rPr>
            <sz val="10"/>
            <rFont val="SimSun"/>
            <charset val="134"/>
          </rPr>
          <t>"Training each network requires one day of computation with an optimized GPU
implementation"
Assuming 1.58E+12 FLOP/second on FP32 (from the table in the Estimating compute post), we get
3600*24*1.58E+12 = 1.37E+17 FLOP</t>
        </r>
      </text>
    </comment>
    <comment ref="Q333" authorId="0">
      <text>
        <r>
          <rPr>
            <sz val="10"/>
            <rFont val="SimSun"/>
            <charset val="134"/>
          </rPr>
          <t>The dataset is built in two stages. First a classifier is trained on small sample, and used to curate a more representative larger dataset.
The final dataset has 1M instances
"We build the actual training set, composed by 1 million instances, which includes
all mitosis pixels (6.6% of the training instances). The remaining 95.4% is sampled
from non-mitosis pixels by assigning to each pixel p a weight D(p)."</t>
        </r>
      </text>
    </comment>
    <comment ref="J334" authorId="0">
      <text>
        <r>
          <rPr>
            <sz val="10"/>
            <rFont val="SimSun"/>
            <charset val="134"/>
          </rPr>
          <t>Archived link 
https://arxiv.org/pdf/1310.4546.pdf</t>
        </r>
      </text>
    </comment>
    <comment ref="N334" authorId="0">
      <text>
        <r>
          <rPr>
            <sz val="10"/>
            <rFont val="SimSun"/>
            <charset val="134"/>
          </rPr>
          <t>To maximize the accuracy on the phrase analogy task, we increased the amount of the training data by using a dataset with about 33 billion words. We used the hierarchical softmax, dimensionality of 1000, and the entire sentence for the context.
----
Why does the calculation use 10000 and not 1000, which is the dimensionality of the softmax?
	-Ben Cottier
I think that was a typo, thanks! Now fixed
	-Jaime Sevilla</t>
        </r>
      </text>
    </comment>
    <comment ref="O334" authorId="0">
      <text>
        <r>
          <rPr>
            <sz val="10"/>
            <rFont val="SimSun"/>
            <charset val="134"/>
          </rPr>
          <t>From https://openai.com/blog/ai-and-compute/ Appendix.
"less than 0.00045 pfs days"
(86400*10^15*0.00045)</t>
        </r>
      </text>
    </comment>
    <comment ref="Q334" authorId="0">
      <text>
        <r>
          <rPr>
            <sz val="10"/>
            <rFont val="SimSun"/>
            <charset val="134"/>
          </rPr>
          <t>"For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
----
Seems to depend on the task? 
(1) For the *standard* analogical reasoning task, "predict the next *word* given the first three", they used an internal dataset of 1B words, but trained on 692K.
(2) For the *phrase* analogical reasoning task, "predict the next *phrase* given the first three", they used 33B words.
I'm unsure if this exactly corresponds to "word2vec (small)" and "word2vec (large)" respectively
	-Anson Ho</t>
        </r>
      </text>
    </comment>
    <comment ref="J335" authorId="0">
      <text>
        <r>
          <rPr>
            <sz val="10"/>
            <rFont val="SimSun"/>
            <charset val="134"/>
          </rPr>
          <t>Archived link 
https://arxiv.org/pdf/1312.5602.pdf</t>
        </r>
      </text>
    </comment>
    <comment ref="N335" authorId="0">
      <text>
        <r>
          <rPr>
            <sz val="10"/>
            <rFont val="SimSun"/>
            <charset val="134"/>
          </rPr>
          <t>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t>
        </r>
      </text>
    </comment>
    <comment ref="O335" authorId="0">
      <text>
        <r>
          <rPr>
            <sz val="10"/>
            <rFont val="SimSun"/>
            <charset val="134"/>
          </rPr>
          <t>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
Ajeya's estimate is one order of magnitude above
https://docs.google.com/spreadsheets/d/1Kj4Q5WADcDXtUJLIOfGTCE3tGvxNczEMwyy8QtgSkHk/edit#gid=54587040&amp;fvid=1361937389
	-Jaime Sevilla</t>
        </r>
      </text>
    </comment>
    <comment ref="J336" authorId="0">
      <text>
        <r>
          <rPr>
            <sz val="10"/>
            <rFont val="SimSun"/>
            <charset val="134"/>
          </rPr>
          <t>Archived link 
https://arxiv.org/pdf/1312.6114.pdf</t>
        </r>
      </text>
    </comment>
    <comment ref="O336" authorId="0">
      <text>
        <r>
          <rPr>
            <sz val="10"/>
            <rFont val="SimSun"/>
            <charset val="134"/>
          </rPr>
          <t>From https://openai.com/blog/ai-and-compute/ Appendix
"less than 0.0000055 pfs-days"
(86400*10^15*0.0000055)</t>
        </r>
      </text>
    </comment>
    <comment ref="Q336" authorId="0">
      <text>
        <r>
          <rPr>
            <sz val="10"/>
            <rFont val="SimSun"/>
            <charset val="134"/>
          </rPr>
          <t>"We trained generative models of images from the MNIST and Frey Face datasets"
MNIST has 60k images
https://en.wikipedia.org/wiki/MNIST_database
Frey Face has 2k images
https://cs.nyu.edu/~roweis/data.html</t>
        </r>
      </text>
    </comment>
    <comment ref="O337" authorId="0">
      <text>
        <r>
          <rPr>
            <sz val="10"/>
            <rFont val="SimSun"/>
            <charset val="134"/>
          </rPr>
          <t>They use a Intel Xeon E5-2470 Processor for 2 hours. This can do 12,617 MOps/Sec 
https://www.cpubenchmark.net/cpu.php?cpu=Intel+Xeon+E5-2470+%40+2.30GHz&amp;id=2003</t>
        </r>
      </text>
    </comment>
    <comment ref="J338" authorId="0">
      <text>
        <r>
          <rPr>
            <sz val="10"/>
            <rFont val="SimSun"/>
            <charset val="134"/>
          </rPr>
          <t>Archived link 
https://arxiv.org/pdf/1301.3666.pdf</t>
        </r>
      </text>
    </comment>
    <comment ref="J339" authorId="0">
      <text>
        <r>
          <rPr>
            <sz val="10"/>
            <rFont val="SimSun"/>
            <charset val="134"/>
          </rPr>
          <t>Archived link 
https://arxiv.org/pdf/1302.4389.pdf
https://web.archive.org/web/20220416232350/http://proceedings.mlr.press/v28/goodfellow13</t>
        </r>
      </text>
    </comment>
    <comment ref="J340" authorId="0">
      <text>
        <r>
          <rPr>
            <sz val="10"/>
            <rFont val="SimSun"/>
            <charset val="134"/>
          </rPr>
          <t>Archived link 
https://arxiv.org/pdf/1303.5778.pdf</t>
        </r>
      </text>
    </comment>
    <comment ref="N340" authorId="0">
      <text>
        <r>
          <rPr>
            <sz val="10"/>
            <rFont val="SimSun"/>
            <charset val="134"/>
          </rPr>
          <t>Table 1</t>
        </r>
      </text>
    </comment>
    <comment ref="J341" authorId="0">
      <text>
        <r>
          <rPr>
            <sz val="10"/>
            <rFont val="SimSun"/>
            <charset val="134"/>
          </rPr>
          <t>Archived link 
http://www.huppelen.nl/publications/selectiveSearchDraft.pdf
https://web.archive.org/web/20220601130029/https://link.springer.com/article/10.1007/s11263-013-0620-5</t>
        </r>
      </text>
    </comment>
    <comment ref="J342" authorId="0">
      <text>
        <r>
          <rPr>
            <sz val="10"/>
            <rFont val="SimSun"/>
            <charset val="134"/>
          </rPr>
          <t>Archived link 
http://www.huppelen.nl/publications/selectiveSearchDraft.pdf
https://web.archive.org/web/20220601130029/https://link.springer.com/article/10.1007/s11263-013-0620-5</t>
        </r>
      </text>
    </comment>
    <comment ref="J343" authorId="0">
      <text>
        <r>
          <rPr>
            <sz val="10"/>
            <rFont val="SimSun"/>
            <charset val="134"/>
          </rPr>
          <t xml:space="preserve">Archived link 
https://aclanthology.org/N13-1090.pdf
</t>
        </r>
      </text>
    </comment>
    <comment ref="J344" authorId="0">
      <text>
        <r>
          <rPr>
            <sz val="10"/>
            <rFont val="SimSun"/>
            <charset val="134"/>
          </rPr>
          <t>Archived link 
https://arxiv.org/pdf/1310.4546.pdf</t>
        </r>
      </text>
    </comment>
    <comment ref="N344" authorId="0">
      <text>
        <r>
          <rPr>
            <sz val="10"/>
            <rFont val="SimSun"/>
            <charset val="134"/>
          </rPr>
          <t>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t>
        </r>
      </text>
    </comment>
    <comment ref="Q344" authorId="0">
      <text>
        <r>
          <rPr>
            <sz val="10"/>
            <rFont val="SimSun"/>
            <charset val="134"/>
          </rPr>
          <t>"For training the Skip-gram models, we have used a large dataset consisting of various news articles (an internal Google dataset with one billion words). We discarded from the vocabulary all words that occurred less than 5 times in the training data, which resulted in a vocabulary of size 692K"</t>
        </r>
      </text>
    </comment>
    <comment ref="J345" authorId="0">
      <text>
        <r>
          <rPr>
            <sz val="10"/>
            <rFont val="SimSun"/>
            <charset val="134"/>
          </rPr>
          <t>Archived link 
https://arxiv.org/pdf/1311.2524.pdf</t>
        </r>
      </text>
    </comment>
    <comment ref="N345" authorId="0">
      <text>
        <r>
          <rPr>
            <sz val="10"/>
            <rFont val="SimSun"/>
            <charset val="134"/>
          </rPr>
          <t>Computed from architecture description in Caffee
https://nbviewer.jupyter.org/github/BVLC/caffe/blob/master/examples/detection.ipynb</t>
        </r>
      </text>
    </comment>
    <comment ref="G346" authorId="0">
      <text>
        <r>
          <rPr>
            <sz val="10"/>
            <rFont val="SimSun"/>
            <charset val="134"/>
          </rPr>
          <t>unaware of date</t>
        </r>
      </text>
    </comment>
    <comment ref="J346" authorId="0">
      <text>
        <r>
          <rPr>
            <sz val="10"/>
            <rFont val="SimSun"/>
            <charset val="134"/>
          </rPr>
          <t xml:space="preserve">Archived link 
https://papers.nips.cc/paper/2013/file/b337e84de8752b27eda3a12363109e80-Paper.pdf
https://web.archive.org/web/20210516142508/https://papers.nips.cc/paper/2013/file/b337e84de8752b27eda3a12363109e80-Paper.pdf
</t>
        </r>
      </text>
    </comment>
    <comment ref="J347" authorId="0">
      <text>
        <r>
          <rPr>
            <sz val="10"/>
            <rFont val="SimSun"/>
            <charset val="134"/>
          </rPr>
          <t>Archived link 
https://www.cs.toronto.edu/~graves/asru_2013.pdf
https://web.archive.org/web/20220601123027/https://ieeexplore.ieee.org/document/6707742</t>
        </r>
      </text>
    </comment>
    <comment ref="N347" authorId="0">
      <text>
        <r>
          <rPr>
            <sz val="10"/>
            <rFont val="SimSun"/>
            <charset val="134"/>
          </rPr>
          <t>"The DBLSTM network had five bidirectional hidden levels, with 500 LSTM cells in each of the forward and backward
layers, and a size 3385 softmax output layer, giving a total of
29.9M weights."</t>
        </r>
      </text>
    </comment>
    <comment ref="J348" authorId="0">
      <text>
        <r>
          <rPr>
            <sz val="10"/>
            <rFont val="SimSun"/>
            <charset val="134"/>
          </rPr>
          <t>Archived link 
https://arxiv.org/pdf/1312.4400.pdf</t>
        </r>
      </text>
    </comment>
    <comment ref="J349" authorId="0">
      <text>
        <r>
          <rPr>
            <sz val="10"/>
            <rFont val="SimSun"/>
            <charset val="134"/>
          </rPr>
          <t>Archived link 
https://arxiv.org/pdf/1312.6229.pdf</t>
        </r>
      </text>
    </comment>
    <comment ref="J350" authorId="0">
      <text>
        <r>
          <rPr>
            <sz val="10"/>
            <rFont val="SimSun"/>
            <charset val="134"/>
          </rPr>
          <t>Archived link 
https://proceedings.neurips.cc/paper/2012/file/c399862d3b9d6b76c8436e924a68c45b-Paper.pdf</t>
        </r>
      </text>
    </comment>
    <comment ref="N350" authorId="0">
      <text>
        <r>
          <rPr>
            <sz val="10"/>
            <rFont val="SimSun"/>
            <charset val="134"/>
          </rPr>
          <t>Our neural network architecture has 60 million parameters.</t>
        </r>
      </text>
    </comment>
    <comment ref="O350" authorId="0">
      <text>
        <r>
          <rPr>
            <sz val="10"/>
            <rFont val="SimSun"/>
            <charset val="134"/>
          </rPr>
          <t>1.2M images * 90 epochs * 0.75 GFLOP * (2 add-multiply) * (3 backward pass) 
= 470 PF = 0.0054 pfs-days
Source: https://openai.com/blog/ai-and-compute/</t>
        </r>
      </text>
    </comment>
    <comment ref="P350" authorId="0">
      <text>
        <r>
          <rPr>
            <sz val="10"/>
            <rFont val="SimSun"/>
            <charset val="134"/>
          </rPr>
          <t>I guess we'll need to be consistent about ImageNet vs ILSVRC {insert year} going forward?
	-Anson Ho
Yeah, great point
	-Jaime Sevilla</t>
        </r>
      </text>
    </comment>
    <comment ref="Q350" authorId="0">
      <text>
        <r>
          <rPr>
            <sz val="10"/>
            <rFont val="SimSun"/>
            <charset val="134"/>
          </rPr>
          <t>"ImageNet is a dataset of over 15 million labeled high-resolution images belonging to roughly 22,000 categories. The images were collected from the web and labeled by human labelers using Amazon’s Mechanical Turk crowd-sourcing tool. Starting in 2010, as part of the Pascal Visual Object Challenge, an annual competition called the ImageNet Large-Scale Visual Recognition Challenge (ILSVRC) has been held. ILSVRC uses a subset of ImageNet with roughly 1000 images in each of 1000 categories. In all, there are roughly 1.2 million training images, 50,000 validation images, and 150,000 testing images."</t>
        </r>
      </text>
    </comment>
    <comment ref="J351" authorId="0">
      <text>
        <r>
          <rPr>
            <sz val="10"/>
            <rFont val="SimSun"/>
            <charset val="134"/>
          </rPr>
          <t>Archived link 
https://arxiv.org/pdf/1207.0580.pdf</t>
        </r>
      </text>
    </comment>
    <comment ref="O351" authorId="0">
      <text>
        <r>
          <rPr>
            <sz val="10"/>
            <rFont val="SimSun"/>
            <charset val="134"/>
          </rPr>
          <t>Num mul-add / forward pass
2 FLOPs / mult-add
3 total mult-add / fp mult-add
3000 epochs
60000 training samples</t>
        </r>
      </text>
    </comment>
    <comment ref="Q351" authorId="0">
      <text>
        <r>
          <rPr>
            <sz val="10"/>
            <rFont val="SimSun"/>
            <charset val="134"/>
          </rPr>
          <t>The MNIST database contains 60,000 training images and 10,000 testing images (Wikipedia)</t>
        </r>
      </text>
    </comment>
    <comment ref="S351" authorId="0">
      <text>
        <r>
          <rPr>
            <sz val="10"/>
            <rFont val="SimSun"/>
            <charset val="134"/>
          </rPr>
          <t>mult-add / fp
* 2 FLOPs / mult-add</t>
        </r>
      </text>
    </comment>
    <comment ref="W351" authorId="0">
      <text>
        <r>
          <rPr>
            <sz val="10"/>
            <rFont val="SimSun"/>
            <charset val="134"/>
          </rPr>
          <t>MNIST</t>
        </r>
      </text>
    </comment>
    <comment ref="J352" authorId="0">
      <text>
        <r>
          <rPr>
            <sz val="10"/>
            <rFont val="SimSun"/>
            <charset val="134"/>
          </rPr>
          <t>Archived link 
https://arxiv.org/pdf/1202.2745v1.pdf</t>
        </r>
      </text>
    </comment>
    <comment ref="N352" authorId="0">
      <text>
        <r>
          <rPr>
            <sz val="10"/>
            <rFont val="SimSun"/>
            <charset val="134"/>
          </rPr>
          <t xml:space="preserve">We train five DNN columns per normalization, resulting in a total of 35 columns for the entire MCDNN.
[Each DNN has an architecture] 1x29x29-20C4-MP2-40C5-MP3-150N-10N DNN </t>
        </r>
      </text>
    </comment>
    <comment ref="O352" authorId="0">
      <text>
        <r>
          <rPr>
            <sz val="10"/>
            <rFont val="SimSun"/>
            <charset val="134"/>
          </rPr>
          <t>Num of multiply-adds per forward pass
2 FLOPs/mult-add
3 (fp+bp FLOPs / fp FLOPs)
800 epochs
60.000 training size
35 networks
"Training a DNN takes almost 14 hours and after 500 training epochs little additional improvement is observed"</t>
        </r>
      </text>
    </comment>
    <comment ref="Q352" authorId="0">
      <text>
        <r>
          <rPr>
            <sz val="10"/>
            <rFont val="SimSun"/>
            <charset val="134"/>
          </rPr>
          <t>The MNIST database contains 60,000 training images and 10,000 testing images (Wikipedia)</t>
        </r>
      </text>
    </comment>
    <comment ref="S352" authorId="0">
      <text>
        <r>
          <rPr>
            <sz val="10"/>
            <rFont val="SimSun"/>
            <charset val="134"/>
          </rPr>
          <t>Num mult-add per fp per network
35 networks
2 FLOPs/mult-add</t>
        </r>
      </text>
    </comment>
    <comment ref="W352" authorId="0">
      <text>
        <r>
          <rPr>
            <sz val="10"/>
            <rFont val="SimSun"/>
            <charset val="134"/>
          </rPr>
          <t>MNIST</t>
        </r>
      </text>
    </comment>
    <comment ref="J353" authorId="0">
      <text>
        <r>
          <rPr>
            <sz val="10"/>
            <rFont val="SimSun"/>
            <charset val="134"/>
          </rPr>
          <t>Archived link 
https://arxiv.org/pdf/1207.0580.pdf</t>
        </r>
      </text>
    </comment>
    <comment ref="N353" authorId="0">
      <text>
        <r>
          <rPr>
            <sz val="10"/>
            <rFont val="SimSun"/>
            <charset val="134"/>
          </rPr>
          <t>The input to the net is 21 adjacent frames with an advance of 10ms per frame. The neural net has 4 fully-connected hidden layers of 4000 units per layer and 185 “softmax” output units that are subsequently merged into the 39 distinct classes used for the benchmark.</t>
        </r>
      </text>
    </comment>
    <comment ref="Q353" authorId="0">
      <text>
        <r>
          <rPr>
            <sz val="10"/>
            <rFont val="SimSun"/>
            <charset val="134"/>
          </rPr>
          <t>4162 utterances, guesstimated avg 10 words per utterance</t>
        </r>
      </text>
    </comment>
    <comment ref="J354" authorId="0">
      <text>
        <r>
          <rPr>
            <sz val="10"/>
            <rFont val="SimSun"/>
            <charset val="134"/>
          </rPr>
          <t>Archived link 
https://arxiv.org/pdf/1207.0580.pdf</t>
        </r>
      </text>
    </comment>
    <comment ref="J355" authorId="0">
      <text>
        <r>
          <rPr>
            <sz val="10"/>
            <rFont val="SimSun"/>
            <charset val="134"/>
          </rPr>
          <t>Archived link 
https://arxiv.org/pdf/1207.0580.pdf</t>
        </r>
      </text>
    </comment>
    <comment ref="N355" authorId="0">
      <text>
        <r>
          <rPr>
            <sz val="10"/>
            <rFont val="SimSun"/>
            <charset val="134"/>
          </rPr>
          <t>We achieved comparable performance of 48.6% error using a single neural network with
five convolutional hidden layers interleaved with “max-pooling” layer followed by two globally
connected layers and a final 1000-way softmax layer</t>
        </r>
      </text>
    </comment>
    <comment ref="Q355" authorId="0">
      <text>
        <r>
          <rPr>
            <sz val="10"/>
            <rFont val="SimSun"/>
            <charset val="134"/>
          </rPr>
          <t>In 2010, a subset of 1000 classes
with roughly 1000 examples per class was the basis of an object recognition competition...</t>
        </r>
      </text>
    </comment>
    <comment ref="I356" authorId="0">
      <text>
        <r>
          <rPr>
            <sz val="10"/>
            <rFont val="SimSun"/>
            <charset val="134"/>
          </rPr>
          <t>TODO check if relevant
	-Jaime Sevilla</t>
        </r>
      </text>
    </comment>
    <comment ref="J356" authorId="0">
      <text>
        <r>
          <rPr>
            <sz val="10"/>
            <rFont val="SimSun"/>
            <charset val="134"/>
          </rPr>
          <t>Archived link 
https://web.archive.org/web/20220416181957/http://www.cvlibs.net/publications/Geiger2012CVPR_slides.pdf
http://www.cvlibs.net/publications/Geiger2012CVPR_slides.pdf</t>
        </r>
      </text>
    </comment>
    <comment ref="G357" authorId="0">
      <text>
        <r>
          <rPr>
            <sz val="10"/>
            <rFont val="SimSun"/>
            <charset val="134"/>
          </rPr>
          <t>08/07/2012*</t>
        </r>
      </text>
    </comment>
    <comment ref="I357" authorId="0">
      <text>
        <r>
          <rPr>
            <sz val="10"/>
            <rFont val="SimSun"/>
            <charset val="134"/>
          </rPr>
          <t>Does not meet inclusion criteria: it's a dataset, not a ML model
	-Pablo Villalobos</t>
        </r>
      </text>
    </comment>
    <comment ref="J357" authorId="0">
      <text>
        <r>
          <rPr>
            <sz val="10"/>
            <rFont val="SimSun"/>
            <charset val="134"/>
          </rPr>
          <t>Archived link 
https://aclanthology.org/P12-3029.pdf</t>
        </r>
      </text>
    </comment>
    <comment ref="C358" authorId="0">
      <text>
        <r>
          <rPr>
            <sz val="10"/>
            <rFont val="SimSun"/>
            <charset val="134"/>
          </rPr>
          <t>Arguably, semantic embedding of sentences
	-Jaime Sevilla</t>
        </r>
      </text>
    </comment>
    <comment ref="J358" authorId="0">
      <text>
        <r>
          <rPr>
            <sz val="10"/>
            <rFont val="SimSun"/>
            <charset val="134"/>
          </rPr>
          <t>Archived link 
https://aclanthology.org/D12-1110.pdf</t>
        </r>
      </text>
    </comment>
    <comment ref="N358" authorId="0">
      <text>
        <r>
          <rPr>
            <sz val="10"/>
            <rFont val="SimSun"/>
            <charset val="134"/>
          </rPr>
          <t>"We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
"We propose the following combination function which is input dependent:
p = fA,B(a, b) = f(Ba, Ab) = g(W x (Ba Ab)) ,(2)
where A, B are matrices for single words, the global W ∈ Rn×2n is a matrix that maps both transformed words back into the same n-dimensional space."
"For computing nonterminal phrase matrices, we define the function
P = fM(A, B) = WMA, B, (3)
where WM ∈ Rn×2n, so P ∈ Rn×n just like each input matrix."
"If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
where U ∈ Rn×r, V ∈ Rr×n, a ∈ Rnand we set the rank for all experiments to r = 3."
"We train these representations by adding on top of each parent node a simple softmax classifier
to predict a class distribution over, e.g., sentiment or relationship classes: d(p) = softmax(Wlabelp). If there are K labels, then d ∈ RK is a K-dimensional multinomial distribution"
In total there are V*(n+n*r + r*n) + n*2n + n*2n + (n+1)*k parameters, where n is the vector dimension, r is the low-rank decomposition dimension, V is the vocabulary size and k is the number of classes.
In the experiments we have that n=50, r=3, k=? and V=?. I'm guesstimating k=5 and V=10k.</t>
        </r>
      </text>
    </comment>
    <comment ref="J359" authorId="0">
      <text>
        <r>
          <rPr>
            <sz val="10"/>
            <rFont val="SimSun"/>
            <charset val="134"/>
          </rPr>
          <t>Archived link 
https://arxiv.org/pdf/1206.2944.pdf</t>
        </r>
      </text>
    </comment>
    <comment ref="J360" authorId="0">
      <text>
        <r>
          <rPr>
            <sz val="10"/>
            <rFont val="SimSun"/>
            <charset val="134"/>
          </rPr>
          <t xml:space="preserve">pdf link 
https://cs.stanford.edu/~acoates/papers/coatesleeng_aistats_2011.pdf
Archived link 
https://web.archive.org/web/20211031080623/https://cs.stanford.edu/~acoates/papers/coatesleeng_aistats_2011.pdf
</t>
        </r>
      </text>
    </comment>
    <comment ref="J361" authorId="0">
      <text>
        <r>
          <rPr>
            <sz val="10"/>
            <rFont val="SimSun"/>
            <charset val="134"/>
          </rPr>
          <t xml:space="preserve">pdf link 
https://proceedings.mlr.press/v15/glorot11a/glorot11a.pdf
Archived link 
https://web.archive.org/web/20220421063559/http://proceedings.mlr.press/v15/glorot11a/glorot11a.pdf
</t>
        </r>
      </text>
    </comment>
    <comment ref="J362" authorId="0">
      <text>
        <r>
          <rPr>
            <sz val="10"/>
            <rFont val="SimSun"/>
            <charset val="134"/>
          </rPr>
          <t>Archived link 
http://www.fit.vutbr.cz/research/groups/speech/publi/2011/mikolov_icassp2011_5528.pdf
https://web.archive.org/web/20220327212835/https://ieeexplore.ieee.org/document/5947611</t>
        </r>
      </text>
    </comment>
    <comment ref="Q362" authorId="0">
      <text>
        <r>
          <rPr>
            <sz val="10"/>
            <rFont val="SimSun"/>
            <charset val="134"/>
          </rPr>
          <t>Section 3: "The data used in the following experiments were obtained from
Penn Tree Bank: sections 0-20 were used as training data (about
930K tokens)"
0.75 words per token for English</t>
        </r>
      </text>
    </comment>
    <comment ref="G363" authorId="0">
      <text>
        <r>
          <rPr>
            <sz val="10"/>
            <rFont val="SimSun"/>
            <charset val="134"/>
          </rPr>
          <t>19/06/2011*</t>
        </r>
      </text>
    </comment>
    <comment ref="J363" authorId="0">
      <text>
        <r>
          <rPr>
            <sz val="10"/>
            <rFont val="SimSun"/>
            <charset val="134"/>
          </rPr>
          <t>Archived link 
https://aclanthology.org/P11-1061.pdf</t>
        </r>
      </text>
    </comment>
    <comment ref="J364" authorId="0">
      <text>
        <r>
          <rPr>
            <sz val="10"/>
            <rFont val="SimSun"/>
            <charset val="134"/>
          </rPr>
          <t>Archived link 
https://nlp.stanford.edu/pubs/SocherPenningtonHuangNgManning_EMNLP2011.pdf
https://web.archive.org/web/20220316072842/https://aclanthology.org/D11-1014.pdf</t>
        </r>
      </text>
    </comment>
    <comment ref="Q364" authorId="0">
      <text>
        <r>
          <rPr>
            <sz val="10"/>
            <rFont val="SimSun"/>
            <charset val="134"/>
          </rPr>
          <t xml:space="preserve">They use several datasets for self-supervised and supervised learning
</t>
        </r>
      </text>
    </comment>
    <comment ref="J365" authorId="0">
      <text>
        <r>
          <rPr>
            <sz val="10"/>
            <rFont val="SimSun"/>
            <charset val="134"/>
          </rPr>
          <t>Archived link 
http://emotion.inrialpes.fr/people/synnaeve/index_files/BayesianUnit.pdf
https://web.archive.org/web/20220601134328/http://emotion.inrialpes.fr/people/synnaeve/index_files/BayesianUnit.pdf</t>
        </r>
      </text>
    </comment>
    <comment ref="N365" authorId="0">
      <text>
        <r>
          <rPr>
            <sz val="10"/>
            <rFont val="SimSun"/>
            <charset val="134"/>
          </rPr>
          <t>It's a bayes net, parameters are probabilty tables for probability that X happens in direction i given that we go in direction i. There are 25 directions.</t>
        </r>
      </text>
    </comment>
    <comment ref="J366" authorId="0">
      <text>
        <r>
          <rPr>
            <sz val="10"/>
            <rFont val="SimSun"/>
            <charset val="134"/>
          </rPr>
          <t>Archived link 
https://jmlr.org/papers/volume12/duchi11a/duchi11a.pdf
https://jmlr.org/papers/volume12/duchi11a/duchi11a.pdfhttps://web.archive.org/web/20160627000424/http://www.jmlr.org/papers/volume12/duchi11a/duchi11a.pdf</t>
        </r>
      </text>
    </comment>
    <comment ref="J367" authorId="0">
      <text>
        <r>
          <rPr>
            <sz val="10"/>
            <rFont val="SimSun"/>
            <charset val="134"/>
          </rPr>
          <t>Archived link 
https://web.archive.org/web/20220327212610/http://ftp.idiap.ch/pub/courses/EE-700/material/05-12-2012/2011_ICCV_DomainAdaptation.pdf</t>
        </r>
      </text>
    </comment>
    <comment ref="N367" authorId="0">
      <text>
        <r>
          <rPr>
            <sz val="10"/>
            <rFont val="SimSun"/>
            <charset val="134"/>
          </rPr>
          <t xml:space="preserve">Did not take into account initial image feature extraction, only novel stuff.
1. Perform PCA on the feature matrices from both domains. Learnable parameters are projection matrices.
= 800 (# features) x 200 (reduced dimension) x 2 (once per subdomain)
2. Perform partial least squares regression. Learnable parameters are
Matrix P with dimensions 200 (# features) x 30 (dimension of latent space)
Matrix Q with dimensions 1 (# responses) x 30 (dimension of latent space)
Projection matrix of X onto latent space:  200 (# features) x 30 (dimension of latent space)
Projection matrix of Y onto latent space:  1 (# responses) x 30 (dimension of latent space)
</t>
        </r>
      </text>
    </comment>
    <comment ref="Q367" authorId="0">
      <text>
        <r>
          <rPr>
            <sz val="10"/>
            <rFont val="SimSun"/>
            <charset val="134"/>
          </rPr>
          <t>Dataset introduced in 'Adapting Visual Category Models to New
Domains'</t>
        </r>
      </text>
    </comment>
    <comment ref="G368" authorId="0">
      <text>
        <r>
          <rPr>
            <sz val="10"/>
            <rFont val="SimSun"/>
            <charset val="134"/>
          </rPr>
          <t>There is previous related work from 2008 in http://icml2008.cs.helsinki.fi/papers/391.pdf
	-Jaime Sevilla</t>
        </r>
      </text>
    </comment>
    <comment ref="J368" authorId="0">
      <text>
        <r>
          <rPr>
            <sz val="10"/>
            <rFont val="SimSun"/>
            <charset val="134"/>
          </rPr>
          <t>Archived link 
https://web.archive.org/web/20220327213643/https://www.jmlr.org/papers/volume12/collobert11a/collobert11a.pdf</t>
        </r>
      </text>
    </comment>
    <comment ref="N368" authorId="0">
      <text>
        <r>
          <rPr>
            <sz val="10"/>
            <rFont val="SimSun"/>
            <charset val="134"/>
          </rPr>
          <t>"The capacity of our network architectures lies mainly in the word lookup table, which contains 50 × 100,000 parameters to train. [...] most of the trainable parameters are located in the lookup tables."</t>
        </r>
      </text>
    </comment>
    <comment ref="Q368" authorId="0">
      <text>
        <r>
          <rPr>
            <sz val="10"/>
            <rFont val="SimSun"/>
            <charset val="134"/>
          </rPr>
          <t>"Section 4 leverages large unlabeled data sets (∼ 852 million words)"</t>
        </r>
      </text>
    </comment>
    <comment ref="J369" authorId="0">
      <text>
        <r>
          <rPr>
            <sz val="10"/>
            <rFont val="SimSun"/>
            <charset val="134"/>
          </rPr>
          <t>Archived link 
https://arxiv.org/pdf/1106.5730.pdf</t>
        </r>
      </text>
    </comment>
    <comment ref="G370" authorId="0">
      <text>
        <r>
          <rPr>
            <sz val="10"/>
            <rFont val="SimSun"/>
            <charset val="134"/>
          </rPr>
          <t>https://www.isca-speech.org/archive/interspeech_2010/index.html</t>
        </r>
      </text>
    </comment>
    <comment ref="J370" authorId="0">
      <text>
        <r>
          <rPr>
            <sz val="10"/>
            <rFont val="SimSun"/>
            <charset val="134"/>
          </rPr>
          <t>Archived link 
https://www.fit.vutbr.cz/research/groups/speech/publi/2010/mikolov_interspeech2010_IS100722.pdf</t>
        </r>
      </text>
    </comment>
    <comment ref="N370" authorId="0">
      <text>
        <r>
          <rPr>
            <sz val="10"/>
            <rFont val="SimSun"/>
            <charset val="134"/>
          </rPr>
          <t>"- size of vector x is equal to
size of vocabulary V (this can be in practice 30 000 − 200 000)
plus size of context layer. Size of context (hidden) layer s is
usually 30 − 500 hidden units."
"In further experiments, we denote modified Kneser-Ney
smoothed 5-gram as KN5. Configurations of neural network
LMs, such as RNN 90/2, indicate that the hidden layer size is
90 and threshold for merging words to rare token is 2."
----
It is not clear from the paper which volcabulary size is used for each model
	-Jaime Sevilla</t>
        </r>
      </text>
    </comment>
    <comment ref="O370" authorId="0">
      <text>
        <r>
          <rPr>
            <sz val="10"/>
            <rFont val="SimSun"/>
            <charset val="134"/>
          </rPr>
          <t>"Convergence is usually
achieved after 10-20 epochs."
Assuming a backward-forward ratio of 2:1, since this is a shallow network</t>
        </r>
      </text>
    </comment>
    <comment ref="Q370" authorId="0">
      <text>
        <r>
          <rPr>
            <sz val="10"/>
            <rFont val="SimSun"/>
            <charset val="134"/>
          </rPr>
          <t>The training corpus consists of 37M words from NYT section of English Gigaword. As it is very time consuming to train
RNN LM on large data, we have used only up to 6.4M words
for training RNN models (300K sentences) - it takes several
weeks to train the most complex models</t>
        </r>
      </text>
    </comment>
    <comment ref="S370" authorId="0">
      <text>
        <r>
          <rPr>
            <sz val="10"/>
            <rFont val="SimSun"/>
            <charset val="134"/>
          </rPr>
          <t>Roughly twice the number of parameters</t>
        </r>
      </text>
    </comment>
    <comment ref="G371" authorId="0">
      <text>
        <r>
          <rPr>
            <sz val="10"/>
            <rFont val="SimSun"/>
            <charset val="134"/>
          </rPr>
          <t>https://www.isca-speech.org/archive/interspeech_2010/index.html</t>
        </r>
      </text>
    </comment>
    <comment ref="J371" authorId="0">
      <text>
        <r>
          <rPr>
            <sz val="10"/>
            <rFont val="SimSun"/>
            <charset val="134"/>
          </rPr>
          <t>Archived link 
https://www.fit.vutbr.cz/research/groups/speech/publi/2010/mikolov_interspeech2010_IS100722.pdf</t>
        </r>
      </text>
    </comment>
    <comment ref="N371" authorId="0">
      <text>
        <r>
          <rPr>
            <sz val="10"/>
            <rFont val="SimSun"/>
            <charset val="134"/>
          </rPr>
          <t xml:space="preserve">"- size of vector x is equal to
size of vocabulary V (this can be in practice 30 000 − 200 000)
plus size of context layer. Size of context (hidden) layer s is
usually 30 − 500 hidden units."
"The acoustic HMMs are based on cross-word tied-states triphones trained discriminatively using MPE criteria. Feature extraction use 13 Mel-PLP’s features with deltas, double and triple deltas reduced by HLDA to 39-dimension feature vector"
</t>
        </r>
      </text>
    </comment>
    <comment ref="O371" authorId="0">
      <text>
        <r>
          <rPr>
            <sz val="10"/>
            <rFont val="SimSun"/>
            <charset val="134"/>
          </rPr>
          <t>"Convergence is usually
achieved after 10-20 epochs."
Assuming a backward-forward ratio of 2:1, since this is a shallow network</t>
        </r>
      </text>
    </comment>
    <comment ref="Q371" authorId="0">
      <text>
        <r>
          <rPr>
            <sz val="10"/>
            <rFont val="SimSun"/>
            <charset val="134"/>
          </rPr>
          <t>"Table 4: Comparison of very large back-off LMs and RNN LMs
trained only on limited in-domain data (5.4M words)."</t>
        </r>
      </text>
    </comment>
    <comment ref="S371" authorId="0">
      <text>
        <r>
          <rPr>
            <sz val="10"/>
            <rFont val="SimSun"/>
            <charset val="134"/>
          </rPr>
          <t>Roughly twice the number of parameters</t>
        </r>
      </text>
    </comment>
    <comment ref="A372" authorId="0">
      <text>
        <r>
          <rPr>
            <sz val="10"/>
            <rFont val="SimSun"/>
            <charset val="134"/>
          </rPr>
          <t>The focus of this paper is on understanding activation functions,  rather than the architectures</t>
        </r>
      </text>
    </comment>
    <comment ref="G372" authorId="0">
      <text>
        <r>
          <rPr>
            <sz val="10"/>
            <rFont val="SimSun"/>
            <charset val="134"/>
          </rPr>
          <t>https://aistats.org/aistats2010/</t>
        </r>
      </text>
    </comment>
    <comment ref="J372" authorId="0">
      <text>
        <r>
          <rPr>
            <sz val="10"/>
            <rFont val="SimSun"/>
            <charset val="134"/>
          </rPr>
          <t>Archived link 
https://web.archive.org/web/20211123180817/http://proceedings.mlr.press/v9/glorot10a/glorot10a.pdf</t>
        </r>
      </text>
    </comment>
    <comment ref="N372" authorId="0">
      <text>
        <r>
          <rPr>
            <sz val="10"/>
            <rFont val="SimSun"/>
            <charset val="134"/>
          </rPr>
          <t xml:space="preserve">pg250 of the paper, section 2.3: 
"We optimized feedforward neural networks with one to
five hidden layers, with one thousand hidden units per
layer"
Input is a flattened 32x32 image, which corresponds to an input vector of length 3072
Output is a number from 0-9, so 10 neurons
No. of params: 3072*1000 + 4*1000*1000 + 1000*10 = 7,082,000
</t>
        </r>
      </text>
    </comment>
    <comment ref="O372" authorId="0">
      <text>
        <r>
          <rPr>
            <sz val="10"/>
            <rFont val="SimSun"/>
            <charset val="134"/>
          </rPr>
          <t>Roughly two times the number of parameters for ops per forward pass. 
So 2*7082000 params*3.5*140 epochs * 50k training images = 3.5e14</t>
        </r>
      </text>
    </comment>
    <comment ref="S372" authorId="0">
      <text>
        <r>
          <rPr>
            <sz val="10"/>
            <rFont val="SimSun"/>
            <charset val="134"/>
          </rPr>
          <t>Roughly twice the no. of params</t>
        </r>
      </text>
    </comment>
    <comment ref="J373" authorId="0">
      <text>
        <r>
          <rPr>
            <sz val="10"/>
            <rFont val="SimSun"/>
            <charset val="134"/>
          </rPr>
          <t>Archived link 
https://arxiv.org/pdf/1003.0358.pdf</t>
        </r>
      </text>
    </comment>
    <comment ref="N373" authorId="0">
      <text>
        <r>
          <rPr>
            <sz val="10"/>
            <rFont val="SimSun"/>
            <charset val="134"/>
          </rPr>
          <t>Table 1</t>
        </r>
      </text>
    </comment>
    <comment ref="O373" authorId="0">
      <text>
        <r>
          <rPr>
            <sz val="10"/>
            <rFont val="SimSun"/>
            <charset val="134"/>
          </rPr>
          <t>"Networks with up to 12 million weights can successfully be trained by plain gradient descent to achieve test errors below 1% after 20-30 epochs in less than 2 hours of training."
I assume that the number of passes per epoch is 60k, the training set size.</t>
        </r>
      </text>
    </comment>
    <comment ref="Q373" authorId="0">
      <text>
        <r>
          <rPr>
            <sz val="10"/>
            <rFont val="SimSun"/>
            <charset val="134"/>
          </rPr>
          <t>"MNIST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t>
        </r>
      </text>
    </comment>
    <comment ref="J374" authorId="0">
      <text>
        <r>
          <rPr>
            <sz val="10"/>
            <rFont val="SimSun"/>
            <charset val="134"/>
          </rPr>
          <t>Archived link 
http://citeseerx.ist.psu.edu/viewdoc/download?doi=10.1.1.297.3484&amp;rep=rep1&amp;type=pdf
https://web.archive.org/web/20200415064756/http://citeseerx.ist.psu.edu/viewdoc/download?doi=10.1.1.297.3484&amp;rep=rep1&amp;type=pdf</t>
        </r>
      </text>
    </comment>
    <comment ref="J375" authorId="0">
      <text>
        <r>
          <rPr>
            <sz val="10"/>
            <rFont val="SimSun"/>
            <charset val="134"/>
          </rPr>
          <t>Archived link 
https://web.archive.org/web/20220327194800/https://aclanthology.org/P10-1040.pdf</t>
        </r>
      </text>
    </comment>
    <comment ref="Q375" authorId="0">
      <text>
        <r>
          <rPr>
            <sz val="10"/>
            <rFont val="SimSun"/>
            <charset val="134"/>
          </rPr>
          <t>Section 6: "After cleaning, there are 37 million words (58%
of the original) in 1.3 million sentences"</t>
        </r>
      </text>
    </comment>
    <comment ref="J376" authorId="0">
      <text>
        <r>
          <rPr>
            <sz val="10"/>
            <rFont val="SimSun"/>
            <charset val="134"/>
          </rPr>
          <t>Archived link 
http://ece.duke.edu/~lcarin/boureau-cvpr-10.pdf</t>
        </r>
      </text>
    </comment>
    <comment ref="J377" authorId="0">
      <text>
        <r>
          <rPr>
            <sz val="10"/>
            <rFont val="SimSun"/>
            <charset val="134"/>
          </rPr>
          <t>Archived link 
https://web.archive.org/web/20210819175548/https://www.matthewzeiler.com/mattzeiler/deconvolutionalnetworks.pdf</t>
        </r>
      </text>
    </comment>
    <comment ref="S377" authorId="0">
      <text>
        <r>
          <rPr>
            <sz val="10"/>
            <rFont val="SimSun"/>
            <charset val="134"/>
          </rPr>
          <t>Inference time of the largest model was 55s on Caltech 101 images.</t>
        </r>
      </text>
    </comment>
    <comment ref="J378" authorId="0">
      <text>
        <r>
          <rPr>
            <sz val="10"/>
            <rFont val="SimSun"/>
            <charset val="134"/>
          </rPr>
          <t>Archived link
https://web.archive.org/web/20220327175119/https://dl.acm.org/doi/10.5555/3104322.3104425
https://www.cs.toronto.edu/~fritz/absps/reluICML.pdf</t>
        </r>
      </text>
    </comment>
    <comment ref="N378" authorId="0">
      <text>
        <r>
          <rPr>
            <sz val="10"/>
            <rFont val="SimSun"/>
            <charset val="134"/>
          </rPr>
          <t>"The stereo-pair images are subsampled from their original resolution of 108 × 108 × 2 to 32 × 32 × 2 to speed up experiments [...]  the architecture
with the best results have 4000 units in the first layer
and 2000 in the second [...] there are 58,320 test
cases (9,720 cases per class) "
So the architecture has (32*32*2+1)x4000 + (4000+1)*2000 + (2000+1)*58,320/9,720 parameters</t>
        </r>
      </text>
    </comment>
    <comment ref="Q378" authorId="0">
      <text>
        <r>
          <rPr>
            <sz val="10"/>
            <rFont val="SimSun"/>
            <charset val="134"/>
          </rPr>
          <t>"There are 291,600 training cases (48,600 cases per class) and 58,320 test cases (9,720 cases per class)."</t>
        </r>
      </text>
    </comment>
    <comment ref="J379" authorId="0">
      <text>
        <r>
          <rPr>
            <sz val="10"/>
            <rFont val="SimSun"/>
            <charset val="134"/>
          </rPr>
          <t>Archived link
https://web.archive.org/web/20220327175119/https://dl.acm.org/doi/10.5555/3104322.3104425
https://www.cs.toronto.edu/~fritz/absps/reluICML.pdf</t>
        </r>
      </text>
    </comment>
    <comment ref="J380" authorId="0">
      <text>
        <r>
          <rPr>
            <sz val="10"/>
            <rFont val="SimSun"/>
            <charset val="134"/>
          </rPr>
          <t>Archived link
http://www.csri.utoronto.ca/~hinton/absps/guideTR.pdf 
https://web.archive.org/web/20211029011731/http://www.csri.utoronto.ca/~hinton/absps/guideTR.pdf</t>
        </r>
      </text>
    </comment>
    <comment ref="J381" authorId="0">
      <text>
        <r>
          <rPr>
            <sz val="10"/>
            <rFont val="SimSun"/>
            <charset val="134"/>
          </rPr>
          <t>Archived link 
https://link.springer.com/content/pdf/10.1007/978-3-642-15561-1_11.pdf
https://web.archive.org/web/20220327173540/https://link.springer.com/chapter/10.1007/978-3-642-15561-1_11</t>
        </r>
      </text>
    </comment>
    <comment ref="J382" authorId="0">
      <text>
        <r>
          <rPr>
            <sz val="10"/>
            <rFont val="SimSun"/>
            <charset val="134"/>
          </rPr>
          <t xml:space="preserve">pdf link 
https://www.inf.unibz.it/~ricci/ISR/papers/p293-davidson.pdf
Archived link 
https://web.archive.org/web/20220124005519/http://www.inf.unibz.it/~ricci/ISR/papers/p293-davidson.pdf
</t>
        </r>
      </text>
    </comment>
    <comment ref="Q382" authorId="0">
      <text>
        <r>
          <rPr>
            <sz val="10"/>
            <rFont val="SimSun"/>
            <charset val="134"/>
          </rPr>
          <t>"We currently handle millions of users
and tens of billions of activity events with a total footprint
of several terabytes of data"
If 10M users each watch 1000 videos, that's 10B visualizations, which matches their "activity events" count.</t>
        </r>
      </text>
    </comment>
    <comment ref="I383" authorId="0">
      <text>
        <r>
          <rPr>
            <sz val="10"/>
            <rFont val="SimSun"/>
            <charset val="134"/>
          </rPr>
          <t>This doesn't meet the inclusion criteria. The paper introduces a dataset and does some statistics on it but there is no machine learning component
	-Pablo Villalobos</t>
        </r>
      </text>
    </comment>
    <comment ref="J383" authorId="0">
      <text>
        <r>
          <rPr>
            <sz val="10"/>
            <rFont val="SimSun"/>
            <charset val="134"/>
          </rPr>
          <t xml:space="preserve">pdf link 
http://orcp.hustoj.com/wp-content/uploads/2016/01/2011-Science_Quantitative-Analysis-of-Culture-Using-Millions-of-Digitized-Books.pdf
Archived link 
https://web.archive.org/web/20220606210005/http://orcp.hustoj.com/wp-content/uploads/2016/01/2011-Science_Quantitative-Analysis-of-Culture-Using-Millions-of-Digitized-Books.pdf
</t>
        </r>
      </text>
    </comment>
    <comment ref="J384" authorId="0">
      <text>
        <r>
          <rPr>
            <sz val="10"/>
            <rFont val="SimSun"/>
            <charset val="134"/>
          </rPr>
          <t>Archived link 
https://web.archive.org/web/20220327165711/http://www.machinelearning.org/archive/icml2009/papers/218.pdf</t>
        </r>
      </text>
    </comment>
    <comment ref="N384" authorId="0">
      <text>
        <r>
          <rPr>
            <sz val="10"/>
            <rFont val="SimSun"/>
            <charset val="134"/>
          </rPr>
          <t>"For example, we are able to reduce the time required to learn a four-layer DBN with 100 million free parameters from several weeks to around a single day."</t>
        </r>
      </text>
    </comment>
    <comment ref="O384" authorId="0">
      <text>
        <r>
          <rPr>
            <sz val="10"/>
            <rFont val="SimSun"/>
            <charset val="134"/>
          </rPr>
          <t>https://www.getguesstimate.com/models/19602</t>
        </r>
      </text>
    </comment>
    <comment ref="Q384" authorId="0">
      <text>
        <r>
          <rPr>
            <sz val="10"/>
            <rFont val="SimSun"/>
            <charset val="134"/>
          </rPr>
          <t>Table 2 shows the running time for processing 1 million
examples for RBMs of varying size</t>
        </r>
      </text>
    </comment>
    <comment ref="J385" authorId="0">
      <text>
        <r>
          <rPr>
            <sz val="10"/>
            <rFont val="SimSun"/>
            <charset val="134"/>
          </rPr>
          <t>Archived link 
http://proceedings.mlr.press/v5/salakhutdinov09a/salakhutdinov09a.pdf
https://web.archive.org/web/20220327153831/http://proceedings.mlr.press/v5/salakhutdinov09a</t>
        </r>
      </text>
    </comment>
    <comment ref="O385" authorId="0">
      <text>
        <r>
          <rPr>
            <sz val="10"/>
            <rFont val="SimSun"/>
            <charset val="134"/>
          </rPr>
          <t>unless somebody has somewhat of a background in variational inference, MCMC and Boltzmann machines, I can imagine that estimating this is not worth the effort (I put in roughly ten hours digging into it and would've needed probably 10 more). Goodfellows Deep Learning textbook has a good explanation of Deep Boltzmann Machines though, which seemed super helpful and I’d recommend starting with that before digging into the paper. It’s algorithm 20.1 in chapter 20.
	-Max Ra</t>
        </r>
      </text>
    </comment>
    <comment ref="J386" authorId="0">
      <text>
        <r>
          <rPr>
            <sz val="10"/>
            <rFont val="SimSun"/>
            <charset val="134"/>
          </rPr>
          <t>Archived link 
http://citeseerx.ist.psu.edu/viewdoc/download?doi=10.1.1.149.802&amp;rep=rep1&amp;type=pdf
https://web.archive.org/web/20220327153804/http://citeseerx.ist.psu.edu/viewdoc/download?doi=10.1.1.149.802&amp;rep=rep1&amp;type=pdf</t>
        </r>
      </text>
    </comment>
    <comment ref="I387" authorId="0">
      <text>
        <r>
          <rPr>
            <sz val="10"/>
            <rFont val="SimSun"/>
            <charset val="134"/>
          </rPr>
          <t>The 2008 netflix prize solution is described over 2 papers (?)
	-Jaime Sevilla</t>
        </r>
      </text>
    </comment>
    <comment ref="J387" authorId="0">
      <text>
        <r>
          <rPr>
            <sz val="10"/>
            <rFont val="SimSun"/>
            <charset val="134"/>
          </rPr>
          <t xml:space="preserve">Archived link 
https://www2.seas.gwu.edu/~simhaweb/champalg/cf/papers/KorenBellKor2009.pdf
</t>
        </r>
      </text>
    </comment>
    <comment ref="Q387" authorId="0">
      <text>
        <r>
          <rPr>
            <sz val="10"/>
            <rFont val="SimSun"/>
            <charset val="134"/>
          </rPr>
          <t>"Netflix provided a training data set of 100,480,507 ratings that 480,189 users gave to 17,770 movies."</t>
        </r>
      </text>
    </comment>
    <comment ref="J388" authorId="0">
      <text>
        <r>
          <rPr>
            <sz val="10"/>
            <rFont val="SimSun"/>
            <charset val="134"/>
          </rPr>
          <t>Archived link 
Archived link 
https://aclanthology.org/P09-1010.pdf
https://web.archive.org/web/20220120041325/https://aclanthology.org/P09-1010.pdf
https://web.archive.org/web/20220120041325/https://aclanthology.org/P09-1010.pdf</t>
        </r>
      </text>
    </comment>
    <comment ref="N388" authorId="0">
      <text>
        <r>
          <rPr>
            <sz val="10"/>
            <rFont val="SimSun"/>
            <charset val="134"/>
          </rPr>
          <t>"We use a policy gradient
algorithm to estimate the parameters of a log-linear model for action selection [...] In total, there are 8,094 features [in the Crossblock domain]. [...]  This difficulty can be attributed in part to the large branching factor of possible actions at each step — on average, there are [...] 9.78 [actions] in the Crossblock
domain"</t>
        </r>
      </text>
    </comment>
    <comment ref="Q388" authorId="0">
      <text>
        <r>
          <rPr>
            <sz val="10"/>
            <rFont val="SimSun"/>
            <charset val="134"/>
          </rPr>
          <t>Shown at beginning of section 7
Total number of documents is 50, average number of actions per document is 5.86
source: https://en.wikipedia.org/wiki/Netflix_Prize</t>
        </r>
      </text>
    </comment>
    <comment ref="I389" authorId="0">
      <text>
        <r>
          <rPr>
            <sz val="10"/>
            <rFont val="SimSun"/>
            <charset val="134"/>
          </rPr>
          <t>The solution to the Netflix price is described over three papers (?)
	-Jaime Sevilla</t>
        </r>
      </text>
    </comment>
    <comment ref="J389" authorId="0">
      <text>
        <r>
          <rPr>
            <sz val="10"/>
            <rFont val="SimSun"/>
            <charset val="134"/>
          </rPr>
          <t>Archived link 
https://web.archive.org/web/20220602022621/https://www2.seas.gwu.edu/~simhaweb/champalg/cf/papers/KorenBellKor2009.pdf</t>
        </r>
      </text>
    </comment>
    <comment ref="Q389" authorId="0">
      <text>
        <r>
          <rPr>
            <sz val="10"/>
            <rFont val="SimSun"/>
            <charset val="134"/>
          </rPr>
          <t>"Netflix provided a training data set of 100,480,507 ratings that 480,189 users gave to 17,770 movies."</t>
        </r>
      </text>
    </comment>
    <comment ref="J390" authorId="0">
      <text>
        <r>
          <rPr>
            <sz val="10"/>
            <rFont val="SimSun"/>
            <charset val="134"/>
          </rPr>
          <t>Archived link 
https://web.archive.org/web/20220602022606/https://www.asc.ohio-state.edu/statistics/statgen/joul_aut2009/BigChaos.pdf</t>
        </r>
      </text>
    </comment>
    <comment ref="Q390" authorId="0">
      <text>
        <r>
          <rPr>
            <sz val="10"/>
            <rFont val="SimSun"/>
            <charset val="134"/>
          </rPr>
          <t>"Netflix provided a training data set of 100,480,507 ratings that 480,189 users gave to 17,770 movies."</t>
        </r>
      </text>
    </comment>
    <comment ref="J391" authorId="0">
      <text>
        <r>
          <rPr>
            <sz val="10"/>
            <rFont val="SimSun"/>
            <charset val="134"/>
          </rPr>
          <t>Archived link 
https://web.archive.org/web/20220602022609/https://www.asc.ohio-state.edu/statistics/statgen/joul_aut2009/PragmaticTheory.pdf</t>
        </r>
      </text>
    </comment>
    <comment ref="Q391" authorId="0">
      <text>
        <r>
          <rPr>
            <sz val="10"/>
            <rFont val="SimSun"/>
            <charset val="134"/>
          </rPr>
          <t>"Netflix provided a training data set of 100,480,507 ratings that 480,189 users gave to 17,770 movies."</t>
        </r>
      </text>
    </comment>
    <comment ref="G392" authorId="0">
      <text>
        <r>
          <rPr>
            <sz val="10"/>
            <rFont val="SimSun"/>
            <charset val="134"/>
          </rPr>
          <t>02/08/2009</t>
        </r>
      </text>
    </comment>
    <comment ref="I392" authorId="0">
      <text>
        <r>
          <rPr>
            <sz val="10"/>
            <rFont val="SimSun"/>
            <charset val="134"/>
          </rPr>
          <t>Maybe this is too niche though it is a very unusual RL+NLP application
	-Jaime Sevilla</t>
        </r>
      </text>
    </comment>
    <comment ref="J392" authorId="0">
      <text>
        <r>
          <rPr>
            <sz val="10"/>
            <rFont val="SimSun"/>
            <charset val="134"/>
          </rPr>
          <t>Archived link 
https://aclanthology.org/P09-1010.pdf
https://web.archive.org/web/20220120041325/https://aclanthology.org/P09-1010.pdf</t>
        </r>
      </text>
    </comment>
    <comment ref="N392" authorId="0">
      <text>
        <r>
          <rPr>
            <sz val="10"/>
            <rFont val="SimSun"/>
            <charset val="134"/>
          </rPr>
          <t>"We use a policy gradient
algorithm to estimate the parameters of a log-linear model for action selection [...] In total, there are 4,438 features [in the Windows domain]. [...]  This difficulty can be attributed in part to the large branching factor of possible actions at each step — on average, there are 27.14 choices per action in the Windows domain"</t>
        </r>
      </text>
    </comment>
    <comment ref="Q392" authorId="0">
      <text>
        <r>
          <rPr>
            <sz val="10"/>
            <rFont val="SimSun"/>
            <charset val="134"/>
          </rPr>
          <t>Shown at beginning of section 7
Total number of documents is 128, average number of actions per document is 10.37</t>
        </r>
      </text>
    </comment>
    <comment ref="AC392" authorId="0">
      <text>
        <r>
          <rPr>
            <sz val="10"/>
            <rFont val="SimSun"/>
            <charset val="134"/>
          </rPr>
          <t>@owenalexander13@yahoo.com Isn't this a reinforcement learning model (per the title)?
	-Tamay Besiroglu</t>
        </r>
      </text>
    </comment>
    <comment ref="J393" authorId="0">
      <text>
        <r>
          <rPr>
            <sz val="10"/>
            <rFont val="SimSun"/>
            <charset val="134"/>
          </rPr>
          <t>Archived link 
https://datajobs.com/data-science-repo/Recommender-Systems-[Netflix].pdf
https://web.archive.org/web/20220114212058/https://datajobs.com/data-science-repo/Recommender-Systems-%5BNetflix%5D.pdf</t>
        </r>
      </text>
    </comment>
    <comment ref="G394" authorId="0">
      <text>
        <r>
          <rPr>
            <sz val="10"/>
            <rFont val="SimSun"/>
            <charset val="134"/>
          </rPr>
          <t>01/09/2009</t>
        </r>
      </text>
    </comment>
    <comment ref="J394" authorId="0">
      <text>
        <r>
          <rPr>
            <sz val="10"/>
            <rFont val="SimSun"/>
            <charset val="134"/>
          </rPr>
          <t>Archived link 
https://web.archive.org/web/20220327153530/https://aclanthology.org/J09-3003.pdf</t>
        </r>
      </text>
    </comment>
    <comment ref="Q394" authorId="0">
      <text>
        <r>
          <rPr>
            <sz val="10"/>
            <rFont val="SimSun"/>
            <charset val="134"/>
          </rPr>
          <t>Section 3.3 reveals there are 11,112 sentences. Since this is phrase-level sentiment analysis sentences seem like the best unit</t>
        </r>
      </text>
    </comment>
    <comment ref="I395" authorId="0">
      <text>
        <r>
          <rPr>
            <sz val="10"/>
            <rFont val="SimSun"/>
            <charset val="134"/>
          </rPr>
          <t>Winner of the netflix prize 2007</t>
        </r>
      </text>
    </comment>
    <comment ref="J395" authorId="0">
      <text>
        <r>
          <rPr>
            <sz val="10"/>
            <rFont val="SimSun"/>
            <charset val="134"/>
          </rPr>
          <t>Archived link 
https://citeseerx.ist.psu.edu/viewdoc/download?doi=10.1.1.142.9009&amp;rep=rep1&amp;type=pdf
https://web.archive.org/web/20151223083913/http://citeseerx.ist.psu.edu/viewdoc/download?doi=10.1.1.142.9009&amp;rep=rep1&amp;type=pdf</t>
        </r>
      </text>
    </comment>
    <comment ref="Q395" authorId="0">
      <text>
        <r>
          <rPr>
            <sz val="10"/>
            <rFont val="SimSun"/>
            <charset val="134"/>
          </rPr>
          <t>The training data set consists of 100,480,507
ratings</t>
        </r>
      </text>
    </comment>
    <comment ref="J396" authorId="0">
      <text>
        <r>
          <rPr>
            <sz val="10"/>
            <rFont val="SimSun"/>
            <charset val="134"/>
          </rPr>
          <t>Archived link 
https://grail.cs.washington.edu/rome/rome_paper.pdf
https://web.archive.org/web/20220121103713/http://grail.cs.washington.edu/rome/rome_paper.pdf</t>
        </r>
      </text>
    </comment>
    <comment ref="I397" authorId="0">
      <text>
        <r>
          <rPr>
            <sz val="10"/>
            <rFont val="SimSun"/>
            <charset val="134"/>
          </rPr>
          <t>This is part of a book published in 1998 and does not include empirical results afaict
	-Pablo Villalobos</t>
        </r>
      </text>
    </comment>
    <comment ref="J397" authorId="0">
      <text>
        <r>
          <rPr>
            <sz val="10"/>
            <rFont val="SimSun"/>
            <charset val="134"/>
          </rPr>
          <t>Archived link 
https://web.archive.org/web/20220327203715/https://www.tandfonline.com/doi/abs/10.1080/01638539809545028?cookieSet=1</t>
        </r>
      </text>
    </comment>
    <comment ref="J398" authorId="0">
      <text>
        <r>
          <rPr>
            <sz val="10"/>
            <rFont val="SimSun"/>
            <charset val="134"/>
          </rPr>
          <t>Archived link 
https://www.iro.umontreal.ca/~lisa/pointeurs/TR1312.pdf
https://web.archive.org/web/20220511132842/https://www.iro.umontreal.ca/~lisa/pointeurs/TR1312.pdf</t>
        </r>
      </text>
    </comment>
    <comment ref="J399" authorId="0">
      <text>
        <r>
          <rPr>
            <sz val="10"/>
            <rFont val="SimSun"/>
            <charset val="134"/>
          </rPr>
          <t xml:space="preserve">Archived link 
http://people.cs.uchicago.edu/~pff/papers/latent.pdf
https://web.archive.org/web/20220602024816/http://people.cs.uchicago.edu/~pff/papers/latent.pdf
</t>
        </r>
      </text>
    </comment>
    <comment ref="J400" authorId="0">
      <text>
        <r>
          <rPr>
            <sz val="10"/>
            <rFont val="SimSun"/>
            <charset val="134"/>
          </rPr>
          <t>Archived link 
https://www.cs.toronto.edu/~larocheh/publications/icml-2008-denoising-autoencoders.pdf
https://web.archive.org/web/20220401183425/https://www.cs.toronto.edu/~larocheh/publications/icml-2008-denoising-autoencoders.pdf</t>
        </r>
      </text>
    </comment>
    <comment ref="J401" authorId="0">
      <text>
        <r>
          <rPr>
            <sz val="10"/>
            <rFont val="SimSun"/>
            <charset val="134"/>
          </rPr>
          <t>Archived link 
http://www.thespermwhale.com/jaseweston/papers/deep_embed.pdf
https://web.archive.org/web/20220122193141/https://ronan.collobert.com/pub/2012_deeplearning_springer.pdf</t>
        </r>
      </text>
    </comment>
    <comment ref="J402" authorId="0">
      <text>
        <r>
          <rPr>
            <sz val="10"/>
            <rFont val="SimSun"/>
            <charset val="134"/>
          </rPr>
          <t>Archived link 
http://machinelearning.org/archive/icml2008/papers/391.pdf
https://web.archive.org/web/20210224012720/http://machinelearning.org/archive/icml2008/papers/391.pdf</t>
        </r>
      </text>
    </comment>
    <comment ref="Q402" authorId="0">
      <text>
        <r>
          <rPr>
            <sz val="10"/>
            <rFont val="SimSun"/>
            <charset val="134"/>
          </rPr>
          <t>Section 7: "631 million words
from Wikipedia"</t>
        </r>
      </text>
    </comment>
    <comment ref="J403" authorId="0">
      <text>
        <r>
          <rPr>
            <sz val="10"/>
            <rFont val="SimSun"/>
            <charset val="134"/>
          </rPr>
          <t>Archived link
https://www.cs.toronto.edu/~ranzato/publications/ranzato-icml08.pdf 
https://web.archive.org/web/20210514111601/https://www.cs.toronto.edu/~ranzato/publications/ranzato-icml08.pdf</t>
        </r>
      </text>
    </comment>
    <comment ref="Q403" authorId="0">
      <text>
        <r>
          <rPr>
            <sz val="10"/>
            <rFont val="SimSun"/>
            <charset val="134"/>
          </rPr>
          <t>"The 20 Newsgroups dataset contains 18845
postings taken from the Usenet newsgroup collection.
Documents are partitioned into 20 topics. The dataset
is split into 11314 training documents and 7531 test
documents. Training and test articles are separated in
time. Reuters has a predefined ModApte split of the
data into 11413 training documents and 4024 test doc-
uments. Documents belong to one of 91 topics. The
Ohsumed dataset has 34389 documents with 30689
words and each document might be assigned to more
than one topic, for a total of 23 topics. The dataset is
split into training and test by randomly selecting the
67% and the 33% of the data"
total # documents = 11314 + 11413 + 34389*0.6
I'm using #documents here since the task is document representation. Using #words would increase the size by ~3 OOMs</t>
        </r>
      </text>
    </comment>
    <comment ref="J404" authorId="0">
      <text>
        <r>
          <rPr>
            <sz val="10"/>
            <rFont val="SimSun"/>
            <charset val="134"/>
          </rPr>
          <t>Archived link 
https://www.ri.cmu.edu/pub_files/pub4/urmson_christopher_2008_1/urmson_christopher_2008_1.pdf
https://web.archive.org/web/20220327144455/https://www.ri.cmu.edu/pub_files/pub4/urmson_christopher_2008_1/urmson_christopher_2008_1.pdf</t>
        </r>
      </text>
    </comment>
    <comment ref="J405" authorId="0">
      <text>
        <r>
          <rPr>
            <sz val="10"/>
            <rFont val="SimSun"/>
            <charset val="134"/>
          </rPr>
          <t xml:space="preserve">Archived link 
https://web.archive.org/web/20220327151020/https://pubmed.ncbi.nlm.nih.gov/19000969/
https://citeseerx.ist.psu.edu/viewdoc/download?doi=10.1.1.211.5687&amp;rep=rep1&amp;type=pdf
https://web.archive.org/web/20220602024411/http://citeseerx.ist.psu.edu/viewdoc/download?doi=10.1.1.211.5687&amp;rep=rep1&amp;type=pdf
</t>
        </r>
      </text>
    </comment>
    <comment ref="I406" authorId="0">
      <text>
        <r>
          <rPr>
            <sz val="10"/>
            <rFont val="SimSun"/>
            <charset val="134"/>
          </rPr>
          <t>Winners of the 2008 Netflix Price</t>
        </r>
      </text>
    </comment>
    <comment ref="J406" authorId="0">
      <text>
        <r>
          <rPr>
            <sz val="10"/>
            <rFont val="SimSun"/>
            <charset val="134"/>
          </rPr>
          <t xml:space="preserve">Archived link 
https://web.archive.org/web/20170809184938/http://www2.seas.gwu.edu/~simhaweb/champalg/cf/papers/ProgressPrize2008_BigChaos.pdf
https://www2.seas.gwu.edu/~simhaweb/champalg/cf/papers/ProgressPrize2008_BigChaos.pdf
</t>
        </r>
      </text>
    </comment>
    <comment ref="L406" authorId="0">
      <text>
        <r>
          <rPr>
            <sz val="10"/>
            <rFont val="SimSun"/>
            <charset val="134"/>
          </rPr>
          <t>Winners of the 2008 Netflix Price</t>
        </r>
      </text>
    </comment>
    <comment ref="Q406" authorId="0">
      <text>
        <r>
          <rPr>
            <sz val="10"/>
            <rFont val="SimSun"/>
            <charset val="134"/>
          </rPr>
          <t>"Netflix provided a training data set of 100,480,507 ratings that 480,189 users gave to 17,770 movies."</t>
        </r>
      </text>
    </comment>
    <comment ref="J407" authorId="0">
      <text>
        <r>
          <rPr>
            <sz val="10"/>
            <rFont val="SimSun"/>
            <charset val="134"/>
          </rPr>
          <t>Archived link 
https://www.cs.cmu.edu/~rsalakhu/papers/sdarticle.pdf
https://web.archive.org/web/20210816023434/https://www.cs.cmu.edu/~rsalakhu/papers/sdarticle.pdf</t>
        </r>
      </text>
    </comment>
    <comment ref="Q407" authorId="0">
      <text>
        <r>
          <rPr>
            <sz val="10"/>
            <rFont val="SimSun"/>
            <charset val="134"/>
          </rPr>
          <t>Section 4.1</t>
        </r>
      </text>
    </comment>
    <comment ref="I408" authorId="0">
      <text>
        <r>
          <rPr>
            <sz val="10"/>
            <rFont val="SimSun"/>
            <charset val="134"/>
          </rPr>
          <t>This probably doesn't fit the inclusion criteria. No new models are proposed or evaluated
	-Pablo Villalobos</t>
        </r>
      </text>
    </comment>
    <comment ref="J408" authorId="0">
      <text>
        <r>
          <rPr>
            <sz val="10"/>
            <rFont val="SimSun"/>
            <charset val="134"/>
          </rPr>
          <t>Archived link 
https://web.archive.org/web/20220302135218/https://aclanthology.org/P07-2045.pdf</t>
        </r>
      </text>
    </comment>
    <comment ref="J409" authorId="0">
      <text>
        <r>
          <rPr>
            <sz val="10"/>
            <rFont val="SimSun"/>
            <charset val="134"/>
          </rPr>
          <t xml:space="preserve">Archived link 
https://aclanthology.org/P07-1121.pdf
https://web.archive.org/web/20220327145156/https://aclanthology.org/P07-1121.pdf
</t>
        </r>
      </text>
    </comment>
    <comment ref="N409" authorId="0">
      <text>
        <r>
          <rPr>
            <sz val="10"/>
            <rFont val="SimSun"/>
            <charset val="134"/>
          </rPr>
          <t>"For each rule, r, there is a feature that returns the number of times r is used in a derivation [...]  [we also use] the two-level rules in Collins and Koo (2005), which give the number of times a given rule is used
to expand a non-terminal in a given parent rule."
So the number of parameters seems to be R+R*(R-1), where R is the number of rules.
In the example an English sentence produces 4 rules, and the training dataset consists of 792 sentences. This gives us an upper bound for R, but since we don't have information on how much redundance IDK
----
Check again
	-Jaime Sevilla</t>
        </r>
      </text>
    </comment>
    <comment ref="Q409" authorId="0">
      <text>
        <r>
          <rPr>
            <sz val="10"/>
            <rFont val="SimSun"/>
            <charset val="134"/>
          </rPr>
          <t>"Table 1 summarizes the results at the end of the learning curves (792 training examples for λWASP, WASP and SCISSOR, 600 for Z&amp;C)"</t>
        </r>
      </text>
    </comment>
    <comment ref="J410" authorId="0">
      <text>
        <r>
          <rPr>
            <sz val="10"/>
            <rFont val="SimSun"/>
            <charset val="134"/>
          </rPr>
          <t>Archived link 
http://www.dumitru.ca/files/publications/icml_07.pdf
https://web.archive.org/web/20220602030604/http://www.dumitru.ca/files/publications/icml_07.pdf
https://web.archive.org/web/20220327145513/https://dl.acm.org/doi/10.1145/1273496.1273556</t>
        </r>
      </text>
    </comment>
    <comment ref="J411" authorId="0">
      <text>
        <r>
          <rPr>
            <sz val="10"/>
            <rFont val="SimSun"/>
            <charset val="134"/>
          </rPr>
          <t>Archived link 
https://www.cs.toronto.edu/~rsalakhu/papers/rbmcf.pdf
https://web.archive.org/web/20220327145543/https://dl.acm.org/doi/abs/10.1145/1273496.1273596?casa_token=cfdkH2x12MwAAAAA%3AsEUzfllIGyPcOfzgUoDPHlpC1ukfCAo8ewocBXWBswIIF9eS5HdFo30nOtfmIV8gm-XpBpQJJ5zYVO8</t>
        </r>
      </text>
    </comment>
    <comment ref="Q411" authorId="0">
      <text>
        <r>
          <rPr>
            <sz val="10"/>
            <rFont val="SimSun"/>
            <charset val="134"/>
          </rPr>
          <t>The training data set consists of 100,480,507
ratings</t>
        </r>
      </text>
    </comment>
    <comment ref="J412" authorId="0">
      <text>
        <r>
          <rPr>
            <sz val="10"/>
            <rFont val="SimSun"/>
            <charset val="134"/>
          </rPr>
          <t>Archived link
https://www.cs.uic.edu/~liub/KDD-cup-2007/proceedings/Regular-Paterek.pdf 
https://web.archive.org/web/20220302235943/https://www.cs.uic.edu/~liub/KDD-cup-2007/proceedings/Regular-Paterek.pdf</t>
        </r>
      </text>
    </comment>
    <comment ref="I413" authorId="0">
      <text>
        <r>
          <rPr>
            <sz val="10"/>
            <rFont val="SimSun"/>
            <charset val="134"/>
          </rPr>
          <t>Im confused on the relationship between this paper and "Unconstrained online handwriting recognition with recurrent neural networks" from 2007
	-Jaime Sevilla</t>
        </r>
      </text>
    </comment>
    <comment ref="J413" authorId="0">
      <text>
        <r>
          <rPr>
            <sz val="10"/>
            <rFont val="SimSun"/>
            <charset val="134"/>
          </rPr>
          <t>pdf link
http://www.cs.utoronto.ca/~graves/icdar_2007.pdf
Archived link
https://web.archive.org/web/20201028053617/http://people.idsia.ch/~juergen/icdar_2007.pdf
----
Not sure if this paper meet the bar for relevance
	-Jaime Sevilla</t>
        </r>
      </text>
    </comment>
    <comment ref="J414" authorId="0">
      <text>
        <r>
          <rPr>
            <sz val="10"/>
            <rFont val="SimSun"/>
            <charset val="134"/>
          </rPr>
          <t>Archived link 
https://web.archive.org/web/20170808071851/http://brettb.net/project/papers/2007%20Scalable%20collaborative%20filtering%20with%20jointly%20derived%20neighborhood%20interpolation%20weights.pdf</t>
        </r>
      </text>
    </comment>
    <comment ref="J415" authorId="0">
      <text>
        <r>
          <rPr>
            <sz val="10"/>
            <rFont val="SimSun"/>
            <charset val="134"/>
          </rPr>
          <t>Expanded version here:
https://dl.acm.org/doi/10.5555/2981562.2981583
Archived links- 
https://web.archive.org/web/20220602143952/https://proceedings.neurips.cc/paper/2007/file/0d3180d672e08b4c5312dcdafdf6ef36-Paper.pdf
pdf link-
https://proceedings.neurips.cc/paper/2007/file/0d3180d672e08b4c5312dcdafdf6ef36-Paper.pdf
https://www.gwern.net/docs/ai/2012-bottou.pdf</t>
        </r>
      </text>
    </comment>
    <comment ref="G416" authorId="0">
      <text>
        <r>
          <rPr>
            <sz val="10"/>
            <rFont val="SimSun"/>
            <charset val="134"/>
          </rPr>
          <t>03/12/2007</t>
        </r>
      </text>
    </comment>
    <comment ref="J416" authorId="0">
      <text>
        <r>
          <rPr>
            <sz val="10"/>
            <rFont val="SimSun"/>
            <charset val="134"/>
          </rPr>
          <t>Archived link 
https://www.cs.toronto.edu/~graves/nips_2007.pdf
https://web.archive.org/web/20220509134758/https://www.cs.toronto.edu/~graves/nips_2007.pdf
https://web.archive.org/web/20220327150725/https://proceedings.neurips.cc/paper/2007/hash/4b0250793549726d5c1ea3906726ebfe-Abstract.html</t>
        </r>
      </text>
    </comment>
    <comment ref="N416" authorId="0">
      <text>
        <r>
          <rPr>
            <sz val="10"/>
            <rFont val="SimSun"/>
            <charset val="134"/>
          </rPr>
          <t xml:space="preserve"> For the raw input representation,
there were 4 input units and a total of 100,881 weights</t>
        </r>
      </text>
    </comment>
    <comment ref="J417" authorId="0">
      <text>
        <r>
          <rPr>
            <sz val="10"/>
            <rFont val="SimSun"/>
            <charset val="134"/>
          </rPr>
          <t>Archived link 
https://web.archive.org/web/20220301165126/http://robots.stanford.edu/papers/thrun.stanley05.pdf</t>
        </r>
      </text>
    </comment>
    <comment ref="N417" authorId="0">
      <text>
        <r>
          <rPr>
            <sz val="10"/>
            <rFont val="SimSun"/>
            <charset val="134"/>
          </rPr>
          <t xml:space="preserve"> 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t>
        </r>
      </text>
    </comment>
    <comment ref="J418" authorId="0">
      <text>
        <r>
          <rPr>
            <sz val="10"/>
            <rFont val="SimSun"/>
            <charset val="134"/>
          </rPr>
          <t>Archived link 
https://web.archive.org/web/20220327053137/https://hal.archives-ouvertes.fr/hal-00018426/en</t>
        </r>
      </text>
    </comment>
    <comment ref="J419" authorId="0">
      <text>
        <r>
          <rPr>
            <sz val="10"/>
            <rFont val="SimSun"/>
            <charset val="134"/>
          </rPr>
          <t>Archived link 
https://people.eecs.berkeley.edu/~jordan/papers/ng-etal03.pdf
https://web.archive.org/web/20220326001055/https://papers.nips.cc/paper/2003/hash/b427426b8acd2c2e53827970f2c2f526-Abstract.html
https://web.archive.org/web/20220326001055/https://papers.nips.cc/paper/2003/hash/b427426b8acd2c2e53827970f2c2f526-Abstract.html</t>
        </r>
      </text>
    </comment>
    <comment ref="O419" authorId="0">
      <text>
        <r>
          <rPr>
            <sz val="10"/>
            <rFont val="SimSun"/>
            <charset val="134"/>
          </rPr>
          <t>From Nuño:
I also looked at the Thumbs up? paper, but it looked to complicated for me to give a reasonable guess; they only mention "We use ten iterations of the improved iterative scaling algorithm (Della Pietra et al., 1997) for parameter training (this was a sufficient number of iterations for convergence of training-data accuracy), together with a Gaussian prior to prevent overfitting (Chen and Rosenfeld, 2000). ", and it looked too difficult to figure out how much compute that is
	-Jaime Sevilla</t>
        </r>
      </text>
    </comment>
    <comment ref="J420" authorId="0">
      <text>
        <r>
          <rPr>
            <sz val="10"/>
            <rFont val="SimSun"/>
            <charset val="134"/>
          </rPr>
          <t>Archived link 
https://web.archive.org/web/20220327053106/https://link.springer.com/chapter/10.1007/11744023_34</t>
        </r>
      </text>
    </comment>
    <comment ref="J421" authorId="0">
      <text>
        <r>
          <rPr>
            <sz val="10"/>
            <rFont val="SimSun"/>
            <charset val="134"/>
          </rPr>
          <t>Archived link 
https://web.archive.org/web/20220327053114/https://inc.ucsd.edu/mplab/users/marni/Igert/Lazebnik_06.pdf</t>
        </r>
      </text>
    </comment>
    <comment ref="J422" authorId="0">
      <text>
        <r>
          <rPr>
            <sz val="10"/>
            <rFont val="SimSun"/>
            <charset val="134"/>
          </rPr>
          <t>Archived link 
https://web.archive.org/web/20220327055958/https://ieeexplore.ieee.org/document/1640964</t>
        </r>
      </text>
    </comment>
    <comment ref="N422" authorId="0">
      <text>
        <r>
          <rPr>
            <sz val="10"/>
            <rFont val="SimSun"/>
            <charset val="134"/>
          </rPr>
          <t>Architecture described in figure 3</t>
        </r>
      </text>
    </comment>
    <comment ref="Q422" authorId="0">
      <text>
        <r>
          <rPr>
            <sz val="10"/>
            <rFont val="SimSun"/>
            <charset val="134"/>
          </rPr>
          <t>"The dataset was split into 660 training images and a 312
test images. The result of training on all 10989 similar pairs
and 206481 dissimilar pairs is a 3-dimensional manifold in
the shape of a cylinder (see figure 8)."
206481 + 10989 = 217470</t>
        </r>
      </text>
    </comment>
    <comment ref="J423" authorId="0">
      <text>
        <r>
          <rPr>
            <sz val="10"/>
            <rFont val="SimSun"/>
            <charset val="134"/>
          </rPr>
          <t>Archived link 
https://web.archive.org/web/20220227012442/https://www.cs.toronto.edu/~graves/icml_2006.pdf</t>
        </r>
      </text>
    </comment>
    <comment ref="N423" authorId="0">
      <text>
        <r>
          <rPr>
            <sz val="10"/>
            <rFont val="SimSun"/>
            <charset val="134"/>
          </rPr>
          <t>"The hidden layers were fully connected to themselves
and the output layer, and fully connected from the input layer. The input layer was size 26, the softmax output layer size 62 (61 phoneme categories plus the blank label), and the total number of weights was
114, 662."
https://www.cs.toronto.edu/~graves/icml_2006.pdf</t>
        </r>
      </text>
    </comment>
    <comment ref="Q423" authorId="0">
      <text>
        <r>
          <rPr>
            <sz val="10"/>
            <rFont val="SimSun"/>
            <charset val="134"/>
          </rPr>
          <t>4162 utterances, guesstimated avg 10 words per utterance</t>
        </r>
      </text>
    </comment>
    <comment ref="G424" authorId="0">
      <text>
        <r>
          <rPr>
            <sz val="10"/>
            <rFont val="SimSun"/>
            <charset val="134"/>
          </rPr>
          <t>0/07/2006</t>
        </r>
      </text>
    </comment>
    <comment ref="J424" authorId="0">
      <text>
        <r>
          <rPr>
            <sz val="10"/>
            <rFont val="SimSun"/>
            <charset val="134"/>
          </rPr>
          <t>Archived link 
https://aclanthology.org/P06-1101.pdf
https://web.archive.org/web/20220121054251/https://aclanthology.org/P06-1101.pdf</t>
        </r>
      </text>
    </comment>
    <comment ref="N424" authorId="0">
      <text>
        <r>
          <rPr>
            <sz val="10"/>
            <rFont val="SimSun"/>
            <charset val="134"/>
          </rPr>
          <t>The main learning algorithm is a logistic classifier. The input is a matrix M, where the rows are pairs of words, and the columns (variables) are counts of occurrences of synthetic dependency paths between those two words.
Since there are on the order of 10~100 different types of syntactic relationships, this is the number of length-1 paths, and thus the number of parameters if only length-1 paths are used.
However, if the length of the paths considered is longer (say, 5), then the parameters would be on the order of (10~100)^5. It's not clear to me which is the case</t>
        </r>
      </text>
    </comment>
    <comment ref="Q424" authorId="0">
      <text>
        <r>
          <rPr>
            <sz val="10"/>
            <rFont val="SimSun"/>
            <charset val="134"/>
          </rPr>
          <t>[Classification task]
The labeled training set is
constructed by labeling the collected feature vectors as positive “known hypernym” or negative
“known non-hypernym” examples using WordNet
2.0; 49,922 feature vectors were labeled as positive training examples, and 800,828 noun pairs
were labeled as negative training examples.
800,828 + 49,922 = 850750</t>
        </r>
      </text>
    </comment>
    <comment ref="J425" authorId="0">
      <text>
        <r>
          <rPr>
            <sz val="10"/>
            <rFont val="SimSun"/>
            <charset val="134"/>
          </rPr>
          <t>Archived link 
https://web.archive.org/web/20220512070834/https://www.cs.toronto.edu/~hinton/science.pdf</t>
        </r>
      </text>
    </comment>
    <comment ref="Q425" authorId="0">
      <text>
        <r>
          <rPr>
            <sz val="10"/>
            <rFont val="SimSun"/>
            <charset val="134"/>
          </rPr>
          <t>After fine-tuning on all 60,000 training images, the autoencoder was tested on 10,000 new images and produced much better reconstructions than did PCA
(Fig. 2B)</t>
        </r>
      </text>
    </comment>
    <comment ref="J426" authorId="0">
      <text>
        <r>
          <rPr>
            <sz val="10"/>
            <rFont val="SimSun"/>
            <charset val="134"/>
          </rPr>
          <t>Archived link 
https://web.archive.org/web/20220317191516/http://www.cs.toronto.edu/~hinton/absps/fastnc.pdf</t>
        </r>
      </text>
    </comment>
    <comment ref="Q426" authorId="0">
      <text>
        <r>
          <rPr>
            <sz val="10"/>
            <rFont val="SimSun"/>
            <charset val="134"/>
          </rPr>
          <t>"The network that performed best on the validation set was
then tested and had an error rate of 1.39%. This network was
then trained on all 60,000 training images8 until its error-rate
on the full training set was as low as its final error-rate had
been on the initial training set of 44,000 images."</t>
        </r>
      </text>
    </comment>
    <comment ref="G427" authorId="0">
      <text>
        <r>
          <rPr>
            <sz val="10"/>
            <rFont val="SimSun"/>
            <charset val="134"/>
          </rPr>
          <t>01/12/2006</t>
        </r>
      </text>
    </comment>
    <comment ref="J427" authorId="0">
      <text>
        <r>
          <rPr>
            <sz val="10"/>
            <rFont val="SimSun"/>
            <charset val="134"/>
          </rPr>
          <t>Archived link https://web.archive.org/web/20181030055016/http://citeseerx.ist.psu.edu/viewdoc/download?doi=10.1.1.456.1094&amp;rep=rep1&amp;type=pdf</t>
        </r>
      </text>
    </comment>
    <comment ref="N427" authorId="0">
      <text>
        <r>
          <rPr>
            <sz val="10"/>
            <rFont val="SimSun"/>
            <charset val="134"/>
          </rPr>
          <t xml:space="preserve">Shallowly investigated, couldn't find much.
</t>
        </r>
      </text>
    </comment>
    <comment ref="J428" authorId="0">
      <text>
        <r>
          <rPr>
            <sz val="10"/>
            <rFont val="SimSun"/>
            <charset val="134"/>
          </rPr>
          <t xml:space="preserve">Archived link 
https://web.archive.org/web/20211202214306/https://papers.nips.cc/paper/2006/file/87f4d79e36d68c3031ccf6c55e9bbd39-Paper.pdf
https://papers.nips.cc/paper/2006/file/87f4d79e36d68c3031ccf6c55e9bbd39-Paper.pdf
</t>
        </r>
      </text>
    </comment>
    <comment ref="J429" authorId="0">
      <text>
        <r>
          <rPr>
            <sz val="10"/>
            <rFont val="SimSun"/>
            <charset val="134"/>
          </rPr>
          <t>Archived link 
https://proceedings.neurips.cc/paper/2006/file/5da713a690c067105aeb2fae32403405-Paper.pdf
https://web.archive.org/web/20220602144141/https://proceedings.neurips.cc/paper/2006/file/5da713a690c067105aeb2fae32403405-Paper.pdf</t>
        </r>
      </text>
    </comment>
    <comment ref="J430" authorId="0">
      <text>
        <r>
          <rPr>
            <sz val="10"/>
            <rFont val="SimSun"/>
            <charset val="134"/>
          </rPr>
          <t>Archived link 
https://web.archive.org/web/20220327052848/https://www.sciencedirect.com/science/article/abs/pii/S0893608005001206</t>
        </r>
      </text>
    </comment>
    <comment ref="N430" authorId="0">
      <text>
        <r>
          <rPr>
            <sz val="10"/>
            <rFont val="SimSun"/>
            <charset val="134"/>
          </rPr>
          <t>"The hidden layer sizes were chosen to ensure that all networks had roughly the same number of weights W (≈100,000). However, for the MLPs the network grew with the time-window size, and W varied between 22,061 and 152,061."</t>
        </r>
      </text>
    </comment>
    <comment ref="O430" authorId="0">
      <text>
        <r>
          <rPr>
            <sz val="10"/>
            <rFont val="SimSun"/>
            <charset val="134"/>
          </rPr>
          <t>Extracted from AI and Compute (https://openai.com/blog/ai-and-compute/) charts by using https://automeris.io/WebPlotDigitizer/.</t>
        </r>
      </text>
    </comment>
    <comment ref="Q430" authorId="0">
      <text>
        <r>
          <rPr>
            <sz val="10"/>
            <rFont val="SimSun"/>
            <charset val="134"/>
          </rPr>
          <t>"The TIMIT database comes partitioned into training and
test sets, containing 4620 and 1680 utterances respectively.
We used 462 of the training set utterances as a validation set
and trained on the rest."
This is for speech but is in terms of "number of utterances" in the TIMIT database, rather than the number of hours
One sample utterance from the website lasts about 5s
https://catalog.ldc.upenn.edu/LDC93s1
4162 utterances * 5s = around 6 hours of speech
EDIT 23/06/2022: changing unit to #words
One sample utterance has around 10 words
4162 utterances * 10 words = around 40k words</t>
        </r>
      </text>
    </comment>
    <comment ref="J431" authorId="0">
      <text>
        <r>
          <rPr>
            <sz val="10"/>
            <rFont val="SimSun"/>
            <charset val="134"/>
          </rPr>
          <t>Archived link 
https://web.archive.org/web/20220606211247/https://www.science.org/web/20220606211247/https://www.science.org/doi/10.1126/science.1105809</t>
        </r>
      </text>
    </comment>
    <comment ref="N431" authorId="0">
      <text>
        <r>
          <rPr>
            <sz val="10"/>
            <rFont val="SimSun"/>
            <charset val="134"/>
          </rPr>
          <t>From https://www.bnlearn.com/bnrepository/</t>
        </r>
      </text>
    </comment>
    <comment ref="Q431" authorId="0">
      <text>
        <r>
          <rPr>
            <sz val="10"/>
            <rFont val="SimSun"/>
            <charset val="134"/>
          </rPr>
          <t>I think? 
" The truncated singlecell data set (420 data points) shows a large
(11-arc) decline in accuracy, missing more connections and reporting more unexplained arcs than its larger (5400 data points) counterpart (fig. S4B). "
Seems potentially wrong by maybe 20%. Might need to add 1200.</t>
        </r>
      </text>
    </comment>
    <comment ref="G432" authorId="0">
      <text>
        <r>
          <rPr>
            <sz val="10"/>
            <rFont val="SimSun"/>
            <charset val="134"/>
          </rPr>
          <t>unaware of exact day
06/2005</t>
        </r>
      </text>
    </comment>
    <comment ref="J432" authorId="0">
      <text>
        <r>
          <rPr>
            <sz val="10"/>
            <rFont val="SimSun"/>
            <charset val="134"/>
          </rPr>
          <t>Archived link 
https://web.archive.org/web/20220307172924/https://aclanthology.org/P05-1033.pdf</t>
        </r>
      </text>
    </comment>
    <comment ref="N432" authorId="0">
      <text>
        <r>
          <rPr>
            <sz val="10"/>
            <rFont val="SimSun"/>
            <charset val="134"/>
          </rPr>
          <t>Very unsure, but the paper mentions 
"We ran the training process of Section 3 on the same data, obtaining a grammar of 24M rules" 
and 
"For our experiments we used the following features, analogous to Pharaoh’s default feature set:
• P(γ | α) and P(α | γ), the latter of which is not
found in the noisy-channel model, but has been
previously found to be a helpful feature (Och
and Ney, 2002);
• the lexical weights Pw(γ | α) and Pw(α | γ) (Koehn et al., 2003), which estimate how well the words in α translate the words in γ;
2
• a phrase penalty exp(1), which allows the
model to learn a preference for longer or
shorter derivations, analogous to Koehn’sphrase penalty (Koehn, 2003)."
Suggesting 24M rules * 5 features per rule (?)
----
Very unsure on this one
	-Jaime Sevilla</t>
        </r>
      </text>
    </comment>
    <comment ref="Q432" authorId="0">
      <text>
        <r>
          <rPr>
            <sz val="10"/>
            <rFont val="SimSun"/>
            <charset val="134"/>
          </rPr>
          <t>[WORDS]
155M words dataset for the language model plus (7.2+9.2)M words for the translation model?</t>
        </r>
      </text>
    </comment>
    <comment ref="I433" authorId="0">
      <text>
        <r>
          <rPr>
            <sz val="10"/>
            <rFont val="SimSun"/>
            <charset val="134"/>
          </rPr>
          <t>TODO: check if relevant
	-Jaime Sevilla</t>
        </r>
      </text>
    </comment>
    <comment ref="J433" authorId="0">
      <text>
        <r>
          <rPr>
            <sz val="10"/>
            <rFont val="SimSun"/>
            <charset val="134"/>
          </rPr>
          <t>Archived link 
https://web.archive.org/web/20220327045730/http://www.iro.umontreal.ca/~mignotte/IFT6150/Articles/Buades-NonLocal.pdf</t>
        </r>
      </text>
    </comment>
    <comment ref="J434" authorId="0">
      <text>
        <r>
          <rPr>
            <sz val="10"/>
            <rFont val="SimSun"/>
            <charset val="134"/>
          </rPr>
          <t>Archived link 
http://yann.lecun.com/exdb/publis/pdf/chopra-05.pdf
https://web.archive.org/web/20220327045739/http://yann.lecun.com/exdb/publis/pdf/chopra-05.pdf</t>
        </r>
      </text>
    </comment>
    <comment ref="Q434" authorId="0">
      <text>
        <r>
          <rPr>
            <sz val="10"/>
            <rFont val="SimSun"/>
            <charset val="134"/>
          </rPr>
          <t>The actual training set that was used contained
140,000 image pairs that were evenly split between genuine
and impostor.</t>
        </r>
      </text>
    </comment>
    <comment ref="J435" authorId="0">
      <text>
        <r>
          <rPr>
            <sz val="10"/>
            <rFont val="SimSun"/>
            <charset val="134"/>
          </rPr>
          <t>Archived link 
https://web.archive.org/web/20220327052834/https://ieeexplore.ieee.org/document/1467360</t>
        </r>
      </text>
    </comment>
    <comment ref="Q435" authorId="0">
      <text>
        <r>
          <rPr>
            <sz val="10"/>
            <rFont val="SimSun"/>
            <charset val="134"/>
          </rPr>
          <t xml:space="preserve"> we produced a new and significantly more
challenging data set, ‘INRIA’, containing 1805 64×128 im-
ages</t>
        </r>
      </text>
    </comment>
    <comment ref="G436" authorId="0">
      <text>
        <r>
          <rPr>
            <sz val="10"/>
            <rFont val="SimSun"/>
            <charset val="134"/>
          </rPr>
          <t>unaware of exact day 
03/2004</t>
        </r>
      </text>
    </comment>
    <comment ref="J436" authorId="0">
      <text>
        <r>
          <rPr>
            <sz val="10"/>
            <rFont val="SimSun"/>
            <charset val="134"/>
          </rPr>
          <t>Archived link 
https://web.archive.org/web/20210817004619/https://papers.nips.cc/paper/2003/file/878d5691c824ee2aaf770f7d36c151d6-Paper.pdf</t>
        </r>
      </text>
    </comment>
    <comment ref="Q436" authorId="0">
      <text>
        <r>
          <rPr>
            <sz val="10"/>
            <rFont val="SimSun"/>
            <charset val="134"/>
          </rPr>
          <t>The data set is divided into 10 folds of ∼ 600 training and ∼ 5500 testing examples.
The accuracy results, ... are averages over the 10 folds</t>
        </r>
      </text>
    </comment>
    <comment ref="J437" authorId="0">
      <text>
        <r>
          <rPr>
            <sz val="10"/>
            <rFont val="SimSun"/>
            <charset val="134"/>
          </rPr>
          <t>Archived link
https://web.archive.org/web/20220605211332/https://www.koreascience.or.kr/article/CFKO200725752349451.pdf 
https://web.archive.org/web/20220327045452/https://www.sciencedirect.com/science/article/abs/pii/S0031320304000524</t>
        </r>
      </text>
    </comment>
    <comment ref="G438" authorId="0">
      <text>
        <r>
          <rPr>
            <sz val="10"/>
            <rFont val="SimSun"/>
            <charset val="134"/>
          </rPr>
          <t>14/06/2004</t>
        </r>
      </text>
    </comment>
    <comment ref="J438" authorId="0">
      <text>
        <r>
          <rPr>
            <sz val="10"/>
            <rFont val="SimSun"/>
            <charset val="134"/>
          </rPr>
          <t>Archived link 
https://web.archive.org/web/20050909192933/http://www.darpa.mil/grandchallenge04/TeamTechPapers/RedTeamFinalTP.pdf</t>
        </r>
      </text>
    </comment>
    <comment ref="J439" authorId="0">
      <text>
        <r>
          <rPr>
            <sz val="10"/>
            <rFont val="SimSun"/>
            <charset val="134"/>
          </rPr>
          <t>Archived link 
https://web.archive.org/web/20220121082352/https://aclanthology.org/P04-1036.pdf</t>
        </r>
      </text>
    </comment>
    <comment ref="Q439" authorId="0">
      <text>
        <r>
          <rPr>
            <sz val="10"/>
            <rFont val="SimSun"/>
            <charset val="134"/>
          </rPr>
          <t>They do two experiments, one on a dataset of 5.000 tagged words and
another one on two datasets containing a total of around 40 million words, of which they only select 38 unique words and manually annotate the senses?
I think the first one is more representative</t>
        </r>
      </text>
    </comment>
    <comment ref="J440" authorId="0">
      <text>
        <r>
          <rPr>
            <sz val="10"/>
            <rFont val="SimSun"/>
            <charset val="134"/>
          </rPr>
          <t>Archived link 
https://citeseerx.ist.psu.edu/viewdoc/download?doi=10.1.1.75.6015&amp;rep=rep1&amp;type=pdf
https://web.archive.org/web/20220605211237/http://citeseerx.ist.psu.edu/viewdoc/download?doi=10.1.1.75.6015&amp;rep=rep1&amp;type=pdf
https://web.archive.org/web/20220327045502/https://www.sciencedirect.com/science/article/abs/pii/S0262885604000721</t>
        </r>
      </text>
    </comment>
    <comment ref="N440" authorId="0">
      <text>
        <r>
          <rPr>
            <sz val="10"/>
            <rFont val="SimSun"/>
            <charset val="134"/>
          </rPr>
          <t>"For the first modification of the Rosenblatt perceptron 10 neurons were included into the R-layer. [...] The number of the A-layer neurons was 256,000" The relation between the S-layer and A-layer is hardcoded</t>
        </r>
      </text>
    </comment>
    <comment ref="O440" authorId="0">
      <text>
        <r>
          <rPr>
            <sz val="10"/>
            <rFont val="SimSun"/>
            <charset val="134"/>
          </rPr>
          <t>The coding time was 20 h and the training time was 45 h.</t>
        </r>
      </text>
    </comment>
    <comment ref="V440" authorId="0">
      <text>
        <r>
          <rPr>
            <sz val="10"/>
            <rFont val="SimSun"/>
            <charset val="134"/>
          </rPr>
          <t>The recognition time (for 10,000 samples) was 30 min without distortions, 60 min for 4 distortions and 120 min for 8 distortions.
The recognition time for handwritten digits was 0.5 s on the Pentium III, 500 MHz</t>
        </r>
      </text>
    </comment>
    <comment ref="A441" authorId="0">
      <text>
        <r>
          <rPr>
            <sz val="10"/>
            <rFont val="SimSun"/>
            <charset val="134"/>
          </rPr>
          <t>we ran only 5 epochs (over 3 weeks using 40 CPUs)
This is for the AP corpus</t>
        </r>
      </text>
    </comment>
    <comment ref="J441" authorId="0">
      <text>
        <r>
          <rPr>
            <sz val="10"/>
            <rFont val="SimSun"/>
            <charset val="134"/>
          </rPr>
          <t>Archived link 
https://www.jmlr.org/papers/volume3/bengio03a/bengio03a.pdf
https://web.archive.org/web/20220606005451/https://www.jmlr.org/papers/volume3/bengio03a/bengio03a.pdf</t>
        </r>
      </text>
    </comment>
    <comment ref="N441" authorId="0">
      <text>
        <r>
          <rPr>
            <sz val="10"/>
            <rFont val="SimSun"/>
            <charset val="134"/>
          </rPr>
          <t>"The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t>
        </r>
      </text>
    </comment>
    <comment ref="O441" authorId="0">
      <text>
        <r>
          <rPr>
            <sz val="10"/>
            <rFont val="SimSun"/>
            <charset val="134"/>
          </rPr>
          <t>"For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t>
        </r>
      </text>
    </comment>
    <comment ref="Q441" authorId="0">
      <text>
        <r>
          <rPr>
            <sz val="10"/>
            <rFont val="SimSun"/>
            <charset val="134"/>
          </rPr>
          <t>"Comparative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t>
        </r>
      </text>
    </comment>
    <comment ref="I442" authorId="0">
      <text>
        <r>
          <rPr>
            <sz val="10"/>
            <rFont val="SimSun"/>
            <charset val="134"/>
          </rPr>
          <t>This paper does not contain empirical results
	-Pablo Villalobos</t>
        </r>
      </text>
    </comment>
    <comment ref="J442" authorId="0">
      <text>
        <r>
          <rPr>
            <sz val="10"/>
            <rFont val="SimSun"/>
            <charset val="134"/>
          </rPr>
          <t xml:space="preserve">Archived link 
http://www.cs.umd.edu/~samir/498/Amazon-Recommendations.pdf
https://web.archive.org/web/20220528132701/http://www.cs.umd.edu/~samir/498/Amazon-Recommendations.pdf
</t>
        </r>
      </text>
    </comment>
    <comment ref="A444" authorId="0">
      <text>
        <r>
          <rPr>
            <sz val="10"/>
            <rFont val="SimSun"/>
            <charset val="134"/>
          </rPr>
          <t>It's horrible how this is the same acronym as Linear Discriminant Analysis
	-Ettore Mariotti</t>
        </r>
      </text>
    </comment>
    <comment ref="J444" authorId="0">
      <text>
        <r>
          <rPr>
            <sz val="10"/>
            <rFont val="SimSun"/>
            <charset val="134"/>
          </rPr>
          <t>Archived link 
https://web.archive.org/web/20220309212057/https://www.jmlr.org/papers/volume3/blei03a/blei03a.pdf</t>
        </r>
      </text>
    </comment>
    <comment ref="Q444" authorId="0">
      <text>
        <r>
          <rPr>
            <sz val="10"/>
            <rFont val="SimSun"/>
            <charset val="134"/>
          </rPr>
          <t>Multiple experiments with different tasks and datasets</t>
        </r>
      </text>
    </comment>
    <comment ref="G445" authorId="0">
      <text>
        <r>
          <rPr>
            <sz val="10"/>
            <rFont val="SimSun"/>
            <charset val="134"/>
          </rPr>
          <t>01/05/2003</t>
        </r>
      </text>
    </comment>
    <comment ref="J445" authorId="0">
      <text>
        <r>
          <rPr>
            <sz val="10"/>
            <rFont val="SimSun"/>
            <charset val="134"/>
          </rPr>
          <t>Archived link 
https://web.archive.org/web/20220121105015/https://aclanthology.org/N03-1017.pdf</t>
        </r>
      </text>
    </comment>
    <comment ref="N445" authorId="0">
      <text>
        <r>
          <rPr>
            <sz val="10"/>
            <rFont val="SimSun"/>
            <charset val="134"/>
          </rPr>
          <t xml:space="preserve">There are various components to the system:
- Translation probability model phi
- The distortion probability distribution d
- A langage model p_LM
- A length factor w
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
The distortion probability model d is taken from  (Marcu and Wong, 2002).
The distortion probability model must have ~10 parameters at most
The language model p_LM is a back off trigram model from (Seymore and Rosenfeld,1997). AFAIK the cutoff used is not specified. Based on the example on section 4.3 of (Seymore and Rosefeld, 1997), a trigram probability model has about 3866964 + 2674322 + 641604 parameters.
"For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
The length factor w is an additional single parameter.
"In order to calibrate the output length, we introduce a
factor w for each generated English word in addition to
the trigram language model "
In summary, the parameter count seems to be dominated by the trigram language model and the word alignment phrase translation model. </t>
        </r>
      </text>
    </comment>
    <comment ref="Q445" authorId="0">
      <text>
        <r>
          <rPr>
            <sz val="10"/>
            <rFont val="SimSun"/>
            <charset val="134"/>
          </rPr>
          <t>[WORDS]
"We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
"These results are consistent
over training corpus sizes from 10,000 sentence pairs to
320,000 sentence pairs. "
So 20 million words or 320k sentence pairs.</t>
        </r>
      </text>
    </comment>
    <comment ref="S445" authorId="0">
      <text>
        <r>
          <rPr>
            <sz val="10"/>
            <rFont val="SimSun"/>
            <charset val="134"/>
          </rPr>
          <t>"With our decoder, translating 1755 sentence of length 5-15 words
takes about 10 minutes on a 2 GHz Linux system."</t>
        </r>
      </text>
    </comment>
    <comment ref="J446" authorId="0">
      <text>
        <r>
          <rPr>
            <sz val="10"/>
            <rFont val="SimSun"/>
            <charset val="134"/>
          </rPr>
          <t>Archived link 
https://www.robots.ox.ac.uk/~vgg/publications/2003/Fergus03/fergus03.pdf
https://web.archive.org/web/20220606005814/https://www.robots.ox.ac.uk/~vgg/publications/2003/Fergus03/fergus03.pdf
https://web.archive.org/web/20220326001107/https://ieeexplore.ieee.org/document/1211479</t>
        </r>
      </text>
    </comment>
    <comment ref="N446" authorId="0">
      <text>
        <r>
          <rPr>
            <sz val="10"/>
            <rFont val="SimSun"/>
            <charset val="134"/>
          </rPr>
          <t xml:space="preserve">See Table 1
</t>
        </r>
      </text>
    </comment>
    <comment ref="Q446" authorId="0">
      <text>
        <r>
          <rPr>
            <sz val="10"/>
            <rFont val="SimSun"/>
            <charset val="134"/>
          </rPr>
          <t>See Table 2 and Figure 1.
There are 7 datasets, each with 200-800 of pictures. I pick 500 as the avg number of pictures</t>
        </r>
      </text>
    </comment>
    <comment ref="J447" authorId="0">
      <text>
        <r>
          <rPr>
            <sz val="10"/>
            <rFont val="SimSun"/>
            <charset val="134"/>
          </rPr>
          <t>Archived link 
https://www.microsoft.com/en-us/research/wp-content/uploads/2003/08/icdar03.pdf
https://web.archive.org/web/20220331215715/https://www.microsoft.com/en-us/research/wp-content/uploads/2003/08/icdar03.pdf
https://web.archive.org/web/20220327045102/https://ieeexplore.ieee.org/document/1227801</t>
        </r>
      </text>
    </comment>
    <comment ref="G448" authorId="0">
      <text>
        <r>
          <rPr>
            <sz val="10"/>
            <rFont val="SimSun"/>
            <charset val="134"/>
          </rPr>
          <t>28/05/2002</t>
        </r>
      </text>
    </comment>
    <comment ref="J448" authorId="0">
      <text>
        <r>
          <rPr>
            <sz val="10"/>
            <rFont val="SimSun"/>
            <charset val="134"/>
          </rPr>
          <t>Archived link 
https://arxiv.org/pdf/cs/0205070.pdf</t>
        </r>
      </text>
    </comment>
    <comment ref="Q448" authorId="0">
      <text>
        <r>
          <rPr>
            <sz val="10"/>
            <rFont val="SimSun"/>
            <charset val="134"/>
          </rPr>
          <t>yielding a corpus of 752 negative and
1301 positive reviews</t>
        </r>
      </text>
    </comment>
    <comment ref="J449" authorId="0">
      <text>
        <r>
          <rPr>
            <sz val="10"/>
            <rFont val="SimSun"/>
            <charset val="134"/>
          </rPr>
          <t>Archived link 
https://web.archive.org/web/20220325235612/https://aclanthology.org/W02-1001.pdf</t>
        </r>
      </text>
    </comment>
    <comment ref="J450" authorId="0">
      <text>
        <r>
          <rPr>
            <sz val="10"/>
            <rFont val="SimSun"/>
            <charset val="134"/>
          </rPr>
          <t>Archived link 
https://web.archive.org/web/20220325235637/https://aclanthology.org/W02-1018.pdf</t>
        </r>
      </text>
    </comment>
    <comment ref="Q450" authorId="0">
      <text>
        <r>
          <rPr>
            <sz val="10"/>
            <rFont val="SimSun"/>
            <charset val="134"/>
          </rPr>
          <t>[WORDS]
"To evaluate our system, we trained [...] our joint
probability model on a French-English parallel corpus of 100,000 sentence pairs from the Hansard corpus. The sentences in the corpus were at most
20 words long. The English side had a total of 1,073,480 words (21,484 unique tokens). The French side had a total of 1,177,143 words (28,132
unique tokens)"</t>
        </r>
      </text>
    </comment>
    <comment ref="J451" authorId="0">
      <text>
        <r>
          <rPr>
            <sz val="10"/>
            <rFont val="SimSun"/>
            <charset val="134"/>
          </rPr>
          <t>Archived link 
https://web.archive.org/web/20220325235658/https://direct.mit.edu/evco/article-abstract/10/2/99/1123/Evolving-Neural-Networks-through-Augmenting?redirectedFrom=fulltext</t>
        </r>
      </text>
    </comment>
    <comment ref="G452" authorId="0">
      <text>
        <r>
          <rPr>
            <sz val="10"/>
            <rFont val="SimSun"/>
            <charset val="134"/>
          </rPr>
          <t>06/07/2002</t>
        </r>
      </text>
    </comment>
    <comment ref="J452" authorId="0">
      <text>
        <r>
          <rPr>
            <sz val="10"/>
            <rFont val="SimSun"/>
            <charset val="134"/>
          </rPr>
          <t>Archived link 
https://web.archive.org/web/20220122035816/https://aclanthology.org/P02-1038.pdf</t>
        </r>
      </text>
    </comment>
    <comment ref="Q452" authorId="0">
      <text>
        <r>
          <rPr>
            <sz val="10"/>
            <rFont val="SimSun"/>
            <charset val="134"/>
          </rPr>
          <t>[WORDS]
Table 1</t>
        </r>
      </text>
    </comment>
    <comment ref="I453" authorId="0">
      <text>
        <r>
          <rPr>
            <sz val="10"/>
            <rFont val="SimSun"/>
            <charset val="134"/>
          </rPr>
          <t>Maybe out of scope
	-Jaime Sevilla</t>
        </r>
      </text>
    </comment>
    <comment ref="J453" authorId="0">
      <text>
        <r>
          <rPr>
            <sz val="10"/>
            <rFont val="SimSun"/>
            <charset val="134"/>
          </rPr>
          <t>Archived link 
https://web.archive.org/web/20220209180316/https://aclanthology.org/P02-1040.pdf</t>
        </r>
      </text>
    </comment>
    <comment ref="J454" authorId="0">
      <text>
        <r>
          <rPr>
            <sz val="10"/>
            <rFont val="SimSun"/>
            <charset val="134"/>
          </rPr>
          <t>Archived link 
https://citeseerx.ist.psu.edu/viewdoc/download?doi=10.1.1.477.4623&amp;rep=rep1&amp;type=pdf
https://web.archive.org/web/20220606011858/https://citeseerx.ist.psu.edu/viewdoc/download?doi=10.1.1.477.4623&amp;rep=rep1&amp;type=pdf
https://web.archive.org/web/20220327043339/https://www.sciencedirect.com/science/article/abs/pii/S0957417402000520</t>
        </r>
      </text>
    </comment>
    <comment ref="I455" authorId="0">
      <text>
        <r>
          <rPr>
            <sz val="10"/>
            <rFont val="SimSun"/>
            <charset val="134"/>
          </rPr>
          <t>From Anson:
I've just had a look at the paper and I'm a little confused about how to determine parameters and compute.But here's my best guess:
My understanding is that the Viola-Jones algorithm works like a decision tree and repeatedly applies filters that look at the brightness of pixels. If the filter plausibly describes the bright/dark pattern of a human face, then "pass" and go to the next filter, else "fail" and there is no human face
So the training compute comes from learning which filters are necessary, and is given in the pseudocode in table 1. From this, it looks like the number of weights depends on the dataset size, which in this case is 2*4916 faces+9544 non-faces = 19376, and multiplies that by the number of filters T = 6061, so no. of params = 1.2e8 (Note:I think "features" = "filters" in this paper)
The training compute can be tediously worked out from the pseudocode. I think for dataset size D, number of filters T, the training compute is roughly 180k * D * 3 * T = 6.3e13 FLOPs
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t>
        </r>
      </text>
    </comment>
    <comment ref="J455" authorId="0">
      <text>
        <r>
          <rPr>
            <sz val="10"/>
            <rFont val="SimSun"/>
            <charset val="134"/>
          </rPr>
          <t>Archived link
https://web.archive.org/web/20220325053938/https://www.cs.cmu.edu/~efros/courses/LBMV07/Papers/viola-cvpr-01.pdf</t>
        </r>
      </text>
    </comment>
    <comment ref="N455" authorId="0">
      <text>
        <r>
          <rPr>
            <sz val="10"/>
            <rFont val="SimSun"/>
            <charset val="134"/>
          </rPr>
          <t>From table 1, it looks like the number of weights depends on the dataset size, which in this case is 2*4916 faces+9544 non-faces = 19376, and multiplies that by the number of filters T = 6061, so no. of params = 1.2e8 (Note:I think "features" = "filters" in this paper)</t>
        </r>
      </text>
    </comment>
    <comment ref="O455" authorId="0">
      <text>
        <r>
          <rPr>
            <sz val="10"/>
            <rFont val="SimSun"/>
            <charset val="134"/>
          </rPr>
          <t xml:space="preserve">
The training compute can be tediously worked out from the pseudocode. I think for dataset size D, number of filters T, the training compute is roughly 180k * D * 3 * T = 6.3e13 FLOPs</t>
        </r>
      </text>
    </comment>
    <comment ref="P455" authorId="0">
      <text>
        <r>
          <rPr>
            <sz val="10"/>
            <rFont val="SimSun"/>
            <charset val="134"/>
          </rPr>
          <t>They scraped the dataset personally for training</t>
        </r>
      </text>
    </comment>
    <comment ref="Q455" authorId="0">
      <text>
        <r>
          <rPr>
            <sz val="10"/>
            <rFont val="SimSun"/>
            <charset val="134"/>
          </rPr>
          <t>Section 5: 4916 hand labeled faces  + 9544 non-face images = 14460</t>
        </r>
      </text>
    </comment>
    <comment ref="S455" authorId="0">
      <text>
        <r>
          <rPr>
            <sz val="10"/>
            <rFont val="SimSun"/>
            <charset val="134"/>
          </rPr>
          <t>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t>
        </r>
      </text>
    </comment>
    <comment ref="G456" authorId="0">
      <text>
        <r>
          <rPr>
            <sz val="10"/>
            <rFont val="SimSun"/>
            <charset val="134"/>
          </rPr>
          <t>06/07/2002</t>
        </r>
      </text>
    </comment>
    <comment ref="J456" authorId="0">
      <text>
        <r>
          <rPr>
            <sz val="10"/>
            <rFont val="SimSun"/>
            <charset val="134"/>
          </rPr>
          <t>Archived link 
https://web.archive.org/web/20220325053922/https://aclanthology.org/P01-1017.pdf</t>
        </r>
      </text>
    </comment>
    <comment ref="J457" authorId="0">
      <text>
        <r>
          <rPr>
            <sz val="10"/>
            <rFont val="SimSun"/>
            <charset val="134"/>
          </rPr>
          <t xml:space="preserve">Archived link 
http://luthuli.cs.uiuc.edu/~daf/courses/Opt-2017/Papers/2699986.pdf
https://web.archive.org/web/20220606013023/http://luthuli.cs.uiuc.edu/~daf/courses/Opt-2017/Papers/2699986.pdf
</t>
        </r>
      </text>
    </comment>
    <comment ref="J458" authorId="0">
      <text>
        <r>
          <rPr>
            <sz val="10"/>
            <rFont val="SimSun"/>
            <charset val="134"/>
          </rPr>
          <t>Archived link
https://web.archive.org/web/20220221110743/http://robotics.stanford.edu/~ronnyk/WEBKDD2000/papers/sarwar.pdf</t>
        </r>
      </text>
    </comment>
    <comment ref="J459" authorId="0">
      <text>
        <r>
          <rPr>
            <sz val="10"/>
            <rFont val="SimSun"/>
            <charset val="134"/>
          </rPr>
          <t>Archived link 
https://web.archive.org/web/20220325052401/https://ieeexplore.ieee.org/document/861302</t>
        </r>
      </text>
    </comment>
    <comment ref="N459" authorId="0">
      <text>
        <r>
          <rPr>
            <sz val="10"/>
            <rFont val="SimSun"/>
            <charset val="134"/>
          </rPr>
          <t>"In absence of the 3 peephole connections there are 14 adjustable weights"</t>
        </r>
      </text>
    </comment>
    <comment ref="Q459" authorId="0">
      <text>
        <r>
          <rPr>
            <sz val="10"/>
            <rFont val="SimSun"/>
            <charset val="134"/>
          </rPr>
          <t>See Table 2</t>
        </r>
      </text>
    </comment>
    <comment ref="G460" authorId="0">
      <text>
        <r>
          <rPr>
            <sz val="10"/>
            <rFont val="SimSun"/>
            <charset val="134"/>
          </rPr>
          <t>01/09/2000</t>
        </r>
      </text>
    </comment>
    <comment ref="J460" authorId="0">
      <text>
        <r>
          <rPr>
            <sz val="10"/>
            <rFont val="SimSun"/>
            <charset val="134"/>
          </rPr>
          <t>Archived link 
https://web.archive.org/web/20220130043246/https://aclanthology.org/P00-1065.pdf</t>
        </r>
      </text>
    </comment>
    <comment ref="Q460" authorId="0">
      <text>
        <r>
          <rPr>
            <sz val="10"/>
            <rFont val="SimSun"/>
            <charset val="134"/>
          </rPr>
          <t>Abstract: "The system is based on statistical classifiers trained on roughly 50,000 sentences"</t>
        </r>
      </text>
    </comment>
    <comment ref="G461" authorId="0">
      <text>
        <r>
          <rPr>
            <sz val="10"/>
            <rFont val="SimSun"/>
            <charset val="134"/>
          </rPr>
          <t>03/10/2000</t>
        </r>
      </text>
    </comment>
    <comment ref="I461" authorId="0">
      <text>
        <r>
          <rPr>
            <sz val="10"/>
            <rFont val="SimSun"/>
            <charset val="134"/>
          </rPr>
          <t>This is actually a comparison of Vogel 1996 and Brown 1993
Im considering deleting it, since it does not propose a novel architecture itself
	-Jaime Sevilla</t>
        </r>
      </text>
    </comment>
    <comment ref="J461" authorId="0">
      <text>
        <r>
          <rPr>
            <sz val="10"/>
            <rFont val="SimSun"/>
            <charset val="134"/>
          </rPr>
          <t>Archived link 
https://web.archive.org/web/20220129042954/https://aclanthology.org/P00-1056.pdf</t>
        </r>
      </text>
    </comment>
    <comment ref="G462" authorId="0">
      <text>
        <r>
          <rPr>
            <sz val="10"/>
            <rFont val="SimSun"/>
            <charset val="134"/>
          </rPr>
          <t>unaware of exact day 
01/1999</t>
        </r>
      </text>
    </comment>
    <comment ref="J462" authorId="0">
      <text>
        <r>
          <rPr>
            <sz val="10"/>
            <rFont val="SimSun"/>
            <charset val="134"/>
          </rPr>
          <t>Archived link 
https://citeseerx.ist.psu.edu/viewdoc/download?doi=10.1.1.55.5709&amp;rep=rep1&amp;type=pdf
https://web.archive.org/web/20220324210209/https://ieeexplore.ieee.org/document/818041</t>
        </r>
      </text>
    </comment>
    <comment ref="N462" authorId="0">
      <text>
        <r>
          <rPr>
            <sz val="10"/>
            <rFont val="SimSun"/>
            <charset val="134"/>
          </rPr>
          <t>See Table 1</t>
        </r>
      </text>
    </comment>
    <comment ref="Q462" authorId="0">
      <text>
        <r>
          <rPr>
            <sz val="10"/>
            <rFont val="SimSun"/>
            <charset val="134"/>
          </rPr>
          <t>Training was stopped after at most 30000
training streams, each of which was ended
when the first prediction error or the
100000th successive input symbol occurred
NOTE this is a weird task. Not sure how to measure dataset size (#seqs? #symbols?)</t>
        </r>
      </text>
    </comment>
    <comment ref="A463" authorId="0">
      <text>
        <r>
          <rPr>
            <sz val="10"/>
            <rFont val="SimSun"/>
            <charset val="134"/>
          </rPr>
          <t>Maybe not relevant enough
	-Jaime Sevilla</t>
        </r>
      </text>
    </comment>
    <comment ref="G463" authorId="0">
      <text>
        <r>
          <rPr>
            <sz val="10"/>
            <rFont val="SimSun"/>
            <charset val="134"/>
          </rPr>
          <t>unaware of date and month
1999</t>
        </r>
      </text>
    </comment>
    <comment ref="J463" authorId="0">
      <text>
        <r>
          <rPr>
            <sz val="10"/>
            <rFont val="SimSun"/>
            <charset val="134"/>
          </rPr>
          <t>Archived link 
https://web.archive.org/web/20220324210127/http://www-i6.informatik.rwth-aachen.de/publications/download/266/al-onaizan--1999.pdf</t>
        </r>
      </text>
    </comment>
    <comment ref="Q463" authorId="0">
      <text>
        <r>
          <rPr>
            <sz val="10"/>
            <rFont val="SimSun"/>
            <charset val="134"/>
          </rPr>
          <t>[WORDS]
See FIgure 6</t>
        </r>
      </text>
    </comment>
    <comment ref="G464" authorId="0">
      <text>
        <r>
          <rPr>
            <sz val="10"/>
            <rFont val="SimSun"/>
            <charset val="134"/>
          </rPr>
          <t>unaware of exact date 
12/1999</t>
        </r>
      </text>
    </comment>
    <comment ref="J464" authorId="0">
      <text>
        <r>
          <rPr>
            <sz val="10"/>
            <rFont val="SimSun"/>
            <charset val="134"/>
          </rPr>
          <t xml:space="preserve">Archived link 
https://cseweb.ucsd.edu/~yfreund/papers/LargeMarginsUsingPerceptron.pdf
https://web.archive.org/web/20220515031056/https://cseweb.ucsd.edu//~yfreund/papers/LargeMarginsUsingPerceptron.pdf
</t>
        </r>
      </text>
    </comment>
    <comment ref="Q464" authorId="0">
      <text>
        <r>
          <rPr>
            <sz val="10"/>
            <rFont val="SimSun"/>
            <charset val="134"/>
          </rPr>
          <t>"The dataset consists of 60,000 training examples and 10,000 test examples."</t>
        </r>
      </text>
    </comment>
    <comment ref="J465" authorId="0">
      <text>
        <r>
          <rPr>
            <sz val="10"/>
            <rFont val="SimSun"/>
            <charset val="134"/>
          </rPr>
          <t>Archived link
https://web.archive.org/web/20220324210151/http://vision.stanford.edu/cs598_spring07/papers/Lecun98.pdf</t>
        </r>
      </text>
    </comment>
    <comment ref="N465" authorId="0">
      <text>
        <r>
          <rPr>
            <sz val="10"/>
            <rFont val="SimSun"/>
            <charset val="134"/>
          </rPr>
          <t xml:space="preserve">[LeNet5] contains 390408 connections, but only 60000 trainable free parameters because of the weight sharing </t>
        </r>
      </text>
    </comment>
    <comment ref="O465" authorId="0">
      <text>
        <r>
          <rPr>
            <sz val="10"/>
            <rFont val="SimSun"/>
            <charset val="134"/>
          </rPr>
          <t>"[LeNet5] contains 390408 connections" = multiply-adds
MNIST - 60,000 data points
20 epochs</t>
        </r>
      </text>
    </comment>
    <comment ref="Q465" authorId="0">
      <text>
        <r>
          <rPr>
            <sz val="10"/>
            <rFont val="SimSun"/>
            <charset val="134"/>
          </rPr>
          <t>The MNIST database contains 60,000 training images and 10,000 testing images (Wikipedia)</t>
        </r>
      </text>
    </comment>
    <comment ref="W465" authorId="0">
      <text>
        <r>
          <rPr>
            <sz val="10"/>
            <rFont val="SimSun"/>
            <charset val="134"/>
          </rPr>
          <t>MNIST</t>
        </r>
      </text>
    </comment>
    <comment ref="A466" authorId="0">
      <text>
        <r>
          <rPr>
            <sz val="10"/>
            <rFont val="SimSun"/>
            <charset val="134"/>
          </rPr>
          <t>This one could be the wrong paper</t>
        </r>
      </text>
    </comment>
    <comment ref="J466" authorId="0">
      <text>
        <r>
          <rPr>
            <sz val="10"/>
            <rFont val="SimSun"/>
            <charset val="134"/>
          </rPr>
          <t>Archived link 
https://ir.nctu.edu.tw/bitstream/1
1536/32634/1/000073145000003.pdf
https://web.archive.org/web/20170829040940/https://ir.nctu.edu.tw/bitstream/11536/32634/1/000073145000003.pdf
https://web.archive.org/web/20220324205153/https://ieeexplore.ieee.org/abstract/document/668817</t>
        </r>
      </text>
    </comment>
    <comment ref="N466" authorId="0">
      <text>
        <r>
          <rPr>
            <sz val="10"/>
            <rFont val="SimSun"/>
            <charset val="134"/>
          </rPr>
          <t>"The RNN generated a total of eigt output prosodic parameters. [...] The numbers of nodes in the first and second hidden layers were determined empirically and set to be 35 and 30, respectively"
Figure 1 contains an overview of the architecture.
Layer 1: (102 + 35 + 1)*35 parameters
Layer 2: (43 + 35 + 1)*30 parameters
Output layer: (30+8+1)*8 parameters</t>
        </r>
      </text>
    </comment>
    <comment ref="O466" authorId="0">
      <text>
        <r>
          <rPr>
            <sz val="10"/>
            <rFont val="SimSun"/>
            <charset val="134"/>
          </rPr>
          <t>Extracted from AI and Compute (https://openai.com/blog/ai-and-compute/) charts by using https://automeris.io/WebPlotDigitizer/.</t>
        </r>
      </text>
    </comment>
    <comment ref="Q466" authorId="0">
      <text>
        <r>
          <rPr>
            <sz val="10"/>
            <rFont val="SimSun"/>
            <charset val="134"/>
          </rPr>
          <t>The data base
was divided into two parts: a training set and an open test
set. These two sets consisted of 28 191 and 7051 syllables,
respectively.
I'm going to guess that the average word in English has around 2 syllabes</t>
        </r>
      </text>
    </comment>
    <comment ref="G467" authorId="0">
      <text>
        <r>
          <rPr>
            <sz val="10"/>
            <rFont val="SimSun"/>
            <charset val="134"/>
          </rPr>
          <t>Unknown day</t>
        </r>
      </text>
    </comment>
    <comment ref="J467" authorId="0">
      <text>
        <r>
          <rPr>
            <sz val="10"/>
            <rFont val="SimSun"/>
            <charset val="134"/>
          </rPr>
          <t>Archived link 
https://web.archive.org/web/20220324204957/https://aclanthology.org/J99-2009.pdf</t>
        </r>
      </text>
    </comment>
    <comment ref="J468" authorId="0">
      <text>
        <r>
          <rPr>
            <sz val="10"/>
            <rFont val="SimSun"/>
            <charset val="134"/>
          </rPr>
          <t>Archived link 
https://web.archive.org/web/20220324205036/https://ieeexplore.ieee.org/document/698586</t>
        </r>
      </text>
    </comment>
    <comment ref="Q468" authorId="0">
      <text>
        <r>
          <rPr>
            <sz val="10"/>
            <rFont val="SimSun"/>
            <charset val="134"/>
          </rPr>
          <t>Section 5.1: "We formed training sets from 991 faces images and 1,552
non-face images."
"For each face image we generated
120 synthetic variations"</t>
        </r>
      </text>
    </comment>
    <comment ref="J469" authorId="0">
      <text>
        <r>
          <rPr>
            <sz val="10"/>
            <rFont val="SimSun"/>
            <charset val="134"/>
          </rPr>
          <t>Archived link 
https://web.archive.org/web/20210224135742/https://www.aaai.org/Papers/AAAI/1998/AAAI98-101.pdf</t>
        </r>
      </text>
    </comment>
    <comment ref="Q469" authorId="0">
      <text>
        <r>
          <rPr>
            <sz val="10"/>
            <rFont val="SimSun"/>
            <charset val="134"/>
          </rPr>
          <t>"Our data set consists of more than 45,000 movie rat-
ings collected from approximately 260 users."</t>
        </r>
      </text>
    </comment>
    <comment ref="G470" authorId="0">
      <text>
        <r>
          <rPr>
            <sz val="10"/>
            <rFont val="SimSun"/>
            <charset val="134"/>
          </rPr>
          <t>A previous version of the paper was written in 1995</t>
        </r>
      </text>
    </comment>
    <comment ref="J470" authorId="0">
      <text>
        <r>
          <rPr>
            <sz val="10"/>
            <rFont val="SimSun"/>
            <charset val="134"/>
          </rPr>
          <t>Archived link 
https://web.archive.org/web/20220324043759/http://www.bioinf.jku.at/publications/older/2604.pdf</t>
        </r>
      </text>
    </comment>
    <comment ref="N470" authorId="0">
      <text>
        <r>
          <rPr>
            <sz val="10"/>
            <rFont val="SimSun"/>
            <charset val="134"/>
          </rPr>
          <t>Table 2
http://www.bioinf.jku.at/publications/older/2604.pdf</t>
        </r>
      </text>
    </comment>
    <comment ref="O470" authorId="0">
      <text>
        <r>
          <rPr>
            <sz val="10"/>
            <rFont val="SimSun"/>
            <charset val="134"/>
          </rPr>
          <t>"Due to limited computation time, training is stopped after 5 million sequence presentations"
Each sequence has p=100 elements in the long-delay setting.
COMPUTE = PRESENTATIONS * PRESENTATION LENGTH * UPDATE COMPUTE PER TOKEN</t>
        </r>
      </text>
    </comment>
    <comment ref="Q470" authorId="0">
      <text>
        <r>
          <rPr>
            <sz val="10"/>
            <rFont val="SimSun"/>
            <charset val="134"/>
          </rPr>
          <t>Table 8. The rightmost column lists numbers of training sequences required to achieve the stopping
criterion.
This applies to experiment 5 (multiplication)
Sequences have random lengths, on the order of 100-1000 (table 7 )</t>
        </r>
      </text>
    </comment>
    <comment ref="S470" authorId="0">
      <text>
        <r>
          <rPr>
            <sz val="10"/>
            <rFont val="SimSun"/>
            <charset val="134"/>
          </rPr>
          <t>Appendix A.1
"LSTM's update complexity per time is [...] K + 2KH + KC + 2KSC + H I + C I + 4CSI steps [...] where K is the number of output units, C is the number of memory cell blocks, S &gt; 0 is the size of the memory cell blocks, H is the number of hidden units, I is the (maximal) number of units forward-connected to memory cells, gate units and hidden units"
"W = KH + KCS + CSI + 2C is the number of weights"
So the update complexity is roughly twice the number of weights.
The authors take 1 FMA = 1 step, so this is roughly 4*W FLOP</t>
        </r>
      </text>
    </comment>
    <comment ref="J471" authorId="0">
      <text>
        <r>
          <rPr>
            <sz val="10"/>
            <rFont val="SimSun"/>
            <charset val="134"/>
          </rPr>
          <t>Archived link 
https://web.archive.org/web/20220606025746/https://mitsloan.mit.edu/shared/ods/documents?DocumentID=2508
https://web.archive.org/web/20220324205000/https://ieeexplore.ieee.org/document/609310</t>
        </r>
      </text>
    </comment>
    <comment ref="Q471" authorId="0">
      <text>
        <r>
          <rPr>
            <sz val="10"/>
            <rFont val="SimSun"/>
            <charset val="134"/>
          </rPr>
          <t>Section 1: "The problem that we have to solve involves training a classifier
to discriminate between face and non-face patterns, using a
data set of 50,000points. "</t>
        </r>
      </text>
    </comment>
    <comment ref="G472" authorId="0">
      <text>
        <r>
          <rPr>
            <sz val="10"/>
            <rFont val="SimSun"/>
            <charset val="134"/>
          </rPr>
          <t>unaware of date and month</t>
        </r>
      </text>
    </comment>
    <comment ref="J472" authorId="0">
      <text>
        <r>
          <rPr>
            <sz val="10"/>
            <rFont val="SimSun"/>
            <charset val="134"/>
          </rPr>
          <t xml:space="preserve">Archived link 
https://www.cs.cmu.edu/~roni/papers/SLM-TK-V2-eurospeech-97.pdf
</t>
        </r>
      </text>
    </comment>
    <comment ref="G473" authorId="0">
      <text>
        <r>
          <rPr>
            <sz val="10"/>
            <rFont val="SimSun"/>
            <charset val="134"/>
          </rPr>
          <t xml:space="preserve">01/11/1997 
unaware of exact date
</t>
        </r>
      </text>
    </comment>
    <comment ref="J473" authorId="0">
      <text>
        <r>
          <rPr>
            <sz val="10"/>
            <rFont val="SimSun"/>
            <charset val="134"/>
          </rPr>
          <t>Archived link
https://proceedings.neurips.cc/paper/2015/file/c75b6f114c23a4d7ea11331e7c00e73c-Paper.pdf 
https://web.archive.org/web/20210814234631/https://proceedings.neurips.cc/paper/2015/file/c75b6f114c23a4d7ea11331e7c00e73c-Paper.pdf
https://web.archive.org/web/20220324204703/http://web.archive.org/screenshot/https://ieeexplore.ieee.org/document/650093</t>
        </r>
      </text>
    </comment>
    <comment ref="N473" authorId="0">
      <text>
        <r>
          <rPr>
            <sz val="10"/>
            <rFont val="SimSun"/>
            <charset val="134"/>
          </rPr>
          <t>Page 7: "The structures of all networks are adjusted so that
each of them has about the same number of free parameters
(approximately 13 000 here"</t>
        </r>
      </text>
    </comment>
    <comment ref="Q473" authorId="0">
      <text>
        <r>
          <rPr>
            <sz val="10"/>
            <rFont val="SimSun"/>
            <charset val="134"/>
          </rPr>
          <t>"the training data set consisting of 3696 sentences
from 462 speakers"
Assuming avg sentence length of 20 words
3696 * 20 total words</t>
        </r>
      </text>
    </comment>
    <comment ref="G474" authorId="0">
      <text>
        <r>
          <rPr>
            <sz val="10"/>
            <rFont val="SimSun"/>
            <charset val="134"/>
          </rPr>
          <t xml:space="preserve">01/12/1997 
unaware of exact date 
</t>
        </r>
      </text>
    </comment>
    <comment ref="J474" authorId="0">
      <text>
        <r>
          <rPr>
            <sz val="10"/>
            <rFont val="SimSun"/>
            <charset val="134"/>
          </rPr>
          <t>Archived link 
http://redwood.psych.cornell.edu/papers/olshausen_field_1997.pdf
https://web.archive.org/web/20211020121143/http://redwood.psych.cornell.edu/papers/olshausen_field_1997.pdf
https://web.archive.org/web/20220324205019/https://www.sciencedirect.com/science/article/pii/S0042698997001697</t>
        </r>
      </text>
    </comment>
    <comment ref="Q474" authorId="0">
      <text>
        <r>
          <rPr>
            <sz val="10"/>
            <rFont val="SimSun"/>
            <charset val="134"/>
          </rPr>
          <t>In Simulation Methods: "The data for training were taken from ten 512 × 512
pixel images of natural surroundings"</t>
        </r>
      </text>
    </comment>
    <comment ref="J475" authorId="0">
      <text>
        <r>
          <rPr>
            <sz val="10"/>
            <rFont val="SimSun"/>
            <charset val="134"/>
          </rPr>
          <t>Archived link 
https://web.archive.org/web/20220324043640/https://www.ri.cmu.edu/pub_files/pub1/rowley_henry_1996_3/rowley_henry_1996_3.pdf</t>
        </r>
      </text>
    </comment>
    <comment ref="N475" authorId="0">
      <text>
        <r>
          <rPr>
            <sz val="10"/>
            <rFont val="SimSun"/>
            <charset val="134"/>
          </rPr>
          <t>System 11 is a combination of Network 1 and Network 2
Network 1 has 2095 connections and network 2 has 4357 connections (see table 1)</t>
        </r>
      </text>
    </comment>
    <comment ref="O475" authorId="0">
      <text>
        <r>
          <rPr>
            <sz val="10"/>
            <rFont val="SimSun"/>
            <charset val="134"/>
          </rPr>
          <t xml:space="preserve">Since there is no parameter sharing, the forward compute is roughly twice that of the number of parameters.
We use a 2:1 forward-backward ratio as this is a shallow network, with most connections in the first layer.
The number of passes is quite non-standard: in the first loop the system processes 15*1050 face images and 1000 randomly generated images. In the following loops the system processes a subset of non-face images, typically 8000.
</t>
        </r>
      </text>
    </comment>
    <comment ref="Q475" authorId="0">
      <text>
        <r>
          <rPr>
            <sz val="10"/>
            <rFont val="SimSun"/>
            <charset val="134"/>
          </rPr>
          <t>"A typical training
run selects approximately 8000 non-face images from the
146,212,178 subimages that are available at all locations
and scales in the training scenery images."
"Nearly 1050 face examples were gathered from face databases at CMU and Harvard [...] In the training set,15 face examples are generated from each
original image [...]"
"Create an initial set of non-face images by generating
1000 images with random pixel intensities"</t>
        </r>
      </text>
    </comment>
    <comment ref="S475" authorId="0">
      <text>
        <r>
          <rPr>
            <sz val="10"/>
            <rFont val="SimSun"/>
            <charset val="134"/>
          </rPr>
          <t>The connections are linear so roughly twice the number of parameters</t>
        </r>
      </text>
    </comment>
    <comment ref="J476" authorId="0">
      <text>
        <r>
          <rPr>
            <sz val="10"/>
            <rFont val="SimSun"/>
            <charset val="134"/>
          </rPr>
          <t>Archived link 
https://web.archive.org/web/20220324043746/https://aclanthology.org/C96-2141.pdf</t>
        </r>
      </text>
    </comment>
    <comment ref="Q476" authorId="0">
      <text>
        <r>
          <rPr>
            <sz val="10"/>
            <rFont val="SimSun"/>
            <charset val="134"/>
          </rPr>
          <t>[WORDS]
Table 1.
I take the sum of all words. Maybe it would be better to use only the sum of English or German words?</t>
        </r>
      </text>
    </comment>
    <comment ref="J477" authorId="0">
      <text>
        <r>
          <rPr>
            <sz val="10"/>
            <rFont val="SimSun"/>
            <charset val="134"/>
          </rPr>
          <t>Archived link 
https://web.archive.org/web/20220324040436/https://ieeexplore.ieee.org/document/6795568/authors#authors</t>
        </r>
      </text>
    </comment>
    <comment ref="J478" authorId="0">
      <text>
        <r>
          <rPr>
            <sz val="10"/>
            <rFont val="SimSun"/>
            <charset val="134"/>
          </rPr>
          <t>Archived link
https://web.archive.org/web/20220203151620/https://aclanthology.org/P95-1026.pdf</t>
        </r>
      </text>
    </comment>
    <comment ref="Q478" authorId="0">
      <text>
        <r>
          <rPr>
            <sz val="10"/>
            <rFont val="SimSun"/>
            <charset val="134"/>
          </rPr>
          <t>the data were extracted from a 460 million word corpus</t>
        </r>
      </text>
    </comment>
    <comment ref="J479" authorId="0">
      <text>
        <r>
          <rPr>
            <sz val="10"/>
            <rFont val="SimSun"/>
            <charset val="134"/>
          </rPr>
          <t>Archived link 
https://web.archive.org/web/20220324043630/https://ieeexplore.ieee.org/document/598994</t>
        </r>
      </text>
    </comment>
    <comment ref="Q479" authorId="0">
      <text>
        <r>
          <rPr>
            <sz val="10"/>
            <rFont val="SimSun"/>
            <charset val="134"/>
          </rPr>
          <t>The images are from the 1992 NIST (National Institute of Standards and Technology) Competition</t>
        </r>
      </text>
    </comment>
    <comment ref="G480" authorId="0">
      <text>
        <r>
          <rPr>
            <sz val="10"/>
            <rFont val="SimSun"/>
            <charset val="134"/>
          </rPr>
          <t xml:space="preserve">01/09/1995
unaware of exact date
</t>
        </r>
      </text>
    </comment>
    <comment ref="J480" authorId="0">
      <text>
        <r>
          <rPr>
            <sz val="10"/>
            <rFont val="SimSun"/>
            <charset val="134"/>
          </rPr>
          <t>Archived link 
https://web.archive.org/web/20220324040249/http://image.diku.dk/imagecanon/material/cortes_vapnik95.pdf</t>
        </r>
      </text>
    </comment>
    <comment ref="N480" authorId="0">
      <text>
        <r>
          <rPr>
            <sz val="10"/>
            <rFont val="SimSun"/>
            <charset val="134"/>
          </rPr>
          <t>Section 6.2.2: "...polynomials
of degree 4 (that have more than 10^8 free parameters)..."
They used 4-degree polynomials for MNIST</t>
        </r>
      </text>
    </comment>
    <comment ref="Q480" authorId="0">
      <text>
        <r>
          <rPr>
            <sz val="10"/>
            <rFont val="SimSun"/>
            <charset val="134"/>
          </rPr>
          <t>Section 6.2: "The large database consists of 60,000 training and 10,000 test patterns"</t>
        </r>
      </text>
    </comment>
    <comment ref="J481" authorId="0">
      <text>
        <r>
          <rPr>
            <sz val="10"/>
            <rFont val="SimSun"/>
            <charset val="134"/>
          </rPr>
          <t>Archived link 
https://web.archive.org/web/20220302230643/https://aclanthology.org/J94-2001.pdf</t>
        </r>
      </text>
    </comment>
    <comment ref="N481" authorId="0">
      <text>
        <r>
          <rPr>
            <sz val="10"/>
            <rFont val="SimSun"/>
            <charset val="134"/>
          </rPr>
          <t>"The total number of free parameters is then:
(Nw - 1).NT + (NT - 1).NT.NT."
Where:
Nw= Vocabulary size
NT = Number of tags
"In the treebank 159 different tags are used. These tags were projected on a smaller system of 76 tags designed by Evelyne Tzoukermann and Peter Brown (see Appendix). The results quoted in this paper all refer to this smaller system"
So NT = 76
https://www.aclweb.org/anthology/J94-2001/
There is no direct reference to Nw, but the data is from "Lexicon and grammar in probabilistic tagging of written English." which says
"(the new CLAWS lexicón has almost 26,500 entries)"
So tentatively Nw=26500
https://dl.acm.org/doi/10.3115/982023.982049</t>
        </r>
      </text>
    </comment>
    <comment ref="Q481" authorId="0">
      <text>
        <r>
          <rPr>
            <sz val="10"/>
            <rFont val="SimSun"/>
            <charset val="134"/>
          </rPr>
          <t>"We use the "treebank" data described in Beale (1988). It contains 42,186 sentences (about one million words) from the Associated Press."
https://www.aclweb.org/anthology/J94-2001.pdf</t>
        </r>
      </text>
    </comment>
    <comment ref="J482" authorId="0">
      <text>
        <r>
          <rPr>
            <sz val="10"/>
            <rFont val="SimSun"/>
            <charset val="134"/>
          </rPr>
          <t>Archived link 
http://ccs.mit.edu/papers/CCSWP165.htm
https://web.archive.org/web/20210412203605/http://ccs.mit.edu/papers/CCSWP165.html</t>
        </r>
      </text>
    </comment>
    <comment ref="N482" authorId="0">
      <text>
        <r>
          <rPr>
            <sz val="10"/>
            <rFont val="SimSun"/>
            <charset val="134"/>
          </rPr>
          <t>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
Lots of guessing here and confusion about how to count the "parameters"
	-Jaime Sevilla
This is interesting because it's not really a parameterized model. It just stores all the data it's seen so far and then runs a function over it to make inferences.
I guess the "number of parameters" would just be the amount of memory you have?
	-Pablo Villalobos</t>
        </r>
      </text>
    </comment>
    <comment ref="Q482" authorId="0">
      <text>
        <r>
          <rPr>
            <sz val="10"/>
            <rFont val="SimSun"/>
            <charset val="134"/>
          </rPr>
          <t xml:space="preserve">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t>
        </r>
      </text>
    </comment>
    <comment ref="J483" authorId="0">
      <text>
        <r>
          <rPr>
            <sz val="10"/>
            <rFont val="SimSun"/>
            <charset val="134"/>
          </rPr>
          <t>Archived link 
https://web.archive.org/web/20220120151600/https://aclanthology.org/J93-2003.pdf
https://aclanthology.org/J94-2001.pdf</t>
        </r>
      </text>
    </comment>
    <comment ref="N483" authorId="0">
      <text>
        <r>
          <rPr>
            <sz val="10"/>
            <rFont val="SimSun"/>
            <charset val="134"/>
          </rPr>
          <t>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t>
        </r>
      </text>
    </comment>
    <comment ref="Q483" authorId="0">
      <text>
        <r>
          <rPr>
            <sz val="10"/>
            <rFont val="SimSun"/>
            <charset val="134"/>
          </rPr>
          <t>"They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t>
        </r>
      </text>
    </comment>
    <comment ref="J484" authorId="0">
      <text>
        <r>
          <rPr>
            <sz val="10"/>
            <rFont val="SimSun"/>
            <charset val="134"/>
          </rPr>
          <t>Archived link 
https://web.archive.org/web/20220321054120/https://papers.nips.cc/paper/1991/file/68ce199ec2c5517597ce0a4d89620f55-Paper.pdf</t>
        </r>
      </text>
    </comment>
    <comment ref="N484" authorId="0">
      <text>
        <r>
          <rPr>
            <sz val="10"/>
            <rFont val="SimSun"/>
            <charset val="134"/>
          </rPr>
          <t>The best performance was obtained with a network containing 80 hidden units and over 25,000 weights.</t>
        </r>
      </text>
    </comment>
    <comment ref="O484" authorId="0">
      <text>
        <r>
          <rPr>
            <sz val="10"/>
            <rFont val="SimSun"/>
            <charset val="134"/>
          </rPr>
          <t>Extracted from AI and Compute (https://openai.com/blog/ai-and-compute/) charts by using https://automeris.io/WebPlotDigitizer/.</t>
        </r>
      </text>
    </comment>
    <comment ref="Q484" authorId="0">
      <text>
        <r>
          <rPr>
            <sz val="10"/>
            <rFont val="SimSun"/>
            <charset val="134"/>
          </rPr>
          <t>"This network was trained
for over 300,000 training games"
Each backgammon game has an avg of around 21 movements
https://www.bkgm.com/rgb/rgb.cgi?view+712</t>
        </r>
      </text>
    </comment>
    <comment ref="J485" authorId="0">
      <text>
        <r>
          <rPr>
            <sz val="10"/>
            <rFont val="SimSun"/>
            <charset val="134"/>
          </rPr>
          <t>Archived link 
http://repository.ias.ac.in/26052/1/308.pdf
https://web.archive.org/web/20220324034333/https://ieeexplore.ieee.org/document/159058</t>
        </r>
      </text>
    </comment>
    <comment ref="N485" authorId="0">
      <text>
        <r>
          <rPr>
            <sz val="10"/>
            <rFont val="SimSun"/>
            <charset val="134"/>
          </rPr>
          <t>Table II: "he neural network has three hidden layers, with m hidden nodes in each layer", m = 20, input dim. = 9, output dim. = 6</t>
        </r>
      </text>
    </comment>
    <comment ref="O485" authorId="0">
      <text>
        <r>
          <rPr>
            <sz val="10"/>
            <rFont val="SimSun"/>
            <charset val="134"/>
          </rPr>
          <t>MLP architecture: compute = #params x 3 x #datapoints</t>
        </r>
      </text>
    </comment>
    <comment ref="Q485" authorId="0">
      <text>
        <r>
          <rPr>
            <sz val="10"/>
            <rFont val="SimSun"/>
            <charset val="134"/>
          </rPr>
          <t xml:space="preserve">The above-mentioned algorithm was tested on a set of 871
Indian Telugu vowel sounds </t>
        </r>
      </text>
    </comment>
    <comment ref="J486" authorId="0">
      <text>
        <r>
          <rPr>
            <sz val="10"/>
            <rFont val="SimSun"/>
            <charset val="134"/>
          </rPr>
          <t>Archived link 
https://link.springer.com/content/pdf/10.1007/BF00992696.pdf
https://web.archive.org/web/20220606032119/https://link.springer.com/content/pdf/10.1007/BF00992696.pdf?error=cookies_not_supported&amp;code=acf50270-3741-466f-beed-8b989f5a8c32
https://web.archive.org/web/20220321054128/https://link.springer.com/content/pdf/10.1007/BF00992696.pdf?error=cookies_not_supported&amp;code=cc9e9e4c-707e-4586-ae9b-7f55de3b0c96</t>
        </r>
      </text>
    </comment>
    <comment ref="J487" authorId="0">
      <text>
        <r>
          <rPr>
            <sz val="10"/>
            <rFont val="SimSun"/>
            <charset val="134"/>
          </rPr>
          <t>Archived link 
https://web.archive.org/web/20220321052010/https://link.springer.com/chapter/10.1007/978-3-642-48650-0_19</t>
        </r>
      </text>
    </comment>
    <comment ref="N487" authorId="0">
      <text>
        <r>
          <rPr>
            <sz val="10"/>
            <rFont val="SimSun"/>
            <charset val="134"/>
          </rPr>
          <t>From https://www.bnlearn.com/bnrepository/</t>
        </r>
      </text>
    </comment>
    <comment ref="J488" authorId="0">
      <text>
        <r>
          <rPr>
            <sz val="10"/>
            <rFont val="SimSun"/>
            <charset val="134"/>
          </rPr>
          <t>Archived link 
https://web.archive.org/web/20220321054030/https://link.springer.com/content/pdf/10.1007/BF00114844.pdf?error=cookies_not_supported&amp;code=19bde715-5501-4b6b-b8f3-9b4e92979dbb</t>
        </r>
      </text>
    </comment>
    <comment ref="Q488" authorId="0">
      <text>
        <r>
          <rPr>
            <sz val="10"/>
            <rFont val="SimSun"/>
            <charset val="134"/>
          </rPr>
          <t>4 training sets of 10k sentences each. Total number of words calculated by multiplying 10k and the avg. number of words per sentence in the training set.</t>
        </r>
      </text>
    </comment>
    <comment ref="I489" authorId="0">
      <text>
        <r>
          <rPr>
            <sz val="10"/>
            <rFont val="SimSun"/>
            <charset val="134"/>
          </rPr>
          <t>This seems to be a retrospective on the history of MADALINE instead of the paper that first discusses MADALINE III
	-Jaime Sevilla</t>
        </r>
      </text>
    </comment>
    <comment ref="J489" authorId="0">
      <text>
        <r>
          <rPr>
            <sz val="10"/>
            <rFont val="SimSun"/>
            <charset val="134"/>
          </rPr>
          <t>Archived link 
https://web.archive.org/web/20220324033535/https://web.stanford.edu/class/ee373b/30years.pdf</t>
        </r>
      </text>
    </comment>
    <comment ref="G490" authorId="0">
      <text>
        <r>
          <rPr>
            <sz val="10"/>
            <rFont val="SimSun"/>
            <charset val="134"/>
          </rPr>
          <t>unaware of exact day</t>
        </r>
      </text>
    </comment>
    <comment ref="J490" authorId="0">
      <text>
        <r>
          <rPr>
            <sz val="10"/>
            <rFont val="SimSun"/>
            <charset val="134"/>
          </rPr>
          <t>Archived link 
https://web.archive.org/web/20171202152051/http://repository.ias.ac.in/26052/1/308.pdf
https://web.archive.org/web/20220321051909/https://ieeexplore.ieee.org/abstract/document/80266</t>
        </r>
      </text>
    </comment>
    <comment ref="J491" authorId="0">
      <text>
        <r>
          <rPr>
            <sz val="10"/>
            <rFont val="SimSun"/>
            <charset val="134"/>
          </rPr>
          <t>Archived link 
https://proceedings.neurips.cc/paper/1988/file/812b4ba287f5ee0bc9d43bbf5bbe87fb-Paper.pdf
https://web.archive.org/web/20220531064211/https://proceedings.neurips.cc//paper/1988/file/812b4ba287f5ee0bc9d43bbf5bbe87fb-Paper.pdf
https://web.archive.org/web/20220307222513/https://proceedings.neurips.cc/paper/1988/hash/812b4ba287f5ee0bc9d43bbf5bbe87fb-Abstract.html</t>
        </r>
      </text>
    </comment>
    <comment ref="N491" authorId="0">
      <text>
        <r>
          <rPr>
            <sz val="10"/>
            <rFont val="SimSun"/>
            <charset val="134"/>
          </rPr>
          <t>http://www.cs.cmu.edu/afs/cs.cmu.edu/academic/class/15782-f06/slides/alvinn.pdf</t>
        </r>
      </text>
    </comment>
    <comment ref="O491" authorId="0">
      <text>
        <r>
          <rPr>
            <sz val="10"/>
            <rFont val="SimSun"/>
            <charset val="134"/>
          </rPr>
          <t>Extracted from AI and Compute (https://openai.com/blog/ai-and-compute/) charts by using https://automeris.io/WebPlotDigitizer/.</t>
        </r>
      </text>
    </comment>
    <comment ref="Q491" authorId="0">
      <text>
        <r>
          <rPr>
            <sz val="10"/>
            <rFont val="SimSun"/>
            <charset val="134"/>
          </rPr>
          <t>"Training involves first creating a set of 1200 road snapshots depicting roads with a wide variety of retinal orientations and positions, under a variety of lighting conditions and with realistic noise levels"</t>
        </r>
      </text>
    </comment>
    <comment ref="J492" authorId="0">
      <text>
        <r>
          <rPr>
            <sz val="10"/>
            <rFont val="SimSun"/>
            <charset val="134"/>
          </rPr>
          <t>Archived link 
http://yann.lecun.com/exdb/publis/pdf/lecun-89e.pdf
https://web.archive.org/web/20220504174654/http://yann.lecun.com/exdb/publis/pdf/lecun-89e.pdf
https://web.archive.org/web/20220321051504/https://ieeexplore.ieee.org/document/6795724</t>
        </r>
      </text>
    </comment>
    <comment ref="N492" authorId="0">
      <text>
        <r>
          <rPr>
            <sz val="10"/>
            <rFont val="SimSun"/>
            <charset val="134"/>
          </rPr>
          <t>In summary, the network has 1256 units, 64,660 connections, and 9760 independent parameters</t>
        </r>
      </text>
    </comment>
    <comment ref="O492" authorId="0">
      <text>
        <r>
          <rPr>
            <sz val="10"/>
            <rFont val="SimSun"/>
            <charset val="134"/>
          </rPr>
          <t>Its a deep CNN so we assume a backward-forward ratio of 2:1
"The network was trained for 23
passes through the training set (167,693 pattern presentations)."</t>
        </r>
      </text>
    </comment>
    <comment ref="P492" authorId="0">
      <text>
        <r>
          <rPr>
            <sz val="10"/>
            <rFont val="SimSun"/>
            <charset val="134"/>
          </rPr>
          <t>"The data base used to train and test the network consists of 9298 segmented numerals digitized from handwritten zip codes
that appeared on U.S. mail passing through the Buffalo, NY post office.
Examples of such images are shown in Figure 1. The digits were written
by many different people, using a great variety of sizes, writing styles,
and instruments, with widely varying amounts of care; 7291 examples
are used for training the network and 2007 are used for testing the generalization performance. One important feature of this data base is that
both the training set and the testing set contain numerous examples that
are ambiguous, unclassifiable, or even misclassified. "</t>
        </r>
      </text>
    </comment>
    <comment ref="Q492" authorId="0">
      <text>
        <r>
          <rPr>
            <sz val="10"/>
            <rFont val="SimSun"/>
            <charset val="134"/>
          </rPr>
          <t>The digits were written
by many different people, using a great variety of sizes, writing styles,
and instruments, with widely varying amounts of care; 7291 examples
are used for training the network and 2007 are used for testing the generalization performance</t>
        </r>
      </text>
    </comment>
    <comment ref="R492" authorId="0">
      <text>
        <r>
          <rPr>
            <sz val="10"/>
            <rFont val="SimSun"/>
            <charset val="134"/>
          </rPr>
          <t>"The network has three hidden layers named H1, H2, and H3, respectively"</t>
        </r>
      </text>
    </comment>
    <comment ref="S492" authorId="0">
      <text>
        <r>
          <rPr>
            <sz val="10"/>
            <rFont val="SimSun"/>
            <charset val="134"/>
          </rPr>
          <t>Roughly twice the number of connections</t>
        </r>
      </text>
    </comment>
    <comment ref="J493" authorId="0">
      <text>
        <r>
          <rPr>
            <sz val="10"/>
            <rFont val="SimSun"/>
            <charset val="134"/>
          </rPr>
          <t>Archived link 
https://web.archive.org/web/20220129224210/https://www.researchgate.net/publication/220885651_Designing_Neural_Networks_using_Genetic_Algorithms</t>
        </r>
      </text>
    </comment>
    <comment ref="N493" authorId="0">
      <text>
        <r>
          <rPr>
            <sz val="10"/>
            <rFont val="SimSun"/>
            <charset val="134"/>
          </rPr>
          <t>Each net has 5 units</t>
        </r>
      </text>
    </comment>
    <comment ref="O493" authorId="0">
      <text>
        <r>
          <rPr>
            <sz val="10"/>
            <rFont val="SimSun"/>
            <charset val="134"/>
          </rPr>
          <t>10 params * 6 FLOP/param/pass * 4 datapoints * 1000 epochs * 50 individuals * 10 generations</t>
        </r>
      </text>
    </comment>
    <comment ref="J494" authorId="0">
      <text>
        <r>
          <rPr>
            <sz val="10"/>
            <rFont val="SimSun"/>
            <charset val="134"/>
          </rPr>
          <t>Archived link 
https://web.archive.org/web/20220104204719/http://www.cs.rhul.ac.uk/~chrisw/new_thesis.pdf</t>
        </r>
      </text>
    </comment>
    <comment ref="E495" authorId="0">
      <text>
        <r>
          <rPr>
            <sz val="10"/>
            <rFont val="SimSun"/>
            <charset val="134"/>
          </rPr>
          <t>Some of the authors were part of a Telephone Laboratory in Osaka Japan which was/is private.</t>
        </r>
      </text>
    </comment>
    <comment ref="J495" authorId="0">
      <text>
        <r>
          <rPr>
            <sz val="10"/>
            <rFont val="SimSun"/>
            <charset val="134"/>
          </rPr>
          <t>Archived link 
https://www.cs.toronto.edu/~hinton/absps/waibelTDNN.pdf
https://web.archive.org/web/20220320051905/http://web.archive.org/screenshot/https://ieeexplore.ieee.org/abstract/document/21701</t>
        </r>
      </text>
    </comment>
    <comment ref="J496" authorId="0">
      <text>
        <r>
          <rPr>
            <sz val="10"/>
            <rFont val="SimSun"/>
            <charset val="134"/>
          </rPr>
          <t>Archived link 
https://www.cs.cmu.edu/~epxing/Class/10715/reading/Kornick_et_al.pdf
https://web.archive.org/web/20220606034132/https://www.cs.cmu.edu/~epxing/Class/10715/reading/Kornick_et_al.pdf
https://web.archive.org/web/20220320051856/http://web.archive.org/screenshot/https://www.sciencedirect.com/science/article/abs/pii/0893608089900208</t>
        </r>
      </text>
    </comment>
    <comment ref="G497" authorId="0">
      <text>
        <r>
          <rPr>
            <sz val="10"/>
            <rFont val="SimSun"/>
            <charset val="134"/>
          </rPr>
          <t>unaware of exact day and month</t>
        </r>
      </text>
    </comment>
    <comment ref="J497" authorId="0">
      <text>
        <r>
          <rPr>
            <sz val="10"/>
            <rFont val="SimSun"/>
            <charset val="134"/>
          </rPr>
          <t>Archived link 
https://web.archive.org/web/20211122101539/http://citeseerx.ist.psu.edu/viewdoc/download?doi=10.1.1.434.4816&amp;rep=rep1&amp;type=pdf</t>
        </r>
      </text>
    </comment>
    <comment ref="N497" authorId="0">
      <text>
        <r>
          <rPr>
            <sz val="10"/>
            <rFont val="SimSun"/>
            <charset val="134"/>
          </rPr>
          <t>"The simulation studies reported here all involved a 16-bit input pattern. "
----
@tamay.besiroglu@gmail.com what do we add as source here?
_Assigned to Tamay Besiroglu_
	-Jaime Sevilla
The source for this is just that I saw it on Twitter. Is that a useful piece of information to add here?
	-Tamay Besiroglu</t>
        </r>
      </text>
    </comment>
    <comment ref="Q497" authorId="0">
      <text>
        <r>
          <rPr>
            <sz val="10"/>
            <rFont val="SimSun"/>
            <charset val="134"/>
          </rPr>
          <t>"The total number of possible input patterns was 65,536. Training sets of 650 and 1500 patterns picked at random from this total were used."</t>
        </r>
      </text>
    </comment>
    <comment ref="J498" authorId="0">
      <text>
        <r>
          <rPr>
            <sz val="10"/>
            <rFont val="SimSun"/>
            <charset val="134"/>
          </rPr>
          <t>Archived link 
https://web.archive.org/web/20220320050921/https://www-isl.stanford.edu/~widrow/papers/c1988madalinerule.pdf</t>
        </r>
      </text>
    </comment>
    <comment ref="J499" authorId="0">
      <text>
        <r>
          <rPr>
            <sz val="10"/>
            <rFont val="SimSun"/>
            <charset val="134"/>
          </rPr>
          <t>Archived link 
https://web.archive.org/web/20220320052111/https://www-isl.stanford.edu/people/widrow/papers/c1988anadaptive.pdf</t>
        </r>
      </text>
    </comment>
    <comment ref="N499" authorId="0">
      <text>
        <r>
          <rPr>
            <sz val="10"/>
            <rFont val="SimSun"/>
            <charset val="134"/>
          </rPr>
          <t>Figure 3</t>
        </r>
      </text>
    </comment>
    <comment ref="J500" authorId="0">
      <text>
        <r>
          <rPr>
            <sz val="10"/>
            <rFont val="SimSun"/>
            <charset val="134"/>
          </rPr>
          <t>Archived link 
https://web.archive.org/web/20220320050916/http://citeseerx.ist.psu.edu/viewdoc/download;jsessionid=03A3D3EDF0BAF35405ABCF083411B55E?doi=10.1.1.154.7012&amp;rep=rep1&amp;type=pdf</t>
        </r>
      </text>
    </comment>
    <comment ref="N500" authorId="0">
      <text>
        <r>
          <rPr>
            <sz val="10"/>
            <rFont val="SimSun"/>
            <charset val="134"/>
          </rPr>
          <t>The connections in the network are specified by a total of 18629
weight parameters (including a variable threshold for each unit)</t>
        </r>
      </text>
    </comment>
    <comment ref="O500" authorId="0">
      <text>
        <r>
          <rPr>
            <sz val="10"/>
            <rFont val="SimSun"/>
            <charset val="134"/>
          </rPr>
          <t>Extracted from AI and Compute (https://openai.com/blog/ai-and-compute/) charts by using https://automeris.io/WebPlotDigitizer/.</t>
        </r>
      </text>
    </comment>
    <comment ref="Q500" authorId="0">
      <text>
        <r>
          <rPr>
            <sz val="10"/>
            <rFont val="SimSun"/>
            <charset val="134"/>
          </rPr>
          <t>Learning. Two texts were used to train the network: phonetic transcriptions from informal, continuous speech of a child [9] and Miriam Webster’s Pocket Dictionary.
We used the first two pages of transcriptions, which contained 1024 words from a child in firstgrade
Dictionary. The Miriam Webster’s Pocket Dictionary that we used
had 20,012 words.
Thus 1024+20012 = 21036</t>
        </r>
      </text>
    </comment>
    <comment ref="G501" authorId="0">
      <text>
        <r>
          <rPr>
            <sz val="10"/>
            <rFont val="SimSun"/>
            <charset val="134"/>
          </rPr>
          <t>unaware of exact date
04/1987</t>
        </r>
      </text>
    </comment>
    <comment ref="J501" authorId="0">
      <text>
        <r>
          <rPr>
            <sz val="10"/>
            <rFont val="SimSun"/>
            <charset val="134"/>
          </rPr>
          <t>Archived link 
https://geon.usc.edu/~biederman/publications/Biederman_RBC_1987.pdf
https://web.archive.org/web/20220313071306/https://geon.usc.edu/~biederman/publications/Biederman_RBC_1987.pdf
https://web.archive.org/web/20220320045837/https://psycnet.apa.org/record/1987-20898-001</t>
        </r>
      </text>
    </comment>
    <comment ref="J502" authorId="0">
      <text>
        <r>
          <rPr>
            <sz val="10"/>
            <rFont val="SimSun"/>
            <charset val="134"/>
          </rPr>
          <t>Archived link 
https://web.archive.org/web/20220604153648/http://www.iro.umontreal.ca/~vincentp/ift3395/lectures/backprop_old.pdf
https://web.archive.org/web/20220320045815/http://web.archive.org/screenshot/https://www.nature.com/articles/323533a0</t>
        </r>
      </text>
    </comment>
    <comment ref="N502" authorId="0">
      <text>
        <r>
          <rPr>
            <sz val="10"/>
            <rFont val="SimSun"/>
            <charset val="134"/>
          </rPr>
          <t>Figure 4 includes a representation of the weights learned by the people to relationship network</t>
        </r>
      </text>
    </comment>
    <comment ref="O502" authorId="0">
      <text>
        <r>
          <rPr>
            <sz val="10"/>
            <rFont val="SimSun"/>
            <charset val="134"/>
          </rPr>
          <t>We assume that the number of mult-adds per pass is equal to the number of parameters.
"We trained the network for 1500 sweeps"
There are 12*12 possible pairs of people, so we assume that is the dataset size</t>
        </r>
      </text>
    </comment>
    <comment ref="Q502" authorId="0">
      <text>
        <r>
          <rPr>
            <sz val="10"/>
            <rFont val="SimSun"/>
            <charset val="134"/>
          </rPr>
          <t>There are 12*12 possible pairs of people, so we assume that is the dataset size</t>
        </r>
      </text>
    </comment>
    <comment ref="S502" authorId="0">
      <text>
        <r>
          <rPr>
            <sz val="10"/>
            <rFont val="SimSun"/>
            <charset val="134"/>
          </rPr>
          <t>We assume that the number of mult-adds is equal to the number of parameters.</t>
        </r>
      </text>
    </comment>
    <comment ref="G503" authorId="0">
      <text>
        <r>
          <rPr>
            <sz val="10"/>
            <rFont val="SimSun"/>
            <charset val="134"/>
          </rPr>
          <t>03/01/1986</t>
        </r>
      </text>
    </comment>
    <comment ref="J503" authorId="0">
      <text>
        <r>
          <rPr>
            <sz val="10"/>
            <rFont val="SimSun"/>
            <charset val="134"/>
          </rPr>
          <t>Archived link 
https://apps.dtic.mil/sti/pdfs/ADA164453.pdf
https://web.archive.org/web/20220311061519/https://apps.dtic.mil/sti/pdfs/ADA164453.pdf
https://web.archive.org/web/20220311061514/https://apps.dtic.mil/sti/citations/ADA164453</t>
        </r>
      </text>
    </comment>
    <comment ref="J504" authorId="0">
      <text>
        <r>
          <rPr>
            <sz val="10"/>
            <rFont val="SimSun"/>
            <charset val="134"/>
          </rPr>
          <t>Archived link 
http://stanford.edu/~jlmcc/papers/PDP/Chapter18.pdf
https://web.archive.org/web/20220309184800/http://stanford.edu/~jlmcc/papers/PDP/Chapter18.pdf</t>
        </r>
      </text>
    </comment>
    <comment ref="N504" authorId="0">
      <text>
        <r>
          <rPr>
            <sz val="10"/>
            <rFont val="SimSun"/>
            <charset val="134"/>
          </rPr>
          <t>Very unsure on this one.
The link below mentions that there are two 460 neuron layers (not sure if hidden layers or input and output). I assumed they are fully connected and that they make up the bulk of the network.
	-Jaime Sevilla</t>
        </r>
      </text>
    </comment>
    <comment ref="J505" authorId="0">
      <text>
        <r>
          <rPr>
            <sz val="10"/>
            <rFont val="SimSun"/>
            <charset val="134"/>
          </rPr>
          <t>Archived link 
https://cseweb.ucsd.edu/~gary/PAPER-SUGGESTIONS/Jordan-TR-8604-OCRed.pdf
https://web.archive.org/web/20220419230433/https://cseweb.ucsd.edu//~gary/PAPER-SUGGESTIONS/Jordan-TR-8604-OCRed.pdf
https://web.archive.org/web/20220320045642/https://www.osti.gov/biblio/6910294</t>
        </r>
      </text>
    </comment>
    <comment ref="G506" authorId="0">
      <text>
        <r>
          <rPr>
            <sz val="10"/>
            <rFont val="SimSun"/>
            <charset val="134"/>
          </rPr>
          <t>01/11/1986</t>
        </r>
      </text>
    </comment>
    <comment ref="J506" authorId="0">
      <text>
        <r>
          <rPr>
            <sz val="10"/>
            <rFont val="SimSun"/>
            <charset val="134"/>
          </rPr>
          <t>Archived link 
https://web.archive.org/web/20220524161217/http://citeseerx.ist.psu.edu/viewdoc/download?doi=10.1.1.420.3300&amp;rep=rep1&amp;type=pdf
https://web.archive.org/web/20220309183836/https://ieeexplore.ieee.org/document/</t>
        </r>
      </text>
    </comment>
    <comment ref="G507" authorId="0">
      <text>
        <r>
          <rPr>
            <sz val="10"/>
            <rFont val="SimSun"/>
            <charset val="134"/>
          </rPr>
          <t>unaware of exact date and month 
1984</t>
        </r>
      </text>
    </comment>
    <comment ref="J507" authorId="0">
      <text>
        <r>
          <rPr>
            <sz val="10"/>
            <rFont val="SimSun"/>
            <charset val="134"/>
          </rPr>
          <t>Archived link 
https://web.archive.org/web/20220309183734/https://psycnet.apa.org/record/1985-97439-000</t>
        </r>
      </text>
    </comment>
    <comment ref="G508" authorId="0">
      <text>
        <r>
          <rPr>
            <sz val="10"/>
            <rFont val="SimSun"/>
            <charset val="134"/>
          </rPr>
          <t>01/09/1983</t>
        </r>
      </text>
    </comment>
    <comment ref="J508" authorId="0">
      <text>
        <r>
          <rPr>
            <sz val="10"/>
            <rFont val="SimSun"/>
            <charset val="134"/>
          </rPr>
          <t>Archived link 
http://incompleteideas.net/papers/barto-sutton-anderson-83.pdf
https://web.archive.org/web/20220107072905/http://incompleteideas.net/papers/barto-sutton-anderson-83.pdf
https://web.archive.org/web/20220309183112/https://ieeexplore.ieee.org/document/</t>
        </r>
      </text>
    </comment>
    <comment ref="N508" authorId="0">
      <text>
        <r>
          <rPr>
            <sz val="10"/>
            <rFont val="SimSun"/>
            <charset val="134"/>
          </rPr>
          <t>Unsure of this one.
Each of the ACE and ASE subsystems has 162 weights associated, I think
	-Jaime Sevilla</t>
        </r>
      </text>
    </comment>
    <comment ref="J509" authorId="0">
      <text>
        <r>
          <rPr>
            <sz val="10"/>
            <rFont val="SimSun"/>
            <charset val="134"/>
          </rPr>
          <t>Archived link 
https://web.archive.org/web/20220309182926/https://bi.snu.ac.kr/Courses/g-ai09-2/hopfield82.pdf</t>
        </r>
      </text>
    </comment>
    <comment ref="N509" authorId="0">
      <text>
        <r>
          <rPr>
            <sz val="10"/>
            <rFont val="SimSun"/>
            <charset val="134"/>
          </rPr>
          <t>My understanding is that the biggest Hopfield networks they studied had N=100 units. 
Each unit has 99 synapses Tij from each other unit, for a total of 100*99 parameters</t>
        </r>
      </text>
    </comment>
    <comment ref="Q509" authorId="0">
      <text>
        <r>
          <rPr>
            <sz val="10"/>
            <rFont val="SimSun"/>
            <charset val="134"/>
          </rPr>
          <t>Should this be the memory capacity of the Hopfield network?
	-Anson Ho
Yeah I think that makes sense; the number of patterns it can hold
	-Jaime Sevilla</t>
        </r>
      </text>
    </comment>
    <comment ref="J510" authorId="0">
      <text>
        <r>
          <rPr>
            <sz val="10"/>
            <rFont val="SimSun"/>
            <charset val="134"/>
          </rPr>
          <t>Archived link 
https://web.archive.org/web/20210824093801/https://tcosmo.github.io/assets/soms/doc/kohonen1982.pdf
https://web.archive.org/web/20220309173338/https://link.springer.com/article/10.1007/BF00337288</t>
        </r>
      </text>
    </comment>
    <comment ref="N510" authorId="0">
      <text>
        <r>
          <rPr>
            <sz val="10"/>
            <rFont val="SimSun"/>
            <charset val="134"/>
          </rPr>
          <t>The input vectors are 3D.
I could not find the grid size, but from the images it looks 8x8.
So the network was 8x8x3 parameters.</t>
        </r>
      </text>
    </comment>
    <comment ref="Q510" authorId="0">
      <text>
        <r>
          <rPr>
            <sz val="10"/>
            <rFont val="SimSun"/>
            <charset val="134"/>
          </rPr>
          <t>??? Seemingly no info</t>
        </r>
      </text>
    </comment>
    <comment ref="G511" authorId="0">
      <text>
        <r>
          <rPr>
            <sz val="10"/>
            <rFont val="SimSun"/>
            <charset val="134"/>
          </rPr>
          <t>01/04/1980</t>
        </r>
      </text>
    </comment>
    <comment ref="J511" authorId="0">
      <text>
        <r>
          <rPr>
            <sz val="10"/>
            <rFont val="SimSun"/>
            <charset val="134"/>
          </rPr>
          <t>Archived link 
https://www.rctn.org/bruno/public/papers/Fukushima1980.pdf
https://web.archive.org/web/20220606040422/https://www.rctn.org/bruno/public/papers/Fukushima1980.pdf
https://web.archive.org/web/20220311061444/https://link.springer.com/article/10.1007/BF00344251</t>
        </r>
      </text>
    </comment>
    <comment ref="N511" authorId="0">
      <text>
        <r>
          <rPr>
            <sz val="10"/>
            <rFont val="SimSun"/>
            <charset val="134"/>
          </rPr>
          <t>"
The synaptic connections from S-layers to C-layers
are fixed and unmodifiable. [...]
The numbers of excitatory cells in these seven layers are: 16x16 in U0, 16x16x24 in Us1, 10x10x 24 in Uc1, 8x8x24 in Us2, 6x 6x 24 in Uc2, 2x2x24 in Us3, and 24 in Uc3 
[...]
 the number of input synapses to each S-cell is 5 x 5 in layer Us1 and 5x5x24 in layers Us2 and Us3
[...]
The number of excitatory input synapses to each C-cell is 5x5 in layers Uc1 and Uc2, and is 2x2 in
layer Uc3
"
The number of synapses into each S-layer is:
S1: (16*16*24)*(5*5) 
S2: (8*8*24)*(5*5*24)
S3: (2*2*24)*(5*5*24)
We assume one parameter a per synapse into each cell in a S-layer, and one parameter b per each cell in a S-layer.</t>
        </r>
      </text>
    </comment>
    <comment ref="O511" authorId="0">
      <text>
        <r>
          <rPr>
            <sz val="10"/>
            <rFont val="SimSun"/>
            <charset val="134"/>
          </rPr>
          <t xml:space="preserve">"It does not necessarily mean that all of these input synapses are
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
We multiply by 2 to account for multadds
</t>
        </r>
      </text>
    </comment>
    <comment ref="Q511" authorId="0">
      <text>
        <r>
          <rPr>
            <sz val="10"/>
            <rFont val="SimSun"/>
            <charset val="134"/>
          </rPr>
          <t>"In order to self-organize the network, we have presented five stimulus patterns "0", "1", "2", "3", and "4", which are shown in Fig. 6"</t>
        </r>
      </text>
    </comment>
    <comment ref="G512" authorId="0">
      <text>
        <r>
          <rPr>
            <sz val="10"/>
            <rFont val="SimSun"/>
            <charset val="134"/>
          </rPr>
          <t>02/05/1979</t>
        </r>
      </text>
    </comment>
    <comment ref="J512" authorId="0">
      <text>
        <r>
          <rPr>
            <sz val="10"/>
            <rFont val="SimSun"/>
            <charset val="134"/>
          </rPr>
          <t>Archived link 
https://web.archive.org/web/20220309154752/https://link.springer.com/article/10.1007/BF00337644</t>
        </r>
      </text>
    </comment>
    <comment ref="Q512" authorId="0">
      <text>
        <r>
          <rPr>
            <sz val="10"/>
            <rFont val="SimSun"/>
            <charset val="134"/>
          </rPr>
          <t>??? Seemingly no info</t>
        </r>
      </text>
    </comment>
    <comment ref="J513" authorId="0">
      <text>
        <r>
          <rPr>
            <sz val="10"/>
            <rFont val="SimSun"/>
            <charset val="134"/>
          </rPr>
          <t>Archived link 
https://pdf.sciencedirectassets.com/273276/1-s2.0-S0019995800X01660/1-s2.0-S0019995877903540/main.pdf?X-Amz-Security-Token=IQoJb3JpZ2luX2VjELv%2F%2F%2F%2F%2F%2F%2F%2F%2F%2FwEaCXVzLWVhc3QtMSJHMEUCIGlauOcwQ%2FrV%2BjvdABATd%2B%2FqS8oy2%2Fxks3oxkriWZ6jQAiEAja8vpHcOBgUPkGGdtbutL8nWkmJWKwVmMoHjUlnM2bwq2wQItP%2F%2F%2F%2F%2F%2F%2F%2F%2F%2FARAEGgwwNTkwMDM1NDY4NjUiDPPKaw9lBjKR45kb5CqvBNSUdWzUSVPSq%2BQo%2Bp4qmqqids9R0a2%2Fa5Kt2nk%2F2f9J43JGYVWqTWg%2FKvYrAkNqBjzhNrhQJy%2BvbkcCIyOEEr5vrXTBMgxsz4LnNTcrfPou8lgCKaRReWtVxAMBFqr99FUBj9F3KYlb0gYxPiP%2FQ5A%2FFOGeliSmuFGIw6wG5tA9pQX2huhUQx0bOvLosTu2PnV4fg%2FIpirbbeNlVadzpV9ZGhpcFcJXSeF%2B%2FRJOJp5OTzpz6RO0n%2FeYNLs1b1O4GB2m5uHeBC1txVLYI8dYYtJjtpcBSXY56qD2WU9HTPnKftlF%2FTgYFKY3qLz%2FLrzb5%2FCBXlAqx2RjZ5NpyV2mO774c%2FsdxpUsiF0GqJh%2F5eIblWEl8Iu1eH5nkqyc%2FRVAK5HroxUGKK9HvyhYED59QEPsXS8Ojmx96qr1c22m74ciZDaMqiSc0FDL4Ig4EQbmzuLV%2FlnnHtnS4juN6AUF7Pv72XAlx%2FEMewAcKFGQFyAbHbAoqIB9YGFe6MF4WHzJCXcBuOaBUX%2FworhfGqlqeH1RdcMebYxVraWkonGxDjLg0xYqXdDNEl068m2AKaU5OZ6rsh0AzeexbRLp5xwUwNxnqZ1rhvFdzq6CQ1vJi3EN508blC966GmtN2G%2F%2Bno2XRxVsO35burjyiU420TxfGo4TKO4VJF7bBz4wX%2F1Rttg26IV%2F3Y3t2VTQtTV05J6erpFmsiRE3lbN43B0lQtCI7Z1%2FeOCrpgMVHcwMxK%2Fzww8Mr1lAY6qQFNoHBR9nqJAeoC1C76lftaOV%2Be%2FLECzmxpXhStzIgDrIqLoZGmYW7WYboMjIW1uEY%2B50SRs0NmVBrVwjySagEZ24swdrBKq5zxPWQiVBih2GcaQv1AToAgpSftAmtbTLVmJJKWn4lsrjsQHLEXwl8YQ3JdcMIokB624KwoKGzH4ghKv9Tz423nD28GIbPf6nTCTJ710cjU7eFNG9e7perSIkq0lSmr7ofU&amp;X-Amz-Algorithm=AWS4-HMAC-SHA256&amp;X-Amz-Date=20220606T040654Z&amp;X-Amz-SignedHeaders=host&amp;X-Amz-Expires=300&amp;X-Amz-Credential=ASIAQ3PHCVTYV744UO5T%2F20220606%2Fus-east-1%2Fs3%2Faws4_request&amp;X-Amz-Signature=a0a14119e699580aa705c008fed46b5b9f77d5fe087f1575afbb16b894e76f8b&amp;hash=6fd91366b43fb35d0d82c799d9a137a7909bb5a636aec03f16ec27a1886767e3&amp;host=68042c943591013ac2b2430a89b270f6af2c76d8dfd086a07176afe7c76c2c61&amp;pii=S0019995877903540&amp;tid=spdf-15828270-6909-4183-8579-c0d1876dd44a&amp;sid=3ea99e2017bbf84f9178a5c225b267032d8bgxrqa&amp;type=client&amp;ua=565e5203535655000d&amp;rr=716e472fbfab56f8
https://web.archive.org/web/20220309154738/https://www.sciencedirect.com/science/article/pii/S0019995877903540</t>
        </r>
      </text>
    </comment>
    <comment ref="Q513" authorId="0">
      <text>
        <r>
          <rPr>
            <sz val="10"/>
            <rFont val="SimSun"/>
            <charset val="134"/>
          </rPr>
          <t>??? Seemingly no info</t>
        </r>
      </text>
    </comment>
    <comment ref="G514" authorId="0">
      <text>
        <r>
          <rPr>
            <sz val="10"/>
            <rFont val="SimSun"/>
            <charset val="134"/>
          </rPr>
          <t>01/09/1975</t>
        </r>
      </text>
    </comment>
    <comment ref="J514" authorId="0">
      <text>
        <r>
          <rPr>
            <sz val="10"/>
            <rFont val="SimSun"/>
            <charset val="134"/>
          </rPr>
          <t>Archived link 
https://web.archive.org/web/20220309165829/https://link.springer.com/article/10.1007/BF00342633</t>
        </r>
      </text>
    </comment>
    <comment ref="L514" authorId="0">
      <text>
        <r>
          <rPr>
            <sz val="10"/>
            <rFont val="SimSun"/>
            <charset val="134"/>
          </rPr>
          <t>Precursor of the Neocognitron</t>
        </r>
      </text>
    </comment>
    <comment ref="Q514" authorId="0">
      <text>
        <r>
          <rPr>
            <sz val="10"/>
            <rFont val="SimSun"/>
            <charset val="134"/>
          </rPr>
          <t>??? Seemingly no info</t>
        </r>
      </text>
    </comment>
    <comment ref="D515" authorId="0">
      <text>
        <r>
          <rPr>
            <sz val="10"/>
            <rFont val="SimSun"/>
            <charset val="134"/>
          </rPr>
          <t>https://en.wikipedia.org/wiki/SRI_International</t>
        </r>
      </text>
    </comment>
    <comment ref="J515" authorId="0">
      <text>
        <r>
          <rPr>
            <sz val="10"/>
            <rFont val="SimSun"/>
            <charset val="134"/>
          </rPr>
          <t>Archived link 
https://web.archive.org/web/20220122081733/http://www.svms.org/classification/DuHS95.pdf</t>
        </r>
      </text>
    </comment>
    <comment ref="A516" authorId="0">
      <text>
        <r>
          <rPr>
            <sz val="10"/>
            <rFont val="SimSun"/>
            <charset val="134"/>
          </rPr>
          <t>Made up name
	-Jaime Sevilla</t>
        </r>
      </text>
    </comment>
    <comment ref="G516" authorId="0">
      <text>
        <r>
          <rPr>
            <sz val="10"/>
            <rFont val="SimSun"/>
            <charset val="134"/>
          </rPr>
          <t>01/09/1973</t>
        </r>
      </text>
    </comment>
    <comment ref="J516" authorId="0">
      <text>
        <r>
          <rPr>
            <sz val="10"/>
            <rFont val="SimSun"/>
            <charset val="134"/>
          </rPr>
          <t>Archived link 
https://web.archive.org/web/20220606042110/https://isl.stanford.edu/people/widrow/papers/j1973punishreward.pdf
https://web.archive.org/web/20220309154716/https://ieeexplore.ieee.org/document/4309272</t>
        </r>
      </text>
    </comment>
    <comment ref="N516" authorId="0">
      <text>
        <r>
          <rPr>
            <sz val="10"/>
            <rFont val="SimSun"/>
            <charset val="134"/>
          </rPr>
          <t>I think? The input is a pattern of 20 bits, each associated to a weight, plus a bias term
	-Jaime Sevilla</t>
        </r>
      </text>
    </comment>
    <comment ref="Q516" authorId="0">
      <text>
        <r>
          <rPr>
            <sz val="10"/>
            <rFont val="SimSun"/>
            <charset val="134"/>
          </rPr>
          <t>??? Seemingly no info</t>
        </r>
      </text>
    </comment>
    <comment ref="J517" authorId="0">
      <text>
        <r>
          <rPr>
            <sz val="10"/>
            <rFont val="SimSun"/>
            <charset val="134"/>
          </rPr>
          <t>Archived link 
https://web.archive.org/web/20220309154652/https://dspace.mit.edu/handle/1721.1/6884</t>
        </r>
      </text>
    </comment>
    <comment ref="G518" authorId="0">
      <text>
        <r>
          <rPr>
            <sz val="10"/>
            <rFont val="SimSun"/>
            <charset val="134"/>
          </rPr>
          <t>unaware of exact date and month 
1968</t>
        </r>
      </text>
    </comment>
    <comment ref="J518" authorId="0">
      <text>
        <r>
          <rPr>
            <sz val="10"/>
            <rFont val="SimSun"/>
            <charset val="134"/>
          </rPr>
          <t>Archived link 
http://citeseerx.ist.psu.edu/viewdoc/download?doi=10.1.1.474.2430&amp;rep=rep1&amp;type=pdf
https://web.archive.org/web/20220308005831/http://citeseerx.ist.psu.edu/viewdoc/download?doi=10.1.1.474.2430&amp;rep=rep1&amp;type=pdf</t>
        </r>
      </text>
    </comment>
    <comment ref="J519" authorId="0">
      <text>
        <r>
          <rPr>
            <sz val="10"/>
            <rFont val="SimSun"/>
            <charset val="134"/>
          </rPr>
          <t>Archived link 
http://citeseerx.ist.psu.edu/viewdoc/download?doi=10.1.1.474.2430&amp;rep=rep1&amp;type=pdf
https://web.archive.org/web/20220308005831/http://citeseerx.ist.psu.edu/viewdoc/download?doi=10.1.1.474.2430&amp;rep=rep1&amp;type=pdf</t>
        </r>
      </text>
    </comment>
    <comment ref="J520" authorId="0">
      <text>
        <r>
          <rPr>
            <sz val="10"/>
            <rFont val="SimSun"/>
            <charset val="134"/>
          </rPr>
          <t>Archived link 
https://web.archive.org/web/20211024004941/https://www.cs.virginia.edu/~evans/greatworks/samuel.pdf</t>
        </r>
      </text>
    </comment>
    <comment ref="N520" authorId="0">
      <text>
        <r>
          <rPr>
            <sz val="10"/>
            <rFont val="SimSun"/>
            <charset val="134"/>
          </rPr>
          <t>"The total number of parameters used at any one time has been varied from a very few to as many as 40"</t>
        </r>
      </text>
    </comment>
    <comment ref="J521" authorId="0">
      <text>
        <r>
          <rPr>
            <sz val="10"/>
            <rFont val="SimSun"/>
            <charset val="134"/>
          </rPr>
          <t>Archived link 
https://pages.cpsc.ucalgary.ca/~gaines/reports/ML/STL556/STL556.pdf
https://web.archive.org/web/20220309150713/https://www.researchgate.net/publication/252919025_STELLA_A_scheme_for_a_learning_machine</t>
        </r>
      </text>
    </comment>
    <comment ref="J522" authorId="0">
      <text>
        <r>
          <rPr>
            <sz val="10"/>
            <rFont val="SimSun"/>
            <charset val="134"/>
          </rPr>
          <t>Archived link 
https://web.archive.org/web/20220121042234/https://academic.oup.com/comjnl/article/6/3/232/360077</t>
        </r>
      </text>
    </comment>
    <comment ref="G523" authorId="0">
      <text>
        <r>
          <rPr>
            <sz val="10"/>
            <rFont val="SimSun"/>
            <charset val="134"/>
          </rPr>
          <t>unaware of exact date and month 
1962</t>
        </r>
      </text>
    </comment>
    <comment ref="J523" authorId="0">
      <text>
        <r>
          <rPr>
            <sz val="10"/>
            <rFont val="SimSun"/>
            <charset val="134"/>
          </rPr>
          <t>Archived link 
https://web.archive.org/web/20220309150651/https://www.proquest.com/openview/7898314db50a218b58052ac91e3bde1e/1</t>
        </r>
      </text>
    </comment>
    <comment ref="J524" authorId="0">
      <text>
        <r>
          <rPr>
            <sz val="10"/>
            <rFont val="SimSun"/>
            <charset val="134"/>
          </rPr>
          <t>Archived link 
https://courses.csail.mit.edu/6.803/pdf/steps.pdf
https://web.archive.org/web/20220309150610/https://ieeexplore.ieee.org/abstract/document/4066245</t>
        </r>
      </text>
    </comment>
    <comment ref="G525" authorId="0">
      <text>
        <r>
          <rPr>
            <sz val="10"/>
            <rFont val="SimSun"/>
            <charset val="134"/>
          </rPr>
          <t>unaware of exact date and month</t>
        </r>
      </text>
    </comment>
    <comment ref="J525" authorId="0">
      <text>
        <r>
          <rPr>
            <sz val="10"/>
            <rFont val="SimSun"/>
            <charset val="134"/>
          </rPr>
          <t>Archived link 
https://stacks.stanford.edu/file/druid:yr384hg3073/yr384hg3073.pdf
https://web.archive.org/web/20220309150626/https://stacks.stanford.edu/file/druid:yr384hg3073/yr384hg3073.pdf
----
It describes two architectures "CognitiveNet I and II" but its not clear to me if are just toy examples
	-Jaime Sevilla</t>
        </r>
      </text>
    </comment>
    <comment ref="J526" authorId="0">
      <text>
        <r>
          <rPr>
            <sz val="10"/>
            <rFont val="SimSun"/>
            <charset val="134"/>
          </rPr>
          <t>Archived link 
https://web.archive.org/web/20220606042918/https://www.semanticscholar.org/paper/Further-experiments-with-PAPA-Gamba-Gamberini/c3a20b9aa86033cec29f08e69f4bc81e8b329ae2</t>
        </r>
      </text>
    </comment>
    <comment ref="J527" authorId="0">
      <text>
        <r>
          <rPr>
            <sz val="10"/>
            <rFont val="SimSun"/>
            <charset val="134"/>
          </rPr>
          <t>Archived link 
https://web.archive.org/web/20220225172357/https://isl.stanford.edu/~widrow/papers/c1960adaptiveswitching.pdf</t>
        </r>
      </text>
    </comment>
    <comment ref="N527" authorId="0">
      <text>
        <r>
          <rPr>
            <sz val="10"/>
            <rFont val="SimSun"/>
            <charset val="134"/>
          </rPr>
          <t>"The machine's total experience is stored in the values of the weights a0,...,a16"</t>
        </r>
      </text>
    </comment>
    <comment ref="O527" authorId="0">
      <text>
        <r>
          <rPr>
            <sz val="10"/>
            <rFont val="SimSun"/>
            <charset val="134"/>
          </rPr>
          <t>"The method of searching that has proven most useful is the method of steepest descent"
Apparently each pattern was only shown once to the system.
So the training compute is (forward pass compute) * (3 for backprop) * dataset size</t>
        </r>
      </text>
    </comment>
    <comment ref="Q527" authorId="0">
      <text>
        <r>
          <rPr>
            <sz val="10"/>
            <rFont val="SimSun"/>
            <charset val="134"/>
          </rPr>
          <t>"The best system, arrived at by slow precise adaptation on the full body of 100 noisy patterns, was able to classify these patterns as desired except for twelve errors."
https://isl.stanford.edu/~widrow/papers/c1960adaptiveswitching.pdf</t>
        </r>
      </text>
    </comment>
    <comment ref="S527" authorId="0">
      <text>
        <r>
          <rPr>
            <sz val="10"/>
            <rFont val="SimSun"/>
            <charset val="134"/>
          </rPr>
          <t>We have 16 weights and a bias parameter. So 16 multadds and an add. The result is then thresholded to produce a binary output.</t>
        </r>
      </text>
    </comment>
    <comment ref="J528" authorId="0">
      <text>
        <r>
          <rPr>
            <sz val="10"/>
            <rFont val="SimSun"/>
            <charset val="134"/>
          </rPr>
          <t>Archived link 
https://web.archive.org/web/20220217135833/https://apps.dtic.mil/sti/pdfs/AD0241531.pdf</t>
        </r>
      </text>
    </comment>
    <comment ref="B529" authorId="0">
      <text>
        <r>
          <rPr>
            <sz val="10"/>
            <rFont val="SimSun"/>
            <charset val="134"/>
          </rPr>
          <t>@Nuno.Sempere@gmail.com how would you classify the domain and task of Pandemonium?
_Assigned to Nuño Sempere_
	-Jaime Sevilla
Theoretical
	-Nuño Sempere
Wait, didthey actually build the morse code translator in figure 7?
	-Jaime Sevilla
Yes, but the proposal is more general.
	-Nuño Sempere
Understood!
For the context of this project I am more interested in the particular experiments than in the geenral approaches (and I understood that your estimates refer to that experiment too).
So I will note it down as Other - Morse translation
	-Jaime Sevilla</t>
        </r>
      </text>
    </comment>
    <comment ref="I529" authorId="0">
      <text>
        <r>
          <rPr>
            <sz val="10"/>
            <rFont val="SimSun"/>
            <charset val="134"/>
          </rPr>
          <t>Note: The paper is a theoretical paper, though it mentions some experiments to do with morse code, so my guesses are as to those experiments.</t>
        </r>
      </text>
    </comment>
    <comment ref="J529" authorId="0">
      <text>
        <r>
          <rPr>
            <sz val="10"/>
            <rFont val="SimSun"/>
            <charset val="134"/>
          </rPr>
          <t>Archived link 
https://aitopics.org/download/classics:504E1BAC
https://web.archive.org/web/20220606044347/https://aitopics.org/download/classics:504E1BAC</t>
        </r>
      </text>
    </comment>
    <comment ref="N529" authorId="0">
      <text>
        <r>
          <rPr>
            <sz val="10"/>
            <rFont val="SimSun"/>
            <charset val="134"/>
          </rPr>
          <t>The paper mentions 11 function types. I'm guessing that these were each used between 10 and 1000 times, for a point estimate of 3000 parameters</t>
        </r>
      </text>
    </comment>
    <comment ref="O529" authorId="0">
      <text>
        <r>
          <rPr>
            <sz val="10"/>
            <rFont val="SimSun"/>
            <charset val="134"/>
          </rPr>
          <t>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t>
        </r>
      </text>
    </comment>
    <comment ref="Q529" authorId="0">
      <text>
        <r>
          <rPr>
            <sz val="10"/>
            <rFont val="SimSun"/>
            <charset val="134"/>
          </rPr>
          <t>??? Might need to make a guesstimate here.</t>
        </r>
      </text>
    </comment>
    <comment ref="J530" authorId="0">
      <text>
        <r>
          <rPr>
            <sz val="10"/>
            <rFont val="SimSun"/>
            <charset val="134"/>
          </rPr>
          <t>Archived link 
https://web.archive.org/web/20220508224014/http://people.csail.mit.edu/brooks/idocs/Samuel.pdf
https://web.archive.org/web/20220309150429/https://ieeexplore.ieee.org/abstract/document/5392560</t>
        </r>
      </text>
    </comment>
    <comment ref="N530" authorId="0">
      <text>
        <r>
          <rPr>
            <sz val="10"/>
            <rFont val="SimSun"/>
            <charset val="134"/>
          </rPr>
          <t>"with 16 terms for generalization learning"
"Mention has been made several times of the procedure
for replacing terms in the scoring polynomial. The program, as it is currently running, contains 38 different
terms (in addition to the piece-advantage term), 16 of
these being included in the scoring polynomial at anyone
time and the remaining 22 being kept in reserve."</t>
        </r>
      </text>
    </comment>
    <comment ref="O530" authorId="0">
      <text>
        <r>
          <rPr>
            <sz val="10"/>
            <rFont val="SimSun"/>
            <charset val="134"/>
          </rPr>
          <t>"it can learn to do this in a remarkably short period of time 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t>
        </r>
      </text>
    </comment>
    <comment ref="Q530" authorId="0">
      <text>
        <r>
          <rPr>
            <sz val="10"/>
            <rFont val="SimSun"/>
            <charset val="134"/>
          </rPr>
          <t>Based on number of board positions
At the present time the memory tape contains something over 53,000 board positions (averaging 3.8 word search) which have been selected from a much larger
number of positions by means of the culling techniques
described. While this is still far from the number which
would tax the listing and searching procedures used in
the program, rough estimates, based on the frequency
with which the saved boards are utilized during normal
play (these figures being tabulated automatically), indicate that a library tape containing at least 20 times the
present number of board positions would be needed to
improve the midgame play significantly. At the present
rate of acquisition of new positions this would require
an inordinate amount of play and, consequently, of
machine time.</t>
        </r>
      </text>
    </comment>
    <comment ref="V530" authorId="0">
      <text>
        <r>
          <rPr>
            <sz val="10"/>
            <rFont val="SimSun"/>
            <charset val="134"/>
          </rPr>
          <t>Appendix A</t>
        </r>
      </text>
    </comment>
    <comment ref="J531" authorId="0">
      <text>
        <r>
          <rPr>
            <sz val="10"/>
            <rFont val="SimSun"/>
            <charset val="134"/>
          </rPr>
          <t>Archived link 
https://www.computer.org/csdl/proceedings-article/afips/1959/50550225/12OmNqN6R43
https://web.archive.org/web/20220226181339/https://dl.acm.org/doi/pdf/10.1145/1455292.1455310</t>
        </r>
      </text>
    </comment>
    <comment ref="N531" authorId="0">
      <text>
        <r>
          <rPr>
            <sz val="10"/>
            <rFont val="SimSun"/>
            <charset val="134"/>
          </rPr>
          <t>A two bit state is recorded for each of the 75 cell pairs and each of the 25+10 characters recognized.</t>
        </r>
      </text>
    </comment>
    <comment ref="D532" authorId="0">
      <text>
        <r>
          <rPr>
            <sz val="10"/>
            <rFont val="SimSun"/>
            <charset val="134"/>
          </rPr>
          <t>https://en.wikipedia.org/wiki/Calspan</t>
        </r>
      </text>
    </comment>
    <comment ref="I532" authorId="0">
      <text>
        <r>
          <rPr>
            <sz val="10"/>
            <rFont val="SimSun"/>
            <charset val="134"/>
          </rPr>
          <t>This paper is just theoretical.
The Mark I perceptron was implemented on an IBM
704 computer at Cornell in 1957 
source: Bishop, Christopher M. (2006). Pattern Recognition and Machine Learning
The theory of the perceptron is later developed in Principles of Neurodynamics, Spartan Books, New York (1962)</t>
        </r>
      </text>
    </comment>
    <comment ref="J532" authorId="0">
      <text>
        <r>
          <rPr>
            <sz val="10"/>
            <rFont val="SimSun"/>
            <charset val="134"/>
          </rPr>
          <t>Archived link 
https://web.archive.org/web/20211024093628/https://blogs.umass.edu/brain-wars/files/2016/03/rosenblatt-1957.pdf</t>
        </r>
      </text>
    </comment>
    <comment ref="L532" authorId="0">
      <text>
        <r>
          <rPr>
            <sz val="10"/>
            <rFont val="SimSun"/>
            <charset val="134"/>
          </rPr>
          <t xml:space="preserve">First modern neural network </t>
        </r>
      </text>
    </comment>
    <comment ref="N532" authorId="0">
      <text>
        <r>
          <rPr>
            <sz val="10"/>
            <rFont val="SimSun"/>
            <charset val="134"/>
          </rPr>
          <t>"Figure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
The perceptron asociated one weight per input, for a total of 20x20=400 parameters.
source: Bishop, Christopher M. (2006). Pattern Recognition and Machine Learning</t>
        </r>
      </text>
    </comment>
    <comment ref="O532" authorId="0">
      <text>
        <r>
          <rPr>
            <sz val="10"/>
            <rFont val="SimSun"/>
            <charset val="134"/>
          </rPr>
          <t>Extracted from AI and Compute (https://openai.com/blog/ai-and-compute/) charts by using https://automeris.io/WebPlotDigitizer/.
----
I am not sure if this information is about this version of the perceptron
	-Jaime Sevilla</t>
        </r>
      </text>
    </comment>
    <comment ref="Q532" authorId="0">
      <text>
        <r>
          <rPr>
            <sz val="10"/>
            <rFont val="SimSun"/>
            <charset val="134"/>
          </rPr>
          <t>Appendix II describes an expertiment with 6 stimulus patterns</t>
        </r>
      </text>
    </comment>
    <comment ref="G533" authorId="0">
      <text>
        <r>
          <rPr>
            <sz val="10"/>
            <rFont val="SimSun"/>
            <charset val="134"/>
          </rPr>
          <t>unaware of exact date and month 
1956</t>
        </r>
      </text>
    </comment>
    <comment ref="J533" authorId="0">
      <text>
        <r>
          <rPr>
            <sz val="10"/>
            <rFont val="SimSun"/>
            <charset val="134"/>
          </rPr>
          <t>Archived link 
https://web.archive.org/web/20220226181244/https://pdf.sciencedirectassets.com/273276/1-s2.0-S0019995800X01416/1-s2.0-S0019995859900580/main.pdf?X-Amz-Security-Token=IQoJb3JpZ2luX2VjEGkaCXVzLWVhc3QtMSJGMEQCIGDuBepadh%2B9IvIRwGyp6MhUvWtcpPSNcXQEg3Z7ztgSAiAQtrbBxgZ4ksb8uBU1h3vqln7E8Qx2d%2Ba4qdPXYrEsKCqDBAjC%2F%2F%2F%2F%2F%2F%2F%2F%2F%2F8BEAQaDDA1OTAwMzU0Njg2NSIMuEdWNDS7h7%2B2C%2BOsKtcDQNdARhzYwMPUFHQ1HmYZMMAEyJZBd5rNxjC76O9uil3TgdDMiOhgFK5tlEHHRC8xUEGsLG9cNIkeNhSUtgRbHKfbFIm%2F80gkvaVD3nCiH8OudSkrKXWeqNxNWDL6IGCiLQfsHf2BqsIhOybgdfDzZeQ9orgDTxy7DjIw6QI35tqj5S0NhJyVfBaXoRNYPo%2B%2B2SkB1Z6Ne1W0FSt2Tsxtut%2FZOwEUAeQjgEnn8N%2FY5VPO5c3%2FX8AEWftsSNd1atAhlJWuUN0gbVFzkWzxgRThzAQNzKVQJa2SmHCulzLGA4mMTJ5HlQjtdyuRZ9bdywuiH37oT2c3uNuHiCWAMcj2%2BlMRnAcrV24WJ6qyN5zhDbznG4xB4u1WrN%2FZj1MFs%2FyApe4ansH3ajduMvoPjAU%2F5VoHsU7jBSLogSxHxTv8ZLYGYIw3MoS%2FkSdRBDQdlDflTukdlmlUxe7fDP0ZQfVphTR8ejaCFFldrV2%2B%2B%2FNpr1EfM%2FxOnG42pfJ3UlWIYKDRmtt5dUDaqDQBRZ4fz%2BEmF%2Bu2436gnxmVcnYnBJmH0k6uf1GBuCCh04WCox99wMoxR%2BnGGXLljuRfDoJC6QHz6kb70LG3b7u2icsr9YKczsGGnrDhAMVnMPOn6ZAGOqYBqa6rDUSu7U07VuJVldOilSQxUnOs4eonUTpv9nybuWvpX85gOXSLnuyh1qsfizEyk%2FH0q%2FlQx6Ju6yGD0Eubqa1aYRshBoQUPr%2FHDuuCb%2Fkx3okN5LBpytW0EPQR7S%2FWx%2BkLcRwHjTjIumsujrkFbqTfWPFhZRazB%2Ba5vAc1RBNsOTLOJa%2FHUsX9pw1JpBlwbzPV1kATdMH%2FIRdvmJ6gxf%2Bj2%2BaDPg%3D%3D&amp;X-Amz-Algorithm=AWS4-HMAC-SHA256&amp;X-Amz-Date=20220226T181216Z&amp;X-Amz-SignedHeaders=host&amp;X-Amz-Expires=299&amp;X-Amz-Credential=ASIAQ3PHCVTYYW6GLSYI%2F20220226%2Fus-east-1%2Fs3%2Faws4_request&amp;X-Amz-Signature=8c55e852abcc0a44b3bfe03822d9387c3022baec2db815b61f34622899fab434&amp;hash=f1c94eb74a77421bee0fcf5fb49763d0b17ea1a0c9a48986521d6b6c0772e417&amp;host=68042c943591013ac2b2430a89b270f6af2c76d8dfd086a07176afe7c76c2c61&amp;pii=S0019995859900580&amp;tid=spdf-f14f6c83-c9e4-4fe7-8641-551f1b061a56&amp;sid=2156ae7d333903481f682bf2763a507b9823gxrqa&amp;type=client&amp;ua=570a5704555557545a&amp;rr=6e3b24025f238192</t>
        </r>
      </text>
    </comment>
    <comment ref="J534" authorId="0">
      <text>
        <r>
          <rPr>
            <sz val="10"/>
            <rFont val="SimSun"/>
            <charset val="134"/>
          </rPr>
          <t>Archived version:
https://web.archive.org/web/20220606045024/https://dl.acm.org/doi/pdf/10.1145/1455292.1455309
https://web.archive.org/web/20211228141853/https://sci-hubtw.hkvisa.net/10.1145/1455292.1455309</t>
        </r>
      </text>
    </comment>
    <comment ref="N534" authorId="0">
      <text>
        <r>
          <rPr>
            <sz val="10"/>
            <rFont val="SimSun"/>
            <charset val="134"/>
          </rPr>
          <t>Figure 4 contains the learnt weight matrix</t>
        </r>
      </text>
    </comment>
    <comment ref="Q534" authorId="0">
      <text>
        <r>
          <rPr>
            <sz val="10"/>
            <rFont val="SimSun"/>
            <charset val="134"/>
          </rPr>
          <t>" The modifier was then
disabled so that no further changes in the net could
occur and all 256 possible input patterns were then presented in turn."
"For these purposes, 16-element nets (8 input and 8
output) were used because it was desired to exhaust all
possible input patterns, and we were limited to about
2^8 inputs by available time. "</t>
        </r>
      </text>
    </comment>
    <comment ref="J535" authorId="0">
      <text>
        <r>
          <rPr>
            <sz val="10"/>
            <rFont val="SimSun"/>
            <charset val="134"/>
          </rPr>
          <t xml:space="preserve">Archived link 
https://web.archive.org/web/20220606044954/https://dl.acm.org/doi/pdf/10.1145/1455292.1455310
https://dl.acm.org/doi/pdf/10.1145/1455292.1455310
</t>
        </r>
      </text>
    </comment>
    <comment ref="G536" authorId="0">
      <text>
        <r>
          <rPr>
            <sz val="10"/>
            <rFont val="SimSun"/>
            <charset val="134"/>
          </rPr>
          <t>unaware of date and month</t>
        </r>
      </text>
    </comment>
    <comment ref="J536" authorId="0">
      <text>
        <r>
          <rPr>
            <sz val="10"/>
            <rFont val="SimSun"/>
            <charset val="134"/>
          </rPr>
          <t>Archived link 
https://web.archive.org/web/20220606045220/https://link.springer.com/article/10.1007/BF01556771</t>
        </r>
      </text>
    </comment>
    <comment ref="L536" authorId="0">
      <text>
        <r>
          <rPr>
            <sz val="10"/>
            <rFont val="SimSun"/>
            <charset val="134"/>
          </rPr>
          <t>Possibly first computer simulation of a genetic evolution algorithm</t>
        </r>
      </text>
    </comment>
    <comment ref="J537" authorId="0">
      <text>
        <r>
          <rPr>
            <sz val="10"/>
            <rFont val="SimSun"/>
            <charset val="134"/>
          </rPr>
          <t>Archived link 
https://web.archive.org/web/20211203141404/https://en.wikipedia.org/wiki/Stochastic_neural_analog_reinforcement_calculator</t>
        </r>
      </text>
    </comment>
    <comment ref="N537" authorId="0">
      <text>
        <r>
          <rPr>
            <sz val="10"/>
            <rFont val="SimSun"/>
            <charset val="134"/>
          </rPr>
          <t>The link below seems to suggest the SNARC had 40 cells, each with a dial that acts as a configurable weight.
https://www.webofstories.com/play/marvin.minsky/137</t>
        </r>
      </text>
    </comment>
    <comment ref="G538" authorId="0">
      <text>
        <r>
          <rPr>
            <sz val="10"/>
            <rFont val="SimSun"/>
            <charset val="134"/>
          </rPr>
          <t xml:space="preserve">unaware of day and month </t>
        </r>
      </text>
    </comment>
    <comment ref="J538" authorId="0">
      <text>
        <r>
          <rPr>
            <sz val="10"/>
            <rFont val="SimSun"/>
            <charset val="134"/>
          </rPr>
          <t>Archived version:
https://web.archive.org/web/20210423014600/https://www.technologyreview.com/2018/12/19/138508/mighty-mouse/</t>
        </r>
      </text>
    </comment>
    <comment ref="N538" authorId="0">
      <text>
        <r>
          <rPr>
            <sz val="10"/>
            <rFont val="SimSun"/>
            <charset val="134"/>
          </rPr>
          <t>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t>
        </r>
      </text>
    </comment>
    <comment ref="O538" authorId="0">
      <text>
        <r>
          <rPr>
            <sz val="10"/>
            <rFont val="SimSun"/>
            <charset val="134"/>
          </rPr>
          <t>The "training" consists on the mouse running around and checking each wall.</t>
        </r>
      </text>
    </comment>
    <comment ref="Q538" authorId="0">
      <text>
        <r>
          <rPr>
            <sz val="10"/>
            <rFont val="SimSun"/>
            <charset val="134"/>
          </rPr>
          <t>Each wall Theseus bumps into is a datapoint</t>
        </r>
      </text>
    </comment>
  </commentList>
</comments>
</file>

<file path=xl/comments10.xml><?xml version="1.0" encoding="utf-8"?>
<comments xmlns="http://schemas.openxmlformats.org/spreadsheetml/2006/main">
  <authors>
    <author/>
  </authors>
  <commentList>
    <comment ref="A1" authorId="0">
      <text>
        <r>
          <rPr>
            <sz val="10"/>
            <rFont val="SimSun"/>
            <charset val="134"/>
          </rPr>
          <t>Highest h5 index journals and conferences on AI, according to Google Scholar
https://scholar.google.com/citations?view_op=metrics_intro&amp;hl=en</t>
        </r>
      </text>
    </comment>
  </commentList>
</comments>
</file>

<file path=xl/comments11.xml><?xml version="1.0" encoding="utf-8"?>
<comments xmlns="http://schemas.openxmlformats.org/spreadsheetml/2006/main">
  <authors>
    <author/>
  </authors>
  <commentList>
    <comment ref="A1" authorId="0">
      <text>
        <r>
          <rPr>
            <sz val="10"/>
            <rFont val="SimSun"/>
            <charset val="134"/>
          </rPr>
          <t>Find a visualization of hardware data at
https://colab.research.google.com/drive/1EkDU2Rr8m21owtwmOubVebSXtSuWXGcT
----
Here's a note on the dataset curation: https://docs.google.com/document/d/1BUF93057WCgLgD5lMwJb-Lqs711wRpW1NBrGwDQvkkI/edit
(maybe add as a cell here but I don't want to break any scripts for the moment)
	-Lennart Heim</t>
        </r>
      </text>
    </comment>
    <comment ref="M1" authorId="0">
      <text>
        <r>
          <rPr>
            <sz val="10"/>
            <rFont val="SimSun"/>
            <charset val="134"/>
          </rPr>
          <t>Adding this because it's one of the most important specs when choosing a GPU, after amount of VRAM, and it's an easy figure to get.</t>
        </r>
      </text>
    </comment>
    <comment ref="O1" authorId="0">
      <text>
        <r>
          <rPr>
            <sz val="10"/>
            <rFont val="SimSun"/>
            <charset val="134"/>
          </rPr>
          <t xml:space="preserve">translated from here: https://www.wikiwand.com/en/PCI_Express#History_and_revisions
</t>
        </r>
      </text>
    </comment>
    <comment ref="P1" authorId="0">
      <text>
        <r>
          <rPr>
            <sz val="10"/>
            <rFont val="SimSun"/>
            <charset val="134"/>
          </rPr>
          <t>You can find the specialized interconnect values here (NVIDIA): https://en.wikipedia.org/wiki/NVLink
and here (TPUs): nextplatform.com/2022/10/11/deep-dive-on-googles-exascale-tpuv4-ai-systems/</t>
        </r>
      </text>
    </comment>
    <comment ref="Q1" authorId="0">
      <text>
        <r>
          <rPr>
            <sz val="10"/>
            <rFont val="SimSun"/>
            <charset val="134"/>
          </rPr>
          <t>byte/s
	-Konstantin Pilz</t>
        </r>
      </text>
    </comment>
    <comment ref="V1" authorId="0">
      <text>
        <r>
          <rPr>
            <sz val="10"/>
            <rFont val="SimSun"/>
            <charset val="134"/>
          </rPr>
          <t>whenever possible I'll take the 1 year commitment rates. I'll detail the computation for each price</t>
        </r>
      </text>
    </comment>
    <comment ref="AK1" authorId="0">
      <text>
        <r>
          <rPr>
            <sz val="10"/>
            <rFont val="SimSun"/>
            <charset val="134"/>
          </rPr>
          <t>How is this defined?
	-Jaime Sevilla</t>
        </r>
      </text>
    </comment>
    <comment ref="AN1" authorId="0">
      <text>
        <r>
          <rPr>
            <sz val="10"/>
            <rFont val="SimSun"/>
            <charset val="134"/>
          </rPr>
          <t>I think this column is out of order because it is not part of the filter range
	-Ben Cottier</t>
        </r>
      </text>
    </comment>
    <comment ref="AI3" authorId="0">
      <text>
        <r>
          <rPr>
            <sz val="10"/>
            <rFont val="SimSun"/>
            <charset val="134"/>
          </rPr>
          <t>compute cores contain a few "AI accelerators" each, but they seem distinct from tensor cores</t>
        </r>
      </text>
    </comment>
    <comment ref="F7" authorId="0">
      <text>
        <r>
          <rPr>
            <sz val="10"/>
            <rFont val="SimSun"/>
            <charset val="134"/>
          </rPr>
          <t>989/2 because we use the ones without sparsity</t>
        </r>
      </text>
    </comment>
    <comment ref="G7" authorId="0">
      <text>
        <r>
          <rPr>
            <sz val="10"/>
            <rFont val="SimSun"/>
            <charset val="134"/>
          </rPr>
          <t>1979/2 because we use the dense rather than the sparse version</t>
        </r>
      </text>
    </comment>
    <comment ref="AN9" authorId="0">
      <text>
        <r>
          <rPr>
            <sz val="10"/>
            <rFont val="SimSun"/>
            <charset val="134"/>
          </rPr>
          <t>this link it swrong
	-Lennart Heim</t>
        </r>
      </text>
    </comment>
    <comment ref="E10" authorId="0">
      <text>
        <r>
          <rPr>
            <sz val="10"/>
            <rFont val="SimSun"/>
            <charset val="134"/>
          </rPr>
          <t>It's actually bfloat16; but it's still the same number of operations, so should be fine.</t>
        </r>
      </text>
    </comment>
    <comment ref="M10" authorId="0">
      <text>
        <r>
          <rPr>
            <sz val="10"/>
            <rFont val="SimSun"/>
            <charset val="134"/>
          </rPr>
          <t>https://twitter.com/jekbradbury/status/1524495748150140928/photo/1</t>
        </r>
      </text>
    </comment>
    <comment ref="S10" authorId="0">
      <text>
        <r>
          <rPr>
            <sz val="10"/>
            <rFont val="SimSun"/>
            <charset val="134"/>
          </rPr>
          <t>https://www.hpcwire.com/2021/05/20/google-launches-tpu-v4-ai-chips/</t>
        </r>
      </text>
    </comment>
    <comment ref="V10" authorId="0">
      <text>
        <r>
          <rPr>
            <sz val="10"/>
            <rFont val="SimSun"/>
            <charset val="134"/>
          </rPr>
          <t>https://cloud.google.com/tpu/pricing
$5294/month = $7.11 per h for 4 TPUs, which is $1.77 per h per TPUv4</t>
        </r>
      </text>
    </comment>
    <comment ref="A15" authorId="0">
      <text>
        <r>
          <rPr>
            <sz val="10"/>
            <rFont val="SimSun"/>
            <charset val="134"/>
          </rPr>
          <t>probably duplicate; to check
	-Lennart Heim
_removed and merge into GeForce RTX 3090_
	-Lennart Heim</t>
        </r>
      </text>
    </comment>
    <comment ref="F15" authorId="0">
      <text>
        <r>
          <rPr>
            <sz val="10"/>
            <rFont val="SimSun"/>
            <charset val="134"/>
          </rPr>
          <t>non-sparse version</t>
        </r>
      </text>
    </comment>
    <comment ref="G15" authorId="0">
      <text>
        <r>
          <rPr>
            <sz val="10"/>
            <rFont val="SimSun"/>
            <charset val="134"/>
          </rPr>
          <t>non-sparse version</t>
        </r>
      </text>
    </comment>
    <comment ref="J15" authorId="0">
      <text>
        <r>
          <rPr>
            <sz val="10"/>
            <rFont val="SimSun"/>
            <charset val="134"/>
          </rPr>
          <t>non-sparse version</t>
        </r>
      </text>
    </comment>
    <comment ref="S15" authorId="0">
      <text>
        <r>
          <rPr>
            <sz val="10"/>
            <rFont val="SimSun"/>
            <charset val="134"/>
          </rPr>
          <t>Source: https://www.anandtech.com/show/15801/nvidia-announces-ampere-architecture-and-a100-products</t>
        </r>
      </text>
    </comment>
    <comment ref="U15" authorId="0">
      <text>
        <r>
          <rPr>
            <sz val="10"/>
            <rFont val="SimSun"/>
            <charset val="134"/>
          </rPr>
          <t>Using https://plotdigitizer.com/app on the plot in https://www.nextplatform.com/2022/05/09/how-much-of-a-premium-will-nvidia-charge-for-hopper-gpus/, after it says "And thus we have prices over time for the core PCI-Express cards here:".
Seems it was released as part of an integrated supercomputer with 8 GPUs in the $100k to $200k range</t>
        </r>
      </text>
    </comment>
    <comment ref="V15" authorId="0">
      <text>
        <r>
          <rPr>
            <sz val="10"/>
            <rFont val="SimSun"/>
            <charset val="134"/>
          </rPr>
          <t>https://cloud.google.com/compute/all-pricing#gpus
80GB memory doesn't have 1 year commitment pricing available; thus I improvise.
I take the 1 year commitment price for the 40GB version and multiply with the ratio of 40GB to 80GB version of the normal price.
Thus: $1.848 * 3.93/2.934 = 2.475$ per hour</t>
        </r>
      </text>
    </comment>
    <comment ref="S17" authorId="0">
      <text>
        <r>
          <rPr>
            <sz val="10"/>
            <rFont val="SimSun"/>
            <charset val="134"/>
          </rPr>
          <t>https://www.techpowerup.com/gpu-specs/rtx-a6000.c3686</t>
        </r>
      </text>
    </comment>
    <comment ref="E19" authorId="0">
      <text>
        <r>
          <rPr>
            <sz val="10"/>
            <rFont val="SimSun"/>
            <charset val="134"/>
          </rPr>
          <t>bfloat16
https://cloud.google.com/tpu/pricing
Sometimes you find older, lower values:
-  105 TFLOP per chip (420 for 4 chips) can be derived from an old Google Website: https://web.archive.org/web/20200529155125/https://cloud.google.com/tpu/
- 90 TFLOP per chip can be found on Wikipedia, however the source is based on a vague statement on the Google IO, where the tpuv3 was announced
----
@malteschroedl@gmail.com Could you double check this?
_Assigned to Malte Schrödl_
	-Lennart Heim
This seems right to me, see e.g. this Tweet by a Googler: https://twitter.com/jekbradbury/status/1524495748150140928/photo/1
	-Tamay Besiroglu</t>
        </r>
      </text>
    </comment>
    <comment ref="M19" authorId="0">
      <text>
        <r>
          <rPr>
            <sz val="10"/>
            <rFont val="SimSun"/>
            <charset val="134"/>
          </rPr>
          <t>https://twitter.com/jekbradbury/status/1524495748150140928/photo/1</t>
        </r>
      </text>
    </comment>
    <comment ref="Q19" authorId="0">
      <text>
        <r>
          <rPr>
            <sz val="10"/>
            <rFont val="SimSun"/>
            <charset val="134"/>
          </rPr>
          <t>figure 4 https://cacm.acm.org/magazines/2020/7/245702-a-domain-specific-supercomputer-for-training-deep-neural-networks/fulltext?mobile=false</t>
        </r>
      </text>
    </comment>
    <comment ref="S19" authorId="0">
      <text>
        <r>
          <rPr>
            <sz val="10"/>
            <rFont val="SimSun"/>
            <charset val="134"/>
          </rPr>
          <t>https://cloud.google.com/tpu/docs/release-notes#:~:text=single%20ML%20accelerator-,October%2010%2C%202018,is%20available%20in%20Beta%20release.</t>
        </r>
      </text>
    </comment>
    <comment ref="V19" authorId="0">
      <text>
        <r>
          <rPr>
            <sz val="10"/>
            <rFont val="SimSun"/>
            <charset val="134"/>
          </rPr>
          <t>$14717 per year for 32 cores is
14717 / 31 / 24 / 32 = 0.62 per hour
https://cloud.google.com/tpu/pricing</t>
        </r>
      </text>
    </comment>
    <comment ref="V22" authorId="0">
      <text>
        <r>
          <rPr>
            <sz val="10"/>
            <rFont val="SimSun"/>
            <charset val="134"/>
          </rPr>
          <t>https://cloud.google.com/compute/all-pricing#gpus</t>
        </r>
      </text>
    </comment>
    <comment ref="U28" authorId="0">
      <text>
        <r>
          <rPr>
            <sz val="10"/>
            <rFont val="SimSun"/>
            <charset val="134"/>
          </rPr>
          <t>Using https://plotdigitizer.com/app on the plot in https://www.nextplatform.com/2022/05/09/how-much-of-a-premium-will-nvidia-charge-for-hopper-gpus/, after it says "And for SXM sockets here:".</t>
        </r>
      </text>
    </comment>
    <comment ref="V28" authorId="0">
      <text>
        <r>
          <rPr>
            <sz val="10"/>
            <rFont val="SimSun"/>
            <charset val="134"/>
          </rPr>
          <t>https://cloud.google.com/compute/all-pricing#gpus</t>
        </r>
      </text>
    </comment>
    <comment ref="D29" authorId="0">
      <text>
        <r>
          <rPr>
            <sz val="10"/>
            <rFont val="SimSun"/>
            <charset val="134"/>
          </rPr>
          <t>Source: https://cacm.acm.org/magazines/2020/7/245702-a-domain-specific-supercomputer-for-training-deep-neural-networks/fulltext</t>
        </r>
      </text>
    </comment>
    <comment ref="E29" authorId="0">
      <text>
        <r>
          <rPr>
            <sz val="10"/>
            <rFont val="SimSun"/>
            <charset val="134"/>
          </rPr>
          <t>figure 4 https://cacm.acm.org/magazines/2020/7/245702-a-domain-specific-supercomputer-for-training-deep-neural-networks/fulltext</t>
        </r>
      </text>
    </comment>
    <comment ref="L29" authorId="0">
      <text>
        <r>
          <rPr>
            <sz val="10"/>
            <rFont val="SimSun"/>
            <charset val="134"/>
          </rPr>
          <t>figure 4 https://cacm.acm.org/magazines/2020/7/245702-a-domain-specific-supercomputer-for-training-deep-neural-networks/fulltext?mobile=false</t>
        </r>
      </text>
    </comment>
    <comment ref="M29" authorId="0">
      <text>
        <r>
          <rPr>
            <sz val="10"/>
            <rFont val="SimSun"/>
            <charset val="134"/>
          </rPr>
          <t>https://en.wikipedia.org/wiki/Tensor_Processing_Unit#Second_generation_TPU</t>
        </r>
      </text>
    </comment>
    <comment ref="V29" authorId="0">
      <text>
        <r>
          <rPr>
            <sz val="10"/>
            <rFont val="SimSun"/>
            <charset val="134"/>
          </rPr>
          <t>$11038  per month for 32 machines
11038 / 31 / 24 / 32 = $0.46 per hour
https://cloud.google.com/tpu/pricing</t>
        </r>
      </text>
    </comment>
    <comment ref="S32" authorId="0">
      <text>
        <r>
          <rPr>
            <sz val="10"/>
            <rFont val="SimSun"/>
            <charset val="134"/>
          </rPr>
          <t>https://en.wikipedia.org/wiki/Nvidia_Tesla</t>
        </r>
      </text>
    </comment>
    <comment ref="V32" authorId="0">
      <text>
        <r>
          <rPr>
            <sz val="10"/>
            <rFont val="SimSun"/>
            <charset val="134"/>
          </rPr>
          <t>https://cloud.google.com/compute/all-pricing#gpus</t>
        </r>
      </text>
    </comment>
    <comment ref="J33" authorId="0">
      <text>
        <r>
          <rPr>
            <sz val="10"/>
            <rFont val="SimSun"/>
            <charset val="134"/>
          </rPr>
          <t>"Boost Clock enabled"</t>
        </r>
      </text>
    </comment>
    <comment ref="S33" authorId="0">
      <text>
        <r>
          <rPr>
            <sz val="10"/>
            <rFont val="SimSun"/>
            <charset val="134"/>
          </rPr>
          <t>https://www.techpowerup.com/gpu-specs/tesla-p4.c2879</t>
        </r>
      </text>
    </comment>
    <comment ref="V33" authorId="0">
      <text>
        <r>
          <rPr>
            <sz val="10"/>
            <rFont val="SimSun"/>
            <charset val="134"/>
          </rPr>
          <t>https://cloud.google.com/compute/all-pricing#gpus</t>
        </r>
      </text>
    </comment>
    <comment ref="AL33" authorId="0">
      <text>
        <r>
          <rPr>
            <sz val="10"/>
            <rFont val="SimSun"/>
            <charset val="134"/>
          </rPr>
          <t>https://www.techpowerup.com/gpu-specs/tesla-p4.c2879</t>
        </r>
      </text>
    </comment>
    <comment ref="AN33" authorId="0">
      <text>
        <r>
          <rPr>
            <sz val="10"/>
            <rFont val="SimSun"/>
            <charset val="134"/>
          </rPr>
          <t>"The new DGX A100 costs ‘only’ US$199,000 and churns out 5 teraflops of AI performance –the most powerful of any single system."</t>
        </r>
      </text>
    </comment>
    <comment ref="S34" authorId="0">
      <text>
        <r>
          <rPr>
            <sz val="10"/>
            <rFont val="SimSun"/>
            <charset val="134"/>
          </rPr>
          <t>https://www.techpowerup.com/gpu-specs/quadro-p5000.c2864</t>
        </r>
      </text>
    </comment>
    <comment ref="S35" authorId="0">
      <text>
        <r>
          <rPr>
            <sz val="10"/>
            <rFont val="SimSun"/>
            <charset val="134"/>
          </rPr>
          <t>https://www.techpowerup.com/gpu-specs/quadro-p5000.c2864</t>
        </r>
      </text>
    </comment>
    <comment ref="A41" authorId="0">
      <text>
        <r>
          <rPr>
            <sz val="10"/>
            <rFont val="SimSun"/>
            <charset val="134"/>
          </rPr>
          <t>combined specs for both GPUs on the card</t>
        </r>
      </text>
    </comment>
    <comment ref="A43" authorId="0">
      <text>
        <r>
          <rPr>
            <sz val="10"/>
            <rFont val="SimSun"/>
            <charset val="134"/>
          </rPr>
          <t>2 GPUs on one card: combined specs for both</t>
        </r>
      </text>
    </comment>
    <comment ref="V43" authorId="0">
      <text>
        <r>
          <rPr>
            <sz val="10"/>
            <rFont val="SimSun"/>
            <charset val="134"/>
          </rPr>
          <t>https://cloud.google.com/compute/all-pricing#gpus</t>
        </r>
      </text>
    </comment>
    <comment ref="U44" authorId="0">
      <text>
        <r>
          <rPr>
            <sz val="10"/>
            <rFont val="SimSun"/>
            <charset val="134"/>
          </rPr>
          <t>Preis für NVIDIA Tesla K40c bzw NVIDIA Tesla K40s (gleicher Preis und gleiches Jahr)</t>
        </r>
      </text>
    </comment>
    <comment ref="S49" authorId="0">
      <text>
        <r>
          <rPr>
            <sz val="10"/>
            <rFont val="SimSun"/>
            <charset val="134"/>
          </rPr>
          <t>https://en.wikipedia.org/wiki/Nvidia_Tesla</t>
        </r>
      </text>
    </comment>
    <comment ref="V49" authorId="0">
      <text>
        <r>
          <rPr>
            <sz val="10"/>
            <rFont val="SimSun"/>
            <charset val="134"/>
          </rPr>
          <t>https://cloud.google.com/compute/all-pricing#gpus</t>
        </r>
      </text>
    </comment>
  </commentList>
</comments>
</file>

<file path=xl/comments12.xml><?xml version="1.0" encoding="utf-8"?>
<comments xmlns="http://schemas.openxmlformats.org/spreadsheetml/2006/main">
  <authors>
    <author/>
  </authors>
  <commentList>
    <comment ref="A1" authorId="0">
      <text>
        <r>
          <rPr>
            <sz val="10"/>
            <rFont val="SimSun"/>
            <charset val="134"/>
          </rPr>
          <t>We might wanna remove this sheet or update it? @jaimesevillamolina@gmail.com
	-Lennart Heim</t>
        </r>
      </text>
    </comment>
  </commentList>
</comments>
</file>

<file path=xl/comments2.xml><?xml version="1.0" encoding="utf-8"?>
<comments xmlns="http://schemas.openxmlformats.org/spreadsheetml/2006/main">
  <authors>
    <author/>
  </authors>
  <commentList>
    <comment ref="A1" authorId="0">
      <text>
        <r>
          <rPr>
            <sz val="10"/>
            <rFont val="SimSun"/>
            <charset val="134"/>
          </rPr>
          <t>"Parameter, Compute and Data Trends in Machine Learning" 
CC-BY Jaime Sevilla, Pablo Villalobos, Juan Felipe Cerón, Matthew Burtell, Lennart Heim, Amogh B. Nanjajjar, Anson Ho, Tamay Besiroglu, Marius Hobbhahn and Jean-Stanislas Denain.
An interactive visualization of the dataset is available at 
https://ourworldindata.org/grapher/ai-training-computation
&amp;
https://epochai.org/mlinputs/visualization
If you find an error, want to add new information or suggest a new entry, leave a comment or email jaimesevillamolina@gmail.com
We thank:
- Miguel Arjona for help with data entry
- Tilman Rauker, Nuño Sempere and Max Rauker for providing a couple of estimates</t>
        </r>
      </text>
    </comment>
    <comment ref="B1" authorId="0">
      <text>
        <r>
          <rPr>
            <sz val="10"/>
            <rFont val="SimSun"/>
            <charset val="134"/>
          </rPr>
          <t>Vision, speech, language, games, etc</t>
        </r>
      </text>
    </comment>
    <comment ref="C1" authorId="0">
      <text>
        <r>
          <rPr>
            <sz val="10"/>
            <rFont val="SimSun"/>
            <charset val="134"/>
          </rPr>
          <t>The concrete task the system was trained to perform</t>
        </r>
      </text>
    </comment>
    <comment ref="G1" authorId="0">
      <text>
        <r>
          <rPr>
            <sz val="10"/>
            <rFont val="SimSun"/>
            <charset val="134"/>
          </rPr>
          <t>Day / Month / Year format
When the day is not know we fill it in as 15/XX/XXXX
When the month is now known we fill it in as 01/07/XXXX
A note will indicate what information has been filled in</t>
        </r>
      </text>
    </comment>
    <comment ref="K1" authorId="0">
      <text>
        <r>
          <rPr>
            <sz val="10"/>
            <rFont val="SimSun"/>
            <charset val="134"/>
          </rPr>
          <t>Extracted automatically from Google Scholar on 11/08/2021
Code: 
https://colab.research.google.com/drive/1rRrDwZtINXeiSbhKnxh_lsOpraYjOpmF?usp=sharing</t>
        </r>
      </text>
    </comment>
    <comment ref="L1" authorId="0">
      <text>
        <r>
          <rPr>
            <sz val="10"/>
            <rFont val="SimSun"/>
            <charset val="134"/>
          </rPr>
          <t>SOTA improvement, highly cited, historical relevance</t>
        </r>
      </text>
    </comment>
    <comment ref="N1" authorId="0">
      <text>
        <r>
          <rPr>
            <sz val="10"/>
            <rFont val="SimSun"/>
            <charset val="134"/>
          </rPr>
          <t xml:space="preserve">Number of free parameters
1,464 images in VOC 2012 </t>
        </r>
      </text>
    </comment>
    <comment ref="O1" authorId="0">
      <text>
        <r>
          <rPr>
            <sz val="10"/>
            <rFont val="SimSun"/>
            <charset val="134"/>
          </rPr>
          <t>Total amount of floating point operations used to train the model
Counts a multadd as 2 operations</t>
        </r>
      </text>
    </comment>
    <comment ref="R1" authorId="0">
      <text>
        <r>
          <rPr>
            <sz val="10"/>
            <rFont val="SimSun"/>
            <charset val="134"/>
          </rPr>
          <t>Number of hidden layers</t>
        </r>
      </text>
    </comment>
    <comment ref="S1" authorId="0">
      <text>
        <r>
          <rPr>
            <sz val="10"/>
            <rFont val="SimSun"/>
            <charset val="134"/>
          </rPr>
          <t>Total amount of floating point operations to process one single input to the model
Note: multadds are counted as 2 operations</t>
        </r>
      </text>
    </comment>
    <comment ref="U1" authorId="0">
      <text>
        <r>
          <rPr>
            <sz val="10"/>
            <rFont val="SimSun"/>
            <charset val="134"/>
          </rPr>
          <t>Training time x cores (hours)</t>
        </r>
      </text>
    </comment>
    <comment ref="X1" authorId="0">
      <text>
        <r>
          <rPr>
            <sz val="10"/>
            <rFont val="SimSun"/>
            <charset val="134"/>
          </rPr>
          <t>Supervised ML, unsupervised ML, RL, statistical modelling, etc</t>
        </r>
      </text>
    </comment>
    <comment ref="Y1" authorId="0">
      <text>
        <r>
          <rPr>
            <sz val="10"/>
            <rFont val="SimSun"/>
            <charset val="134"/>
          </rPr>
          <t>Whether the model is dense or sparse</t>
        </r>
      </text>
    </comment>
    <comment ref="Z1" authorId="0">
      <text>
        <r>
          <rPr>
            <sz val="10"/>
            <rFont val="SimSun"/>
            <charset val="134"/>
          </rPr>
          <t>The metric that was used as training loss</t>
        </r>
      </text>
    </comment>
    <comment ref="AA1" authorId="0">
      <text>
        <r>
          <rPr>
            <sz val="10"/>
            <rFont val="SimSun"/>
            <charset val="134"/>
          </rPr>
          <t>Training compute cost was calculated as the training compute divided by a FLOP/$ value.
The FLOP/$ value was calculated using one of two methods:
1. The value of FLOP/s per $ at the time of the system's publication, according to the "Our data" trendline in Figure 1 of https://epochai.org/blog/trends-in-gpu-price-performance
2. Dividing the theoretical peak throughput (including "Tensor Core" performance) by the reported unit price of the hardware that was actually used for training.
We expect that Method 2 is more accurate on average. So when an estimate via Method 2 is available, we report that estimate, otherwise we fall back to Method 1.
Additionally, we made the following assumptions for all systems, in order to convert theoretical peak FLOP/s per $ into realised FLOP/$:
1. Hardware utilization is 35%
2. Hardware replacement time is 2 years</t>
        </r>
      </text>
    </comment>
    <comment ref="AB1" authorId="0">
      <text>
        <r>
          <rPr>
            <sz val="10"/>
            <rFont val="SimSun"/>
            <charset val="134"/>
          </rPr>
          <t>Makes substantial use of self-supervised or unsupervised training.</t>
        </r>
      </text>
    </comment>
    <comment ref="AD1" authorId="0">
      <text>
        <r>
          <rPr>
            <sz val="10"/>
            <rFont val="SimSun"/>
            <charset val="134"/>
          </rPr>
          <t>This column is based on the "Organization Categorization" but simplifies it to "Academia" and "Industry" for answering the question "Who provided the computational resources for the final training run?".
When it's a mixed affiliation/categorization, we labeled the run as industry, because in practice we’ve found that with access to both, industry-controlled compute is the preferred path.
For resaerch collectives we adapt this manually and name our reason as a note.</t>
        </r>
      </text>
    </comment>
    <comment ref="Q7" authorId="0">
      <text>
        <r>
          <rPr>
            <sz val="10"/>
            <rFont val="SimSun"/>
            <charset val="134"/>
          </rPr>
          <t>Should be 1.56e12, off by 3 OOMs
	-John Croxton</t>
        </r>
      </text>
    </comment>
  </commentList>
</comments>
</file>

<file path=xl/comments3.xml><?xml version="1.0" encoding="utf-8"?>
<comments xmlns="http://schemas.openxmlformats.org/spreadsheetml/2006/main">
  <authors>
    <author/>
  </authors>
  <commentList>
    <comment ref="D1" authorId="0">
      <text>
        <r>
          <rPr>
            <sz val="10"/>
            <rFont val="SimSun"/>
            <charset val="134"/>
          </rPr>
          <t>Why the paper might be useful to us</t>
        </r>
      </text>
    </comment>
  </commentList>
</comments>
</file>

<file path=xl/comments4.xml><?xml version="1.0" encoding="utf-8"?>
<comments xmlns="http://schemas.openxmlformats.org/spreadsheetml/2006/main">
  <authors>
    <author/>
  </authors>
  <commentList>
    <comment ref="A1" authorId="0">
      <text>
        <r>
          <rPr>
            <sz val="10"/>
            <rFont val="SimSun"/>
            <charset val="134"/>
          </rPr>
          <t>"Parameter, Compute and Data Trends in Machine Learning" 
CC-BY Jaime Sevilla, Pablo Villalobos, Juan Felipe Cerón, Matthew Burtell, Lennart Heim, Amogh B. Nanjajjar, Anson Ho, Tamay Besiroglu, Marius Hobbhahn and Jean-Stanislas Denain.
An interactive visualization of the dataset is available at 
https://ourworldindata.org/grapher/ai-training-computation
&amp;
https://colab.research.google.com/drive/11m0AfSQnLiDijtE1fsIPqF-ipbTQcsFp
If you find an error, want to add new information or suggest a new entry, leave a comment or email jaimesevillamolina@gmail.com
We thank:
- Miguel Arjona for help with data entry
- Nuño Sempere for providing a couple of estimates</t>
        </r>
      </text>
    </comment>
    <comment ref="B1" authorId="0">
      <text>
        <r>
          <rPr>
            <sz val="10"/>
            <rFont val="SimSun"/>
            <charset val="134"/>
          </rPr>
          <t>Vision, speech, language, games, etc</t>
        </r>
      </text>
    </comment>
    <comment ref="C1" authorId="0">
      <text>
        <r>
          <rPr>
            <sz val="10"/>
            <rFont val="SimSun"/>
            <charset val="134"/>
          </rPr>
          <t>The concrete task the system was trained to perform</t>
        </r>
      </text>
    </comment>
    <comment ref="J1" authorId="0">
      <text>
        <r>
          <rPr>
            <sz val="10"/>
            <rFont val="SimSun"/>
            <charset val="134"/>
          </rPr>
          <t>Extracted automatically from Google Scholar on 11/08/2021
Code: 
https://colab.research.google.com/drive/1rRrDwZtINXeiSbhKnxh_lsOpraYjOpmF?usp=sharing</t>
        </r>
      </text>
    </comment>
    <comment ref="K1" authorId="0">
      <text>
        <r>
          <rPr>
            <sz val="10"/>
            <rFont val="SimSun"/>
            <charset val="134"/>
          </rPr>
          <t>Where we heard about this paper</t>
        </r>
      </text>
    </comment>
    <comment ref="A5" authorId="0">
      <text>
        <r>
          <rPr>
            <sz val="10"/>
            <rFont val="SimSun"/>
            <charset val="134"/>
          </rPr>
          <t>Netflix algorithm</t>
        </r>
      </text>
    </comment>
    <comment ref="F5" authorId="0">
      <text>
        <r>
          <rPr>
            <sz val="10"/>
            <rFont val="SimSun"/>
            <charset val="134"/>
          </rPr>
          <t>"In January 2000, Netflix introduced
“Suggestions”"</t>
        </r>
      </text>
    </comment>
    <comment ref="B8" authorId="0">
      <text>
        <r>
          <rPr>
            <sz val="10"/>
            <rFont val="SimSun"/>
            <charset val="134"/>
          </rPr>
          <t>But not only: Long-Range Arena includes multiple modalities</t>
        </r>
      </text>
    </comment>
    <comment ref="I13" authorId="0">
      <text>
        <r>
          <rPr>
            <sz val="10"/>
            <rFont val="SimSun"/>
            <charset val="134"/>
          </rPr>
          <t>The relevant reference is one in here
https://skatgame.net/mburo/publications.html
	-Jaime Sevilla</t>
        </r>
      </text>
    </comment>
    <comment ref="A15" authorId="0">
      <text>
        <r>
          <rPr>
            <sz val="10"/>
            <rFont val="SimSun"/>
            <charset val="134"/>
          </rPr>
          <t>Maybe this is the same as MENACE?
	-Jaime Sevilla</t>
        </r>
      </text>
    </comment>
    <comment ref="A41" authorId="0">
      <text>
        <r>
          <rPr>
            <sz val="10"/>
            <rFont val="SimSun"/>
            <charset val="134"/>
          </rPr>
          <t>Suggesting to move BLOOM to Notable ML Systems
cc @lewis@huggingface.co
	-Julien Chaumond</t>
        </r>
      </text>
    </comment>
    <comment ref="A42" authorId="0">
      <text>
        <r>
          <rPr>
            <sz val="10"/>
            <rFont val="SimSun"/>
            <charset val="134"/>
          </rPr>
          <t>I recommend adding Yandex's YaLM: https://github.com/yandex/YaLM-100B. Please reach out if any Russian-&gt;English translation is needed.
	-Samuel Curtis</t>
        </r>
      </text>
    </comment>
    <comment ref="I46" authorId="0">
      <text>
        <r>
          <rPr>
            <sz val="10"/>
            <rFont val="SimSun"/>
            <charset val="134"/>
          </rPr>
          <t>Archived link 
https://web.archive.org/web/20220123231830/https://www.nature.com/articles/s41586-018-0180-5</t>
        </r>
      </text>
    </comment>
    <comment ref="I47" authorId="0">
      <text>
        <r>
          <rPr>
            <sz val="10"/>
            <rFont val="SimSun"/>
            <charset val="134"/>
          </rPr>
          <t>Archived link 
https://web.archive.org/web/20220122002806/https://arxiv.org/pdf/2004.12850.pdf</t>
        </r>
      </text>
    </comment>
    <comment ref="I48" authorId="0">
      <text>
        <r>
          <rPr>
            <sz val="10"/>
            <rFont val="SimSun"/>
            <charset val="134"/>
          </rPr>
          <t xml:space="preserve">Archived link 
https://web.archive.org/web/20211231005013/https://mitpress.mit.edu/books/advances-neural-information-processing-systems </t>
        </r>
      </text>
    </comment>
    <comment ref="I49" authorId="0">
      <text>
        <r>
          <rPr>
            <sz val="10"/>
            <rFont val="SimSun"/>
            <charset val="134"/>
          </rPr>
          <t>Archived link 
https://web.archive.org/web/20211122132823/https://www.pnas.org/content/116/32/15849</t>
        </r>
      </text>
    </comment>
    <comment ref="I50" authorId="0">
      <text>
        <r>
          <rPr>
            <sz val="10"/>
            <rFont val="SimSun"/>
            <charset val="134"/>
          </rPr>
          <t>Archived link 
https://web.archive.org/web/20220122002844/https://arxiv.org/pdf/1806.05161.pdf</t>
        </r>
      </text>
    </comment>
    <comment ref="I51" authorId="0">
      <text>
        <r>
          <rPr>
            <sz val="10"/>
            <rFont val="SimSun"/>
            <charset val="134"/>
          </rPr>
          <t>Archived link 
https://web.archive.org/web/20220122003058/https://arxiv.org/pdf/1806.09471.pdf</t>
        </r>
      </text>
    </comment>
    <comment ref="I52" authorId="0">
      <text>
        <r>
          <rPr>
            <sz val="10"/>
            <rFont val="SimSun"/>
            <charset val="134"/>
          </rPr>
          <t>Archived link 
https://web.archive.org/web/20220123231945/https://arxiv.org/pdf/1910.07419.pdf</t>
        </r>
      </text>
    </comment>
    <comment ref="I53" authorId="0">
      <text>
        <r>
          <rPr>
            <sz val="10"/>
            <rFont val="SimSun"/>
            <charset val="134"/>
          </rPr>
          <t xml:space="preserve">Archived link https://web.archive.org/web/20220121231517/https://www.semanticscholar.org/paper/Findings-of-the-2014-Workshop-on-Statistical-Bojar-Buck/5ec85a0d88adcc4344bb5cc81b0d1aef9bcd8dcc
</t>
        </r>
      </text>
    </comment>
    <comment ref="I54" authorId="0">
      <text>
        <r>
          <rPr>
            <sz val="10"/>
            <rFont val="SimSun"/>
            <charset val="134"/>
          </rPr>
          <t xml:space="preserve">Archived link 
https://web.archive.org/web/20220122003106/https://aclanthology.org/2014.iwslt-evaluation.1.pdf
</t>
        </r>
      </text>
    </comment>
    <comment ref="I55" authorId="0">
      <text>
        <r>
          <rPr>
            <sz val="10"/>
            <rFont val="SimSun"/>
            <charset val="134"/>
          </rPr>
          <t xml:space="preserve">Archived link 
https://web.archive.org/web/20220122003127/https://arxiv.org/pdf/1807.03848.pdf
</t>
        </r>
      </text>
    </comment>
    <comment ref="I56" authorId="0">
      <text>
        <r>
          <rPr>
            <sz val="10"/>
            <rFont val="SimSun"/>
            <charset val="134"/>
          </rPr>
          <t>Archived link 
https://web.archive.org/web/20210803074505/https://arxiv.org/pdf/1710.09282.pdf</t>
        </r>
      </text>
    </comment>
    <comment ref="I57" authorId="0">
      <text>
        <r>
          <rPr>
            <sz val="10"/>
            <rFont val="SimSun"/>
            <charset val="134"/>
          </rPr>
          <t xml:space="preserve">Archived link 
https://web.archive.org/web/20210413181046/https://arxiv.org/pdf/1702.05373.pdf
</t>
        </r>
      </text>
    </comment>
    <comment ref="I58" authorId="0">
      <text>
        <r>
          <rPr>
            <sz val="10"/>
            <rFont val="SimSun"/>
            <charset val="134"/>
          </rPr>
          <t xml:space="preserve">Archived link 
https://web.archive.org/web/20220121233605/https://catalog.ldc.upenn.edu/LDC2002T43
</t>
        </r>
      </text>
    </comment>
    <comment ref="I59" authorId="0">
      <text>
        <r>
          <rPr>
            <sz val="10"/>
            <rFont val="SimSun"/>
            <charset val="134"/>
          </rPr>
          <t>Archived link 
https://web.archive.org/web/20220121233702/https://www.nvidia.com/en-us/data-center/tesla-p100/</t>
        </r>
      </text>
    </comment>
    <comment ref="I60" authorId="0">
      <text>
        <r>
          <rPr>
            <sz val="10"/>
            <rFont val="SimSun"/>
            <charset val="134"/>
          </rPr>
          <t>Archived link 
https://web.archive.org/web/20211122072311/https://arxiv.org/pdf/1811.12926.pdf</t>
        </r>
      </text>
    </comment>
    <comment ref="I61" authorId="0">
      <text>
        <r>
          <rPr>
            <sz val="10"/>
            <rFont val="SimSun"/>
            <charset val="134"/>
          </rPr>
          <t>Archived link 
https://web.archive.org/web/20220122001758/https://dl.acm.org/doi/10.1145/2181796.2181798</t>
        </r>
      </text>
    </comment>
    <comment ref="I62" authorId="0">
      <text>
        <r>
          <rPr>
            <sz val="10"/>
            <rFont val="SimSun"/>
            <charset val="134"/>
          </rPr>
          <t>Archived link 
https://web.archive.org/web/20220122013510/https://arxiv.org/pdf/1810.03505.pdf</t>
        </r>
      </text>
    </comment>
    <comment ref="I63" authorId="0">
      <text>
        <r>
          <rPr>
            <sz val="10"/>
            <rFont val="SimSun"/>
            <charset val="134"/>
          </rPr>
          <t>Archived link 
https://web.archive.org/web/20220122010128/https://ieeexplore.ieee.org/document/8804672/authors#authors</t>
        </r>
      </text>
    </comment>
    <comment ref="I64" authorId="0">
      <text>
        <r>
          <rPr>
            <sz val="10"/>
            <rFont val="SimSun"/>
            <charset val="134"/>
          </rPr>
          <t xml:space="preserve">Archived link 
https://web.archive.org/web/20220122010055/https://ieeexplore.ieee.org/document/5206848
</t>
        </r>
      </text>
    </comment>
    <comment ref="I65" authorId="0">
      <text>
        <r>
          <rPr>
            <sz val="10"/>
            <rFont val="SimSun"/>
            <charset val="134"/>
          </rPr>
          <t>Archived link 
https://web.archive.org/web/20220122014746/https://arxiv.org/pdf/1703.08651.pdf</t>
        </r>
      </text>
    </comment>
    <comment ref="I66" authorId="0">
      <text>
        <r>
          <rPr>
            <sz val="10"/>
            <rFont val="SimSun"/>
            <charset val="134"/>
          </rPr>
          <t>Archived link 
https://web.archive.org/web/20220122014746/https://arxiv.org/pdf/1603.08575.pdf</t>
        </r>
      </text>
    </comment>
    <comment ref="I67" authorId="0">
      <text>
        <r>
          <rPr>
            <sz val="10"/>
            <rFont val="SimSun"/>
            <charset val="134"/>
          </rPr>
          <t>Archived link 
https://web.archive.org/web/20220122014751/https://homepages.inf.ed.ac.uk/ckiw/postscript/ijcv_voc09.pdf</t>
        </r>
      </text>
    </comment>
    <comment ref="I68" authorId="0">
      <text>
        <r>
          <rPr>
            <sz val="10"/>
            <rFont val="SimSun"/>
            <charset val="134"/>
          </rPr>
          <t>Archived link 
https://web.archive.org/web/20220122014835/http://vision.stanford.edu/documents/Fei-Fei_ICCV03.pdf</t>
        </r>
      </text>
    </comment>
    <comment ref="I69" authorId="0">
      <text>
        <r>
          <rPr>
            <sz val="10"/>
            <rFont val="SimSun"/>
            <charset val="134"/>
          </rPr>
          <t>Archived link 
https://web.archive.org/web/20220122014843/https://arxiv.org/pdf/1703.03400.pdf</t>
        </r>
      </text>
    </comment>
    <comment ref="I70" authorId="0">
      <text>
        <r>
          <rPr>
            <sz val="10"/>
            <rFont val="SimSun"/>
            <charset val="134"/>
          </rPr>
          <t>Archived link 
https://web.archive.org/web/20220122010946/https://www.ibm.com/blogs/research/2019/03/power-quantum-device/</t>
        </r>
      </text>
    </comment>
    <comment ref="I71" authorId="0">
      <text>
        <r>
          <rPr>
            <sz val="10"/>
            <rFont val="SimSun"/>
            <charset val="134"/>
          </rPr>
          <t>Archived link 
https://web.archive.org/web/20220122010931/https://proceedings.mlr.press/v32/graves14.html</t>
        </r>
      </text>
    </comment>
    <comment ref="I72" authorId="0">
      <text>
        <r>
          <rPr>
            <sz val="10"/>
            <rFont val="SimSun"/>
            <charset val="134"/>
          </rPr>
          <t>Archived link 
https://web.archive.org/web/20220122014857/https://authors.library.caltech.edu/7694/1/CNS-TR-2007-001.pdf</t>
        </r>
      </text>
    </comment>
    <comment ref="I73" authorId="0">
      <text>
        <r>
          <rPr>
            <sz val="10"/>
            <rFont val="SimSun"/>
            <charset val="134"/>
          </rPr>
          <t>Archived link 
https://web.archive.org/web/20220122014851/https://arxiv.org/pdf/1510.00149.pdf</t>
        </r>
      </text>
    </comment>
    <comment ref="I74" authorId="0">
      <text>
        <r>
          <rPr>
            <sz val="10"/>
            <rFont val="SimSun"/>
            <charset val="134"/>
          </rPr>
          <t>Archived link 
https://web.archive.org/web/20220122014856/https://arxiv.org/pdf/1901.03446.pdf</t>
        </r>
      </text>
    </comment>
    <comment ref="I75" authorId="0">
      <text>
        <r>
          <rPr>
            <sz val="10"/>
            <rFont val="SimSun"/>
            <charset val="134"/>
          </rPr>
          <t>Archived link 
https://web.archive.org/web/20220122014901/http://acs.pub.ro/~cpop/SMPA/Computer%20Architecture%20A%20Quantitative%20Approach%20%285th%20edition%29.pdf</t>
        </r>
      </text>
    </comment>
    <comment ref="I76" authorId="0">
      <text>
        <r>
          <rPr>
            <sz val="10"/>
            <rFont val="SimSun"/>
            <charset val="134"/>
          </rPr>
          <t>Archived link 
https://web.archive.org/web/20220122011153/https://openai.com/blog/ai-and-efficiency/</t>
        </r>
      </text>
    </comment>
    <comment ref="I77" authorId="0">
      <text>
        <r>
          <rPr>
            <sz val="10"/>
            <rFont val="SimSun"/>
            <charset val="134"/>
          </rPr>
          <t>Archived link 
https://web.archive.org/web/20220120041314/https://papers.nips.cc/paper/2016/file/d8330f857a17c53d217014ee776bfd50-Paper.pdf</t>
        </r>
      </text>
    </comment>
    <comment ref="I78" authorId="0">
      <text>
        <r>
          <rPr>
            <sz val="10"/>
            <rFont val="SimSun"/>
            <charset val="134"/>
          </rPr>
          <t>Archived link 
https://web.archive.org/web/20220123225143/https%3A%2F%2Fieeexplore.ieee.org%2Fdocument%2F1454428</t>
        </r>
      </text>
    </comment>
    <comment ref="I79" authorId="0">
      <text>
        <r>
          <rPr>
            <sz val="10"/>
            <rFont val="SimSun"/>
            <charset val="134"/>
          </rPr>
          <t>Archived link
https://web.archive.org/web/20220123225223/https%3A%2F%2Fieeexplore.ieee.org%2Fdocument%2F8776551</t>
        </r>
      </text>
    </comment>
    <comment ref="I80" authorId="0">
      <text>
        <r>
          <rPr>
            <sz val="10"/>
            <rFont val="SimSun"/>
            <charset val="134"/>
          </rPr>
          <t>Archived link 
https://web.archive.org/web/20220123225226/https://ai.stanford.edu/~jkrause/papers/fgvc13.pdf</t>
        </r>
      </text>
    </comment>
    <comment ref="I81" authorId="0">
      <text>
        <r>
          <rPr>
            <sz val="10"/>
            <rFont val="SimSun"/>
            <charset val="134"/>
          </rPr>
          <t>Archived link 
https://web.archive.org/web/20220124005813/https://www.cs.toronto.edu/~kriz/conv-cifar10-aug2010.pdf</t>
        </r>
      </text>
    </comment>
    <comment ref="I82" authorId="0">
      <text>
        <r>
          <rPr>
            <sz val="10"/>
            <rFont val="SimSun"/>
            <charset val="134"/>
          </rPr>
          <t xml:space="preserve">archived link
https://web.archive.org/web/20220121092855/https://www.cs.toronto.edu/~kriz/learning-features-2009-TR.pdf
</t>
        </r>
      </text>
    </comment>
    <comment ref="I83" authorId="0">
      <text>
        <r>
          <rPr>
            <sz val="10"/>
            <rFont val="SimSun"/>
            <charset val="134"/>
          </rPr>
          <t>Archived link 
https://web.archive.org/web/20220124010359/https://www.cs.toronto.edu/~kriz/cifar.html</t>
        </r>
      </text>
    </comment>
    <comment ref="I84" authorId="0">
      <text>
        <r>
          <rPr>
            <sz val="10"/>
            <rFont val="SimSun"/>
            <charset val="134"/>
          </rPr>
          <t>Archived link 
https://web.archive.org/web/20220124010415/https://medium.com/datamob/clearing-the-buzzwords-in-machine-learning-e395ad73178b</t>
        </r>
      </text>
    </comment>
    <comment ref="I85" authorId="0">
      <text>
        <r>
          <rPr>
            <sz val="10"/>
            <rFont val="SimSun"/>
            <charset val="134"/>
          </rPr>
          <t>Archived link 
https://web.archive.org/web/20220124010502/https://arxiv.org/pdf/1812.01718.pdf</t>
        </r>
      </text>
    </comment>
    <comment ref="I86" authorId="0">
      <text>
        <r>
          <rPr>
            <sz val="10"/>
            <rFont val="SimSun"/>
            <charset val="134"/>
          </rPr>
          <t>Archived link 
https://web.archive.org/web/20220124010815/http://yann.lecun.com/exdb/mnist/</t>
        </r>
      </text>
    </comment>
    <comment ref="I87" authorId="0">
      <text>
        <r>
          <rPr>
            <sz val="10"/>
            <rFont val="SimSun"/>
            <charset val="134"/>
          </rPr>
          <t>Archived link 
https://web.archive.org/web/20220124011031/https://pubmed.ncbi.nlm.nih.gov/32499413/</t>
        </r>
      </text>
    </comment>
    <comment ref="I88" authorId="0">
      <text>
        <r>
          <rPr>
            <sz val="10"/>
            <rFont val="SimSun"/>
            <charset val="134"/>
          </rPr>
          <t>Archived link 
https://web.archive.org/web/20220118200912/https://arxiv.org/pdf/1405.0312.pdf</t>
        </r>
      </text>
    </comment>
    <comment ref="I89" authorId="0">
      <text>
        <r>
          <rPr>
            <sz val="10"/>
            <rFont val="SimSun"/>
            <charset val="134"/>
          </rPr>
          <t>Archived link 
https://web.archive.org/web/20220124023326/https://arxiv.org/ftp/arxiv/papers/1804/1804.08711.pdf</t>
        </r>
      </text>
    </comment>
    <comment ref="I90" authorId="0">
      <text>
        <r>
          <rPr>
            <sz val="10"/>
            <rFont val="SimSun"/>
            <charset val="134"/>
          </rPr>
          <t>Archived link 
https://web.archive.org/web/20220124023347/https://link.springer.com/chapter/10.1007/978-3-319-02999-3_9</t>
        </r>
      </text>
    </comment>
    <comment ref="I91" authorId="0">
      <text>
        <r>
          <rPr>
            <sz val="10"/>
            <rFont val="SimSun"/>
            <charset val="134"/>
          </rPr>
          <t>Archived link 
https://web.archive.org/web/20220124023434/https://arxiv.org/pdf/1605.06636.pdf</t>
        </r>
      </text>
    </comment>
    <comment ref="I92" authorId="0">
      <text>
        <r>
          <rPr>
            <sz val="10"/>
            <rFont val="SimSun"/>
            <charset val="134"/>
          </rPr>
          <t>Archived link 
https://web.archive.org/web/20220103143019/https://www.cs.ubc.ca/~lowe/papers/ijcv04.pdf</t>
        </r>
      </text>
    </comment>
    <comment ref="I93" authorId="0">
      <text>
        <r>
          <rPr>
            <sz val="10"/>
            <rFont val="SimSun"/>
            <charset val="134"/>
          </rPr>
          <t>Archived Link 
https://web.archive.org/web/20210626181138/https://arxiv.org/pdf/1904.12584.pdf</t>
        </r>
      </text>
    </comment>
    <comment ref="I94" authorId="0">
      <text>
        <r>
          <rPr>
            <sz val="10"/>
            <rFont val="SimSun"/>
            <charset val="134"/>
          </rPr>
          <t>Archived link 
https://web.archive.org/web/20210306050806/https://arxiv.org/pdf/0806.0145.pdf</t>
        </r>
      </text>
    </comment>
    <comment ref="I95" authorId="0">
      <text>
        <r>
          <rPr>
            <sz val="10"/>
            <rFont val="SimSun"/>
            <charset val="134"/>
          </rPr>
          <t>Archived link 
https://web.archive.org/web/20220124024824/https://mitpress.mit.edu/books/perceptrons</t>
        </r>
      </text>
    </comment>
    <comment ref="I96" authorId="0">
      <text>
        <r>
          <rPr>
            <sz val="10"/>
            <rFont val="SimSun"/>
            <charset val="134"/>
          </rPr>
          <t>Archived link 
https://web.archive.org/web/20220120023248/http://ufldl.stanford.edu/housenumbers/</t>
        </r>
      </text>
    </comment>
    <comment ref="I97" authorId="0">
      <text>
        <r>
          <rPr>
            <sz val="10"/>
            <rFont val="SimSun"/>
            <charset val="134"/>
          </rPr>
          <t>Archived link 
https://web.archive.org/web/20211217061838/https://arxiv.org/pdf/1810.05148.pdf</t>
        </r>
      </text>
    </comment>
    <comment ref="I98" authorId="0">
      <text>
        <r>
          <rPr>
            <sz val="10"/>
            <rFont val="SimSun"/>
            <charset val="134"/>
          </rPr>
          <t>Archived link 
https://web.archive.org/web/20220124024919/https://citeseerx.ist.psu.edu/viewdoc/download?doi=10.1.1.71.7388&amp;rep=rep1&amp;type=pdf</t>
        </r>
      </text>
    </comment>
    <comment ref="I99" authorId="0">
      <text>
        <r>
          <rPr>
            <sz val="10"/>
            <rFont val="SimSun"/>
            <charset val="134"/>
          </rPr>
          <t>Archived link 
https://web.archive.org/web/20220124024924/https://arxiv.org/pdf/1802.03268.pdf</t>
        </r>
      </text>
    </comment>
    <comment ref="I100" authorId="0">
      <text>
        <r>
          <rPr>
            <sz val="10"/>
            <rFont val="SimSun"/>
            <charset val="134"/>
          </rPr>
          <t>Archived link 
https://web.archive.org/web/20220124024934/https://arxiv.org/pdf/1805.10074.pdf</t>
        </r>
      </text>
    </comment>
    <comment ref="I101" authorId="0">
      <text>
        <r>
          <rPr>
            <sz val="10"/>
            <rFont val="SimSun"/>
            <charset val="134"/>
          </rPr>
          <t>Archived link 
https://web.archive.org/web/20190305222154/https://arxiv.org/pdf/1703.05364.pdf</t>
        </r>
      </text>
    </comment>
    <comment ref="I102" authorId="0">
      <text>
        <r>
          <rPr>
            <sz val="10"/>
            <rFont val="SimSun"/>
            <charset val="134"/>
          </rPr>
          <t>Archived link 
https://web.archive.org/web/20220124025251/https://arxiv.org/pdf/1606.05250.pdf</t>
        </r>
      </text>
    </comment>
    <comment ref="I103" authorId="0">
      <text>
        <r>
          <rPr>
            <sz val="10"/>
            <rFont val="SimSun"/>
            <charset val="134"/>
          </rPr>
          <t>Archived link 
https://web.archive.org/web/20220124025012/https://arxiv.org/pdf/1902.10811.pdf</t>
        </r>
      </text>
    </comment>
    <comment ref="I104" authorId="0">
      <text>
        <r>
          <rPr>
            <sz val="10"/>
            <rFont val="SimSun"/>
            <charset val="134"/>
          </rPr>
          <t>Archived link 
https://web.archive.org/web/20220124030717/https://www.semanticscholar.org/paper/Perceptron-Simulation-Experiments-Rosenblatt/ae76ce1ba27ac29addce4aab93b927e9bc7f7c67</t>
        </r>
      </text>
    </comment>
    <comment ref="I105" authorId="0">
      <text>
        <r>
          <rPr>
            <sz val="10"/>
            <rFont val="SimSun"/>
            <charset val="134"/>
          </rPr>
          <t xml:space="preserve">Archived </t>
        </r>
      </text>
    </comment>
    <comment ref="I106" authorId="0">
      <text>
        <r>
          <rPr>
            <sz val="10"/>
            <rFont val="SimSun"/>
            <charset val="134"/>
          </rPr>
          <t>Archived link 
https://web.archive.org/web/20220124030741/https://ieeexplore.ieee.org/document/9540991</t>
        </r>
      </text>
    </comment>
    <comment ref="I107" authorId="0">
      <text>
        <r>
          <rPr>
            <sz val="10"/>
            <rFont val="SimSun"/>
            <charset val="134"/>
          </rPr>
          <t>Archived link 
https://web.archive.org/web/20210419071008/https://arxiv.org/pdf/1901.11117.pdf</t>
        </r>
      </text>
    </comment>
    <comment ref="I108" authorId="0">
      <text>
        <r>
          <rPr>
            <sz val="10"/>
            <rFont val="SimSun"/>
            <charset val="134"/>
          </rPr>
          <t>Archived link 
https://web.archive.org/web/20210616025624/https://arxiv.org/pdf/1707.04926.pdf</t>
        </r>
      </text>
    </comment>
    <comment ref="I109" authorId="0">
      <text>
        <r>
          <rPr>
            <sz val="10"/>
            <rFont val="SimSun"/>
            <charset val="134"/>
          </rPr>
          <t>Archived link 
https://web.archive.org/web/20211228173919/https://arxiv.org/pdf/1906.02243.pdf</t>
        </r>
      </text>
    </comment>
    <comment ref="I111" authorId="0">
      <text>
        <r>
          <rPr>
            <sz val="10"/>
            <rFont val="SimSun"/>
            <charset val="134"/>
          </rPr>
          <t>Archived link 
https://web.archive.org/web/20220124031432/https://papers.ssrn.com/sol3/papers.cfm?abstract_id=3287769</t>
        </r>
      </text>
    </comment>
    <comment ref="I112" authorId="0">
      <text>
        <r>
          <rPr>
            <sz val="10"/>
            <rFont val="SimSun"/>
            <charset val="134"/>
          </rPr>
          <t>Archived link 
https://web.archive.org/web/20220124031439/https://www.jstor.org/stable/2346178</t>
        </r>
      </text>
    </comment>
    <comment ref="I113" authorId="0">
      <text>
        <r>
          <rPr>
            <sz val="10"/>
            <rFont val="SimSun"/>
            <charset val="134"/>
          </rPr>
          <t>Archived link 
https://web.archive.org/web/20220124031450/https://arxiv.org/pdf/1903.11683.pdf</t>
        </r>
      </text>
    </comment>
    <comment ref="I114" authorId="0">
      <text>
        <r>
          <rPr>
            <sz val="10"/>
            <rFont val="SimSun"/>
            <charset val="134"/>
          </rPr>
          <t>Archived link 
https://web.archive.org/web/20210503040721/https://arxiv.org/pdf/1905.11481.pdf</t>
        </r>
      </text>
    </comment>
    <comment ref="I115" authorId="0">
      <text>
        <r>
          <rPr>
            <sz val="10"/>
            <rFont val="SimSun"/>
            <charset val="134"/>
          </rPr>
          <t>Archived link 
https://web.archive.org/web/20220124031200/https://arxiv.org/pdf/1906.02243.pdf</t>
        </r>
      </text>
    </comment>
    <comment ref="I116" authorId="0">
      <text>
        <r>
          <rPr>
            <sz val="10"/>
            <rFont val="SimSun"/>
            <charset val="134"/>
          </rPr>
          <t>Archived link 
https://web.archive.org/web/20220124033710/http://people.ee.duke.edu/~lcarin/cvpr2010_0618.pdf</t>
        </r>
      </text>
    </comment>
    <comment ref="I117" authorId="0">
      <text>
        <r>
          <rPr>
            <sz val="10"/>
            <rFont val="SimSun"/>
            <charset val="134"/>
          </rPr>
          <t>Archived link 
https://web.archive.org/web/20220124033605/https://ieeexplore.ieee.org/document/8614482</t>
        </r>
      </text>
    </comment>
    <comment ref="I118" authorId="0">
      <text>
        <r>
          <rPr>
            <sz val="10"/>
            <rFont val="SimSun"/>
            <charset val="134"/>
          </rPr>
          <t>Archived link 
https://web.archive.org/web/20220124033806/https://arxiv.org/pdf/1703.09746.pdf</t>
        </r>
      </text>
    </comment>
    <comment ref="I119" authorId="0">
      <text>
        <r>
          <rPr>
            <sz val="10"/>
            <rFont val="SimSun"/>
            <charset val="134"/>
          </rPr>
          <t>Archived link 
https://web.archive.org/web/20220124033838/https://arxiv.org/pdf/2004.11886.pdf</t>
        </r>
      </text>
    </comment>
    <comment ref="I120" authorId="0">
      <text>
        <r>
          <rPr>
            <sz val="10"/>
            <rFont val="SimSun"/>
            <charset val="134"/>
          </rPr>
          <t>Archived link 
https://web.archive.org/web/20220124033902/https://arxiv.org/pdf/1708.07747.pdf</t>
        </r>
      </text>
    </comment>
    <comment ref="I121" authorId="0">
      <text>
        <r>
          <rPr>
            <sz val="10"/>
            <rFont val="SimSun"/>
            <charset val="134"/>
          </rPr>
          <t>Archived link 
https://web.archive.org/web/20220124033926/https://arxiv.org/pdf/1810.02338.pdf</t>
        </r>
      </text>
    </comment>
    <comment ref="I122" authorId="0">
      <text>
        <r>
          <rPr>
            <sz val="10"/>
            <rFont val="SimSun"/>
            <charset val="134"/>
          </rPr>
          <t>Archived link 
https://web.archive.org/web/20220124034043/http://tongzhang-ml.org/papers/eccv10_supervect.pdf</t>
        </r>
      </text>
    </comment>
    <comment ref="I126" authorId="0">
      <text>
        <r>
          <rPr>
            <sz val="10"/>
            <rFont val="SimSun"/>
            <charset val="134"/>
          </rPr>
          <t>Archived link 
https://web.archive.org/web/20220113194223/https://arxiv.org/pdf/2103.07579.pdf</t>
        </r>
      </text>
    </comment>
    <comment ref="I127" authorId="0">
      <text>
        <r>
          <rPr>
            <sz val="10"/>
            <rFont val="SimSun"/>
            <charset val="134"/>
          </rPr>
          <t>Archived link 
https://web.archive.org/web/20220125015251/https://arxiv.org/pdf/2006.07159.pdf</t>
        </r>
      </text>
    </comment>
    <comment ref="I128" authorId="0">
      <text>
        <r>
          <rPr>
            <sz val="10"/>
            <rFont val="SimSun"/>
            <charset val="134"/>
          </rPr>
          <t>Archived link 
https://web.archive.org/web/20211122130721/https://arxiv.org/pdf/2005.12872.pdf</t>
        </r>
      </text>
    </comment>
    <comment ref="I129" authorId="0">
      <text>
        <r>
          <rPr>
            <sz val="10"/>
            <rFont val="SimSun"/>
            <charset val="134"/>
          </rPr>
          <t>Archived link 
https://web.archive.org/web/20211201124119/https://arxiv.org/pdf/1911.03584.pdf</t>
        </r>
      </text>
    </comment>
    <comment ref="I130" authorId="0">
      <text>
        <r>
          <rPr>
            <sz val="10"/>
            <rFont val="SimSun"/>
            <charset val="134"/>
          </rPr>
          <t>Archived Lin k
https://web.archive.org/web/20220125023316/http://web.archive.org/screenshot/https://link.springer.com/article/10.1007/BF00994018</t>
        </r>
      </text>
    </comment>
    <comment ref="I131" authorId="0">
      <text>
        <r>
          <rPr>
            <sz val="10"/>
            <rFont val="SimSun"/>
            <charset val="134"/>
          </rPr>
          <t>Archived link 
https://web.archive.org/web/20211230233352/https://arxiv.org/pdf/2006.07733.pdf</t>
        </r>
      </text>
    </comment>
    <comment ref="I132" authorId="0">
      <text>
        <r>
          <rPr>
            <sz val="10"/>
            <rFont val="SimSun"/>
            <charset val="134"/>
          </rPr>
          <t>Archived link 
https://web.archive.org/web/20220108041442/https://arxiv.org/pdf/2010.14701.pdf</t>
        </r>
      </text>
    </comment>
    <comment ref="I133" authorId="0">
      <text>
        <r>
          <rPr>
            <sz val="10"/>
            <rFont val="SimSun"/>
            <charset val="134"/>
          </rPr>
          <t>Archived link 
https://web.archive.org/web/20220101231121/https://arxiv.org/pdf/2001.08361.pdf</t>
        </r>
      </text>
    </comment>
    <comment ref="I134" authorId="0">
      <text>
        <r>
          <rPr>
            <sz val="10"/>
            <rFont val="SimSun"/>
            <charset val="134"/>
          </rPr>
          <t>Archived link 
https://web.archive.org/web/20211122111046/https://arxiv.org/pdf/1912.11370.pdf</t>
        </r>
      </text>
    </comment>
    <comment ref="I135" authorId="0">
      <text>
        <r>
          <rPr>
            <sz val="10"/>
            <rFont val="SimSun"/>
            <charset val="134"/>
          </rPr>
          <t>Archived link 
https://web.archive.org/web/20210507001006/https://arxiv.org/pdf/1810.00825.pdf</t>
        </r>
      </text>
    </comment>
    <comment ref="I136" authorId="0">
      <text>
        <r>
          <rPr>
            <sz val="10"/>
            <rFont val="SimSun"/>
            <charset val="134"/>
          </rPr>
          <t>Archived link 
https://web.archive.org/web/20220106130841/https://arxiv.org/pdf/2006.16668.pdf</t>
        </r>
      </text>
    </comment>
    <comment ref="I137" authorId="0">
      <text>
        <r>
          <rPr>
            <sz val="10"/>
            <rFont val="SimSun"/>
            <charset val="134"/>
          </rPr>
          <t>Archived link 
https://web.archive.org/web/20220125041916/https://www.robots.ox.ac.uk/~vgg/publications/2012/parkhi12a/</t>
        </r>
      </text>
    </comment>
    <comment ref="I138" authorId="0">
      <text>
        <r>
          <rPr>
            <sz val="10"/>
            <rFont val="SimSun"/>
            <charset val="134"/>
          </rPr>
          <t>Archived link 
https://web.archive.org/web/20220127222510/https://epubs.siam.org/doi/10.1137/0330046</t>
        </r>
      </text>
    </comment>
    <comment ref="I139" authorId="0">
      <text>
        <r>
          <rPr>
            <sz val="10"/>
            <rFont val="SimSun"/>
            <charset val="134"/>
          </rPr>
          <t>Archived link 
https://web.archive.org/web/20211015194251/https://arxiv.org/pdf/1804.04235.pdf</t>
        </r>
      </text>
    </comment>
    <comment ref="I140" authorId="0">
      <text>
        <r>
          <rPr>
            <sz val="10"/>
            <rFont val="SimSun"/>
            <charset val="134"/>
          </rPr>
          <t>Archived link 
https://web.archive.org/web/20210504203548/https://arxiv.org/pdf/2101.11605.pdf</t>
        </r>
      </text>
    </comment>
    <comment ref="I141" authorId="0">
      <text>
        <r>
          <rPr>
            <sz val="10"/>
            <rFont val="SimSun"/>
            <charset val="134"/>
          </rPr>
          <t>Archived link 
https://web.archive.org/web/20220105140521/https://arxiv.org/pdf/2012.12877.pdf</t>
        </r>
      </text>
    </comment>
    <comment ref="I142" authorId="0">
      <text>
        <r>
          <rPr>
            <sz val="10"/>
            <rFont val="SimSun"/>
            <charset val="134"/>
          </rPr>
          <t>Archived link 
https://web.archive.org/web/20220111032748/https://arxiv.org/pdf/2103.12731.pdf</t>
        </r>
      </text>
    </comment>
    <comment ref="I143" authorId="0">
      <text>
        <r>
          <rPr>
            <sz val="10"/>
            <rFont val="SimSun"/>
            <charset val="134"/>
          </rPr>
          <t>Archived link 
https://web.archive.org/web/20220112055409/https://arxiv.org/pdf/2102.12122.pdf</t>
        </r>
      </text>
    </comment>
    <comment ref="I144" authorId="0">
      <text>
        <r>
          <rPr>
            <sz val="10"/>
            <rFont val="SimSun"/>
            <charset val="134"/>
          </rPr>
          <t>Archived link 
https://web.archive.org/web/20220120031744/http://www.vision.caltech.edu/visipedia/CUB-200.html</t>
        </r>
      </text>
    </comment>
    <comment ref="I145" authorId="0">
      <text>
        <r>
          <rPr>
            <sz val="10"/>
            <rFont val="SimSun"/>
            <charset val="134"/>
          </rPr>
          <t>Archived link 
https://web.archive.org/web/20211123052819/https://arxiv.org/pdf/2101.11986.pdf</t>
        </r>
      </text>
    </comment>
    <comment ref="I146" authorId="0">
      <text>
        <r>
          <rPr>
            <sz val="10"/>
            <rFont val="SimSun"/>
            <charset val="134"/>
          </rPr>
          <t>Archived link 
https://web.archive.org/web/20210419032526/https://arxiv.org/pdf/1905.03670.pdf</t>
        </r>
      </text>
    </comment>
    <comment ref="I147" authorId="0">
      <text>
        <r>
          <rPr>
            <sz val="10"/>
            <rFont val="SimSun"/>
            <charset val="134"/>
          </rPr>
          <t>Archived link 
https://web.archive.org/web/20211026182522/https://arxiv.org/pdf/1910.04867.pdf</t>
        </r>
      </text>
    </comment>
    <comment ref="H149" authorId="0">
      <text>
        <r>
          <rPr>
            <sz val="10"/>
            <rFont val="SimSun"/>
            <charset val="134"/>
          </rPr>
          <t>Archived link 
https://web.archive.org/web/20210822182121/https://arxiv.org/pdf/2008.07772v2.pdf</t>
        </r>
      </text>
    </comment>
    <comment ref="I151" authorId="0">
      <text>
        <r>
          <rPr>
            <sz val="10"/>
            <rFont val="SimSun"/>
            <charset val="134"/>
          </rPr>
          <t>Archived link 
https://web.archive.org/web/20220103182443/https://arxiv.org/pdf/2001.04413.pdf</t>
        </r>
      </text>
    </comment>
    <comment ref="I152" authorId="0">
      <text>
        <r>
          <rPr>
            <sz val="10"/>
            <rFont val="SimSun"/>
            <charset val="134"/>
          </rPr>
          <t>Archived link 
https://web.archive.org/web/20190312005154/https://arxiv.org/pdf/1808.07561.pdf</t>
        </r>
      </text>
    </comment>
    <comment ref="I153" authorId="0">
      <text>
        <r>
          <rPr>
            <sz val="10"/>
            <rFont val="SimSun"/>
            <charset val="134"/>
          </rPr>
          <t>Archived link 
https://web.archive.org/web/20220120050009/https://aclanthology.org/W19-5304.pdf</t>
        </r>
      </text>
    </comment>
    <comment ref="I154" authorId="0">
      <text>
        <r>
          <rPr>
            <sz val="10"/>
            <rFont val="SimSun"/>
            <charset val="134"/>
          </rPr>
          <t>Archived link 
https://web.archive.org/web/20220101231317/https://arxiv.org/pdf/1812.08951.pdf</t>
        </r>
      </text>
    </comment>
    <comment ref="I155" authorId="0">
      <text>
        <r>
          <rPr>
            <sz val="10"/>
            <rFont val="SimSun"/>
            <charset val="134"/>
          </rPr>
          <t>Archived link 
https://web.archive.org/web/20220101231014/https://arxiv.org/pdf/1804.09849.pdf</t>
        </r>
      </text>
    </comment>
    <comment ref="I156" authorId="0">
      <text>
        <r>
          <rPr>
            <sz val="10"/>
            <rFont val="SimSun"/>
            <charset val="134"/>
          </rPr>
          <t>Archived link 
https://web.archive.org/web/20210819040411/https://arxiv.org/pdf/1906.02443.pdf</t>
        </r>
      </text>
    </comment>
    <comment ref="I157" authorId="0">
      <text>
        <r>
          <rPr>
            <sz val="10"/>
            <rFont val="SimSun"/>
            <charset val="134"/>
          </rPr>
          <t>Archived link 
https://web.archive.org/web/20220128211722/https://dl.acm.org/doi/pdf/10.5555/2002736.2002774</t>
        </r>
      </text>
    </comment>
    <comment ref="I158" authorId="0">
      <text>
        <r>
          <rPr>
            <sz val="10"/>
            <rFont val="SimSun"/>
            <charset val="134"/>
          </rPr>
          <t>Archived link 
https://web.archive.org/web/20220128211935/https://arxiv.org/pdf/1606.01781.pdf</t>
        </r>
      </text>
    </comment>
    <comment ref="I159" authorId="0">
      <text>
        <r>
          <rPr>
            <sz val="10"/>
            <rFont val="SimSun"/>
            <charset val="134"/>
          </rPr>
          <t>Archived link 
https://web.archive.org/web/20220108014242/https://aclanthology.org/P18-1167.pdf</t>
        </r>
      </text>
    </comment>
    <comment ref="I160" authorId="0">
      <text>
        <r>
          <rPr>
            <sz val="10"/>
            <rFont val="SimSun"/>
            <charset val="134"/>
          </rPr>
          <t>Archived link 
https://web.archive.org/web/20210608154458/https://arxiv.org/pdf/1808.09381.pdf</t>
        </r>
      </text>
    </comment>
    <comment ref="I161" authorId="0">
      <text>
        <r>
          <rPr>
            <sz val="10"/>
            <rFont val="SimSun"/>
            <charset val="134"/>
          </rPr>
          <t>Archived link 
https://web.archive.org/web/20220128214451/https://arxiv.org/pdf/1705.03122.pdf</t>
        </r>
      </text>
    </comment>
    <comment ref="I162" authorId="0">
      <text>
        <r>
          <rPr>
            <sz val="10"/>
            <rFont val="SimSun"/>
            <charset val="134"/>
          </rPr>
          <t>Archived link 
https://web.archive.org/web/20220128214558/https://dl.acm.org/doi/pdf/10.5555/3327757.3327891</t>
        </r>
      </text>
    </comment>
    <comment ref="I163" authorId="0">
      <text>
        <r>
          <rPr>
            <sz val="10"/>
            <rFont val="SimSun"/>
            <charset val="134"/>
          </rPr>
          <t>Archived link 
https://web.archive.org/web/20210925050644/https://arxiv.org/pdf/1907.06170.pdf</t>
        </r>
      </text>
    </comment>
    <comment ref="I164" authorId="0">
      <text>
        <r>
          <rPr>
            <sz val="10"/>
            <rFont val="SimSun"/>
            <charset val="134"/>
          </rPr>
          <t>Archived link 
https://web.archive.org/web/20201112024047/https://arxiv.org/pdf/1606.07947.pdf</t>
        </r>
      </text>
    </comment>
    <comment ref="I165" authorId="0">
      <text>
        <r>
          <rPr>
            <sz val="10"/>
            <rFont val="SimSun"/>
            <charset val="134"/>
          </rPr>
          <t>Archived link 
https://web.archive.org/web/20220120145552/https://aclanthology.org/W07-0734.pdf</t>
        </r>
      </text>
    </comment>
    <comment ref="I166" authorId="0">
      <text>
        <r>
          <rPr>
            <sz val="10"/>
            <rFont val="SimSun"/>
            <charset val="134"/>
          </rPr>
          <t>Archived link 
https://web.archive.org/web/20211120182912/https://arxiv.org/pdf/1908.03265.pdf</t>
        </r>
      </text>
    </comment>
    <comment ref="I167" authorId="0">
      <text>
        <r>
          <rPr>
            <sz val="10"/>
            <rFont val="SimSun"/>
            <charset val="134"/>
          </rPr>
          <t>Archived link 
https://web.archive.org/web/20211101081104/https://arxiv.org/pdf/2004.08249.pdf</t>
        </r>
      </text>
    </comment>
    <comment ref="I168" authorId="0">
      <text>
        <r>
          <rPr>
            <sz val="10"/>
            <rFont val="SimSun"/>
            <charset val="134"/>
          </rPr>
          <t>Archived link 
https://web.archive.org/web/20220129035215/https://arxiv.org/pdf/2004.08994.pdf</t>
        </r>
      </text>
    </comment>
    <comment ref="I169" authorId="0">
      <text>
        <r>
          <rPr>
            <sz val="10"/>
            <rFont val="SimSun"/>
            <charset val="134"/>
          </rPr>
          <t>Archived link 
https://web.archive.org/web/20211203033318/https://arxiv.org/pdf/2004.03705.pdf</t>
        </r>
      </text>
    </comment>
    <comment ref="I170" authorId="0">
      <text>
        <r>
          <rPr>
            <sz val="10"/>
            <rFont val="SimSun"/>
            <charset val="134"/>
          </rPr>
          <t>Archived link 
https://web.archive.org/web/20220129035402/https://arxiv.org/pdf/1903.07926.pdf</t>
        </r>
      </text>
    </comment>
    <comment ref="I171" authorId="0">
      <text>
        <r>
          <rPr>
            <sz val="10"/>
            <rFont val="SimSun"/>
            <charset val="134"/>
          </rPr>
          <t>Archived link 
https://web.archive.org/web/20211013211313/https://arxiv.org/pdf/1907.06616.pdf</t>
        </r>
      </text>
    </comment>
    <comment ref="I172" authorId="0">
      <text>
        <r>
          <rPr>
            <sz val="10"/>
            <rFont val="SimSun"/>
            <charset val="134"/>
          </rPr>
          <t>Archived link 
https://web.archive.org/web/20211204170456/https://arxiv.org/pdf/1910.05895.pdf</t>
        </r>
      </text>
    </comment>
    <comment ref="I173" authorId="0">
      <text>
        <r>
          <rPr>
            <sz val="10"/>
            <rFont val="SimSun"/>
            <charset val="134"/>
          </rPr>
          <t>Archived link 
https://web.archive.org/web/20211214155542/https://arxiv.org/pdf/1904.01038.pdf</t>
        </r>
      </text>
    </comment>
    <comment ref="I174" authorId="0">
      <text>
        <r>
          <rPr>
            <sz val="10"/>
            <rFont val="SimSun"/>
            <charset val="134"/>
          </rPr>
          <t>Archived link 
https://web.archive.org/web/20211031114944/https://arxiv.org/pdf/1806.00187.pdf</t>
        </r>
      </text>
    </comment>
    <comment ref="I175" authorId="0">
      <text>
        <r>
          <rPr>
            <sz val="10"/>
            <rFont val="SimSun"/>
            <charset val="134"/>
          </rPr>
          <t>Archived link 
https://web.archive.org/web/20210805105356/https://arxiv.org/pdf/1804.08771.pdf</t>
        </r>
      </text>
    </comment>
    <comment ref="I176" authorId="0">
      <text>
        <r>
          <rPr>
            <sz val="10"/>
            <rFont val="SimSun"/>
            <charset val="134"/>
          </rPr>
          <t>Archived link 
https://web.archive.org/web/20211008084507/http://www.cs.umd.edu/~snover/pub/amta06/ter_amta.pdf</t>
        </r>
      </text>
    </comment>
    <comment ref="I177" authorId="0">
      <text>
        <r>
          <rPr>
            <sz val="10"/>
            <rFont val="SimSun"/>
            <charset val="134"/>
          </rPr>
          <t>Archived link 
https://web.archive.org/web/20220129041758/https://arxiv.org/pdf/1507.06228.pdf</t>
        </r>
      </text>
    </comment>
    <comment ref="I178" authorId="0">
      <text>
        <r>
          <rPr>
            <sz val="10"/>
            <rFont val="SimSun"/>
            <charset val="134"/>
          </rPr>
          <t>Archived link 
https://web.archive.org/web/20210411233921/https://arxiv.org/pdf/1906.01787.pdf</t>
        </r>
      </text>
    </comment>
    <comment ref="I179" authorId="0">
      <text>
        <r>
          <rPr>
            <sz val="10"/>
            <rFont val="SimSun"/>
            <charset val="134"/>
          </rPr>
          <t>Archived link 
https://web.archive.org/web/20210831142921/https://arxiv.org/pdf/1901.10430.pdf</t>
        </r>
      </text>
    </comment>
    <comment ref="I180" authorId="0">
      <text>
        <r>
          <rPr>
            <sz val="10"/>
            <rFont val="SimSun"/>
            <charset val="134"/>
          </rPr>
          <t>Archived link 
https://web.archive.org/web/20210725072249/https://arxiv.org/pdf/1907.01968.pdf</t>
        </r>
      </text>
    </comment>
    <comment ref="I181" authorId="0">
      <text>
        <r>
          <rPr>
            <sz val="10"/>
            <rFont val="SimSun"/>
            <charset val="134"/>
          </rPr>
          <t>Archived link 
https://web.archive.org/web/20220129042139/https://arxiv.org/pdf/1911.07013.pdf</t>
        </r>
      </text>
    </comment>
    <comment ref="I184" authorId="0">
      <text>
        <r>
          <rPr>
            <sz val="10"/>
            <rFont val="SimSun"/>
            <charset val="134"/>
          </rPr>
          <t>Archived link 
https://web.archive.org/web/20220121051925/https://aclanthology.org/N19-1078.pdf</t>
        </r>
      </text>
    </comment>
    <comment ref="I185" authorId="0">
      <text>
        <r>
          <rPr>
            <sz val="10"/>
            <rFont val="SimSun"/>
            <charset val="134"/>
          </rPr>
          <t>Archived link 
https://web.archive.org/web/20211011125342/https://aclanthology.org/C18-1139.pdf</t>
        </r>
      </text>
    </comment>
    <comment ref="I186" authorId="0">
      <text>
        <r>
          <rPr>
            <sz val="10"/>
            <rFont val="SimSun"/>
            <charset val="134"/>
          </rPr>
          <t>Archived link 
https://web.archive.org/web/20220129054730/https://ieeexplore.ieee.org/document/265960/authors#authors</t>
        </r>
      </text>
    </comment>
    <comment ref="I187" authorId="0">
      <text>
        <r>
          <rPr>
            <sz val="10"/>
            <rFont val="SimSun"/>
            <charset val="134"/>
          </rPr>
          <t>Archived link 
https://web.archive.org/web/20201102115125/https://arxiv.org/pdf/1903.07785.pdf</t>
        </r>
      </text>
    </comment>
    <comment ref="I188" authorId="0">
      <text>
        <r>
          <rPr>
            <sz val="10"/>
            <rFont val="SimSun"/>
            <charset val="134"/>
          </rPr>
          <t>Archived link 
https://web.archive.org/web/20220103220258/https://arxiv.org/pdf/1611.02167.pdf</t>
        </r>
      </text>
    </comment>
    <comment ref="I189" authorId="0">
      <text>
        <r>
          <rPr>
            <sz val="10"/>
            <rFont val="SimSun"/>
            <charset val="134"/>
          </rPr>
          <t>Archived link 
https://web.archive.org/web/20220129164757/https://dl.acm.org/doi/pdf/10.5555/1596276.1596305</t>
        </r>
      </text>
    </comment>
    <comment ref="I190" authorId="0">
      <text>
        <r>
          <rPr>
            <sz val="10"/>
            <rFont val="SimSun"/>
            <charset val="134"/>
          </rPr>
          <t>Archived link 
https://web.archive.org/web/20220120043928/https://aclanthology.org/2020.acl-main.777.pdf</t>
        </r>
      </text>
    </comment>
    <comment ref="I191" authorId="0">
      <text>
        <r>
          <rPr>
            <sz val="10"/>
            <rFont val="SimSun"/>
            <charset val="134"/>
          </rPr>
          <t>Archived link 
https://web.archive.org/web/20220129170424/https://arxiv.org/pdf/1809.08370.pdf</t>
        </r>
      </text>
    </comment>
    <comment ref="I192" authorId="0">
      <text>
        <r>
          <rPr>
            <sz val="10"/>
            <rFont val="SimSun"/>
            <charset val="134"/>
          </rPr>
          <t>Archived link 
https://web.archive.org/web/20220129042440/https://arxiv.org/pdf/1911.02116.pdf</t>
        </r>
      </text>
    </comment>
    <comment ref="I193" authorId="0">
      <text>
        <r>
          <rPr>
            <sz val="10"/>
            <rFont val="SimSun"/>
            <charset val="134"/>
          </rPr>
          <t>Archived link 
https://web.archive.org/web/20220129175106/https://citeseerx.ist.psu.edu/viewdoc/download?doi=10.1.1.13.8915&amp;rep=rep1&amp;type=pdf</t>
        </r>
      </text>
    </comment>
    <comment ref="I194" authorId="0">
      <text>
        <r>
          <rPr>
            <sz val="10"/>
            <rFont val="SimSun"/>
            <charset val="134"/>
          </rPr>
          <t>Archived link 
https://web.archive.org/web/20220101231047/https://arxiv.org/pdf/1611.01734.pdf</t>
        </r>
      </text>
    </comment>
    <comment ref="I195" authorId="0">
      <text>
        <r>
          <rPr>
            <sz val="10"/>
            <rFont val="SimSun"/>
            <charset val="134"/>
          </rPr>
          <t>Archived link
https://web.archive.org/web/20220129175916/https://arxiv.org/pdf/1807.01396.pdf</t>
        </r>
      </text>
    </comment>
    <comment ref="I196" authorId="0">
      <text>
        <r>
          <rPr>
            <sz val="10"/>
            <rFont val="SimSun"/>
            <charset val="134"/>
          </rPr>
          <t>Archived link 
https://web.archive.org/web/20210222030830/https://arxiv.org/pdf/1711.04528.pdf</t>
        </r>
      </text>
    </comment>
    <comment ref="I197" authorId="0">
      <text>
        <r>
          <rPr>
            <sz val="10"/>
            <rFont val="SimSun"/>
            <charset val="134"/>
          </rPr>
          <t>Archived link
https://web.archive.org/web/20220124030048/https://arxiv.org/pdf/1808.05377.pdf</t>
        </r>
      </text>
    </comment>
    <comment ref="I198" authorId="0">
      <text>
        <r>
          <rPr>
            <sz val="10"/>
            <rFont val="SimSun"/>
            <charset val="134"/>
          </rPr>
          <t>Archived link
https://web.archive.org/web/20220129175945/https://arxiv.org/pdf/2005.13344.pdf</t>
        </r>
      </text>
    </comment>
    <comment ref="I199" authorId="0">
      <text>
        <r>
          <rPr>
            <sz val="10"/>
            <rFont val="SimSun"/>
            <charset val="134"/>
          </rPr>
          <t>Archived link 
https://web.archive.org/web/20220129180434/https://link.springer.com/article/10.1007/s12065-007-0002-4</t>
        </r>
      </text>
    </comment>
    <comment ref="I200" authorId="0">
      <text>
        <r>
          <rPr>
            <sz val="10"/>
            <rFont val="SimSun"/>
            <charset val="134"/>
          </rPr>
          <t>Archived link
https://web.archive.org/web/20210215221408/https://arxiv.org/pdf/1904.07392.pdf</t>
        </r>
      </text>
    </comment>
    <comment ref="I201" authorId="0">
      <text>
        <r>
          <rPr>
            <sz val="10"/>
            <rFont val="SimSun"/>
            <charset val="134"/>
          </rPr>
          <t>Archived link
https://web.archive.org/web/20220120084212/https://aclanthology.org/P11-2008.pdf</t>
        </r>
      </text>
    </comment>
    <comment ref="I202" authorId="0">
      <text>
        <r>
          <rPr>
            <sz val="10"/>
            <rFont val="SimSun"/>
            <charset val="134"/>
          </rPr>
          <t>Archived link 
https://web.archive.org/web/20220129193034/http://citeseerx.ist.psu.edu/viewdoc/download;jsessionid=23745DCF717C2A230DE9EB643E4C168C?doi=10.1.1.101.9494&amp;rep=rep1&amp;type=pdf</t>
        </r>
      </text>
    </comment>
    <comment ref="I203" authorId="0">
      <text>
        <r>
          <rPr>
            <sz val="10"/>
            <rFont val="SimSun"/>
            <charset val="134"/>
          </rPr>
          <t>Archived link 
https://web.archive.org/web/20220129193319/https://aclanthology.org/D18-1275.pdf</t>
        </r>
      </text>
    </comment>
    <comment ref="I204" authorId="0">
      <text>
        <r>
          <rPr>
            <sz val="10"/>
            <rFont val="SimSun"/>
            <charset val="134"/>
          </rPr>
          <t>Archived link 
https://web.archive.org/web/20220120183746/https://aclanthology.org/D17-1256.pdf</t>
        </r>
      </text>
    </comment>
    <comment ref="I205" authorId="0">
      <text>
        <r>
          <rPr>
            <sz val="10"/>
            <rFont val="SimSun"/>
            <charset val="134"/>
          </rPr>
          <t>Archived link 
https://web.archive.org/web/20220129194648/https://arxiv.org/pdf/1908.04943.pdf</t>
        </r>
      </text>
    </comment>
    <comment ref="I206" authorId="0">
      <text>
        <r>
          <rPr>
            <sz val="10"/>
            <rFont val="SimSun"/>
            <charset val="134"/>
          </rPr>
          <t>Archived link 
https://web.archive.org/web/20220122072937/https://dl.acm.org/doi/10.1145/1014052.1014073</t>
        </r>
      </text>
    </comment>
    <comment ref="I207" authorId="0">
      <text>
        <r>
          <rPr>
            <sz val="10"/>
            <rFont val="SimSun"/>
            <charset val="134"/>
          </rPr>
          <t>Archived link 
https://web.archive.org/web/20220129200945/https://arxiv.org/pdf/1608.06993.pdf</t>
        </r>
      </text>
    </comment>
    <comment ref="I208" authorId="0">
      <text>
        <r>
          <rPr>
            <sz val="10"/>
            <rFont val="SimSun"/>
            <charset val="134"/>
          </rPr>
          <t>Archived link 
https://web.archive.org/web/20220120182842/https://aclanthology.org/2020.acl-main.607.pdf</t>
        </r>
      </text>
    </comment>
    <comment ref="I209" authorId="0">
      <text>
        <r>
          <rPr>
            <sz val="10"/>
            <rFont val="SimSun"/>
            <charset val="134"/>
          </rPr>
          <t>Archived link 
https://web.archive.org/web/20211110160812/http://proceedings.mlr.press/v37/jozefowicz15.pdf</t>
        </r>
      </text>
    </comment>
    <comment ref="I210" authorId="0">
      <text>
        <r>
          <rPr>
            <sz val="10"/>
            <rFont val="SimSun"/>
            <charset val="134"/>
          </rPr>
          <t>Archived link 
https://web.archive.org/web/20220128043423/https://arxiv.org/pdf/1412.6980.pdf</t>
        </r>
      </text>
    </comment>
    <comment ref="I211" authorId="0">
      <text>
        <r>
          <rPr>
            <sz val="10"/>
            <rFont val="SimSun"/>
            <charset val="134"/>
          </rPr>
          <t>Archived link 
https://web.archive.org/web/20220129201204/https://arxiv.org/pdf/1904.02099.pdf</t>
        </r>
      </text>
    </comment>
    <comment ref="I212" authorId="0">
      <text>
        <r>
          <rPr>
            <sz val="10"/>
            <rFont val="SimSun"/>
            <charset val="134"/>
          </rPr>
          <t>Archived link 
https://web.archive.org/web/20220129202837/https://arxiv.org/pdf/1609.07561.pdf</t>
        </r>
      </text>
    </comment>
    <comment ref="I213" authorId="0">
      <text>
        <r>
          <rPr>
            <sz val="10"/>
            <rFont val="SimSun"/>
            <charset val="134"/>
          </rPr>
          <t>Archived link 
https://web.archive.org/web/20220103002456/https://arxiv.org/pdf/1603.01360.pdf</t>
        </r>
      </text>
    </comment>
    <comment ref="I214" authorId="0">
      <text>
        <r>
          <rPr>
            <sz val="10"/>
            <rFont val="SimSun"/>
            <charset val="134"/>
          </rPr>
          <t>Archived link 
https://web.archive.org/web/20201112030930/https://arxiv.org/pdf/1902.07638.pdf</t>
        </r>
      </text>
    </comment>
    <comment ref="I215" authorId="0">
      <text>
        <r>
          <rPr>
            <sz val="10"/>
            <rFont val="SimSun"/>
            <charset val="134"/>
          </rPr>
          <t>Archived link 
https://web.archive.org/web/20220129203059/https://arxiv.org/pdf/1910.00883.pdf</t>
        </r>
      </text>
    </comment>
    <comment ref="I216" authorId="0">
      <text>
        <r>
          <rPr>
            <sz val="10"/>
            <rFont val="SimSun"/>
            <charset val="134"/>
          </rPr>
          <t>Archived link 
https://web.archive.org/web/20210829153946/https://arxiv.org/pdf/1911.08673.pdf</t>
        </r>
      </text>
    </comment>
    <comment ref="I217" authorId="0">
      <text>
        <r>
          <rPr>
            <sz val="10"/>
            <rFont val="SimSun"/>
            <charset val="134"/>
          </rPr>
          <t>Archived link 
https://web.archive.org/web/20201117053445/https://arxiv.org/pdf/1901.02985.pdf</t>
        </r>
      </text>
    </comment>
    <comment ref="I218" authorId="0">
      <text>
        <r>
          <rPr>
            <sz val="10"/>
            <rFont val="SimSun"/>
            <charset val="134"/>
          </rPr>
          <t>Archived link 
https://web.archive.org/web/20201112020140/https://arxiv.org/pdf/1711.00436.pdf</t>
        </r>
      </text>
    </comment>
    <comment ref="I219" authorId="0">
      <text>
        <r>
          <rPr>
            <sz val="10"/>
            <rFont val="SimSun"/>
            <charset val="134"/>
          </rPr>
          <t>Archived link 
https://web.archive.org/web/20220129203653/https://arxiv.org/pdf/1804.08228.pdf</t>
        </r>
      </text>
    </comment>
    <comment ref="I220" authorId="0">
      <text>
        <r>
          <rPr>
            <sz val="10"/>
            <rFont val="SimSun"/>
            <charset val="134"/>
          </rPr>
          <t>Archived link 
https://web.archive.org/web/20210805131245/https://arxiv.org/pdf/1906.02437.pdf</t>
        </r>
      </text>
    </comment>
    <comment ref="I221" authorId="0">
      <text>
        <r>
          <rPr>
            <sz val="10"/>
            <rFont val="SimSun"/>
            <charset val="134"/>
          </rPr>
          <t>Archived link 
https://web.archive.org/web/20220129204214/https://arxiv.org/pdf/2006.01563.pdf</t>
        </r>
      </text>
    </comment>
    <comment ref="I222" authorId="0">
      <text>
        <r>
          <rPr>
            <sz val="10"/>
            <rFont val="SimSun"/>
            <charset val="134"/>
          </rPr>
          <t>Archived link 
https://web.archive.org/web/20210904012820/https://arxiv.org/pdf/1603.01354.pdf</t>
        </r>
      </text>
    </comment>
    <comment ref="I223" authorId="0">
      <text>
        <r>
          <rPr>
            <sz val="10"/>
            <rFont val="SimSun"/>
            <charset val="134"/>
          </rPr>
          <t>Archived link 
https://web.archive.org/web/20211210193551/https://arxiv.org/pdf/1805.01087.pdf</t>
        </r>
      </text>
    </comment>
    <comment ref="I224" authorId="0">
      <text>
        <r>
          <rPr>
            <sz val="10"/>
            <rFont val="SimSun"/>
            <charset val="134"/>
          </rPr>
          <t>Archived link 
https://web.archive.org/web/20220129204437/https://www.seas.upenn.edu/~strctlrn/bib/PDF/nonprojectiveHLT-EMNLP2005.pdf</t>
        </r>
      </text>
    </comment>
    <comment ref="I225" authorId="0">
      <text>
        <r>
          <rPr>
            <sz val="10"/>
            <rFont val="SimSun"/>
            <charset val="134"/>
          </rPr>
          <t>Archived link 
https://web.archive.org/web/20220129224210/https://www.researchgate.net/publication/220885651_Designing_Neural_Networks_using_Genetic_Algorithms</t>
        </r>
      </text>
    </comment>
    <comment ref="I226" authorId="0">
      <text>
        <r>
          <rPr>
            <sz val="10"/>
            <rFont val="SimSun"/>
            <charset val="134"/>
          </rPr>
          <t>Archived link 
https://web.archive.org/web/20220129224550/https://arxiv.org/pdf/1911.03875.pdf</t>
        </r>
      </text>
    </comment>
    <comment ref="I227" authorId="0">
      <text>
        <r>
          <rPr>
            <sz val="10"/>
            <rFont val="SimSun"/>
            <charset val="134"/>
          </rPr>
          <t>Archived link 
https://web.archive.org/web/20220119143213/https://arxiv.org/pdf/2005.10200.pdf</t>
        </r>
      </text>
    </comment>
    <comment ref="I228" authorId="0">
      <text>
        <r>
          <rPr>
            <sz val="10"/>
            <rFont val="SimSun"/>
            <charset val="134"/>
          </rPr>
          <t>Archived link 
https://web.archive.org/web/20220120074604/https://aclanthology.org/S15-2153.pdf</t>
        </r>
      </text>
    </comment>
    <comment ref="I229" authorId="0">
      <text>
        <r>
          <rPr>
            <sz val="10"/>
            <rFont val="SimSun"/>
            <charset val="134"/>
          </rPr>
          <t>Archived link 
https://web.archive.org/web/20220120132314/https://aclanthology.org/S14-2008.pdf</t>
        </r>
      </text>
    </comment>
    <comment ref="I230" authorId="0">
      <text>
        <r>
          <rPr>
            <sz val="10"/>
            <rFont val="SimSun"/>
            <charset val="134"/>
          </rPr>
          <t>Archived link 
https://web.archive.org/web/20220129225502/https://aclanthology.org/N13-1039.pdf</t>
        </r>
      </text>
    </comment>
    <comment ref="I231" authorId="0">
      <text>
        <r>
          <rPr>
            <sz val="10"/>
            <rFont val="SimSun"/>
            <charset val="134"/>
          </rPr>
          <t>Archived link 
https://web.archive.org/web/20220101230856/https://arxiv.org/pdf/1802.05365.pdf</t>
        </r>
      </text>
    </comment>
    <comment ref="I232" authorId="0">
      <text>
        <r>
          <rPr>
            <sz val="10"/>
            <rFont val="SimSun"/>
            <charset val="134"/>
          </rPr>
          <t>Archived link 
https://web.archive.org/web/20220124141659/https://arxiv.org/pdf/1906.01502.pdf</t>
        </r>
      </text>
    </comment>
    <comment ref="I233" authorId="0">
      <text>
        <r>
          <rPr>
            <sz val="10"/>
            <rFont val="SimSun"/>
            <charset val="134"/>
          </rPr>
          <t>Archived link 
https://web.archive.org/web/20220121015313/https://aclanthology.org/S16-1002.pdf</t>
        </r>
      </text>
    </comment>
    <comment ref="I234" authorId="0">
      <text>
        <r>
          <rPr>
            <sz val="10"/>
            <rFont val="SimSun"/>
            <charset val="134"/>
          </rPr>
          <t>Archived link 
https://web.archive.org/web/20220120235817/https://aclanthology.org/S15-2082.pdf</t>
        </r>
      </text>
    </comment>
    <comment ref="I235" authorId="0">
      <text>
        <r>
          <rPr>
            <sz val="10"/>
            <rFont val="SimSun"/>
            <charset val="134"/>
          </rPr>
          <t>Archived link 
https://web.archive.org/web/20220120200931/https://aclanthology.org/S14-2004.pdf</t>
        </r>
      </text>
    </comment>
    <comment ref="I236" authorId="0">
      <text>
        <r>
          <rPr>
            <sz val="10"/>
            <rFont val="SimSun"/>
            <charset val="134"/>
          </rPr>
          <t>Archived link 
https://web.archive.org/web/20220121144345/https://arxiv.org/pdf/1703.01041.pdf</t>
        </r>
      </text>
    </comment>
    <comment ref="I237" authorId="0">
      <text>
        <r>
          <rPr>
            <sz val="10"/>
            <rFont val="SimSun"/>
            <charset val="134"/>
          </rPr>
          <t>Archived link 
https://web.archive.org/web/20220120092247/https://aclanthology.org/D11-1141.pdf</t>
        </r>
      </text>
    </comment>
    <comment ref="I238" authorId="0">
      <text>
        <r>
          <rPr>
            <sz val="10"/>
            <rFont val="SimSun"/>
            <charset val="134"/>
          </rPr>
          <t>Archived link 
https://web.archive.org/web/20220119153529/http://proceedings.mlr.press/v32/santos14.pdf</t>
        </r>
      </text>
    </comment>
    <comment ref="I239" authorId="0">
      <text>
        <r>
          <rPr>
            <sz val="10"/>
            <rFont val="SimSun"/>
            <charset val="134"/>
          </rPr>
          <t>Archived link 
https://web.archive.org/web/20220129231856/https://arxiv.org/pdf/1908.06926.pdf</t>
        </r>
      </text>
    </comment>
    <comment ref="I240" authorId="0">
      <text>
        <r>
          <rPr>
            <sz val="10"/>
            <rFont val="SimSun"/>
            <charset val="134"/>
          </rPr>
          <t>Archived link 
https://web.archive.org/web/20200427211917/https://arxiv.org/pdf/1704.00764.pdf</t>
        </r>
      </text>
    </comment>
    <comment ref="I241" authorId="0">
      <text>
        <r>
          <rPr>
            <sz val="10"/>
            <rFont val="SimSun"/>
            <charset val="134"/>
          </rPr>
          <t>Archived link 
https://web.archive.org/web/20220119105958/https://www-nlpir.nist.gov/related_projects/muc/proceedings/ne_task.html</t>
        </r>
      </text>
    </comment>
    <comment ref="I242" authorId="0">
      <text>
        <r>
          <rPr>
            <sz val="10"/>
            <rFont val="SimSun"/>
            <charset val="134"/>
          </rPr>
          <t>Archived link 
https://web.archive.org/web/20220130004447/https://web.stanford.edu/class/psych209/Readings/SuttonBartoIPRLBook2ndEd.pdf</t>
        </r>
      </text>
    </comment>
    <comment ref="I243" authorId="0">
      <text>
        <r>
          <rPr>
            <sz val="10"/>
            <rFont val="SimSun"/>
            <charset val="134"/>
          </rPr>
          <t>Archived link 
https://web.archive.org/web/20220130005551/https://www.persee.fr/doc/lfr_0023-8368_1969_num_1_1_5395</t>
        </r>
      </text>
    </comment>
    <comment ref="I244" authorId="0">
      <text>
        <r>
          <rPr>
            <sz val="10"/>
            <rFont val="SimSun"/>
            <charset val="134"/>
          </rPr>
          <t>Archived link 
https://web.archive.org/web/20220130005711/https://arxiv.org/pdf/cs/0209010.pdf</t>
        </r>
      </text>
    </comment>
    <comment ref="I245" authorId="0">
      <text>
        <r>
          <rPr>
            <sz val="10"/>
            <rFont val="SimSun"/>
            <charset val="134"/>
          </rPr>
          <t>Archived link 
https://web.archive.org/web/20220120124134/https://aclanthology.org/W00-0726.pdf</t>
        </r>
      </text>
    </comment>
    <comment ref="I246" authorId="0">
      <text>
        <r>
          <rPr>
            <sz val="10"/>
            <rFont val="SimSun"/>
            <charset val="134"/>
          </rPr>
          <t>Archived link 
https://web.archive.org/web/20220120184711/https://aclanthology.org/W03-0419.pdf</t>
        </r>
      </text>
    </comment>
    <comment ref="I247" authorId="0">
      <text>
        <r>
          <rPr>
            <sz val="10"/>
            <rFont val="SimSun"/>
            <charset val="134"/>
          </rPr>
          <t>Archived link 
https://web.archive.org/web/20220121214134/https://arxiv.org/pdf/1906.07880.pdf</t>
        </r>
      </text>
    </comment>
    <comment ref="I248" authorId="0">
      <text>
        <r>
          <rPr>
            <sz val="10"/>
            <rFont val="SimSun"/>
            <charset val="134"/>
          </rPr>
          <t>Archived link 
https://web.archive.org/web/20220130005929/https://arxiv.org/pdf/2004.03846.pdf</t>
        </r>
      </text>
    </comment>
    <comment ref="I249" authorId="0">
      <text>
        <r>
          <rPr>
            <sz val="10"/>
            <rFont val="SimSun"/>
            <charset val="134"/>
          </rPr>
          <t>Archived link 
https://web.archive.org/web/20220130005939/https://arxiv.org/pdf/2105.03654.pdf</t>
        </r>
      </text>
    </comment>
    <comment ref="I250" authorId="0">
      <text>
        <r>
          <rPr>
            <sz val="10"/>
            <rFont val="SimSun"/>
            <charset val="134"/>
          </rPr>
          <t>Archived link 
https://web.archive.org/web/20220130013205/https://arxiv.org/pdf/2009.08330.pdf</t>
        </r>
      </text>
    </comment>
    <comment ref="I251" authorId="0">
      <text>
        <r>
          <rPr>
            <sz val="10"/>
            <rFont val="SimSun"/>
            <charset val="134"/>
          </rPr>
          <t>Archived link 
https://web.archive.org/web/20220119063520/https://arxiv.org/pdf/2010.05003.pdf</t>
        </r>
      </text>
    </comment>
    <comment ref="I252" authorId="0">
      <text>
        <r>
          <rPr>
            <sz val="10"/>
            <rFont val="SimSun"/>
            <charset val="134"/>
          </rPr>
          <t>Archived link 
https://web.archive.org/web/20220130013229/https://arxiv.org/pdf/2010.05006v4.pdf</t>
        </r>
      </text>
    </comment>
    <comment ref="I253" authorId="0">
      <text>
        <r>
          <rPr>
            <sz val="10"/>
            <rFont val="SimSun"/>
            <charset val="134"/>
          </rPr>
          <t>Archived link 
https://web.archive.org/web/20220120025927/https://aclanthology.org/2020.acl-main.339.pdf</t>
        </r>
      </text>
    </comment>
    <comment ref="I254" authorId="0">
      <text>
        <r>
          <rPr>
            <sz val="10"/>
            <rFont val="SimSun"/>
            <charset val="134"/>
          </rPr>
          <t>Archived link 
https://web.archive.org/web/20220105203815/http://www.ecmlpkdd2018.org/wp-content/uploads/2018/09/108.pdf</t>
        </r>
      </text>
    </comment>
    <comment ref="I255" authorId="0">
      <text>
        <r>
          <rPr>
            <sz val="10"/>
            <rFont val="SimSun"/>
            <charset val="134"/>
          </rPr>
          <t>Archived link 
https://web.archive.org/web/20220130013509/https://arxiv.org/pdf/1904.09077.pdf</t>
        </r>
      </text>
    </comment>
    <comment ref="I256" authorId="0">
      <text>
        <r>
          <rPr>
            <sz val="10"/>
            <rFont val="SimSun"/>
            <charset val="134"/>
          </rPr>
          <t>Archived link 
https://web.archive.org/web/20200818090107/https://arxiv.org/pdf/1703.01513.pdf</t>
        </r>
      </text>
    </comment>
    <comment ref="I257" authorId="0">
      <text>
        <r>
          <rPr>
            <sz val="10"/>
            <rFont val="SimSun"/>
            <charset val="134"/>
          </rPr>
          <t>Archived link 
https://web.archive.org/web/20220121050657/https://arxiv.org/pdf/1904.02232.pdf</t>
        </r>
      </text>
    </comment>
    <comment ref="I258" authorId="0">
      <text>
        <r>
          <rPr>
            <sz val="10"/>
            <rFont val="SimSun"/>
            <charset val="134"/>
          </rPr>
          <t>Archived link 
https://web.archive.org/web/20220130013735/https://arxiv.org/pdf/1805.04601.pdf</t>
        </r>
      </text>
    </comment>
    <comment ref="I259" authorId="0">
      <text>
        <r>
          <rPr>
            <sz val="10"/>
            <rFont val="SimSun"/>
            <charset val="134"/>
          </rPr>
          <t>Archived link 
https://web.archive.org/web/20211106153158/https://arxiv.org/pdf/2010.01057.pdf</t>
        </r>
      </text>
    </comment>
    <comment ref="I260" authorId="0">
      <text>
        <r>
          <rPr>
            <sz val="10"/>
            <rFont val="SimSun"/>
            <charset val="134"/>
          </rPr>
          <t>Archived link 
https://web.archive.org/web/20210901010407/https://arxiv.org/pdf/2005.07150.pdf</t>
        </r>
      </text>
    </comment>
    <comment ref="I261" authorId="0">
      <text>
        <r>
          <rPr>
            <sz val="10"/>
            <rFont val="SimSun"/>
            <charset val="134"/>
          </rPr>
          <t>Archived link 
https://web.archive.org/web/20220130023138/https://arxiv.org/pdf/2005.00975.pdf</t>
        </r>
      </text>
    </comment>
    <comment ref="I262" authorId="0">
      <text>
        <r>
          <rPr>
            <sz val="10"/>
            <rFont val="SimSun"/>
            <charset val="134"/>
          </rPr>
          <t>Archived link 
https://web.archive.org/web/20200813051517/https://arxiv.org/pdf/1708.05552.pdf</t>
        </r>
      </text>
    </comment>
    <comment ref="I263" authorId="0">
      <text>
        <r>
          <rPr>
            <sz val="10"/>
            <rFont val="SimSun"/>
            <charset val="134"/>
          </rPr>
          <t>Archived link 
https://web.archive.org/web/20220130023157/https://arxiv.org/pdf/1907.02684.pdf</t>
        </r>
      </text>
    </comment>
    <comment ref="I264" authorId="0">
      <text>
        <r>
          <rPr>
            <sz val="10"/>
            <rFont val="SimSun"/>
            <charset val="134"/>
          </rPr>
          <t>Archived link 
https://web.archive.org/web/20220130023543/https://link.springer.com/chapter/10.1007/978-3-030-88480-2_14</t>
        </r>
      </text>
    </comment>
    <comment ref="I267" authorId="0">
      <text>
        <r>
          <rPr>
            <sz val="10"/>
            <rFont val="SimSun"/>
            <charset val="134"/>
          </rPr>
          <t>Archived link 
https://web.archive.org/web/20210915113112/https://arxiv.org/pdf/2003.04297.pdf</t>
        </r>
      </text>
    </comment>
    <comment ref="I268" authorId="0">
      <text>
        <r>
          <rPr>
            <sz val="10"/>
            <rFont val="SimSun"/>
            <charset val="134"/>
          </rPr>
          <t>Archived link 
https://web.archive.org/web/20220130023626/https://arxiv.org/pdf/1805.08974.pdf</t>
        </r>
      </text>
    </comment>
    <comment ref="I271" authorId="0">
      <text>
        <r>
          <rPr>
            <sz val="10"/>
            <rFont val="SimSun"/>
            <charset val="134"/>
          </rPr>
          <t>Archived link
https://web.archive.org/web/20220130030517/https://arxiv.org/pdf/1712.00726.pdf</t>
        </r>
      </text>
    </comment>
    <comment ref="I272" authorId="0">
      <text>
        <r>
          <rPr>
            <sz val="10"/>
            <rFont val="SimSun"/>
            <charset val="134"/>
          </rPr>
          <t>Archived link
https://web.archive.org/web/20210427153135/https://arxiv.org/pdf/2003.10027.pdf</t>
        </r>
      </text>
    </comment>
    <comment ref="I273" authorId="0">
      <text>
        <r>
          <rPr>
            <sz val="10"/>
            <rFont val="SimSun"/>
            <charset val="134"/>
          </rPr>
          <t>Archived link
https://web.archive.org/web/20210828171615/https://arxiv.org/pdf/2007.08508.pdf</t>
        </r>
      </text>
    </comment>
    <comment ref="I274" authorId="0">
      <text>
        <r>
          <rPr>
            <sz val="10"/>
            <rFont val="SimSun"/>
            <charset val="134"/>
          </rPr>
          <t>Archived link
https://web.archive.org/web/20210201141452/https://arxiv.org/pdf/2010.15831.pdf</t>
        </r>
      </text>
    </comment>
    <comment ref="I275" authorId="0">
      <text>
        <r>
          <rPr>
            <sz val="10"/>
            <rFont val="SimSun"/>
            <charset val="134"/>
          </rPr>
          <t>Archived link 
https://web.archive.org/web/20210821064558/https://arxiv.org/pdf/1703.06211.pdf</t>
        </r>
      </text>
    </comment>
    <comment ref="I276" authorId="0">
      <text>
        <r>
          <rPr>
            <sz val="10"/>
            <rFont val="SimSun"/>
            <charset val="134"/>
          </rPr>
          <t>Archived link 
https://web.archive.org/web/20210811012228/https://arxiv.org/pdf/1912.05027.pdf</t>
        </r>
      </text>
    </comment>
    <comment ref="I277" authorId="0">
      <text>
        <r>
          <rPr>
            <sz val="10"/>
            <rFont val="SimSun"/>
            <charset val="134"/>
          </rPr>
          <t>Archived link 
https://web.archive.org/web/20210825112018/https://arxiv.org/pdf/1904.08189.pdf</t>
        </r>
      </text>
    </comment>
    <comment ref="I278" authorId="0">
      <text>
        <r>
          <rPr>
            <sz val="10"/>
            <rFont val="SimSun"/>
            <charset val="134"/>
          </rPr>
          <t>Archived link 
https://web.archive.org/web/20211213160348/https://arxiv.org/pdf/2012.07177.pdf</t>
        </r>
      </text>
    </comment>
    <comment ref="I279" authorId="0">
      <text>
        <r>
          <rPr>
            <sz val="10"/>
            <rFont val="SimSun"/>
            <charset val="134"/>
          </rPr>
          <t>Archived link 
https://web.archive.org/web/20211213152208/https://arxiv.org/pdf/1612.03144.pdf</t>
        </r>
      </text>
    </comment>
    <comment ref="I280" authorId="0">
      <text>
        <r>
          <rPr>
            <sz val="10"/>
            <rFont val="SimSun"/>
            <charset val="134"/>
          </rPr>
          <t>Archived link 
https://web.archive.org/web/20201026083600/https://arxiv.org/pdf/1803.01534.pdf</t>
        </r>
      </text>
    </comment>
    <comment ref="I281" authorId="0">
      <text>
        <r>
          <rPr>
            <sz val="10"/>
            <rFont val="SimSun"/>
            <charset val="134"/>
          </rPr>
          <t>Archived link 
https://web.archive.org/web/20220121085421/https://arxiv.org/pdf/2103.14030.pdf</t>
        </r>
      </text>
    </comment>
    <comment ref="I282" authorId="0">
      <text>
        <r>
          <rPr>
            <sz val="10"/>
            <rFont val="SimSun"/>
            <charset val="134"/>
          </rPr>
          <t>Archived link 
https://web.archive.org/web/20210626084416/https://arxiv.org/pdf/1904.02701.pdf</t>
        </r>
      </text>
    </comment>
    <comment ref="I283" authorId="0">
      <text>
        <r>
          <rPr>
            <sz val="10"/>
            <rFont val="SimSun"/>
            <charset val="134"/>
          </rPr>
          <t>Archived link 
https://web.archive.org/web/20220130035707/https://arxiv.org/pdf/2007.11056.pdf</t>
        </r>
      </text>
    </comment>
    <comment ref="I284" authorId="0">
      <text>
        <r>
          <rPr>
            <sz val="10"/>
            <rFont val="SimSun"/>
            <charset val="134"/>
          </rPr>
          <t>Archived link 
https://web.archive.org/web/20220121200114/https://arxiv.org/pdf/1711.08189.pdf</t>
        </r>
      </text>
    </comment>
    <comment ref="I285" authorId="0">
      <text>
        <r>
          <rPr>
            <sz val="10"/>
            <rFont val="SimSun"/>
            <charset val="134"/>
          </rPr>
          <t>Archived link 
https://web.archive.org/web/20220130040539/https://arxiv.org/pdf/1805.09300.pdf</t>
        </r>
      </text>
    </comment>
    <comment ref="I286" authorId="0">
      <text>
        <r>
          <rPr>
            <sz val="10"/>
            <rFont val="SimSun"/>
            <charset val="134"/>
          </rPr>
          <t>Archived link 
https://web.archive.org/web/20210227160633/http://arxiv.org/pdf/2011.12450.pdf</t>
        </r>
      </text>
    </comment>
    <comment ref="I287" authorId="0">
      <text>
        <r>
          <rPr>
            <sz val="10"/>
            <rFont val="SimSun"/>
            <charset val="134"/>
          </rPr>
          <t>Archived link 
https://web.archive.org/web/20211220070946/https://arxiv.org/pdf/1904.01355.pdf</t>
        </r>
      </text>
    </comment>
    <comment ref="I288" authorId="0">
      <text>
        <r>
          <rPr>
            <sz val="10"/>
            <rFont val="SimSun"/>
            <charset val="134"/>
          </rPr>
          <t>Archived link 
https://web.archive.org/web/20210727132018/https://arxiv.org/pdf/1711.07971.pdf</t>
        </r>
      </text>
    </comment>
    <comment ref="I289" authorId="0">
      <text>
        <r>
          <rPr>
            <sz val="10"/>
            <rFont val="SimSun"/>
            <charset val="134"/>
          </rPr>
          <t>Archived link 
https://web.archive.org/web/20201128090041/https://arxiv.org/pdf/2005.03101.pdf</t>
        </r>
      </text>
    </comment>
    <comment ref="I290" authorId="0">
      <text>
        <r>
          <rPr>
            <sz val="10"/>
            <rFont val="SimSun"/>
            <charset val="134"/>
          </rPr>
          <t>Archived link 
https://web.archive.org/web/20220130040853/https://arxiv.org/pdf/1904.11490.pdf</t>
        </r>
      </text>
    </comment>
    <comment ref="I291" authorId="0">
      <text>
        <r>
          <rPr>
            <sz val="10"/>
            <rFont val="SimSun"/>
            <charset val="134"/>
          </rPr>
          <t>Archived link 
https://web.archive.org/web/20211208210038/https://arxiv.org/pdf/1511.07122.pdf</t>
        </r>
      </text>
    </comment>
    <comment ref="I292" authorId="0">
      <text>
        <r>
          <rPr>
            <sz val="10"/>
            <rFont val="SimSun"/>
            <charset val="134"/>
          </rPr>
          <t>Archived link 
https://web.archive.org/web/20210821021223/https://arxiv.org/pdf/1912.02424.pdf</t>
        </r>
      </text>
    </comment>
    <comment ref="I293" authorId="0">
      <text>
        <r>
          <rPr>
            <sz val="10"/>
            <rFont val="SimSun"/>
            <charset val="134"/>
          </rPr>
          <t>Archived link 
https://web.archive.org/web/20210315015718/https://arxiv.org/pdf/2103.07461.pdf</t>
        </r>
      </text>
    </comment>
    <comment ref="I294" authorId="0">
      <text>
        <r>
          <rPr>
            <sz val="10"/>
            <rFont val="SimSun"/>
            <charset val="134"/>
          </rPr>
          <t>Archived link 
https://web.archive.org/web/20220130041313/https://arxiv.org/pdf/1811.11168.pdf</t>
        </r>
      </text>
    </comment>
    <comment ref="I295" authorId="0">
      <text>
        <r>
          <rPr>
            <sz val="10"/>
            <rFont val="SimSun"/>
            <charset val="134"/>
          </rPr>
          <t>Archived link 
https://web.archive.org/web/20220130041821/https://arxiv.org/pdf/2010.04159.pdf</t>
        </r>
      </text>
    </comment>
    <comment ref="I296" authorId="0">
      <text>
        <r>
          <rPr>
            <sz val="10"/>
            <rFont val="SimSun"/>
            <charset val="134"/>
          </rPr>
          <t>Archived link 
https://web.archive.org/web/20220121094608/http://pdollar.github.io/files/papers/ZitnickDollarECCV14edgeBoxes.pdf</t>
        </r>
      </text>
    </comment>
    <comment ref="I297" authorId="0">
      <text>
        <r>
          <rPr>
            <sz val="10"/>
            <rFont val="SimSun"/>
            <charset val="134"/>
          </rPr>
          <t>Archived link 
https://web.archive.org/web/20220101075021/https://arxiv.org/pdf/2006.06882.pdf</t>
        </r>
      </text>
    </comment>
    <comment ref="I298" authorId="0">
      <text>
        <r>
          <rPr>
            <sz val="10"/>
            <rFont val="SimSun"/>
            <charset val="134"/>
          </rPr>
          <t>Archived link 
https://web.archive.org/web/20210123140209/http://arxiv.org/pdf/1905.05055.pdf</t>
        </r>
      </text>
    </comment>
    <comment ref="I302" authorId="0">
      <text>
        <r>
          <rPr>
            <sz val="10"/>
            <rFont val="SimSun"/>
            <charset val="134"/>
          </rPr>
          <t>Archived link 
https://web.archive.org/web/20210302091430/https://arxiv.org/pdf/1906.03158.pdf</t>
        </r>
      </text>
    </comment>
    <comment ref="I303" authorId="0">
      <text>
        <r>
          <rPr>
            <sz val="10"/>
            <rFont val="SimSun"/>
            <charset val="134"/>
          </rPr>
          <t>Archived link 
https://web.archive.org/web/20220120113431/https://aclanthology.org/P17-1149.pdf</t>
        </r>
      </text>
    </comment>
    <comment ref="I304" authorId="0">
      <text>
        <r>
          <rPr>
            <sz val="10"/>
            <rFont val="SimSun"/>
            <charset val="134"/>
          </rPr>
          <t>Archived link 
https://web.archive.org/web/20220130044752/https://arxiv.org/pdf/1807.04905.pdf</t>
        </r>
      </text>
    </comment>
    <comment ref="I305" authorId="0">
      <text>
        <r>
          <rPr>
            <sz val="10"/>
            <rFont val="SimSun"/>
            <charset val="134"/>
          </rPr>
          <t>Archived link 
https://web.archive.org/web/20200921105616/https://arxiv.org/pdf/1710.10723.pdf</t>
        </r>
      </text>
    </comment>
    <comment ref="I306" authorId="0">
      <text>
        <r>
          <rPr>
            <sz val="10"/>
            <rFont val="SimSun"/>
            <charset val="134"/>
          </rPr>
          <t>Archived link 
https://web.archive.org/web/20220101231128/https://arxiv.org/pdf/1906.04341.pdf</t>
        </r>
      </text>
    </comment>
    <comment ref="I307" authorId="0">
      <text>
        <r>
          <rPr>
            <sz val="10"/>
            <rFont val="SimSun"/>
            <charset val="134"/>
          </rPr>
          <t>Archived link 
https://web.archive.org/web/20220130045645/https://arxiv.org/pdf/1704.04920.pdf</t>
        </r>
      </text>
    </comment>
    <comment ref="I308" authorId="0">
      <text>
        <r>
          <rPr>
            <sz val="10"/>
            <rFont val="SimSun"/>
            <charset val="134"/>
          </rPr>
          <t>Archived link 
https://web.archive.org/web/20220113194358/https://arxiv.org/pdf/1606.08415.pdf</t>
        </r>
      </text>
    </comment>
    <comment ref="I309" authorId="0">
      <text>
        <r>
          <rPr>
            <sz val="10"/>
            <rFont val="SimSun"/>
            <charset val="134"/>
          </rPr>
          <t>Archived link 
https://web.archive.org/web/20210725072755/https://arxiv.org/pdf/1907.10529.pdf</t>
        </r>
      </text>
    </comment>
    <comment ref="I310" authorId="0">
      <text>
        <r>
          <rPr>
            <sz val="10"/>
            <rFont val="SimSun"/>
            <charset val="134"/>
          </rPr>
          <t>Archived link 
https://web.archive.org/web/20220130211300/https://aclanthology.org/D19-6011.pdf</t>
        </r>
      </text>
    </comment>
    <comment ref="I311" authorId="0">
      <text>
        <r>
          <rPr>
            <sz val="10"/>
            <rFont val="SimSun"/>
            <charset val="134"/>
          </rPr>
          <t>Archived link 
https://web.archive.org/web/20210828005136/https://arxiv.org/pdf/2001.03765.pdf</t>
        </r>
      </text>
    </comment>
    <comment ref="I312" authorId="0">
      <text>
        <r>
          <rPr>
            <sz val="10"/>
            <rFont val="SimSun"/>
            <charset val="134"/>
          </rPr>
          <t>Archived link 
https://web.archive.org/web/20220130211446/https://aclanthology.org/D19-6007.pdf</t>
        </r>
      </text>
    </comment>
    <comment ref="I313" authorId="0">
      <text>
        <r>
          <rPr>
            <sz val="10"/>
            <rFont val="SimSun"/>
            <charset val="134"/>
          </rPr>
          <t>Archived link 
https://web.archive.org/web/20210812161002/https://arxiv.org/pdf/1909.04164.pdf</t>
        </r>
      </text>
    </comment>
    <comment ref="I314" authorId="0">
      <text>
        <r>
          <rPr>
            <sz val="10"/>
            <rFont val="SimSun"/>
            <charset val="134"/>
          </rPr>
          <t>Archived link 
https://web.archive.org/web/20220130211500/https://arxiv.org/pdf/1906.02715.pdf</t>
        </r>
      </text>
    </comment>
    <comment ref="I315" authorId="0">
      <text>
        <r>
          <rPr>
            <sz val="10"/>
            <rFont val="SimSun"/>
            <charset val="134"/>
          </rPr>
          <t>Archived link 
https://web.archive.org/web/20220116141707/https://arxiv.org/pdf/1611.01603.pdf</t>
        </r>
      </text>
    </comment>
    <comment ref="I316" authorId="0">
      <text>
        <r>
          <rPr>
            <sz val="10"/>
            <rFont val="SimSun"/>
            <charset val="134"/>
          </rPr>
          <t>Archived link 
https://web.archive.org/web/20211111144855/https://aclanthology.org/D18-1309.pdf</t>
        </r>
      </text>
    </comment>
    <comment ref="I317" authorId="0">
      <text>
        <r>
          <rPr>
            <sz val="10"/>
            <rFont val="SimSun"/>
            <charset val="134"/>
          </rPr>
          <t>Archived link 
https://web.archive.org/web/20210921132234/https://arxiv.org/pdf/1606.06357.pdf</t>
        </r>
      </text>
    </comment>
    <comment ref="I318" authorId="0">
      <text>
        <r>
          <rPr>
            <sz val="10"/>
            <rFont val="SimSun"/>
            <charset val="134"/>
          </rPr>
          <t>Archived link 
https://web.archive.org/web/20220130211750/https://arxiv.org/pdf/1905.00537.pdf</t>
        </r>
      </text>
    </comment>
    <comment ref="I319" authorId="0">
      <text>
        <r>
          <rPr>
            <sz val="10"/>
            <rFont val="SimSun"/>
            <charset val="134"/>
          </rPr>
          <t>Archived link 
https://web.archive.org/web/20220101075019/https://arxiv.org/pdf/2002.01808.pdf</t>
        </r>
      </text>
    </comment>
    <comment ref="I320" authorId="0">
      <text>
        <r>
          <rPr>
            <sz val="10"/>
            <rFont val="SimSun"/>
            <charset val="134"/>
          </rPr>
          <t>Archived link 
https://web.archive.org/web/20220101075046/https://arxiv.org/pdf/1912.09637.pdf</t>
        </r>
      </text>
    </comment>
    <comment ref="I321" authorId="0">
      <text>
        <r>
          <rPr>
            <sz val="10"/>
            <rFont val="SimSun"/>
            <charset val="134"/>
          </rPr>
          <t>Archived link 
https://web.archive.org/web/20210307231528/https://arxiv.org/pdf/1601.01343.pdf</t>
        </r>
      </text>
    </comment>
    <comment ref="I322" authorId="0">
      <text>
        <r>
          <rPr>
            <sz val="10"/>
            <rFont val="SimSun"/>
            <charset val="134"/>
          </rPr>
          <t>Archived link 
https://web.archive.org/web/20220130212204/https://arxiv.org/pdf/1705.02494.pdf</t>
        </r>
      </text>
    </comment>
    <comment ref="I323" authorId="0">
      <text>
        <r>
          <rPr>
            <sz val="10"/>
            <rFont val="SimSun"/>
            <charset val="134"/>
          </rPr>
          <t>Archived link 
https://web.archive.org/web/20220121074939/https://arxiv.org/pdf/1412.6575.pdf</t>
        </r>
      </text>
    </comment>
    <comment ref="I324" authorId="0">
      <text>
        <r>
          <rPr>
            <sz val="10"/>
            <rFont val="SimSun"/>
            <charset val="134"/>
          </rPr>
          <t>Archived link
https://web.archive.org/web/20220120075637/https://arxiv.org/pdf/1810.12885.pdf</t>
        </r>
      </text>
    </comment>
    <comment ref="I325" authorId="0">
      <text>
        <r>
          <rPr>
            <sz val="10"/>
            <rFont val="SimSun"/>
            <charset val="134"/>
          </rPr>
          <t>Archived link 
https://web.archive.org/web/20200219213718/https://arxiv.org/pdf/1809.10185.pdf</t>
        </r>
      </text>
    </comment>
    <comment ref="I326" authorId="0">
      <text>
        <r>
          <rPr>
            <sz val="10"/>
            <rFont val="SimSun"/>
            <charset val="134"/>
          </rPr>
          <t>Archived link 
https://web.archive.org/web/20220103103525/https://nlp.stanford.edu/pubs/zhang2017tacred.pdf</t>
        </r>
      </text>
    </comment>
    <comment ref="I327" authorId="0">
      <text>
        <r>
          <rPr>
            <sz val="10"/>
            <rFont val="SimSun"/>
            <charset val="134"/>
          </rPr>
          <t>Archived link 
https://web.archive.org/web/20211006074548/https://arxiv.org/pdf/1905.07129.pdf</t>
        </r>
      </text>
    </comment>
  </commentList>
</comments>
</file>

<file path=xl/comments5.xml><?xml version="1.0" encoding="utf-8"?>
<comments xmlns="http://schemas.openxmlformats.org/spreadsheetml/2006/main">
  <authors>
    <author/>
  </authors>
  <commentList>
    <comment ref="A1" authorId="0">
      <text>
        <r>
          <rPr>
            <sz val="10"/>
            <rFont val="SimSun"/>
            <charset val="134"/>
          </rPr>
          <t>"Parameter, Compute and Data Trends in Machine Learning" 
CC-BY Jaime Sevilla, Pablo Villalobos, Juan Felipe Cerón, Matthew Burtell, Lennart Heim and Amogh B. Nanjajjar
An interactive visualization of the dataset is available at https://colab.research.google.com/drive/11m0AfSQnLiDijtE1fsIPqF-ipbTQcsFp
If you find an error, want to add new information or suggest a new entry, leave a comment or email jaimesevillamolina@gmail.com
We thank Miguel Arjona for help with data entry</t>
        </r>
      </text>
    </comment>
    <comment ref="B1" authorId="0">
      <text>
        <r>
          <rPr>
            <sz val="10"/>
            <rFont val="SimSun"/>
            <charset val="134"/>
          </rPr>
          <t>Vision, speech, language, games, etc</t>
        </r>
      </text>
    </comment>
    <comment ref="C1" authorId="0">
      <text>
        <r>
          <rPr>
            <sz val="10"/>
            <rFont val="SimSun"/>
            <charset val="134"/>
          </rPr>
          <t>The concrete task the system was trained to perform</t>
        </r>
      </text>
    </comment>
    <comment ref="K1" authorId="0">
      <text>
        <r>
          <rPr>
            <sz val="10"/>
            <rFont val="SimSun"/>
            <charset val="134"/>
          </rPr>
          <t>Extracted automatically from Google Scholar on 11/08/2021
Code: 
https://colab.research.google.com/drive/1rRrDwZtINXeiSbhKnxh_lsOpraYjOpmF?usp=sharing</t>
        </r>
      </text>
    </comment>
    <comment ref="N1" authorId="0">
      <text>
        <r>
          <rPr>
            <sz val="10"/>
            <rFont val="SimSun"/>
            <charset val="134"/>
          </rPr>
          <t>Number of free parameters</t>
        </r>
      </text>
    </comment>
    <comment ref="O1" authorId="0">
      <text>
        <r>
          <rPr>
            <sz val="10"/>
            <rFont val="SimSun"/>
            <charset val="134"/>
          </rPr>
          <t>Total amount of floating point operations used to train the model
Counts a multadd as 2 operations</t>
        </r>
      </text>
    </comment>
    <comment ref="R1" authorId="0">
      <text>
        <r>
          <rPr>
            <sz val="10"/>
            <rFont val="SimSun"/>
            <charset val="134"/>
          </rPr>
          <t>Number of hidden layers</t>
        </r>
      </text>
    </comment>
    <comment ref="S1" authorId="0">
      <text>
        <r>
          <rPr>
            <sz val="10"/>
            <rFont val="SimSun"/>
            <charset val="134"/>
          </rPr>
          <t>Total amount of floating point operations to process one single input to the model
Note: multadds are counted as 2 operations</t>
        </r>
      </text>
    </comment>
    <comment ref="T1" authorId="0">
      <text>
        <r>
          <rPr>
            <sz val="10"/>
            <rFont val="SimSun"/>
            <charset val="134"/>
          </rPr>
          <t>Training time x cores (hours)</t>
        </r>
      </text>
    </comment>
    <comment ref="W1" authorId="0">
      <text>
        <r>
          <rPr>
            <sz val="10"/>
            <rFont val="SimSun"/>
            <charset val="134"/>
          </rPr>
          <t>Supervised ML, unsupervised ML, RL, statistical modelling, etc</t>
        </r>
      </text>
    </comment>
    <comment ref="X1" authorId="0">
      <text>
        <r>
          <rPr>
            <sz val="10"/>
            <rFont val="SimSun"/>
            <charset val="134"/>
          </rPr>
          <t>The metric that was used as training loss</t>
        </r>
      </text>
    </comment>
    <comment ref="I2" authorId="0">
      <text>
        <r>
          <rPr>
            <sz val="10"/>
            <rFont val="SimSun"/>
            <charset val="134"/>
          </rPr>
          <t>Comprobar si debe ser "A Multiple Cause Mixture Model to text Categorization" (Titulo ligeramente diferente)
	-Miguel A</t>
        </r>
      </text>
    </comment>
    <comment ref="N7" authorId="0">
      <text>
        <r>
          <rPr>
            <sz val="10"/>
            <rFont val="SimSun"/>
            <charset val="134"/>
          </rPr>
          <t>https://www.bnlearn.com/bnrepository/</t>
        </r>
      </text>
    </comment>
    <comment ref="N17" authorId="0">
      <text>
        <r>
          <rPr>
            <sz val="10"/>
            <rFont val="SimSun"/>
            <charset val="134"/>
          </rPr>
          <t>From https://www.bnlearn.com/bnrepository/</t>
        </r>
      </text>
    </comment>
    <comment ref="J19" authorId="0">
      <text>
        <r>
          <rPr>
            <sz val="10"/>
            <rFont val="SimSun"/>
            <charset val="134"/>
          </rPr>
          <t>I am not even sure this exists?
	-Jaime Sevilla
----
%
	-Miguel A</t>
        </r>
      </text>
    </comment>
    <comment ref="C21" authorId="0">
      <text>
        <r>
          <rPr>
            <sz val="10"/>
            <rFont val="SimSun"/>
            <charset val="134"/>
          </rPr>
          <t>Arguably image classification
	-Jaime Sevilla</t>
        </r>
      </text>
    </comment>
    <comment ref="A22" authorId="0">
      <text>
        <r>
          <rPr>
            <sz val="10"/>
            <rFont val="SimSun"/>
            <charset val="134"/>
          </rPr>
          <t>Not sure if it meets our notability criteria
	-Jaime Sevilla</t>
        </r>
      </text>
    </comment>
    <comment ref="N22" authorId="0">
      <text>
        <r>
          <rPr>
            <sz val="10"/>
            <rFont val="SimSun"/>
            <charset val="134"/>
          </rPr>
          <t>from https://www.bnlearn.com/bnrepository/</t>
        </r>
      </text>
    </comment>
    <comment ref="O23" authorId="0">
      <text>
        <r>
          <rPr>
            <sz val="10"/>
            <rFont val="SimSun"/>
            <charset val="134"/>
          </rPr>
          <t>Extracted from AI and Compute (https://openai.com/blog/ai-and-compute/) charts by using https://automeris.io/WebPlotDigitizer/.
----
@lennart@heim.xyz are you sure this is the right paper? I am surprised it has so few citations
	-Jaime Sevilla
I think so. It matches the date in the AI and Compute graph.
I also don't know why they picked it. However, it's pre 2012, so maybe too early to be cited in the modern-era.
	-Lennart Heim</t>
        </r>
      </text>
    </comment>
    <comment ref="C26" authorId="0">
      <text>
        <r>
          <rPr>
            <sz val="10"/>
            <rFont val="SimSun"/>
            <charset val="134"/>
          </rPr>
          <t>Multiple, neural machine translation, language modeling, word language models, character language models, image classification, speech recognition
(See section 4)</t>
        </r>
      </text>
    </comment>
    <comment ref="N26" authorId="0">
      <text>
        <r>
          <rPr>
            <sz val="10"/>
            <rFont val="SimSun"/>
            <charset val="134"/>
          </rPr>
          <t>"We trained student mimic nets with 1, 3.161, 10 and 31.6 million trainable parameters on the
pre-computed augmented training data" - page 5</t>
        </r>
      </text>
    </comment>
    <comment ref="O26" authorId="0">
      <text>
        <r>
          <rPr>
            <sz val="10"/>
            <rFont val="SimSun"/>
            <charset val="134"/>
          </rPr>
          <t>Unknown - no mention of FLOPs, GPUs, or training time/iterations</t>
        </r>
      </text>
    </comment>
    <comment ref="C27" authorId="0">
      <text>
        <r>
          <rPr>
            <sz val="10"/>
            <rFont val="SimSun"/>
            <charset val="134"/>
          </rPr>
          <t>Multiple, neural machine translation, language modeling, word language models, character language models, image classification, speech recognition
(See section 4)</t>
        </r>
      </text>
    </comment>
    <comment ref="N27" authorId="0">
      <text>
        <r>
          <rPr>
            <sz val="10"/>
            <rFont val="SimSun"/>
            <charset val="134"/>
          </rPr>
          <t>"For the DS2 model, model sizes range between 300K to 193M parameters, and for the attention based models, sizes range from 95K to 156M parameters."</t>
        </r>
      </text>
    </comment>
    <comment ref="O27" authorId="0">
      <text>
        <r>
          <rPr>
            <sz val="10"/>
            <rFont val="SimSun"/>
            <charset val="134"/>
          </rPr>
          <t>Section 5.3: 
"Further, our longest running training sessions have taken as long as 6 weeks to converge."</t>
        </r>
      </text>
    </comment>
    <comment ref="N28" authorId="0">
      <text>
        <r>
          <rPr>
            <sz val="10"/>
            <rFont val="SimSun"/>
            <charset val="134"/>
          </rPr>
          <t>"For the DS2 model, model sizes range between 300K to 193M parameters, and for the attention based models, sizes range from 95K to 156M parameters."</t>
        </r>
      </text>
    </comment>
    <comment ref="O28" authorId="0">
      <text>
        <r>
          <rPr>
            <sz val="10"/>
            <rFont val="SimSun"/>
            <charset val="134"/>
          </rPr>
          <t>Section 5.3: 
"Further, our longest running training sessions have taken as long as 6 weeks to converge."</t>
        </r>
      </text>
    </comment>
    <comment ref="N30" authorId="0">
      <text>
        <r>
          <rPr>
            <sz val="10"/>
            <rFont val="SimSun"/>
            <charset val="134"/>
          </rPr>
          <t>Doesn't seem to be clearly specified. Following the links for reference [14] suggests 13.6E6 parameters, but I'm not entirely certain</t>
        </r>
      </text>
    </comment>
    <comment ref="O30" authorId="0">
      <text>
        <r>
          <rPr>
            <sz val="10"/>
            <rFont val="SimSun"/>
            <charset val="134"/>
          </rPr>
          <t>Insufficient info</t>
        </r>
      </text>
    </comment>
    <comment ref="N31" authorId="0">
      <text>
        <r>
          <rPr>
            <sz val="10"/>
            <rFont val="SimSun"/>
            <charset val="134"/>
          </rPr>
          <t>Doesn't seem to be clearly specified. Following the links for reference [14] suggests 13.6E6 parameters, but I'm not entirely certain</t>
        </r>
      </text>
    </comment>
    <comment ref="O31" authorId="0">
      <text>
        <r>
          <rPr>
            <sz val="10"/>
            <rFont val="SimSun"/>
            <charset val="134"/>
          </rPr>
          <t>Insufficient info</t>
        </r>
      </text>
    </comment>
    <comment ref="N33" authorId="0">
      <text>
        <r>
          <rPr>
            <sz val="10"/>
            <rFont val="SimSun"/>
            <charset val="134"/>
          </rPr>
          <t>Table 1 (Page 3)</t>
        </r>
      </text>
    </comment>
    <comment ref="O33" authorId="0">
      <text>
        <r>
          <rPr>
            <sz val="10"/>
            <rFont val="SimSun"/>
            <charset val="134"/>
          </rPr>
          <t>Insufficient info</t>
        </r>
      </text>
    </comment>
    <comment ref="Q33" authorId="0">
      <text>
        <r>
          <rPr>
            <sz val="10"/>
            <rFont val="SimSun"/>
            <charset val="134"/>
          </rPr>
          <t>Table 1 - this is the number of words
The paper also does image classification, for which ImageNet, CIFAR100 etc. are used</t>
        </r>
      </text>
    </comment>
    <comment ref="A34" authorId="0">
      <text>
        <r>
          <rPr>
            <sz val="10"/>
            <rFont val="SimSun"/>
            <charset val="134"/>
          </rPr>
          <t>Multiple models are used here, but it seems like it may be referring to other papers when doing so. It's a little confusing but my understanding is that the author only ran experiments with the original Transformer from "Attention is all you need"</t>
        </r>
      </text>
    </comment>
    <comment ref="N34" authorId="0">
      <text>
        <r>
          <rPr>
            <sz val="10"/>
            <rFont val="SimSun"/>
            <charset val="134"/>
          </rPr>
          <t>Table 2 (page 5) - POTENTIAL DISAGREEMENT WITH ATTENTION IS ALL YOU NEED</t>
        </r>
      </text>
    </comment>
    <comment ref="P34" authorId="0">
      <text>
        <r>
          <rPr>
            <sz val="10"/>
            <rFont val="SimSun"/>
            <charset val="134"/>
          </rPr>
          <t>Section 4: 
"The dataset used is 1 Billion Word Language Model Benchmark (LM1B)"</t>
        </r>
      </text>
    </comment>
    <comment ref="Q34" authorId="0">
      <text>
        <r>
          <rPr>
            <sz val="10"/>
            <rFont val="SimSun"/>
            <charset val="134"/>
          </rPr>
          <t>Section 4:
"The dataset used is 1 Billion Word Language Model Benchmark (LM1B)"</t>
        </r>
      </text>
    </comment>
    <comment ref="N35" authorId="0">
      <text>
        <r>
          <rPr>
            <sz val="10"/>
            <rFont val="SimSun"/>
            <charset val="134"/>
          </rPr>
          <t>1536H (params per hidden layer) * 12 layers, OR 768H * 24 layers = 18432 parameters - POTENTIAL DISAGREEMENT WITH RoBERTa MODEL</t>
        </r>
      </text>
    </comment>
    <comment ref="A36" authorId="0">
      <text>
        <r>
          <rPr>
            <sz val="10"/>
            <rFont val="SimSun"/>
            <charset val="134"/>
          </rPr>
          <t>Multiple architectures used: on pg 3 - "We train a wide range of models on this dataset [CIFAR10], including simple architectures like MLPs and ConvNets; architectures that have been carefully optimized for image classification: ResNet20 and Wide ResNets, as well as a selection of architectures from the NASBench-101 search space.</t>
        </r>
      </text>
    </comment>
    <comment ref="N36" authorId="0">
      <text>
        <r>
          <rPr>
            <sz val="10"/>
            <rFont val="SimSun"/>
            <charset val="134"/>
          </rPr>
          <t>I tried calculating this based on the numbers in section 4.3, but the authors haven't specified the number of filters they used in the CNN. Overall I think the number of parameters is on the order of 1E5, but with a lot of uncertainty</t>
        </r>
      </text>
    </comment>
    <comment ref="N37" authorId="0">
      <text>
        <r>
          <rPr>
            <sz val="10"/>
            <rFont val="SimSun"/>
            <charset val="134"/>
          </rPr>
          <t>Theory not experiment</t>
        </r>
      </text>
    </comment>
    <comment ref="N38" authorId="0">
      <text>
        <r>
          <rPr>
            <sz val="10"/>
            <rFont val="SimSun"/>
            <charset val="134"/>
          </rPr>
          <t>Experiments on analysing the performance of GPT-3 on different tasks - parameter size corroborates with original OpenAI publication
(see pg 2 for mention of the number of parameters)</t>
        </r>
      </text>
    </comment>
    <comment ref="N39" authorId="0">
      <text>
        <r>
          <rPr>
            <sz val="10"/>
            <rFont val="SimSun"/>
            <charset val="134"/>
          </rPr>
          <t>Experiments on analysing the performance of GPT-3 on different tasks - parameter size corroborates with original OpenAI publication
(see pg 2 for mention of the number of parameters)</t>
        </r>
      </text>
    </comment>
    <comment ref="N40" authorId="0">
      <text>
        <r>
          <rPr>
            <sz val="10"/>
            <rFont val="SimSun"/>
            <charset val="134"/>
          </rPr>
          <t>Not specified; only mentions that this model "most closely resembles the VilBERT model"</t>
        </r>
      </text>
    </comment>
    <comment ref="L44" authorId="0">
      <text>
        <r>
          <rPr>
            <sz val="10"/>
            <rFont val="SimSun"/>
            <charset val="134"/>
          </rPr>
          <t>i.e. "exists another paper with more citations/influence"</t>
        </r>
      </text>
    </comment>
    <comment ref="N44" authorId="0">
      <text>
        <r>
          <rPr>
            <sz val="10"/>
            <rFont val="SimSun"/>
            <charset val="134"/>
          </rPr>
          <t>Section 5.1:
"We apply this methodology to the small, medium, large and x1 models from the GPT-3 family, with 125M, 350M, 760M and 1.3B parameters respectively."
Section 5.2:
"...we do not apply our full methodology to the 175B parameter GPT-3 model due to compute constraints"</t>
        </r>
      </text>
    </comment>
    <comment ref="N45" authorId="0">
      <text>
        <r>
          <rPr>
            <sz val="10"/>
            <rFont val="SimSun"/>
            <charset val="134"/>
          </rPr>
          <t>Section 4: 
"We run all experiments with the same pretrained checkpoint, roberta-large (355M parameters) from RoBERTa"
CORROBORATES WITH PREVIOUS DATA FOR RoBERTa</t>
        </r>
      </text>
    </comment>
    <comment ref="A46" authorId="0">
      <text>
        <r>
          <rPr>
            <sz val="10"/>
            <rFont val="SimSun"/>
            <charset val="134"/>
          </rPr>
          <t>"The models we use in this paper are dense left-to-right decoder-only Transformer language models"</t>
        </r>
      </text>
    </comment>
    <comment ref="N46" authorId="0">
      <text>
        <r>
          <rPr>
            <sz val="10"/>
            <rFont val="SimSun"/>
            <charset val="134"/>
          </rPr>
          <t>Abstract:
"We evaluate a collection of such models (with between 244M and 137B parameters)"</t>
        </r>
      </text>
    </comment>
    <comment ref="N47" authorId="0">
      <text>
        <r>
          <rPr>
            <sz val="10"/>
            <rFont val="SimSun"/>
            <charset val="134"/>
          </rPr>
          <t>Does tests on GPT-3, nothing in terms of new ML models here</t>
        </r>
      </text>
    </comment>
    <comment ref="N48" authorId="0">
      <text>
        <r>
          <rPr>
            <sz val="10"/>
            <rFont val="SimSun"/>
            <charset val="134"/>
          </rPr>
          <t>Section 3:
"We use two dense left-to-right decoder-only transformer language models, each with a non-embedding parameter count of 137B"</t>
        </r>
      </text>
    </comment>
    <comment ref="N49" authorId="0">
      <text>
        <r>
          <rPr>
            <sz val="10"/>
            <rFont val="SimSun"/>
            <charset val="134"/>
          </rPr>
          <t>Section 4: 
"For both methods, we use models from the GPT-3 family as our initialization, primarily focusing on the 175B and 6B model sizes."</t>
        </r>
      </text>
    </comment>
    <comment ref="N50" authorId="0">
      <text>
        <r>
          <rPr>
            <sz val="10"/>
            <rFont val="SimSun"/>
            <charset val="134"/>
          </rPr>
          <t>See fig 1</t>
        </r>
      </text>
    </comment>
    <comment ref="A51" authorId="0">
      <text>
        <r>
          <rPr>
            <sz val="10"/>
            <rFont val="SimSun"/>
            <charset val="134"/>
          </rPr>
          <t>Specifically, the ResNets from "Deep Residual Learning for Image Recognition" by He et al (https://www.cv-foundation.org/openaccess/content_cvpr_2016/papers/He_Deep_Residual_Learning_CVPR_2016_paper.pdf)
More details on the model architectures are in Appendix B of the paper by Rosenfeld et al</t>
        </r>
      </text>
    </comment>
    <comment ref="N51" authorId="0">
      <text>
        <r>
          <rPr>
            <sz val="10"/>
            <rFont val="SimSun"/>
            <charset val="134"/>
          </rPr>
          <t>Rough approximation - this is based on Table 6 of He et al</t>
        </r>
      </text>
    </comment>
    <comment ref="O51" authorId="0">
      <text>
        <r>
          <rPr>
            <sz val="10"/>
            <rFont val="SimSun"/>
            <charset val="134"/>
          </rPr>
          <t>They study a model from "Deep Residual Learning for Image Recognition" by He et al. https://www.cv-foundation.org/openaccess/content_cvpr_2016/papers/He_Deep_Residual_Learning_CVPR_2016_paper.pdf
Near the end of section 4.1:
"...a 50-layer ResNet... this model has 3.8 billion FLOPs"</t>
        </r>
      </text>
    </comment>
    <comment ref="A52" authorId="0">
      <text>
        <r>
          <rPr>
            <sz val="10"/>
            <rFont val="SimSun"/>
            <charset val="134"/>
          </rPr>
          <t>Abstract: 
"We pretrain RoBERTa models from
scratch on quantities of data ranging from 1M to 1B words"</t>
        </r>
      </text>
    </comment>
    <comment ref="N52" authorId="0">
      <text>
        <r>
          <rPr>
            <sz val="10"/>
            <rFont val="SimSun"/>
            <charset val="134"/>
          </rPr>
          <t>See Table 4 in Appendix B - the base model has 125M parameters</t>
        </r>
      </text>
    </comment>
    <comment ref="A54" authorId="0">
      <text>
        <r>
          <rPr>
            <sz val="10"/>
            <rFont val="SimSun"/>
            <charset val="134"/>
          </rPr>
          <t>Supplementary info section E.2:
"The ic-based task uses a transformer encoder-decoder model. The vlm-based uses two transformer encoders, one for texts and the other for images."</t>
        </r>
      </text>
    </comment>
    <comment ref="A55" authorId="0">
      <text>
        <r>
          <rPr>
            <sz val="10"/>
            <rFont val="SimSun"/>
            <charset val="134"/>
          </rPr>
          <t>Section 3.2: 
"The trunk model for GrokNet uses ResNeXt-101"</t>
        </r>
      </text>
    </comment>
    <comment ref="N55" authorId="0">
      <text>
        <r>
          <rPr>
            <sz val="10"/>
            <rFont val="SimSun"/>
            <charset val="134"/>
          </rPr>
          <t>Section 3.2:
"The trunk model for GrokNet uses ResNeXt-101 32×4d, which has 101 layers, 32 groups, and group width 4 (8B multiply-add FLOPs, 43M parameters)"</t>
        </r>
      </text>
    </comment>
    <comment ref="A56" authorId="0">
      <text>
        <r>
          <rPr>
            <sz val="10"/>
            <rFont val="SimSun"/>
            <charset val="134"/>
          </rPr>
          <t>Section 3.1:
"Our method starts from a pre-trained deep auto-regressive language model, based on the Transformer architecture"</t>
        </r>
      </text>
    </comment>
    <comment ref="N56" authorId="0">
      <text>
        <r>
          <rPr>
            <sz val="10"/>
            <rFont val="SimSun"/>
            <charset val="134"/>
          </rPr>
          <t>Section 4.2:
"...the base model with
7 billion parameters, and a much smaller 400 million parameter language model pretrained on the
same dataset."</t>
        </r>
      </text>
    </comment>
    <comment ref="A57" authorId="0">
      <text>
        <r>
          <rPr>
            <sz val="10"/>
            <rFont val="SimSun"/>
            <charset val="134"/>
          </rPr>
          <t>Section 3.4:
"We use the ViT-Base model variants in our experiments..."</t>
        </r>
      </text>
    </comment>
    <comment ref="N57" authorId="0">
      <text>
        <r>
          <rPr>
            <sz val="10"/>
            <rFont val="SimSun"/>
            <charset val="134"/>
          </rPr>
          <t>Section 3.4:
"We use the ViT-Base model variants in our experiments, which contain 12 Transformer encoder layers, 12 attention heads, hidden size of 768, and MLP size of 3072 (86M parameters) "</t>
        </r>
      </text>
    </comment>
    <comment ref="A58" authorId="0">
      <text>
        <r>
          <rPr>
            <sz val="10"/>
            <rFont val="SimSun"/>
            <charset val="134"/>
          </rPr>
          <t>Section 3.1, pg 5:
"We also experimented with larger ViT models such as ViT-L_16 and ensembles"</t>
        </r>
      </text>
    </comment>
    <comment ref="N58" authorId="0">
      <text>
        <r>
          <rPr>
            <sz val="10"/>
            <rFont val="SimSun"/>
            <charset val="134"/>
          </rPr>
          <t>Not explicitly mentioned in the original source, but following the citations suggests this. See:
https://arxiv.org/pdf/2010.11929.pdf
(no. of params shown in table 1)</t>
        </r>
      </text>
    </comment>
    <comment ref="A59" authorId="0">
      <text>
        <r>
          <rPr>
            <sz val="10"/>
            <rFont val="SimSun"/>
            <charset val="134"/>
          </rPr>
          <t>See Appendix A</t>
        </r>
      </text>
    </comment>
    <comment ref="N59" authorId="0">
      <text>
        <r>
          <rPr>
            <sz val="10"/>
            <rFont val="SimSun"/>
            <charset val="134"/>
          </rPr>
          <t>From Appendix A:
"These two models are referred to as ViT-L (14M) and ViT-B (14M) in the paper"</t>
        </r>
      </text>
    </comment>
    <comment ref="A60" authorId="0">
      <text>
        <r>
          <rPr>
            <sz val="10"/>
            <rFont val="SimSun"/>
            <charset val="134"/>
          </rPr>
          <t>Section 2</t>
        </r>
      </text>
    </comment>
    <comment ref="N60" authorId="0">
      <text>
        <r>
          <rPr>
            <sz val="10"/>
            <rFont val="SimSun"/>
            <charset val="134"/>
          </rPr>
          <t>Section 2: 
"For the Vision Transformers, we use the ViT-S and ViT-B configurations from Dosovitskiy
et al. (2020) and a smaller configuration we call ViT-xS – ranging from 5.7-86.7 million parameters."</t>
        </r>
      </text>
    </comment>
    <comment ref="N61" authorId="0">
      <text>
        <r>
          <rPr>
            <sz val="10"/>
            <rFont val="SimSun"/>
            <charset val="134"/>
          </rPr>
          <t>Table 1 of https://arxiv.org/pdf/2010.11929.pdf</t>
        </r>
      </text>
    </comment>
    <comment ref="N62" authorId="0">
      <text>
        <r>
          <rPr>
            <sz val="10"/>
            <rFont val="SimSun"/>
            <charset val="134"/>
          </rPr>
          <t>Not an experiment, but an interesting report</t>
        </r>
      </text>
    </comment>
    <comment ref="N63" authorId="0">
      <text>
        <r>
          <rPr>
            <sz val="10"/>
            <rFont val="SimSun"/>
            <charset val="134"/>
          </rPr>
          <t>Purely theoretical</t>
        </r>
      </text>
    </comment>
    <comment ref="A64" authorId="0">
      <text>
        <r>
          <rPr>
            <sz val="10"/>
            <rFont val="SimSun"/>
            <charset val="134"/>
          </rPr>
          <t>See Appendix C - multiple architectures used. 3D ResNet-50, ResNet-50, CNN, etc.</t>
        </r>
      </text>
    </comment>
    <comment ref="N64" authorId="0">
      <text>
        <r>
          <rPr>
            <sz val="10"/>
            <rFont val="SimSun"/>
            <charset val="134"/>
          </rPr>
          <t>Not explicitly specified, but they mention that they use multiple architectures including ResNet-50. This has roughly 25M parameters.</t>
        </r>
      </text>
    </comment>
    <comment ref="A65" authorId="0">
      <text>
        <r>
          <rPr>
            <sz val="10"/>
            <rFont val="SimSun"/>
            <charset val="134"/>
          </rPr>
          <t>See section 2 for more detail about what this is</t>
        </r>
      </text>
    </comment>
    <comment ref="N65" authorId="0">
      <text>
        <r>
          <rPr>
            <sz val="10"/>
            <rFont val="SimSun"/>
            <charset val="134"/>
          </rPr>
          <t>[POTENTIALLY WRONG]
It seems like there's a mistake with the paper - they claim to use 9.4E-25 parameters, which is slightly suspicious
I'm guessing this result based on figure 3 in the paper.</t>
        </r>
      </text>
    </comment>
    <comment ref="N66" authorId="0">
      <text>
        <r>
          <rPr>
            <sz val="10"/>
            <rFont val="SimSun"/>
            <charset val="134"/>
          </rPr>
          <t>Appendix A:
"This net weighs in at 500k parameters and 500 KF-s for a forward pass, a tiny fraction of the cost of the original AlphaZero networks"</t>
        </r>
      </text>
    </comment>
    <comment ref="N69" authorId="0">
      <text>
        <r>
          <rPr>
            <sz val="10"/>
            <rFont val="SimSun"/>
            <charset val="134"/>
          </rPr>
          <t>Section 2.1:
"We use a 774M parameter version of the GPT-2 language model in Radford et al"</t>
        </r>
      </text>
    </comment>
    <comment ref="N70" authorId="0">
      <text>
        <r>
          <rPr>
            <sz val="10"/>
            <rFont val="SimSun"/>
            <charset val="134"/>
          </rPr>
          <t>Section 3: 
" We use a large vocabulary size of 250K with a full softmax and train two different models: XLM-R Base (L = 12, H = 768, A = 12, 270M params) and XLM-R (L = 24, H = 1024, A = 16, 550M params)"</t>
        </r>
      </text>
    </comment>
    <comment ref="A71" authorId="0">
      <text>
        <r>
          <rPr>
            <sz val="10"/>
            <rFont val="SimSun"/>
            <charset val="134"/>
          </rPr>
          <t>See table 8</t>
        </r>
      </text>
    </comment>
    <comment ref="N71" authorId="0">
      <text>
        <r>
          <rPr>
            <sz val="10"/>
            <rFont val="SimSun"/>
            <charset val="134"/>
          </rPr>
          <t>See table 8</t>
        </r>
      </text>
    </comment>
    <comment ref="N72" authorId="0">
      <text>
        <r>
          <rPr>
            <sz val="10"/>
            <rFont val="SimSun"/>
            <charset val="134"/>
          </rPr>
          <t>See table 1 (rightmost column)</t>
        </r>
      </text>
    </comment>
    <comment ref="N73" authorId="0">
      <text>
        <r>
          <rPr>
            <sz val="10"/>
            <rFont val="SimSun"/>
            <charset val="134"/>
          </rPr>
          <t>See Table 1</t>
        </r>
      </text>
    </comment>
    <comment ref="N75" authorId="0">
      <text>
        <r>
          <rPr>
            <sz val="10"/>
            <rFont val="SimSun"/>
            <charset val="134"/>
          </rPr>
          <t>Section 1, pg 2:
"use large pretrained GPT-3 models with as many as 6.7 billion parameters"</t>
        </r>
      </text>
    </comment>
    <comment ref="A76" authorId="0">
      <text>
        <r>
          <rPr>
            <sz val="10"/>
            <rFont val="SimSun"/>
            <charset val="134"/>
          </rPr>
          <t>Abstract: "we propose a two-tower pre-training model called BriVL"</t>
        </r>
      </text>
    </comment>
    <comment ref="N76" authorId="0">
      <text>
        <r>
          <rPr>
            <sz val="10"/>
            <rFont val="SimSun"/>
            <charset val="134"/>
          </rPr>
          <t>Section 1, pg 3:
"The first version of our BriVL model pre-trained on RUC-CAS-WenLan has 1 billion parameters."</t>
        </r>
      </text>
    </comment>
    <comment ref="N77" authorId="0">
      <text>
        <r>
          <rPr>
            <sz val="10"/>
            <rFont val="SimSun"/>
            <charset val="134"/>
          </rPr>
          <t>Not specified beyond mentioning wav2vec, so this is a guess (i.e. I'm assuming they use the LARGE model rather than BASE
https://arxiv.org/pdf/2006.11477.pdf
Section 5.1 of this paper:
"We consider two model sizes: BASE (95m parameters) and LARGE (317m parameters)</t>
        </r>
      </text>
    </comment>
    <comment ref="N78" authorId="0">
      <text>
        <r>
          <rPr>
            <sz val="10"/>
            <rFont val="SimSun"/>
            <charset val="134"/>
          </rPr>
          <t>"follow the design choices of Baevski et al"
https://arxiv.org/pdf/2006.11477.pdf
Section 5.1 of this paper:
"We consider two model sizes: BASE (95m parameters) and LARGE (317m parameters)</t>
        </r>
      </text>
    </comment>
    <comment ref="A80" authorId="0">
      <text>
        <r>
          <rPr>
            <sz val="10"/>
            <rFont val="SimSun"/>
            <charset val="134"/>
          </rPr>
          <t>More generally, Denoising diffusion probabilistic models (DDPM)</t>
        </r>
      </text>
    </comment>
    <comment ref="N80" authorId="0">
      <text>
        <r>
          <rPr>
            <sz val="10"/>
            <rFont val="SimSun"/>
            <charset val="134"/>
          </rPr>
          <t>Section 5:
"We train two models: a ”small”
model with 100M parameters for 1.7M training steps, and a larger model with 270 million parameters for 250K iterations"</t>
        </r>
      </text>
    </comment>
    <comment ref="O81" authorId="0">
      <text>
        <r>
          <rPr>
            <sz val="10"/>
            <rFont val="SimSun"/>
            <charset val="134"/>
          </rPr>
          <t xml:space="preserve">1.80E+09 M.adds
128 Epochs
1200000 Training examples
= 1.94E+18 FLOPS
(Epoch numbers from https://github.com/tensorpack/tensorpack/blob/master/examples/ResNet/imagenet-resnet.py)
</t>
        </r>
      </text>
    </comment>
    <comment ref="S81" authorId="0">
      <text>
        <r>
          <rPr>
            <sz val="10"/>
            <rFont val="SimSun"/>
            <charset val="134"/>
          </rPr>
          <t xml:space="preserve">Twice the M.opps (Table 2). Note the table records FLOPS, but they mean M.adds!
</t>
        </r>
      </text>
    </comment>
    <comment ref="V81" authorId="0">
      <text>
        <r>
          <rPr>
            <sz val="10"/>
            <rFont val="SimSun"/>
            <charset val="134"/>
          </rPr>
          <t>https://cloud.google.com/tpu/docs/imagenet-setup</t>
        </r>
      </text>
    </comment>
    <comment ref="O82" authorId="0">
      <text>
        <r>
          <rPr>
            <sz val="10"/>
            <rFont val="SimSun"/>
            <charset val="134"/>
          </rPr>
          <t>3.60E+09 M.adds
128 epochs
1200000 training examples
3.87E+18 FLOPS</t>
        </r>
      </text>
    </comment>
    <comment ref="V82" authorId="0">
      <text>
        <r>
          <rPr>
            <sz val="10"/>
            <rFont val="SimSun"/>
            <charset val="134"/>
          </rPr>
          <t>https://cloud.google.com/tpu/docs/imagenet-setup</t>
        </r>
      </text>
    </comment>
    <comment ref="N83" authorId="0">
      <text>
        <r>
          <rPr>
            <sz val="10"/>
            <rFont val="SimSun"/>
            <charset val="134"/>
          </rPr>
          <t>Taken from https://arxiv.org/abs/1605.07146</t>
        </r>
      </text>
    </comment>
    <comment ref="O83" authorId="0">
      <text>
        <r>
          <rPr>
            <sz val="10"/>
            <rFont val="SimSun"/>
            <charset val="134"/>
          </rPr>
          <t xml:space="preserve">7.60E+09 M.adds
128 Epochs
1200000 training examples	8.17E+18 FLOPS
</t>
        </r>
      </text>
    </comment>
    <comment ref="P83" authorId="0">
      <text>
        <r>
          <rPr>
            <sz val="10"/>
            <rFont val="SimSun"/>
            <charset val="134"/>
          </rPr>
          <t>They won ILSVRC 2015, but actually the classification dataset is the same as 2012</t>
        </r>
      </text>
    </comment>
    <comment ref="S83" authorId="0">
      <text>
        <r>
          <rPr>
            <sz val="10"/>
            <rFont val="SimSun"/>
            <charset val="134"/>
          </rPr>
          <t>Table 1</t>
        </r>
      </text>
    </comment>
    <comment ref="T83" authorId="0">
      <text>
        <r>
          <rPr>
            <sz val="10"/>
            <rFont val="SimSun"/>
            <charset val="134"/>
          </rPr>
          <t xml:space="preserve">Source: https://arxiv.org/pdf/1709.05011.pdf
</t>
        </r>
      </text>
    </comment>
    <comment ref="V83" authorId="0">
      <text>
        <r>
          <rPr>
            <sz val="10"/>
            <rFont val="SimSun"/>
            <charset val="134"/>
          </rPr>
          <t>https://cloud.google.com/tpu/docs/imagenet-setup</t>
        </r>
      </text>
    </comment>
    <comment ref="N84" authorId="0">
      <text>
        <r>
          <rPr>
            <sz val="10"/>
            <rFont val="SimSun"/>
            <charset val="134"/>
          </rPr>
          <t>Taken from https://arxiv.org/abs/1605.07146</t>
        </r>
      </text>
    </comment>
    <comment ref="P84" authorId="0">
      <text>
        <r>
          <rPr>
            <sz val="10"/>
            <rFont val="SimSun"/>
            <charset val="134"/>
          </rPr>
          <t>They won ILSVRC 2015, but actually the classification dataset is the same as 2012</t>
        </r>
      </text>
    </comment>
    <comment ref="S84" authorId="0">
      <text>
        <r>
          <rPr>
            <sz val="10"/>
            <rFont val="SimSun"/>
            <charset val="134"/>
          </rPr>
          <t>Table 1</t>
        </r>
      </text>
    </comment>
    <comment ref="V84" authorId="0">
      <text>
        <r>
          <rPr>
            <sz val="10"/>
            <rFont val="SimSun"/>
            <charset val="134"/>
          </rPr>
          <t>https://cloud.google.com/tpu/docs/imagenet-setup</t>
        </r>
      </text>
    </comment>
    <comment ref="L86" authorId="0">
      <text>
        <r>
          <rPr>
            <sz val="10"/>
            <rFont val="SimSun"/>
            <charset val="134"/>
          </rPr>
          <t>Im not 100% sure of this but I skimmed and I think the transformation applied to the picture are hardcoded, not learned
	-Jaime Sevilla</t>
        </r>
      </text>
    </comment>
    <comment ref="N87" authorId="0">
      <text>
        <r>
          <rPr>
            <sz val="10"/>
            <rFont val="SimSun"/>
            <charset val="134"/>
          </rPr>
          <t>Section 1, pg 3:
"We present Neo, a software-hardware co-designed
system for fast and scalable training of DLRMs. Neo
outperforms existing systems by up to 40× for training
large-scale DLRMs with 12 trillion parameters."</t>
        </r>
      </text>
    </comment>
    <comment ref="O87" authorId="0">
      <text>
        <r>
          <rPr>
            <sz val="10"/>
            <rFont val="SimSun"/>
            <charset val="134"/>
          </rPr>
          <t>How long did they train for?</t>
        </r>
      </text>
    </comment>
    <comment ref="N88" authorId="0">
      <text>
        <r>
          <rPr>
            <sz val="10"/>
            <rFont val="SimSun"/>
            <charset val="134"/>
          </rPr>
          <t>Computed by estimating the size of the probability tables of Eq 1.
"We used five different plans simi-
lar to the one seen in Figure 2. Two plans have around
twenty primitive actions while the other three have around
sixty primitive actions. Two have no OR-nodes, one has one
OR-node and the other two have three OR-nodes."
I guesstimated the number of possible evidences to be around 100</t>
        </r>
      </text>
    </comment>
    <comment ref="A89" authorId="0">
      <text>
        <r>
          <rPr>
            <sz val="10"/>
            <rFont val="SimSun"/>
            <charset val="134"/>
          </rPr>
          <t>Someone should check if this is really the first DL paper to achieve SOTA in MNIST
	-Jaime Sevilla
I think depending on what counts as "deep" learning, a slightly earlier paper also by Ciresan might be this https://arxiv.org/pdf/1003.0358.pdf
Yann LeCunn keeps track of the SoTA results on MNIST here http://yann.lecun.com/exdb/mnist/
I'll edit this entry with the above info later
	-Anson Ho</t>
        </r>
      </text>
    </comment>
    <comment ref="I89" authorId="0">
      <text>
        <r>
          <rPr>
            <sz val="10"/>
            <rFont val="SimSun"/>
            <charset val="134"/>
          </rPr>
          <t>Is this really the first NN paper than breaks MNIST? I am surprised it has so few citations
@amoghdvg@hotmail.com can you investigate what is going on?
_Assigned to Amogh Nanjajjar_
	-Jaime Sevilla</t>
        </r>
      </text>
    </comment>
    <comment ref="J89" authorId="0">
      <text>
        <r>
          <rPr>
            <sz val="10"/>
            <rFont val="SimSun"/>
            <charset val="134"/>
          </rPr>
          <t>A lo mejor hay un paper anterior con el mismo resultado, por los mismos autores
	-Jaime Sevilla</t>
        </r>
      </text>
    </comment>
    <comment ref="N89" authorId="0">
      <text>
        <r>
          <rPr>
            <sz val="10"/>
            <rFont val="SimSun"/>
            <charset val="134"/>
          </rPr>
          <t>9 layers with 1000 parameters, and one layer with 10 parameters</t>
        </r>
      </text>
    </comment>
    <comment ref="O89" authorId="0">
      <text>
        <r>
          <rPr>
            <sz val="10"/>
            <rFont val="SimSun"/>
            <charset val="134"/>
          </rPr>
          <t>preliminary: https://www.getguesstimate.com/models/19606
both methods differ by an OOM</t>
        </r>
      </text>
    </comment>
  </commentList>
</comments>
</file>

<file path=xl/comments6.xml><?xml version="1.0" encoding="utf-8"?>
<comments xmlns="http://schemas.openxmlformats.org/spreadsheetml/2006/main">
  <authors>
    <author/>
  </authors>
  <commentList>
    <comment ref="C79" authorId="0">
      <text>
        <r>
          <rPr>
            <sz val="10"/>
            <rFont val="SimSun"/>
            <charset val="134"/>
          </rPr>
          <t>I fixed it by adding the new fields to the line that says "sort=['Drawing', 'Games', 'Language', 'Other', 'Speech', 'Vision']),"
It is not a permanent fix since it will break if we add new domains
	-Jaime Sevilla</t>
        </r>
      </text>
    </comment>
    <comment ref="C81" authorId="0">
      <text>
        <r>
          <rPr>
            <sz val="10"/>
            <rFont val="SimSun"/>
            <charset val="134"/>
          </rPr>
          <t>Lennart points out most of them are not trying to push the limits of DL ; maybe we should revise them later
	-Jaime Sevilla</t>
        </r>
      </text>
    </comment>
    <comment ref="C92" authorId="0">
      <text>
        <r>
          <rPr>
            <sz val="10"/>
            <rFont val="SimSun"/>
            <charset val="134"/>
          </rPr>
          <t>Added old papers (many recent papers still missing, but we already have lots of recent papers)
	-Jaime Sevilla</t>
        </r>
      </text>
    </comment>
    <comment ref="C93" authorId="0">
      <text>
        <r>
          <rPr>
            <sz val="10"/>
            <rFont val="SimSun"/>
            <charset val="134"/>
          </rPr>
          <t>Added the systems associated with formal publications, left out eg the Eleuther systems
	-Jaime Sevilla</t>
        </r>
      </text>
    </comment>
    <comment ref="B98" authorId="0">
      <text>
        <r>
          <rPr>
            <sz val="10"/>
            <rFont val="SimSun"/>
            <charset val="134"/>
          </rPr>
          <t>I don't mean to butt in to this sheet (accessed via a paper that Jenny Xiao shared) but you might want to be aware of this work: https://docs.google.com/spreadsheets/d/1fxPgHFnuKEcs-XnQgwejixnjsMIjggD6JERgoxR1Jtk/. I don't believe that there are any large models on there that haven't already been captured by this sheet, but something that I do believe was useful, at least ontologically, was applying the OECD Framework for the Classification of AI Systems (https://oecd.ai/en/classification), which is rather politically relevant—may play some role in standard-setting.
More information:
- https://oecd.ai/en/classification
- https://oecd.ai/en/wonk/three-takeaways-classifying-ai-systems-designed-to-fight-covid-19
- https://forum.effectivealtruism.org/posts/zvbGXCxc5jBowCuNX/how-technical-safety-standards-could-promote-tai-safety
	-Samuel Curtis</t>
        </r>
      </text>
    </comment>
  </commentList>
</comments>
</file>

<file path=xl/comments7.xml><?xml version="1.0" encoding="utf-8"?>
<comments xmlns="http://schemas.openxmlformats.org/spreadsheetml/2006/main">
  <authors>
    <author/>
  </authors>
  <commentList>
    <comment ref="A1" authorId="0">
      <text>
        <r>
          <rPr>
            <sz val="10"/>
            <rFont val="SimSun"/>
            <charset val="134"/>
          </rPr>
          <t>"Parameter, Compute and Data Trends in Machine Learning" 
CC-BY Jaime Sevilla, Pablo Villalobos, Juan Felipe Cerón, Matthew Burtell, Lennart Heim, Amogh B. Nanjajjar, Anson Ho, Tamay Besiroglu, Marius Hobbhahn and Jean-Stanislas Denain.
An interactive visualization of the dataset is available at https://colab.research.google.com/drive/11m0AfSQnLiDijtE1fsIPqF-ipbTQcsFp
If you find an error, want to add new information or suggest a new entry, leave a comment or email jaimesevillamolina@gmail.com
We thank:
- Miguel Arjona for help with data entry
- Nuño Sempere for providing a couple of estimates</t>
        </r>
      </text>
    </comment>
    <comment ref="B1" authorId="0">
      <text>
        <r>
          <rPr>
            <sz val="10"/>
            <rFont val="SimSun"/>
            <charset val="134"/>
          </rPr>
          <t>Vision, speech, language, games, etc</t>
        </r>
      </text>
    </comment>
    <comment ref="C1" authorId="0">
      <text>
        <r>
          <rPr>
            <sz val="10"/>
            <rFont val="SimSun"/>
            <charset val="134"/>
          </rPr>
          <t>The concrete task the system was trained to perform</t>
        </r>
      </text>
    </comment>
    <comment ref="J1" authorId="0">
      <text>
        <r>
          <rPr>
            <sz val="10"/>
            <rFont val="SimSun"/>
            <charset val="134"/>
          </rPr>
          <t>Extracted automatically from Google Scholar on 11/08/2021
Code: 
https://colab.research.google.com/drive/1rRrDwZtINXeiSbhKnxh_lsOpraYjOpmF?usp=sharing</t>
        </r>
      </text>
    </comment>
    <comment ref="L1" authorId="0">
      <text>
        <r>
          <rPr>
            <sz val="10"/>
            <rFont val="SimSun"/>
            <charset val="134"/>
          </rPr>
          <t>SOTA improvement, highly cited, historical relevance</t>
        </r>
      </text>
    </comment>
    <comment ref="M1" authorId="0">
      <text>
        <r>
          <rPr>
            <sz val="10"/>
            <rFont val="SimSun"/>
            <charset val="134"/>
          </rPr>
          <t>Number of hidden layers</t>
        </r>
      </text>
    </comment>
    <comment ref="N1" authorId="0">
      <text>
        <r>
          <rPr>
            <sz val="10"/>
            <rFont val="SimSun"/>
            <charset val="134"/>
          </rPr>
          <t xml:space="preserve">Number of free parameters
1,464 images in VOC 2012 </t>
        </r>
      </text>
    </comment>
    <comment ref="O1" authorId="0">
      <text>
        <r>
          <rPr>
            <sz val="10"/>
            <rFont val="SimSun"/>
            <charset val="134"/>
          </rPr>
          <t>Total amount of floating point operations used to train the model
Counts a multadd as 2 operations</t>
        </r>
      </text>
    </comment>
    <comment ref="P1" authorId="0">
      <text>
        <r>
          <rPr>
            <sz val="10"/>
            <rFont val="SimSun"/>
            <charset val="134"/>
          </rPr>
          <t>Total amount of floating point operations to process one single input to the model
Note: multadds are counted as 2 operations</t>
        </r>
      </text>
    </comment>
    <comment ref="S1" authorId="0">
      <text>
        <r>
          <rPr>
            <sz val="10"/>
            <rFont val="SimSun"/>
            <charset val="134"/>
          </rPr>
          <t>Training time x cores (hours)</t>
        </r>
      </text>
    </comment>
    <comment ref="V1" authorId="0">
      <text>
        <r>
          <rPr>
            <sz val="10"/>
            <rFont val="SimSun"/>
            <charset val="134"/>
          </rPr>
          <t>Supervised ML, unsupervised ML, RL, statistical modelling, etc</t>
        </r>
      </text>
    </comment>
    <comment ref="W1" authorId="0">
      <text>
        <r>
          <rPr>
            <sz val="10"/>
            <rFont val="SimSun"/>
            <charset val="134"/>
          </rPr>
          <t>The metric that was used as training loss</t>
        </r>
      </text>
    </comment>
    <comment ref="X1" authorId="0">
      <text>
        <r>
          <rPr>
            <sz val="10"/>
            <rFont val="SimSun"/>
            <charset val="134"/>
          </rPr>
          <t>Reason for inclusion in the dataset</t>
        </r>
      </text>
    </comment>
    <comment ref="Z1" authorId="0">
      <text>
        <r>
          <rPr>
            <sz val="10"/>
            <rFont val="SimSun"/>
            <charset val="134"/>
          </rPr>
          <t>Where we heard about this paper</t>
        </r>
      </text>
    </comment>
    <comment ref="I2" authorId="0">
      <text>
        <r>
          <rPr>
            <sz val="10"/>
            <rFont val="SimSun"/>
            <charset val="134"/>
          </rPr>
          <t>Archived version:
https://web.archive.org/web/20210423014600/https://www.technologyreview.com/2018/12/19/138508/mighty-mouse/</t>
        </r>
      </text>
    </comment>
    <comment ref="N2" authorId="0">
      <text>
        <r>
          <rPr>
            <sz val="10"/>
            <rFont val="SimSun"/>
            <charset val="134"/>
          </rPr>
          <t>The learned part is the maze configuration. There are 25 squares of the maze. The 16 squares to the left top corner have each one adjacent square down and one adjacent square up, for a total of 16*2 walls. We only need to count the 8 spare walls connecting the squares in the right side and the bottom side. In total there are 16*2+8 walls.</t>
        </r>
      </text>
    </comment>
    <comment ref="O2" authorId="0">
      <text>
        <r>
          <rPr>
            <sz val="10"/>
            <rFont val="SimSun"/>
            <charset val="134"/>
          </rPr>
          <t>The "training" consists on the mouse running around and checking each wall.</t>
        </r>
      </text>
    </comment>
    <comment ref="N3" authorId="0">
      <text>
        <r>
          <rPr>
            <sz val="10"/>
            <rFont val="SimSun"/>
            <charset val="134"/>
          </rPr>
          <t>The link below seems to suggest the SNARC had 40 cells, each with a dial that acts as a configurable weight.
https://www.webofstories.com/play/marvin.minsky/137</t>
        </r>
      </text>
    </comment>
    <comment ref="L4" authorId="0">
      <text>
        <r>
          <rPr>
            <sz val="10"/>
            <rFont val="SimSun"/>
            <charset val="134"/>
          </rPr>
          <t>Possibly first computer simulation of a genetic evolution algorithm</t>
        </r>
      </text>
    </comment>
    <comment ref="I5" authorId="0">
      <text>
        <r>
          <rPr>
            <sz val="10"/>
            <rFont val="SimSun"/>
            <charset val="134"/>
          </rPr>
          <t>Archived version:
https://web.archive.org/web/20211228141853/https://sci-hubtw.hkvisa.net/10.1145/1455292.1455309</t>
        </r>
      </text>
    </comment>
    <comment ref="N5" authorId="0">
      <text>
        <r>
          <rPr>
            <sz val="10"/>
            <rFont val="SimSun"/>
            <charset val="134"/>
          </rPr>
          <t>Figure 4 contains the learnt weight matrix</t>
        </r>
      </text>
    </comment>
    <comment ref="H8" authorId="0">
      <text>
        <r>
          <rPr>
            <sz val="10"/>
            <rFont val="SimSun"/>
            <charset val="134"/>
          </rPr>
          <t>This paper is just theoretical.
The Mark I perceptron was implemented on an IBM
704 computer at Cornell in 1957 
source: Bishop, Christopher M. (2006). Pattern Recognition and Machine Learning
The theory of the perceptron is later developed in Principles of Neurodynamics, Spartan Books, New York (1962)</t>
        </r>
      </text>
    </comment>
    <comment ref="L8" authorId="0">
      <text>
        <r>
          <rPr>
            <sz val="10"/>
            <rFont val="SimSun"/>
            <charset val="134"/>
          </rPr>
          <t xml:space="preserve">First modern neural network </t>
        </r>
      </text>
    </comment>
    <comment ref="N8" authorId="0">
      <text>
        <r>
          <rPr>
            <sz val="10"/>
            <rFont val="SimSun"/>
            <charset val="134"/>
          </rPr>
          <t>"Figure 4.8 Illustration of the Mark 1 perceptron hardware. The photograph on the left shows how the inputs were obtained using a simple camera system in which an input scene, in this case a printed character, was illuminated by powerful lights, and an image focussed onto a 20 × 20 array of cadmium sulphide photocells,
giving a primitive 400 pixel image. The perceptron also had a patch board, shown in the middle photograph, which allowed different configurations of input features to be tried. Often these were wired up at random to
demonstrate the ability of the perceptron to learn without the need for precise wiring, in contrast to a modern digital computer. The photograph on the right shows one of the racks of adaptive weights. Each weight was implemented using a rotary variable resistor, also called a potentiometer, driven by an electric motor thereby
allowing the value of the weight to be adjusted automatically by the learning algorithm."
The perceptron asociated one weight per input, for a total of 20x20=400 parameters.
source: Bishop, Christopher M. (2006). Pattern Recognition and Machine Learning</t>
        </r>
      </text>
    </comment>
    <comment ref="O8" authorId="0">
      <text>
        <r>
          <rPr>
            <sz val="10"/>
            <rFont val="SimSun"/>
            <charset val="134"/>
          </rPr>
          <t>Extracted from AI and Compute (https://openai.com/blog/ai-and-compute/) charts by using https://automeris.io/WebPlotDigitizer/.</t>
        </r>
      </text>
    </comment>
    <comment ref="N9" authorId="0">
      <text>
        <r>
          <rPr>
            <sz val="10"/>
            <rFont val="SimSun"/>
            <charset val="134"/>
          </rPr>
          <t>A two bit state is recorded for each of the 75 cell pairs and each of the 25+10 characters recognized.</t>
        </r>
      </text>
    </comment>
    <comment ref="N10" authorId="0">
      <text>
        <r>
          <rPr>
            <sz val="10"/>
            <rFont val="SimSun"/>
            <charset val="134"/>
          </rPr>
          <t>"with 16 terms for generalization learning"
"Mention has been made several times of the procedure
for replacing terms in the scoring polynomial. The program, as it is currently running, contains 38 different
terms (in addition to the piece-advantage term), 16 of
these being included in the scoring polynomial at anyone
time and the remaining 22 being kept in reserve."</t>
        </r>
      </text>
    </comment>
    <comment ref="O10" authorId="0">
      <text>
        <r>
          <rPr>
            <sz val="10"/>
            <rFont val="SimSun"/>
            <charset val="134"/>
          </rPr>
          <t>"it can learn to do this in a remarkably short period of time 18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t>
        </r>
      </text>
    </comment>
    <comment ref="S10" authorId="0">
      <text>
        <r>
          <rPr>
            <sz val="10"/>
            <rFont val="SimSun"/>
            <charset val="134"/>
          </rPr>
          <t>Furthermore, it can learn to do this in a remarkably short period of time (8 or 10 hours of machine-playing time)</t>
        </r>
      </text>
    </comment>
    <comment ref="T10" authorId="0">
      <text>
        <r>
          <rPr>
            <sz val="10"/>
            <rFont val="SimSun"/>
            <charset val="134"/>
          </rPr>
          <t>Appendix A</t>
        </r>
      </text>
    </comment>
    <comment ref="H11" authorId="0">
      <text>
        <r>
          <rPr>
            <sz val="10"/>
            <rFont val="SimSun"/>
            <charset val="134"/>
          </rPr>
          <t>Note: The paper is a theoretical paper, though it mentions some experiments to do with morse code, so my guesses are as to those experiments.</t>
        </r>
      </text>
    </comment>
    <comment ref="N11" authorId="0">
      <text>
        <r>
          <rPr>
            <sz val="10"/>
            <rFont val="SimSun"/>
            <charset val="134"/>
          </rPr>
          <t>The paper mentions 11 function types. I'm guessing that these were each used between 10 and 1000 times, for a point estimate of 3000 parameters</t>
        </r>
      </text>
    </comment>
    <comment ref="O11" authorId="0">
      <text>
        <r>
          <rPr>
            <sz val="10"/>
            <rFont val="SimSun"/>
            <charset val="134"/>
          </rPr>
          <t>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t>
        </r>
      </text>
    </comment>
    <comment ref="N13" authorId="0">
      <text>
        <r>
          <rPr>
            <sz val="10"/>
            <rFont val="SimSun"/>
            <charset val="134"/>
          </rPr>
          <t>"The machine's total experience is stored in the values of the weights a0,...,a16"</t>
        </r>
      </text>
    </comment>
    <comment ref="O13" authorId="0">
      <text>
        <r>
          <rPr>
            <sz val="10"/>
            <rFont val="SimSun"/>
            <charset val="134"/>
          </rPr>
          <t>"The method of searching that has proven most useful is the method of steepest descent"
Apparently each pattern was only shown once to the system.
So the training compute is (forward pass compute) * (3 for backprop) * dataset size</t>
        </r>
      </text>
    </comment>
    <comment ref="P13" authorId="0">
      <text>
        <r>
          <rPr>
            <sz val="10"/>
            <rFont val="SimSun"/>
            <charset val="134"/>
          </rPr>
          <t>We have 16 weights and a bias parameter. So 16 multadds and an add. The result is then thresholded to produce a binary output.</t>
        </r>
      </text>
    </comment>
    <comment ref="R13" authorId="0">
      <text>
        <r>
          <rPr>
            <sz val="10"/>
            <rFont val="SimSun"/>
            <charset val="134"/>
          </rPr>
          <t>"The best system, arrived at by slow precise adaptation on the full body of 100 noisy patterns, was able to classify these patterns as desired except for twelve errors."
https://isl.stanford.edu/~widrow/papers/c1960adaptiveswitching.pdf</t>
        </r>
      </text>
    </comment>
    <comment ref="N20" authorId="0">
      <text>
        <r>
          <rPr>
            <sz val="10"/>
            <rFont val="SimSun"/>
            <charset val="134"/>
          </rPr>
          <t>"The total number of parameters used at any one time has been varied from a very few to as many as 40"</t>
        </r>
      </text>
    </comment>
    <comment ref="L26" authorId="0">
      <text>
        <r>
          <rPr>
            <sz val="10"/>
            <rFont val="SimSun"/>
            <charset val="134"/>
          </rPr>
          <t>Precursor of the Neocognitron</t>
        </r>
      </text>
    </comment>
    <comment ref="N29" authorId="0">
      <text>
        <r>
          <rPr>
            <sz val="10"/>
            <rFont val="SimSun"/>
            <charset val="134"/>
          </rPr>
          <t>"
The synaptic connections from S-layers to C-layers
are fixed and unmodifiable. [...]
The numbers of excitatory cells in these seven layers are: 16x16 in U0, 16x16x24 in Us1, 10x10x 24 in Uc1, 8x8x24 in Us2, 6x 6x 24 in Uc2, 2x2x24 in Us3, and 24 in Uc3 
[...]
 the number of input synapses to each S-cell is 5 x 5 in layer Us1 and 5x5x24 in layers Us2 and Us3
[...]
The number of excitatory input synapses to each C-cell is 5x5 in layers Uc1 and Uc2, and is 2x2 in
layer Uc3
"
The number of synapses into each S-layer is:
S1: (16*16*24)*(5*5) 
S2: (8*8*24)*(5*5*24)
S3: (2*2*24)*(5*5*24)
We assume one parameter a per synapse into each cell in a S-layer, and one parameter b per each cell in a S-layer.</t>
        </r>
      </text>
    </comment>
    <comment ref="O29" authorId="0">
      <text>
        <r>
          <rPr>
            <sz val="10"/>
            <rFont val="SimSun"/>
            <charset val="134"/>
          </rPr>
          <t xml:space="preserve">"It does not necessarily mean that all of these input synapses are
always fully reinforced. In usual situations, only some of these input synapses are reinforced, and the rest of them remains in small values [...] Each of the five stimulus patterns has been presented 20 times to the network. By that time, self organization of the network has almost been completed."
We multiply by 2 to account for multadds
</t>
        </r>
      </text>
    </comment>
    <comment ref="R29" authorId="0">
      <text>
        <r>
          <rPr>
            <sz val="10"/>
            <rFont val="SimSun"/>
            <charset val="134"/>
          </rPr>
          <t>"In order to self-organize the network, we have presented five stimulus patterns "0", "1", "2", "3", and "4", which are shown in Fig. 6"</t>
        </r>
      </text>
    </comment>
    <comment ref="N30" authorId="0">
      <text>
        <r>
          <rPr>
            <sz val="10"/>
            <rFont val="SimSun"/>
            <charset val="134"/>
          </rPr>
          <t>The input vectors are 3D.
I could not find the grid size, but from the images it looks 8x8.
So the network was 8x8x3 parameters.</t>
        </r>
      </text>
    </comment>
    <comment ref="N31" authorId="0">
      <text>
        <r>
          <rPr>
            <sz val="10"/>
            <rFont val="SimSun"/>
            <charset val="134"/>
          </rPr>
          <t>My understanding is that the biggest Hopfield networks they studied had N=100 units. 
Each unit has 99 synapses Tij from each other unit, for a total of 100*99 parameters</t>
        </r>
      </text>
    </comment>
    <comment ref="N38" authorId="0">
      <text>
        <r>
          <rPr>
            <sz val="10"/>
            <rFont val="SimSun"/>
            <charset val="134"/>
          </rPr>
          <t>Figure 4 includes a representation of the weights learned by the people to relationship network</t>
        </r>
      </text>
    </comment>
    <comment ref="O38" authorId="0">
      <text>
        <r>
          <rPr>
            <sz val="10"/>
            <rFont val="SimSun"/>
            <charset val="134"/>
          </rPr>
          <t>We assume that the number of mult-adds per pass is equal to the number of parameters.
"We trained the network for 1500 sweeps"
There are 12*12 possible pairs of people, so we assume that is the dataset size</t>
        </r>
      </text>
    </comment>
    <comment ref="P38" authorId="0">
      <text>
        <r>
          <rPr>
            <sz val="10"/>
            <rFont val="SimSun"/>
            <charset val="134"/>
          </rPr>
          <t>We assume that the number of mult-adds is equal to the number of parameters.</t>
        </r>
      </text>
    </comment>
    <comment ref="R38" authorId="0">
      <text>
        <r>
          <rPr>
            <sz val="10"/>
            <rFont val="SimSun"/>
            <charset val="134"/>
          </rPr>
          <t>There are 12*12 possible pairs of people, so we assume that is the dataset size</t>
        </r>
      </text>
    </comment>
    <comment ref="N41" authorId="0">
      <text>
        <r>
          <rPr>
            <sz val="10"/>
            <rFont val="SimSun"/>
            <charset val="134"/>
          </rPr>
          <t>The connections in the network are specified by a total of 18629
weight parameters (including a variable threshold for each unit)</t>
        </r>
      </text>
    </comment>
    <comment ref="O41" authorId="0">
      <text>
        <r>
          <rPr>
            <sz val="10"/>
            <rFont val="SimSun"/>
            <charset val="134"/>
          </rPr>
          <t>Extracted from AI and Compute (https://openai.com/blog/ai-and-compute/) charts by using https://automeris.io/WebPlotDigitizer/.</t>
        </r>
      </text>
    </comment>
    <comment ref="N43" authorId="0">
      <text>
        <r>
          <rPr>
            <sz val="10"/>
            <rFont val="SimSun"/>
            <charset val="134"/>
          </rPr>
          <t>"The simulation studies reported here all involved a 16-bit input pattern. "</t>
        </r>
      </text>
    </comment>
    <comment ref="R43" authorId="0">
      <text>
        <r>
          <rPr>
            <sz val="10"/>
            <rFont val="SimSun"/>
            <charset val="134"/>
          </rPr>
          <t>"The total number of possible input patterns was 65,536. Training sets of 650 and 1500 patterns picked at random from this total were used."</t>
        </r>
      </text>
    </comment>
    <comment ref="N44" authorId="0">
      <text>
        <r>
          <rPr>
            <sz val="10"/>
            <rFont val="SimSun"/>
            <charset val="134"/>
          </rPr>
          <t>Figure 3</t>
        </r>
      </text>
    </comment>
    <comment ref="N48" authorId="0">
      <text>
        <r>
          <rPr>
            <sz val="10"/>
            <rFont val="SimSun"/>
            <charset val="134"/>
          </rPr>
          <t>http://www.cs.cmu.edu/afs/cs.cmu.edu/academic/class/15782-f06/slides/alvinn.pdf</t>
        </r>
      </text>
    </comment>
    <comment ref="O48" authorId="0">
      <text>
        <r>
          <rPr>
            <sz val="10"/>
            <rFont val="SimSun"/>
            <charset val="134"/>
          </rPr>
          <t>Extracted from AI and Compute (https://openai.com/blog/ai-and-compute/) charts by using https://automeris.io/WebPlotDigitizer/.</t>
        </r>
      </text>
    </comment>
    <comment ref="M49" authorId="0">
      <text>
        <r>
          <rPr>
            <sz val="10"/>
            <rFont val="SimSun"/>
            <charset val="134"/>
          </rPr>
          <t>"The network has three hidden layers named H1, H2, and H3, respectively"</t>
        </r>
      </text>
    </comment>
    <comment ref="N49" authorId="0">
      <text>
        <r>
          <rPr>
            <sz val="10"/>
            <rFont val="SimSun"/>
            <charset val="134"/>
          </rPr>
          <t>In summary, the network has 1256 units, 64,660 connections, and 9760 independent parameters</t>
        </r>
      </text>
    </comment>
    <comment ref="O49" authorId="0">
      <text>
        <r>
          <rPr>
            <sz val="10"/>
            <rFont val="SimSun"/>
            <charset val="134"/>
          </rPr>
          <t>Its a deep CNN so we assume a backward-forward ratio of 2:1
"The network was trained for 23
passes through the training set (167,693 pattern presentations)."</t>
        </r>
      </text>
    </comment>
    <comment ref="P49" authorId="0">
      <text>
        <r>
          <rPr>
            <sz val="10"/>
            <rFont val="SimSun"/>
            <charset val="134"/>
          </rPr>
          <t>Roughly twice the number of connections</t>
        </r>
      </text>
    </comment>
    <comment ref="Q49" authorId="0">
      <text>
        <r>
          <rPr>
            <sz val="10"/>
            <rFont val="SimSun"/>
            <charset val="134"/>
          </rPr>
          <t>"The data base used to train and test the network consists of 9298 segmented numerals digitized from handwritten zip codes
that appeared on U.S. mail passing through the Buffalo, NY post office.
Examples of such images are shown in Figure 1. The digits were written
by many different people, using a great variety of sizes, writing styles,
and instruments, with widely varying amounts of care; 7291 examples
are used for training the network and 2007 are used for testing the generalization performance. One important feature of this data base is that
both the training set and the testing set contain numerous examples that
are ambiguous, unclassifiable, or even misclassified. "</t>
        </r>
      </text>
    </comment>
    <comment ref="R49" authorId="0">
      <text>
        <r>
          <rPr>
            <sz val="10"/>
            <rFont val="SimSun"/>
            <charset val="134"/>
          </rPr>
          <t>The digits were written
by many different people, using a great variety of sizes, writing styles,
and instruments, with widely varying amounts of care; 7291 examples
are used for training the network and 2007 are used for testing the generalization performance</t>
        </r>
      </text>
    </comment>
    <comment ref="N52" authorId="0">
      <text>
        <r>
          <rPr>
            <sz val="10"/>
            <rFont val="SimSun"/>
            <charset val="134"/>
          </rPr>
          <t>From https://www.bnlearn.com/bnrepository/</t>
        </r>
      </text>
    </comment>
    <comment ref="N55" authorId="0">
      <text>
        <r>
          <rPr>
            <sz val="10"/>
            <rFont val="SimSun"/>
            <charset val="134"/>
          </rPr>
          <t>The best performance was obtained with a network containing 80 hidden units and over 25,000 weights.</t>
        </r>
      </text>
    </comment>
    <comment ref="O55" authorId="0">
      <text>
        <r>
          <rPr>
            <sz val="10"/>
            <rFont val="SimSun"/>
            <charset val="134"/>
          </rPr>
          <t>Extracted from AI and Compute (https://openai.com/blog/ai-and-compute/) charts by using https://automeris.io/WebPlotDigitizer/.</t>
        </r>
      </text>
    </comment>
    <comment ref="N57" authorId="0">
      <text>
        <r>
          <rPr>
            <sz val="10"/>
            <rFont val="SimSun"/>
            <charset val="134"/>
          </rPr>
          <t>The model is initiallized with 2.44E+09 translation probabilities, which are progressively culled until 1,658,364 remain. There are other parameters in the models (eg the fertility probabilities that relate each word in the input to the number of words it will align to) but the parameter count is dominated by the translation probabilities.</t>
        </r>
      </text>
    </comment>
    <comment ref="R57" authorId="0">
      <text>
        <r>
          <rPr>
            <sz val="10"/>
            <rFont val="SimSun"/>
            <charset val="134"/>
          </rPr>
          <t>"They used the algorithm to extract a large number of translations from several years of the proceedings of the Canadian parliament. From these translations, we have chosen as our training data those for which both the English sentence and the French sentence are 30 or fewer words in length. This is a collection of 1,778,620 translations."</t>
        </r>
      </text>
    </comment>
    <comment ref="N58" authorId="0">
      <text>
        <r>
          <rPr>
            <sz val="10"/>
            <rFont val="SimSun"/>
            <charset val="134"/>
          </rPr>
          <t>"The total number of free parameters is then:
(Nw - 1).NT + (NT - 1).NT.NT."
Where:
Nw= Vocabulary size
NT = Number of tags
"In the treebank 159 different tags are used. These tags were projected on a smaller system of 76 tags designed by Evelyne Tzoukermann and Peter Brown (see Appendix). The results quoted in this paper all refer to this smaller system"
So NT = 76
https://www.aclweb.org/anthology/J94-2001/
There is no direct reference to Nw, but the data is from "Lexicon and grammar in probabilistic tagging of written English." which says
"(the new CLAWS lexicón has almost 26,500 entries)"
So tentatively Nw=26500
https://dl.acm.org/doi/10.3115/982023.982049</t>
        </r>
      </text>
    </comment>
    <comment ref="R58" authorId="0">
      <text>
        <r>
          <rPr>
            <sz val="10"/>
            <rFont val="SimSun"/>
            <charset val="134"/>
          </rPr>
          <t>"We use the "treebank" data described in Beale (1988). It contains 42,186 sentences (about one million words) from the Associated Press."
https://www.aclweb.org/anthology/J94-2001.pdf</t>
        </r>
      </text>
    </comment>
    <comment ref="N59" authorId="0">
      <text>
        <r>
          <rPr>
            <sz val="10"/>
            <rFont val="SimSun"/>
            <charset val="134"/>
          </rPr>
          <t xml:space="preserve">For each pair of users, the system computes the correlation between their scores in the articles they have rated.
Then to make the prediction of a score for a given article and user the system computes a weighted average taking into account the correlations with each other user, the average rating of each user and the average rating of the article.
So the system in total has n+m+n*n ~= n*n parameters, where n is the number of users and m is the number of articles.
To address scaling issues, the system is partioned into clusters of users. It's very unclear what is the number of users per cluster, though the Daily ratings traffic table provided suggests that is around 10k users </t>
        </r>
      </text>
    </comment>
    <comment ref="N65" authorId="0">
      <text>
        <r>
          <rPr>
            <sz val="10"/>
            <rFont val="SimSun"/>
            <charset val="134"/>
          </rPr>
          <t>System 11 is a combination of Network 1 and Network 2
Network 1 has 2095 connections and network 2 has 4357 connections (see table 1)</t>
        </r>
      </text>
    </comment>
    <comment ref="O65" authorId="0">
      <text>
        <r>
          <rPr>
            <sz val="10"/>
            <rFont val="SimSun"/>
            <charset val="134"/>
          </rPr>
          <t xml:space="preserve">Since there is no parameter sharing, the forward compute is roughly twice that of the number of parameters.
We use a 2:1 forward-backward ratio as this is a shallow network, with most connections in the first layer.
The number of passes is quite non-standard: in the first loop the system processes 15*1050 face images and 1000 randomly generated images. In the following loops the system processes a subset of non-face images, typically 8000.
</t>
        </r>
      </text>
    </comment>
    <comment ref="P65" authorId="0">
      <text>
        <r>
          <rPr>
            <sz val="10"/>
            <rFont val="SimSun"/>
            <charset val="134"/>
          </rPr>
          <t>The connections are linear so roughly twice the number of parameters</t>
        </r>
      </text>
    </comment>
    <comment ref="R65" authorId="0">
      <text>
        <r>
          <rPr>
            <sz val="10"/>
            <rFont val="SimSun"/>
            <charset val="134"/>
          </rPr>
          <t>"A typical training
run selects approximately 8000 non-face images from the
146,212,178 subimages that are available at all locations
and scales in the training scenery images."
"Nearly 1050 face examples were gathered from face databases at CMU and Harvard [...] In the training set,15 face examples are generated from each
original image [...]"
"Create an initial set of non-face images by generating
1000 images with random pixel intensities"</t>
        </r>
      </text>
    </comment>
    <comment ref="F70" authorId="0">
      <text>
        <r>
          <rPr>
            <sz val="10"/>
            <rFont val="SimSun"/>
            <charset val="134"/>
          </rPr>
          <t>A previous version of the paper was written in 1995</t>
        </r>
      </text>
    </comment>
    <comment ref="N70" authorId="0">
      <text>
        <r>
          <rPr>
            <sz val="10"/>
            <rFont val="SimSun"/>
            <charset val="134"/>
          </rPr>
          <t>Table 2
http://www.bioinf.jku.at/publications/older/2604.pdf</t>
        </r>
      </text>
    </comment>
    <comment ref="O70" authorId="0">
      <text>
        <r>
          <rPr>
            <sz val="10"/>
            <rFont val="SimSun"/>
            <charset val="134"/>
          </rPr>
          <t>"Due to limited computation time, training is stopped after 5 million sequence presentations"
Each sequence has p=100 elements in the long-delay setting.
COMPUTE = PRESENTATIONS * PRESENTATION LENGTH * UPDATE COMPUTE PER TOKEN</t>
        </r>
      </text>
    </comment>
    <comment ref="P70" authorId="0">
      <text>
        <r>
          <rPr>
            <sz val="10"/>
            <rFont val="SimSun"/>
            <charset val="134"/>
          </rPr>
          <t>Appendix A.1
"LSTM's update complexity per time is [...] K + 2KH + KC + 2KSC + H I + C I + 4CSI steps [...] where K is the number of output units, C is the number of memory cell blocks, S &gt; 0 is the size of the memory cell blocks, H is the number of hidden units, I is the (maximal) number of units forward-connected to memory cells, gate units and hidden units"
"W = KH + KCS + CSI + 2C is the number of weights"
So the update complexity is roughly twice the number of weights.
The authors take 1 FMA = 1 step, so this is roughly 4*W FLOP</t>
        </r>
      </text>
    </comment>
    <comment ref="L72" authorId="0">
      <text>
        <r>
          <rPr>
            <sz val="10"/>
            <rFont val="SimSun"/>
            <charset val="134"/>
          </rPr>
          <t>First RL system with human performance at Otello
Source: https://www.davidsilver.uk/wp-content/uploads/2020/03/games.pdf</t>
        </r>
      </text>
    </comment>
    <comment ref="A76" authorId="0">
      <text>
        <r>
          <rPr>
            <sz val="10"/>
            <rFont val="SimSun"/>
            <charset val="134"/>
          </rPr>
          <t>This one could be the wrong paper</t>
        </r>
      </text>
    </comment>
    <comment ref="N76" authorId="0">
      <text>
        <r>
          <rPr>
            <sz val="10"/>
            <rFont val="SimSun"/>
            <charset val="134"/>
          </rPr>
          <t>"The RNN generated a total of eigt output prosodic parameters. [...] The numbers of nodes in the first and second hidden layers were determined empirically and set to be 35 and 30, respectively"
Figure 1 contains an overview of the architecture.
Layer 1: (102 + 35 + 1)*35 parameters
Layer 2: (43 + 35 + 1)*30 parameters
Output layer: (30+8+1)*8 parameters</t>
        </r>
      </text>
    </comment>
    <comment ref="O76" authorId="0">
      <text>
        <r>
          <rPr>
            <sz val="10"/>
            <rFont val="SimSun"/>
            <charset val="134"/>
          </rPr>
          <t>Extracted from AI and Compute (https://openai.com/blog/ai-and-compute/) charts by using https://automeris.io/WebPlotDigitizer/.</t>
        </r>
      </text>
    </comment>
    <comment ref="N77" authorId="0">
      <text>
        <r>
          <rPr>
            <sz val="10"/>
            <rFont val="SimSun"/>
            <charset val="134"/>
          </rPr>
          <t xml:space="preserve">[LeNet5] contains 390408 connections, but only 60000 trainable free parameters because of the weight sharing </t>
        </r>
      </text>
    </comment>
    <comment ref="O77" authorId="0">
      <text>
        <r>
          <rPr>
            <sz val="10"/>
            <rFont val="SimSun"/>
            <charset val="134"/>
          </rPr>
          <t>"[LeNet5] contains 390408 connections" = multiply-adds
MNIST - 60,000 data points
20 epochs</t>
        </r>
      </text>
    </comment>
    <comment ref="R77" authorId="0">
      <text>
        <r>
          <rPr>
            <sz val="10"/>
            <rFont val="SimSun"/>
            <charset val="134"/>
          </rPr>
          <t>The MNIST database contains 60,000 training images and 10,000 testing images (Wikipedia)</t>
        </r>
      </text>
    </comment>
    <comment ref="U77" authorId="0">
      <text>
        <r>
          <rPr>
            <sz val="10"/>
            <rFont val="SimSun"/>
            <charset val="134"/>
          </rPr>
          <t>MNIST</t>
        </r>
      </text>
    </comment>
    <comment ref="R78" authorId="0">
      <text>
        <r>
          <rPr>
            <sz val="10"/>
            <rFont val="SimSun"/>
            <charset val="134"/>
          </rPr>
          <t>"The dataset consists of 60,000 training examples and 10,000 test examples."</t>
        </r>
      </text>
    </comment>
    <comment ref="H87" authorId="0">
      <text>
        <r>
          <rPr>
            <sz val="10"/>
            <rFont val="SimSun"/>
            <charset val="134"/>
          </rPr>
          <t xml:space="preserve">From Anson:
I've just had a look at the paper and I'm a little confused about how to determine parameters and compute.But here's my best guess:
My understanding is that the Viola-Jones algorithm works like a decision tree and repeatedly applies filters that look at the brightness of pixels. If the filter plausibly describes the bright/dark pattern of a human face, then "pass" and go to the next filter, else "fail" and there is no human face
So the training compute comes from learning which filters are necessary, and is given in the pseudocode in table 1. From this, it looks like the number of weights depends on the dataset size, which in this case is 2*4916 faces+9544 non-faces = 19376, and multiplies that by the number of filters T = 6061, so no. of params = 1.2e8 (Note:I think "features" = "filters" in this paper)
The training compute can be tediously worked out from the pseudocode. I think for dataset size D, number of filters T, the training compute is roughly 180k * D * 3 * T = 6.3e13 FLOPs
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
</t>
        </r>
      </text>
    </comment>
    <comment ref="N87" authorId="0">
      <text>
        <r>
          <rPr>
            <sz val="10"/>
            <rFont val="SimSun"/>
            <charset val="134"/>
          </rPr>
          <t>From table 1, it looks like the number of weights depends on the dataset size, which in this case is 2*4916 faces+9544 non-faces = 19376, and multiplies that by the number of filters T = 6061, so no. of params = 1.2e8 (Note:I think "features" = "filters" in this paper)</t>
        </r>
      </text>
    </comment>
    <comment ref="O87" authorId="0">
      <text>
        <r>
          <rPr>
            <sz val="10"/>
            <rFont val="SimSun"/>
            <charset val="134"/>
          </rPr>
          <t xml:space="preserve">
The training compute can be tediously worked out from the pseudocode. I think for dataset size D, number of filters T, the training compute is roughly 180k * D * 3 * T = 6.3e13 FLOPs</t>
        </r>
      </text>
    </comment>
    <comment ref="P87" authorId="0">
      <text>
        <r>
          <rPr>
            <sz val="10"/>
            <rFont val="SimSun"/>
            <charset val="134"/>
          </rPr>
          <t>The inference compute depends on the image - because the algorithm works via pass/fail conditions of the decision tree, I think the compute varies a lot (e.g. if the first image fails then little compute is needed). They claim to take about 0.067s to classify an image using a 700MHz Pentium III processor - I'm not sure about how many FLOPs this required but an estimate is 1e9 FLOPs, which works out to 6.7e7 FLOPs for inference</t>
        </r>
      </text>
    </comment>
    <comment ref="Q87" authorId="0">
      <text>
        <r>
          <rPr>
            <sz val="10"/>
            <rFont val="SimSun"/>
            <charset val="134"/>
          </rPr>
          <t>They scraped the dataset personally for training</t>
        </r>
      </text>
    </comment>
    <comment ref="R87" authorId="0">
      <text>
        <r>
          <rPr>
            <sz val="10"/>
            <rFont val="SimSun"/>
            <charset val="134"/>
          </rPr>
          <t>Section 5: 4916 hand labeled faces * 2 + 9544 non-face images = 19376
Multiply by 2 because both the images of faces and their reflections are included in the training set</t>
        </r>
      </text>
    </comment>
    <comment ref="R92" authorId="0">
      <text>
        <r>
          <rPr>
            <sz val="10"/>
            <rFont val="SimSun"/>
            <charset val="134"/>
          </rPr>
          <t>"To evaluate our system, we trained [...] our joint
probability model on a French-English parallel corpus of 100,000 sentence pairs from the Hansard corpus. The sentences in the corpus were at most
20 words long. The English side had a total of 1,073,480 words (21,484 unique tokens). The French side had a total of 1,177,143 words (28,132
unique tokens)"</t>
        </r>
      </text>
    </comment>
    <comment ref="N100" authorId="0">
      <text>
        <r>
          <rPr>
            <sz val="10"/>
            <rFont val="SimSun"/>
            <charset val="134"/>
          </rPr>
          <t>"The number of free parameters is |V|(1 + nm + h) + h(1 + (n − 1)m) [...] For example, consider the following architecture used in the experiments on the AP (Associated Press) news data: the vocabulary size is |V| = 17,964, the number of hidden units is h = 60, the order of the model is n = 6, the number of word features is m = 100"</t>
        </r>
      </text>
    </comment>
    <comment ref="O100" authorId="0">
      <text>
        <r>
          <rPr>
            <sz val="10"/>
            <rFont val="SimSun"/>
            <charset val="134"/>
          </rPr>
          <t>"For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t>
        </r>
      </text>
    </comment>
    <comment ref="R100" authorId="0">
      <text>
        <r>
          <rPr>
            <sz val="10"/>
            <rFont val="SimSun"/>
            <charset val="134"/>
          </rPr>
          <t>"Comparative experiments were performed on the Brown corpus which is a stream of 1,181,041 words, from a large variety of English texts and books. The first 800,000 words were used for training, the following 200,000 for validation (model selection, weight decay, early stopping) and the remaining 181,041 for testing. The number of different words is 47,578 (including punctuation, distinguishing between upper and lower case, and including the syntactical marks used to separate texts and paragraphs). Rare words with frequency ≤ 3 were merged into a single symbol, reducing the vocabulary size to |V| = 16,383."</t>
        </r>
      </text>
    </comment>
    <comment ref="S100" authorId="0">
      <text>
        <r>
          <rPr>
            <sz val="10"/>
            <rFont val="SimSun"/>
            <charset val="134"/>
          </rPr>
          <t>we ran only 5 epochs (over 3 weeks using 40 CPUs)
This is for the AP corpus</t>
        </r>
      </text>
    </comment>
    <comment ref="N101" authorId="0">
      <text>
        <r>
          <rPr>
            <sz val="10"/>
            <rFont val="SimSun"/>
            <charset val="134"/>
          </rPr>
          <t xml:space="preserve">There are various components to the system:
- Translation probability model phi
- The distortion probability distribution d
- A langage model p_LM
- A length factor w
Several translation probability models are considered. The most performant one is the AP word alignment model. The sentence length preferred by the authors is 3 words maximum. In the biggest corpus considered (320k phrase pairs) it produces a phrase translation probability table of 1996k entries.
The distortion probability model d is taken from  (Marcu and Wong, 2002).
The distortion probability model must have ~10 parameters at most
The language model p_LM is a back off trigram model from (Seymore and Rosenfeld,1997). AFAIK the cutoff used is not specified. Based on the example on section 4.3 of (Seymore and Rosefeld, 1997), a trigram probability model has about 3866964 + 2674322 + 641604 parameters.
"For each possible phrase translation anywhere in the sentence (we call it a translation option), we multiply its phrase translation probability with the language model probability for the generated English phrase. As language model probability we use the unigram probability for the first word, the bigram probability for the second, and the trigram probability for all following words"
The length factor w is an additional single parameter.
"In order to calibrate the output length, we introduce a
factor w for each generated English word in addition to
the trigram language model "
In summary, the parameter count seems to be dominated by the trigram language model and the word alignment phrase translation model. </t>
        </r>
      </text>
    </comment>
    <comment ref="P101" authorId="0">
      <text>
        <r>
          <rPr>
            <sz val="10"/>
            <rFont val="SimSun"/>
            <charset val="134"/>
          </rPr>
          <t>"With our decoder, translating 1755 sentence of length 5-15 words
takes about 10 minutes on a 2 GHz Linux system."</t>
        </r>
      </text>
    </comment>
    <comment ref="R101" authorId="0">
      <text>
        <r>
          <rPr>
            <sz val="10"/>
            <rFont val="SimSun"/>
            <charset val="134"/>
          </rPr>
          <t>"We used the freely available Europarl corpus to carry out experiments. This corpus contains over 20 million words in each of the eleven official languages of the European Union, covering the proceedings of the European Parliament 1996-2001. 1755 sentences of length 5-15 were reserved for testing."
"These results are consistent
over training corpus sizes from 10,000 sentence pairs to
320,000 sentence pairs. "
So 20 million words or 320k sentence pairs.</t>
        </r>
      </text>
    </comment>
    <comment ref="N106" authorId="0">
      <text>
        <r>
          <rPr>
            <sz val="10"/>
            <rFont val="SimSun"/>
            <charset val="134"/>
          </rPr>
          <t>"For the first modification of the Rosenblatt perceptron 10 neurons were included into the R-layer. [...] The number of the A-layer neurons was 256,000" The relation between the S-layer and A-layer is hardcoded</t>
        </r>
      </text>
    </comment>
    <comment ref="S106" authorId="0">
      <text>
        <r>
          <rPr>
            <sz val="10"/>
            <rFont val="SimSun"/>
            <charset val="134"/>
          </rPr>
          <t>The coding time was 20 h and the training time was 45 h.</t>
        </r>
      </text>
    </comment>
    <comment ref="T106" authorId="0">
      <text>
        <r>
          <rPr>
            <sz val="10"/>
            <rFont val="SimSun"/>
            <charset val="134"/>
          </rPr>
          <t>The recognition time (for 10,000 samples) was 30 min without distortions, 60 min for 4 distortions and 120 min for 8 distortions.
The recognition time for handwritten digits was 0.5 s on the Pentium III, 500 MHz</t>
        </r>
      </text>
    </comment>
    <comment ref="N107" authorId="0">
      <text>
        <r>
          <rPr>
            <sz val="10"/>
            <rFont val="SimSun"/>
            <charset val="134"/>
          </rPr>
          <t>Very unsure, but the paper mentions 
"We ran the training process of Section 3 on the same data, obtaining a grammar of 24M rules" 
and 
"For our experiments we used the following features, analogous to Pharaoh’s default feature set:
• P(γ | α) and P(α | γ), the latter of which is not
found in the noisy-channel model, but has been
previously found to be a helpful feature (Och
and Ney, 2002);
• the lexical weights Pw(γ | α) and Pw(α | γ) (Koehn et al., 2003), which estimate how well the words in α translate the words in γ;
2
• a phrase penalty exp(1), which allows the
model to learn a preference for longer or
shorter derivations, analogous to Koehn’sphrase penalty (Koehn, 2003)."
Suggesting 24M rules * 5 features per rule (?)</t>
        </r>
      </text>
    </comment>
    <comment ref="N108" authorId="0">
      <text>
        <r>
          <rPr>
            <sz val="10"/>
            <rFont val="SimSun"/>
            <charset val="134"/>
          </rPr>
          <t xml:space="preserve"> Our  approach  and  the underlying  probabilistic  Markov  model  possess  anumber  of  unknown  parameters.  These  parameters include the height threshold, the statistical acceptance  probability  threshold,  and  various  Markov chain error parameters the noise covariances of theprocess noise and the measurement noise. Stanley uses a discriminative learning algorithm for  locally  optimizing  these  parameters.</t>
        </r>
      </text>
    </comment>
    <comment ref="N111" authorId="0">
      <text>
        <r>
          <rPr>
            <sz val="10"/>
            <rFont val="SimSun"/>
            <charset val="134"/>
          </rPr>
          <t>From https://www.bnlearn.com/bnrepository/</t>
        </r>
      </text>
    </comment>
    <comment ref="N113" authorId="0">
      <text>
        <r>
          <rPr>
            <sz val="10"/>
            <rFont val="SimSun"/>
            <charset val="134"/>
          </rPr>
          <t>"The hidden layer sizes were chosen to ensure that all networks had roughly the same number of weights W (≈100,000). However, for the MLPs the network grew with the time-window size, and W varied between 22,061 and 152,061."</t>
        </r>
      </text>
    </comment>
    <comment ref="O113" authorId="0">
      <text>
        <r>
          <rPr>
            <sz val="10"/>
            <rFont val="SimSun"/>
            <charset val="134"/>
          </rPr>
          <t>Extracted from AI and Compute (https://openai.com/blog/ai-and-compute/) charts by using https://automeris.io/WebPlotDigitizer/.</t>
        </r>
      </text>
    </comment>
    <comment ref="N115" authorId="0">
      <text>
        <r>
          <rPr>
            <sz val="10"/>
            <rFont val="SimSun"/>
            <charset val="134"/>
          </rPr>
          <t>The main learning algorithm is a logistic classifier. The input is a matrix M, where the rows are pairs of words, and the columns (variables) are counts of occurrences of synthetic dependency paths between those two words.
Since there are on the order of 10~100 different types of syntactic relationships, this is the number of length-1 paths, and thus the number of parameters if only length-1 paths are used.
However, if the length of the paths considered is longer (say, 5), then the parameters would be on the order of (10~100)^5. It's not clear to me which is the case</t>
        </r>
      </text>
    </comment>
    <comment ref="N119" authorId="0">
      <text>
        <r>
          <rPr>
            <sz val="10"/>
            <rFont val="SimSun"/>
            <charset val="134"/>
          </rPr>
          <t>Architecture described in figure 3</t>
        </r>
      </text>
    </comment>
    <comment ref="N120" authorId="0">
      <text>
        <r>
          <rPr>
            <sz val="10"/>
            <rFont val="SimSun"/>
            <charset val="134"/>
          </rPr>
          <t>"The hidden layers were fully connected to themselves
and the output layer, and fully connected from the input layer. The input layer was size 26, the softmax output layer size 62 (61 phoneme categories plus the blank label), and the total number of weights was
114, 662."
https://www.cs.toronto.edu/~graves/icml_2006.pdf</t>
        </r>
      </text>
    </comment>
    <comment ref="R121" authorId="0">
      <text>
        <r>
          <rPr>
            <sz val="10"/>
            <rFont val="SimSun"/>
            <charset val="134"/>
          </rPr>
          <t>After fine-tuning on all 60,000 training images, the autoencoder was tested on 10,000 new images and produced much better reconstructions than did PCA
(Fig. 2B)</t>
        </r>
      </text>
    </comment>
    <comment ref="I125" authorId="0">
      <text>
        <r>
          <rPr>
            <sz val="10"/>
            <rFont val="SimSun"/>
            <charset val="134"/>
          </rPr>
          <t>Expanded version here:
https://www.gwern.net/docs/ai/2012-bottou.pdf</t>
        </r>
      </text>
    </comment>
    <comment ref="H128" authorId="0">
      <text>
        <r>
          <rPr>
            <sz val="10"/>
            <rFont val="SimSun"/>
            <charset val="134"/>
          </rPr>
          <t>Winner of the netflix price 2007</t>
        </r>
      </text>
    </comment>
    <comment ref="N130" authorId="0">
      <text>
        <r>
          <rPr>
            <sz val="10"/>
            <rFont val="SimSun"/>
            <charset val="134"/>
          </rPr>
          <t>"For each rule, r, there is a feature that returns the number of times r is used in a derivation [...]  [we also use] the two-level rules in Collins and Koo (2005), which give the number of times a given rule is used
to expand a non-terminal in a given parent rule."
So the number of parameters seems to be R+R*(R-1), where R is the number of rules.
In the example an English sentence produces 4 rules, and the training dataset consists of 792 sentences. This gives us an upper bound for R, but since we don't have information on how much redundance IDK</t>
        </r>
      </text>
    </comment>
    <comment ref="R130" authorId="0">
      <text>
        <r>
          <rPr>
            <sz val="10"/>
            <rFont val="SimSun"/>
            <charset val="134"/>
          </rPr>
          <t>"Table 1 summarizes the results at the end of the learning curves (792 training examples for λWASP, WASP and SCISSOR, 600 for Z&amp;C)"</t>
        </r>
      </text>
    </comment>
    <comment ref="N133" authorId="0">
      <text>
        <r>
          <rPr>
            <sz val="10"/>
            <rFont val="SimSun"/>
            <charset val="134"/>
          </rPr>
          <t xml:space="preserve"> For the raw input representation,
there were 4 input units and a total of 100,881 weights</t>
        </r>
      </text>
    </comment>
    <comment ref="H138" authorId="0">
      <text>
        <r>
          <rPr>
            <sz val="10"/>
            <rFont val="SimSun"/>
            <charset val="134"/>
          </rPr>
          <t>Winners of the 2008 Netflix Price</t>
        </r>
      </text>
    </comment>
    <comment ref="L138" authorId="0">
      <text>
        <r>
          <rPr>
            <sz val="10"/>
            <rFont val="SimSun"/>
            <charset val="134"/>
          </rPr>
          <t>Winners of the 2008 Netflix Price</t>
        </r>
      </text>
    </comment>
    <comment ref="N147" authorId="0">
      <text>
        <r>
          <rPr>
            <sz val="10"/>
            <rFont val="SimSun"/>
            <charset val="134"/>
          </rPr>
          <t>"For example, we are able to reduce the time required to learn a four-layer DBN with 100 million free parameters from several weeks to around a single day."</t>
        </r>
      </text>
    </comment>
    <comment ref="O147" authorId="0">
      <text>
        <r>
          <rPr>
            <sz val="10"/>
            <rFont val="SimSun"/>
            <charset val="134"/>
          </rPr>
          <t>https://www.getguesstimate.com/models/19602</t>
        </r>
      </text>
    </comment>
    <comment ref="N149" authorId="0">
      <text>
        <r>
          <rPr>
            <sz val="10"/>
            <rFont val="SimSun"/>
            <charset val="134"/>
          </rPr>
          <t>"We use a policy gradient
algorithm to estimate the parameters of a log-linear model for action selection [...] In total, there are 4,438 features [in the Windows domain]. [...]  This difficulty can be attributed in part to the large branching factor of possible actions at each step — on average, there are 27.14 choices per action in the Windows domain"</t>
        </r>
      </text>
    </comment>
    <comment ref="R149" authorId="0">
      <text>
        <r>
          <rPr>
            <sz val="10"/>
            <rFont val="SimSun"/>
            <charset val="134"/>
          </rPr>
          <t>Shown at beginning of section 7
Total number of documents is 128, average number of actions per document is 10.37</t>
        </r>
      </text>
    </comment>
    <comment ref="N150" authorId="0">
      <text>
        <r>
          <rPr>
            <sz val="10"/>
            <rFont val="SimSun"/>
            <charset val="134"/>
          </rPr>
          <t>"We use a policy gradient
algorithm to estimate the parameters of a log-linear model for action selection [...] In total, there are 8,094 features [in the Crossblock domain]. [...]  This difficulty can be attributed in part to the large branching factor of possible actions at each step — on average, there are [...] 9.78 [actions] in the Crossblock
domain"</t>
        </r>
      </text>
    </comment>
    <comment ref="R150" authorId="0">
      <text>
        <r>
          <rPr>
            <sz val="10"/>
            <rFont val="SimSun"/>
            <charset val="134"/>
          </rPr>
          <t>Shown at beginning of section 7
Total number of documents is 50, average number of actions per document is 5.86</t>
        </r>
      </text>
    </comment>
    <comment ref="A155" authorId="0">
      <text>
        <r>
          <rPr>
            <sz val="10"/>
            <rFont val="SimSun"/>
            <charset val="134"/>
          </rPr>
          <t>The focus of this paper is on understanding activation functions,  rather than the architectures</t>
        </r>
      </text>
    </comment>
    <comment ref="N155" authorId="0">
      <text>
        <r>
          <rPr>
            <sz val="10"/>
            <rFont val="SimSun"/>
            <charset val="134"/>
          </rPr>
          <t xml:space="preserve">pg250 of the paper, section 2.3: 
"We optimized feedforward neural networks with one to
five hidden layers, with one thousand hidden units per
layer"
Input is a flattened 32x32 image, which corresponds to an input vector of length 3072
Output is a number from 0-9, so 10 neurons
No. of params: 3072*1000 + 4*1000*1000 + 1000*10 = 7,082,000
</t>
        </r>
      </text>
    </comment>
    <comment ref="O155" authorId="0">
      <text>
        <r>
          <rPr>
            <sz val="10"/>
            <rFont val="SimSun"/>
            <charset val="134"/>
          </rPr>
          <t>Roughly two times the number of parameters for ops per forward pass. 
So 2*7082000 params*3.5*140 epochs * 50k training images = 3.5e14</t>
        </r>
      </text>
    </comment>
    <comment ref="P155" authorId="0">
      <text>
        <r>
          <rPr>
            <sz val="10"/>
            <rFont val="SimSun"/>
            <charset val="134"/>
          </rPr>
          <t>Roughly twice the no. of params</t>
        </r>
      </text>
    </comment>
    <comment ref="N159" authorId="0">
      <text>
        <r>
          <rPr>
            <sz val="10"/>
            <rFont val="SimSun"/>
            <charset val="134"/>
          </rPr>
          <t>"- size of vector x is equal to
size of vocabulary V (this can be in practice 30 000 − 200 000)
plus size of context layer. Size of context (hidden) layer s is
usually 30 − 500 hidden units."
"In further experiments, we denote modified Kneser-Ney
smoothed 5-gram as KN5. Configurations of neural network
LMs, such as RNN 90/2, indicate that the hidden layer size is
90 and threshold for merging words to rare token is 2."</t>
        </r>
      </text>
    </comment>
    <comment ref="O159" authorId="0">
      <text>
        <r>
          <rPr>
            <sz val="10"/>
            <rFont val="SimSun"/>
            <charset val="134"/>
          </rPr>
          <t>"Convergence is usually
achieved after 10-20 epochs."
Assuming a backward-forward ratio of 2:1, since this is a shallow network</t>
        </r>
      </text>
    </comment>
    <comment ref="P159" authorId="0">
      <text>
        <r>
          <rPr>
            <sz val="10"/>
            <rFont val="SimSun"/>
            <charset val="134"/>
          </rPr>
          <t>Roughly twice the number of parameters</t>
        </r>
      </text>
    </comment>
    <comment ref="R159" authorId="0">
      <text>
        <r>
          <rPr>
            <sz val="10"/>
            <rFont val="SimSun"/>
            <charset val="134"/>
          </rPr>
          <t>The training corpus consists of 37M words from NYT section of English Gigaword. As it is very time consuming to train
RNN LM on large data, we have used only up to 6.4M words
for training RNN models (300K sentences) - it takes several
weeks to train the most complex models</t>
        </r>
      </text>
    </comment>
    <comment ref="N160" authorId="0">
      <text>
        <r>
          <rPr>
            <sz val="10"/>
            <rFont val="SimSun"/>
            <charset val="134"/>
          </rPr>
          <t xml:space="preserve">"- size of vector x is equal to
size of vocabulary V (this can be in practice 30 000 − 200 000)
plus size of context layer. Size of context (hidden) layer s is
usually 30 − 500 hidden units."
"The acoustic HMMs are based on cross-word tied-states triphones trained discriminatively using MPE criteria. Feature extraction use 13 Mel-PLP’s features with deltas, double and triple deltas reduced by HLDA to 39-dimension feature vector"
</t>
        </r>
      </text>
    </comment>
    <comment ref="O160" authorId="0">
      <text>
        <r>
          <rPr>
            <sz val="10"/>
            <rFont val="SimSun"/>
            <charset val="134"/>
          </rPr>
          <t>"Convergence is usually
achieved after 10-20 epochs."
Assuming a backward-forward ratio of 2:1, since this is a shallow network</t>
        </r>
      </text>
    </comment>
    <comment ref="P160" authorId="0">
      <text>
        <r>
          <rPr>
            <sz val="10"/>
            <rFont val="SimSun"/>
            <charset val="134"/>
          </rPr>
          <t>Roughly twice the number of parameters</t>
        </r>
      </text>
    </comment>
    <comment ref="R160" authorId="0">
      <text>
        <r>
          <rPr>
            <sz val="10"/>
            <rFont val="SimSun"/>
            <charset val="134"/>
          </rPr>
          <t>"Table 4: Comparison of very large back-off LMs and RNN LMs
trained only on limited in-domain data (5.4M words)."</t>
        </r>
      </text>
    </comment>
    <comment ref="N162" authorId="0">
      <text>
        <r>
          <rPr>
            <sz val="10"/>
            <rFont val="SimSun"/>
            <charset val="134"/>
          </rPr>
          <t>Table 1</t>
        </r>
      </text>
    </comment>
    <comment ref="O162" authorId="0">
      <text>
        <r>
          <rPr>
            <sz val="10"/>
            <rFont val="SimSun"/>
            <charset val="134"/>
          </rPr>
          <t>"Networks with up to 12 million weights can successfully be trained by plain gradient descent to achieve test errors below 1% after 20-30 epochs in less than 2 hours of training."
I assume that the number of passes per epoch is 60k, the training set size.</t>
        </r>
      </text>
    </comment>
    <comment ref="R162" authorId="0">
      <text>
        <r>
          <rPr>
            <sz val="10"/>
            <rFont val="SimSun"/>
            <charset val="134"/>
          </rPr>
          <t>"MNIST consists of two datasets, one for training (60,000 images) and one for testing (10,000 images). Many studies divide the training set into two sets consisting of 50,000 images for training and 10,000 for validation. Our network is trained on slightly deformed images, continually generated in on-line fashion; hence we may use the whole un-deformed training set for validation, without wasting training images"</t>
        </r>
      </text>
    </comment>
    <comment ref="P164" authorId="0">
      <text>
        <r>
          <rPr>
            <sz val="10"/>
            <rFont val="SimSun"/>
            <charset val="134"/>
          </rPr>
          <t>Inference time of the largest model was 55s on Caltech 101 images.</t>
        </r>
      </text>
    </comment>
    <comment ref="N165" authorId="0">
      <text>
        <r>
          <rPr>
            <sz val="10"/>
            <rFont val="SimSun"/>
            <charset val="134"/>
          </rPr>
          <t>"The stereo-pair images are subsampled from their original resolution of 108 × 108 × 2 to 32 × 32 × 2 to speed up experiments [...]  the architecture
with the best results have 4000 units in the first layer
and 2000 in the second [...] there are 58,320 test
cases (9,720 cases per class) "
So the architecture has (32*32*2+1)x4000 + (4000+1)*2000 + (2000+1)*58,320/9,720 parameters</t>
        </r>
      </text>
    </comment>
    <comment ref="R165" authorId="0">
      <text>
        <r>
          <rPr>
            <sz val="10"/>
            <rFont val="SimSun"/>
            <charset val="134"/>
          </rPr>
          <t>"There are 291,600 training cases (48,600 cases per class) and 58,320 test cases (9,720 cases per class)."</t>
        </r>
      </text>
    </comment>
    <comment ref="N172" authorId="0">
      <text>
        <r>
          <rPr>
            <sz val="10"/>
            <rFont val="SimSun"/>
            <charset val="134"/>
          </rPr>
          <t xml:space="preserve">Did not take into account initial image feature extraction, only novel stuff.
1. Perform PCA on the feature matrices from both domains. Learnable parameters are projection matrices.
= 800 (# features) x 200 (reduced dimension) x 2 (once per subdomain)
2. Perform partial least squares regression. Learnable parameters are
Matrix P with dimensions 200 (# features) x 30 (dimension of latent space)
Matrix Q with dimensions 1 (# responses) x 30 (dimension of latent space)
Projection matrix of X onto latent space:  200 (# features) x 30 (dimension of latent space)
Projection matrix of Y onto latent space:  1 (# responses) x 30 (dimension of latent space)
</t>
        </r>
      </text>
    </comment>
    <comment ref="R172" authorId="0">
      <text>
        <r>
          <rPr>
            <sz val="10"/>
            <rFont val="SimSun"/>
            <charset val="134"/>
          </rPr>
          <t>Dataset introduced in 'Adapting Visual Category Models to New
Domains'</t>
        </r>
      </text>
    </comment>
    <comment ref="N176" authorId="0">
      <text>
        <r>
          <rPr>
            <sz val="10"/>
            <rFont val="SimSun"/>
            <charset val="134"/>
          </rPr>
          <t>"The capacity of our network architectures lies mainly in the word lookup table, which contains 50 × 100,000 parameters to train. [...] most of the trainable parameters are located in the lookup tables."</t>
        </r>
      </text>
    </comment>
    <comment ref="R176" authorId="0">
      <text>
        <r>
          <rPr>
            <sz val="10"/>
            <rFont val="SimSun"/>
            <charset val="134"/>
          </rPr>
          <t>"Section 4 leverages large unlabeled data sets (∼ 852 million words)"</t>
        </r>
      </text>
    </comment>
    <comment ref="N177" authorId="0">
      <text>
        <r>
          <rPr>
            <sz val="10"/>
            <rFont val="SimSun"/>
            <charset val="134"/>
          </rPr>
          <t>It's a bayes net, parameters are probabilty tables for probability that X happens in direction i given that we go in direction i. There are 25 directions.</t>
        </r>
      </text>
    </comment>
    <comment ref="N181" authorId="0">
      <text>
        <r>
          <rPr>
            <sz val="10"/>
            <rFont val="SimSun"/>
            <charset val="134"/>
          </rPr>
          <t>Our neural network architecture has 60 million parameters.</t>
        </r>
      </text>
    </comment>
    <comment ref="O181" authorId="0">
      <text>
        <r>
          <rPr>
            <sz val="10"/>
            <rFont val="SimSun"/>
            <charset val="134"/>
          </rPr>
          <t>1.2M images * 90 epochs * 0.75 GFLOPS * (2 add-multiply) * (3 backward pass) 
= 470 PF = 0.0054 pfs-days
Source: https://openai.com/blog/ai-and-compute/</t>
        </r>
      </text>
    </comment>
    <comment ref="N182" authorId="0">
      <text>
        <r>
          <rPr>
            <sz val="10"/>
            <rFont val="SimSun"/>
            <charset val="134"/>
          </rPr>
          <t>"We represent a word as both a continuous vector and a matrix of parameters. We initialize all word vectors x ∈ Rn with pre-trained 50-dimensional word vectors from the unsupervised model of Collobert and Weston (2008). [...] Every word is also associated with a matrix X.  [...] If the vectors have dimensionality n, then each word’s matrix has dimensionality X ∈ Rn×n."
"We propose the following combination function which is input dependent:
p = fA,B(a, b) = f(Ba, Ab) = g(W x (Ba Ab)) ,(2)
where A, B are matrices for single words, the global W ∈ Rn×2n is a matrix that maps both transformed words back into the same n-dimensional space."
"For computing nonterminal phrase matrices, we define the function
P = fM(A, B) = WMA, B, (3)
where WM ∈ Rn×2n, so P ∈ Rn×n just like each input matrix."
"If every word is represented by an n-dimensional vector and additionally by an n × n matrix, the dimensionality of the whole model may become too large with commonly used vector sizes of n = 100. In order to reduce the number of parameters, we represent word matrices by the following low-rank plus diagonal approximation: A = UV + diag(a), (5)
where U ∈ Rn×r, V ∈ Rr×n, a ∈ Rnand we set the rank for all experiments to r = 3."
"We train these representations by adding on top of each parent node a simple softmax classifier
to predict a class distribution over, e.g., sentiment or relationship classes: d(p) = softmax(Wlabelp). If there are K labels, then d ∈ RK is a K-dimensional multinomial distribution"
In total there are V*(n+n*r + r*n) + n*2n + n*2n + (n+1)*k parameters, where n is the vector dimension, r is the low-rank decomposition dimension, V is the vocabulary size and k is the number of classes.
In the experiments we have that n=50, r=3, k=? and V=?. I'm guesstimating k=5 and V=10k.</t>
        </r>
      </text>
    </comment>
    <comment ref="N183" authorId="0">
      <text>
        <r>
          <rPr>
            <sz val="10"/>
            <rFont val="SimSun"/>
            <charset val="134"/>
          </rPr>
          <t xml:space="preserve">We train five DNN columns per normalization, resulting in a total of 35 columns for the entire MCDNN.
[Each DNN has an architecture] 1x29x29-20C4-MP2-40C5-MP3-150N-10N DNN </t>
        </r>
      </text>
    </comment>
    <comment ref="O183" authorId="0">
      <text>
        <r>
          <rPr>
            <sz val="10"/>
            <rFont val="SimSun"/>
            <charset val="134"/>
          </rPr>
          <t>Num of multiply-adds per forward pass
2 FLOPs/mult-add
3 (fp+bp FLOPs / fp FLOPs)
800 epochs
60.000 training size
35 networks</t>
        </r>
      </text>
    </comment>
    <comment ref="P183" authorId="0">
      <text>
        <r>
          <rPr>
            <sz val="10"/>
            <rFont val="SimSun"/>
            <charset val="134"/>
          </rPr>
          <t>Num mult-add per fp per network
35 networks
2 FLOPs/mult-add</t>
        </r>
      </text>
    </comment>
    <comment ref="R183" authorId="0">
      <text>
        <r>
          <rPr>
            <sz val="10"/>
            <rFont val="SimSun"/>
            <charset val="134"/>
          </rPr>
          <t>The MNIST database contains 60,000 training images and 10,000 testing images (Wikipedia)</t>
        </r>
      </text>
    </comment>
    <comment ref="S183" authorId="0">
      <text>
        <r>
          <rPr>
            <sz val="10"/>
            <rFont val="SimSun"/>
            <charset val="134"/>
          </rPr>
          <t>Training a DNN takes almost 14 hours and after 500 training epochs little additional improvement is observed</t>
        </r>
      </text>
    </comment>
    <comment ref="U183" authorId="0">
      <text>
        <r>
          <rPr>
            <sz val="10"/>
            <rFont val="SimSun"/>
            <charset val="134"/>
          </rPr>
          <t>MNIST</t>
        </r>
      </text>
    </comment>
    <comment ref="O184" authorId="0">
      <text>
        <r>
          <rPr>
            <sz val="10"/>
            <rFont val="SimSun"/>
            <charset val="134"/>
          </rPr>
          <t>Num mul-add / forward pass
2 FLOPs / mult-add
3 total mult-add / fp mult-add
3000 epochs
60000 training samples</t>
        </r>
      </text>
    </comment>
    <comment ref="P184" authorId="0">
      <text>
        <r>
          <rPr>
            <sz val="10"/>
            <rFont val="SimSun"/>
            <charset val="134"/>
          </rPr>
          <t>mult-add / fp
* 2 FLOPs / mult-add</t>
        </r>
      </text>
    </comment>
    <comment ref="R184" authorId="0">
      <text>
        <r>
          <rPr>
            <sz val="10"/>
            <rFont val="SimSun"/>
            <charset val="134"/>
          </rPr>
          <t>The MNIST database contains 60,000 training images and 10,000 testing images (Wikipedia)</t>
        </r>
      </text>
    </comment>
    <comment ref="U184" authorId="0">
      <text>
        <r>
          <rPr>
            <sz val="10"/>
            <rFont val="SimSun"/>
            <charset val="134"/>
          </rPr>
          <t>MNIST</t>
        </r>
      </text>
    </comment>
    <comment ref="N185" authorId="0">
      <text>
        <r>
          <rPr>
            <sz val="10"/>
            <rFont val="SimSun"/>
            <charset val="134"/>
          </rPr>
          <t>The input to the net is 21 adjacent frames with an advance of 10ms per frame. The neural net has 4 fully-connected hidden layers of 4000 units per layer and 185 “softmax” output units that are subsequently merged into the 39 distinct classes used for the benchmark.</t>
        </r>
      </text>
    </comment>
    <comment ref="N187" authorId="0">
      <text>
        <r>
          <rPr>
            <sz val="10"/>
            <rFont val="SimSun"/>
            <charset val="134"/>
          </rPr>
          <t>We achieved comparable performance of 48.6% error using a single neural network with
five convolutional hidden layers interleaved with “max-pooling” layer followed by two globally
connected layers and a final 1000-way softmax layer</t>
        </r>
      </text>
    </comment>
    <comment ref="N192" authorId="0">
      <text>
        <r>
          <rPr>
            <sz val="10"/>
            <rFont val="SimSun"/>
            <charset val="134"/>
          </rPr>
          <t>The input to the neural network consists is an 84 × 84 × 4 image produced by φ. The first hidden layer convolves 16 8 × 8 filters with stride 4 with the input image and applies a rectifier nonlinearity [10, 18]. The second hidden layer convolves 32 4 × 4 filters with stride 2, again followed by a rectifier nonlinearity. The final hidden layer is fully-connected and consists of 256 rectifier units. The output layer is a fully connected linear layer with a single output for each valid action. The number of valid actions varied between 4 and 18 on the games we considered.</t>
        </r>
      </text>
    </comment>
    <comment ref="O192" authorId="0">
      <text>
        <r>
          <rPr>
            <sz val="10"/>
            <rFont val="SimSun"/>
            <charset val="134"/>
          </rPr>
          <t xml:space="preserve">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t>
        </r>
      </text>
    </comment>
    <comment ref="N195" authorId="0">
      <text>
        <r>
          <rPr>
            <sz val="10"/>
            <rFont val="SimSun"/>
            <charset val="134"/>
          </rPr>
          <t>Table 1</t>
        </r>
      </text>
    </comment>
    <comment ref="N197" authorId="0">
      <text>
        <r>
          <rPr>
            <sz val="10"/>
            <rFont val="SimSun"/>
            <charset val="134"/>
          </rPr>
          <t>We discarded from the vocabulary all words
that occurred less than 5 times in the training data, which resulted in a vocabulary of size 692K [...] Starting with the same news data as in the previous experiments, we first constructed the phrase
based training corpus and then we trained several Skip-gram models using different hyperparameters. As before, we used vector dimensionality 300 and context size 5.</t>
        </r>
      </text>
    </comment>
    <comment ref="R197" authorId="0">
      <text>
        <r>
          <rPr>
            <sz val="10"/>
            <rFont val="SimSun"/>
            <charset val="134"/>
          </rPr>
          <t>For training the Skip-gram models, we have used a large dataset consisting of various news articles
(an internal Google dataset with one billion words)</t>
        </r>
      </text>
    </comment>
    <comment ref="N198" authorId="0">
      <text>
        <r>
          <rPr>
            <sz val="10"/>
            <rFont val="SimSun"/>
            <charset val="134"/>
          </rPr>
          <t>To maximize the accuracy on the phrase analogy task, we increased the amount of the training data by using a dataset with about 33 billion words. We used the hierarchical softmax, dimensionality of 1000, and the entire sentence for the context.</t>
        </r>
      </text>
    </comment>
    <comment ref="O198" authorId="0">
      <text>
        <r>
          <rPr>
            <sz val="10"/>
            <rFont val="SimSun"/>
            <charset val="134"/>
          </rPr>
          <t>From https://openai.com/blog/ai-and-compute/ Appendix.
"less than 0.00045 pfs days"
(86400*10^15*0.00045)</t>
        </r>
      </text>
    </comment>
    <comment ref="N199" authorId="0">
      <text>
        <r>
          <rPr>
            <sz val="10"/>
            <rFont val="SimSun"/>
            <charset val="134"/>
          </rPr>
          <t>Computed from architecture description in Caffee
https://nbviewer.jupyter.org/github/BVLC/caffe/blob/master/examples/detection.ipynb</t>
        </r>
      </text>
    </comment>
    <comment ref="O200" authorId="0">
      <text>
        <r>
          <rPr>
            <sz val="10"/>
            <rFont val="SimSun"/>
            <charset val="134"/>
          </rPr>
          <t>1 GPU * 12 days * 1.54 TFLOPS/GTX 580 * 0.33 utilization 
= 532 PF = 0.0062 pfs-days
Source: https://openai.com/blog/ai-and-compute</t>
        </r>
      </text>
    </comment>
    <comment ref="N201" authorId="0">
      <text>
        <r>
          <rPr>
            <sz val="10"/>
            <rFont val="SimSun"/>
            <charset val="134"/>
          </rPr>
          <t>"The DBLSTM network had five bidirectional hidden levels, with 500 LSTM cells in each of the forward and backward
layers, and a size 3385 softmax output layer, giving a total of
29.9M weights."</t>
        </r>
      </text>
    </comment>
    <comment ref="O203" authorId="0">
      <text>
        <r>
          <rPr>
            <sz val="10"/>
            <rFont val="SimSun"/>
            <charset val="134"/>
          </rPr>
          <t>From https://openai.com/blog/ai-and-compute/ Appendix
"less than 0.0000055 pfs-days"
(86400*10^15*0.0000055)</t>
        </r>
      </text>
    </comment>
    <comment ref="L207" authorId="0">
      <text>
        <r>
          <rPr>
            <sz val="10"/>
            <rFont val="SimSun"/>
            <charset val="134"/>
          </rPr>
          <t>First RL system to achieve superhuman level at Poker Limit Texas Hold Em</t>
        </r>
      </text>
    </comment>
    <comment ref="N208" authorId="0">
      <text>
        <r>
          <rPr>
            <sz val="10"/>
            <rFont val="SimSun"/>
            <charset val="134"/>
          </rPr>
          <t xml:space="preserve">"Using shorthand notation, the full [single frame] architecture is C(96, 11, 3)-N-P-C(256, 5, 1)-N-P-C(384, 3, 1)-C(384, 3, 1)-C(256, 3, 1)-P-FC(4096)-FC(4096), where C(d, f, s) indicates a convolutional layer with d filters of spatial size f ×f, applied to the input with stride s"
Two such single-frame architectures are concatenated as shown in figure 2
"Since the input is only of half the
spatial size as the full-frame models, we take out the last
pooling layer to ensure that both streams still terminate in a
layer of size 7×7×256. "
We assume the input are T=10 frames with C=3 color channels each
2*(256*(10*3*5*5+1) + 384*(256*3*3+1) + 384*(384*3*3+1) + 256*(384*3*3+1)) + (2*7*7*256 + 1)*4096 + (4096+1)*4096
</t>
        </r>
      </text>
    </comment>
    <comment ref="Q208" authorId="0">
      <text>
        <r>
          <rPr>
            <sz val="10"/>
            <rFont val="SimSun"/>
            <charset val="134"/>
          </rPr>
          <t>"We further estimate the size of our dataset of sampled frames to be on the order of 50 million examples and that our networks have each seen approximately 500 million examples throughout the training period in total."</t>
        </r>
      </text>
    </comment>
    <comment ref="N209" authorId="0">
      <text>
        <r>
          <rPr>
            <sz val="10"/>
            <rFont val="SimSun"/>
            <charset val="134"/>
          </rPr>
          <t>400k vocab * 300 vector dimensions</t>
        </r>
      </text>
    </comment>
    <comment ref="P209" authorId="0">
      <text>
        <r>
          <rPr>
            <sz val="10"/>
            <rFont val="SimSun"/>
            <charset val="134"/>
          </rPr>
          <t>Embeddings are precalculated</t>
        </r>
      </text>
    </comment>
    <comment ref="R209" authorId="0">
      <text>
        <r>
          <rPr>
            <sz val="10"/>
            <rFont val="SimSun"/>
            <charset val="134"/>
          </rPr>
          <t>Not clear what is a datapoint in a text corpus (words? tokens? documents?)</t>
        </r>
      </text>
    </comment>
    <comment ref="S209" authorId="0">
      <text>
        <r>
          <rPr>
            <sz val="10"/>
            <rFont val="SimSun"/>
            <charset val="134"/>
          </rPr>
          <t xml:space="preserve">Section 4.6 in original paper (https://nlp.stanford.edu/pubs/glove.pdf)
85 min to populate coocurrence matrix
+ 25 training iterations
Each iteration takes 14 minutes on 32 cores </t>
        </r>
      </text>
    </comment>
    <comment ref="T209" authorId="0">
      <text>
        <r>
          <rPr>
            <sz val="10"/>
            <rFont val="SimSun"/>
            <charset val="134"/>
          </rPr>
          <t>O(1) because embeddings are precalculated</t>
        </r>
      </text>
    </comment>
    <comment ref="U209" authorId="0">
      <text>
        <r>
          <rPr>
            <sz val="10"/>
            <rFont val="SimSun"/>
            <charset val="134"/>
          </rPr>
          <t xml:space="preserve">Wikipedia size from https://en.wikipedia.org/wiki/Wikipedia:Size_of_Wikipedia
Gigaword 5 size from https://catalog.ldc.upenn.edu/LDC2011T07
</t>
        </r>
      </text>
    </comment>
    <comment ref="X209" authorId="0">
      <text>
        <r>
          <rPr>
            <sz val="10"/>
            <rFont val="SimSun"/>
            <charset val="134"/>
          </rPr>
          <t>https://scholar.google.com/citations?hl=en&amp;vq=en&amp;view_op=list_hcore&amp;venue=w44irn7CFc0J.2020</t>
        </r>
      </text>
    </comment>
    <comment ref="M210" authorId="0">
      <text>
        <r>
          <rPr>
            <sz val="10"/>
            <rFont val="SimSun"/>
            <charset val="134"/>
          </rPr>
          <t xml:space="preserve"> We
use the architecture shown in Fig. III. It has three hidden layers
that are pre-trained, one at a time, as the hidden layers in a
stack of three RBMs without making any use of the class
labels.</t>
        </r>
      </text>
    </comment>
    <comment ref="N210" authorId="0">
      <text>
        <r>
          <rPr>
            <sz val="10"/>
            <rFont val="SimSun"/>
            <charset val="134"/>
          </rPr>
          <t>Assuming 1000 input features, 35 classes and 3 hidden layers of 500 units each</t>
        </r>
      </text>
    </comment>
    <comment ref="R210" authorId="0">
      <text>
        <r>
          <rPr>
            <sz val="10"/>
            <rFont val="SimSun"/>
            <charset val="134"/>
          </rPr>
          <t>The training data has 27K automatically transcribed utterances amounting to 178K words.</t>
        </r>
      </text>
    </comment>
    <comment ref="X210" authorId="0">
      <text>
        <r>
          <rPr>
            <sz val="10"/>
            <rFont val="SimSun"/>
            <charset val="134"/>
          </rPr>
          <t>https://scholar.google.com/citations?hl=en&amp;vq=en&amp;view_op=list_hcore&amp;venue=w44irn7CFc0J.2020</t>
        </r>
      </text>
    </comment>
    <comment ref="N211" authorId="0">
      <text>
        <r>
          <rPr>
            <sz val="10"/>
            <rFont val="SimSun"/>
            <charset val="134"/>
          </rPr>
          <t>The ANN consists of three layers (Fig. 3): a substrate layer inwhich information from the game screen (raw pixels, objects, ornoise) is given as input to the network; a processing layer whichadds a nonlinear internal representation; and a nonlinear outputlayer from which actions are read and conveyed to the Atari em-ulator. Both the input and output layers are fully connected tothe processing layer. The substrate dimensionality of the inputand processinglayers is 810 in the case of the object repre-sentation and 1621 for the pixel and noise representations.3The output layer consists of a 33 substrate mirroring the ninepossible directions of the Atari 2600 joystick and a single noderepresenting thefire button</t>
        </r>
      </text>
    </comment>
    <comment ref="O214" authorId="0">
      <text>
        <r>
          <rPr>
            <sz val="10"/>
            <rFont val="SimSun"/>
            <charset val="134"/>
          </rPr>
          <t>From https://openai.com/blog/ai-and-compute/ Appendix
"Less than 0.006 pfs-days"
(86400*10^15*0.006)</t>
        </r>
      </text>
    </comment>
    <comment ref="O217" authorId="0">
      <text>
        <r>
          <rPr>
            <sz val="10"/>
            <rFont val="SimSun"/>
            <charset val="134"/>
          </rPr>
          <t>From https://openai.com/blog/ai-and-compute/ Appendix.
0.018 pfs-days
(86400*10^15*0.018)</t>
        </r>
      </text>
    </comment>
    <comment ref="S217" authorId="0">
      <text>
        <r>
          <rPr>
            <sz val="10"/>
            <rFont val="SimSun"/>
            <charset val="134"/>
          </rPr>
          <t>252 hours in a Quadro K-6000 GPU</t>
        </r>
      </text>
    </comment>
    <comment ref="N218" authorId="0">
      <text>
        <r>
          <rPr>
            <sz val="10"/>
            <rFont val="SimSun"/>
            <charset val="134"/>
          </rPr>
          <t>Source: Table 2
https://arxiv.org/abs/1409.1556</t>
        </r>
      </text>
    </comment>
    <comment ref="O218" authorId="0">
      <text>
        <r>
          <rPr>
            <sz val="10"/>
            <rFont val="SimSun"/>
            <charset val="134"/>
          </rPr>
          <t xml:space="preserve">1.2 M images * 74 epochs * 16 GFLOPS * 2 add-multiply * 3 backward pass 
= 8524 PF = 0.098 pfs-days
</t>
        </r>
      </text>
    </comment>
    <comment ref="P218" authorId="0">
      <text>
        <r>
          <rPr>
            <sz val="10"/>
            <rFont val="SimSun"/>
            <charset val="134"/>
          </rPr>
          <t>"Remarkably, although the depth is significantly increased, the 152-layer ResNet (11.3 billion FLOPs) still has lower complexity than VGG-16/19 nets (15.3/19.6 billion FLOPs)."
Source: https://www.cv-foundation.org/openaccess/content_cvpr_2016/papers/He_Deep_Residual_Learning_CVPR_2016_paper.pdf</t>
        </r>
      </text>
    </comment>
    <comment ref="N219" authorId="0">
      <text>
        <r>
          <rPr>
            <sz val="10"/>
            <rFont val="SimSun"/>
            <charset val="134"/>
          </rPr>
          <t>Source: Table 2
https://arxiv.org/abs/1409.1556</t>
        </r>
      </text>
    </comment>
    <comment ref="P219" authorId="0">
      <text>
        <r>
          <rPr>
            <sz val="10"/>
            <rFont val="SimSun"/>
            <charset val="134"/>
          </rPr>
          <t>"Remarkably, although the depth is significantly increased, the 152-layer ResNet (11.3 billion FLOPs) still has lower complexity than VGG-16/19 nets (15.3/19.6 billion FLOPs)."
Source: https://www.cv-foundation.org/openaccess/content_cvpr_2016/papers/He_Deep_Residual_Learning_CVPR_2016_paper.pdf</t>
        </r>
      </text>
    </comment>
    <comment ref="N220" authorId="0">
      <text>
        <r>
          <rPr>
            <sz val="10"/>
            <rFont val="SimSun"/>
            <charset val="134"/>
          </rPr>
          <t>The resulting LSTM has 384M
parameters of which 64M are pure recurrent connections (32M for the “encoder” LSTM and 32M
for the “decoder” LSTM).</t>
        </r>
      </text>
    </comment>
    <comment ref="O220" authorId="0">
      <text>
        <r>
          <rPr>
            <sz val="10"/>
            <rFont val="SimSun"/>
            <charset val="134"/>
          </rPr>
          <t>(348M + 304M) words * 0.380 GF * 2 add-multiply * 3 backprop * 7.5 epoch
= 7,300 PF = 0.085 pfs-days</t>
        </r>
      </text>
    </comment>
    <comment ref="C221" authorId="0">
      <text>
        <r>
          <rPr>
            <sz val="10"/>
            <rFont val="SimSun"/>
            <charset val="134"/>
          </rPr>
          <t>Also trained for image captioning and video classification, but largest model (and thus parameter counts) is for video description</t>
        </r>
      </text>
    </comment>
    <comment ref="N221" authorId="0">
      <text>
        <r>
          <rPr>
            <sz val="10"/>
            <rFont val="SimSun"/>
            <charset val="134"/>
          </rPr>
          <t xml:space="preserve">1st model: CaffeNet fc6 feature extractor (4096-length vectors) -&gt; LSTM with 1024 hidden units
2nd model: CaffeNet fc6 feature extractor (4096-length vectors) -&gt; 2 layer LSTM with 1000 hidden units
3rd mode: Like the second, but has encoder and decoder LSTMs (both with 2 layers)
AlexNet (close relative to CaffeNet) has 61M params.
LSTM RNN number of parameters is given by L*(n*m + n^2 + n) where L:= Number of layers, n:= hidden units, m:= input vector length
</t>
        </r>
      </text>
    </comment>
    <comment ref="Q221" authorId="0">
      <text>
        <r>
          <rPr>
            <sz val="10"/>
            <rFont val="SimSun"/>
            <charset val="134"/>
          </rPr>
          <t>Largest model is for image captioning:
Pretrained with ILSVRC 2021 (1.2M images)
Trained on 40k video-sentence pairs from TaCoS</t>
        </r>
      </text>
    </comment>
    <comment ref="N224" authorId="0">
      <text>
        <r>
          <rPr>
            <sz val="10"/>
            <rFont val="SimSun"/>
            <charset val="134"/>
          </rPr>
          <t>CIFAR-10 with c64-c64-c128-1000 architecture</t>
        </r>
      </text>
    </comment>
    <comment ref="O224" authorId="0">
      <text>
        <r>
          <rPr>
            <sz val="10"/>
            <rFont val="SimSun"/>
            <charset val="134"/>
          </rPr>
          <t>From https://openai.com/blog/ai-and-compute/ Appendix
less than 0.0007 pfs-days (86400*10^15*0.0007)</t>
        </r>
      </text>
    </comment>
    <comment ref="N228" authorId="0">
      <text>
        <r>
          <rPr>
            <sz val="10"/>
            <rFont val="SimSun"/>
            <charset val="134"/>
          </rPr>
          <t xml:space="preserve"> The input tothe neural network consists of an 84x84x4 image produced by the preprocess-ing mapw. The first hidden layer convolves 32 filters of 8x8 with stride 4 with theinput image and applies a rectifier nonlinearity. The second hidden layer con-volves 64 filters of 4x4 with stride 2, again followed by a rectifier nonlinearity.This is followedby a thirdconvolutional layer thatconvolves 64 filtersof 3x3 withstride 1 followed by a rectifier. The final hidden layer is fully-connected and con-sists of 512 rectifier units. The output layer is a fully-connected linear layer with asingle output for each valid action. The number of valid actions varied between 4 and 18 on the games we considered.</t>
        </r>
      </text>
    </comment>
    <comment ref="N229" authorId="0">
      <text>
        <r>
          <rPr>
            <sz val="10"/>
            <rFont val="SimSun"/>
            <charset val="134"/>
          </rPr>
          <t>Table 1
https://arxiv.org/abs/1503.00075</t>
        </r>
      </text>
    </comment>
    <comment ref="X229" authorId="0">
      <text>
        <r>
          <rPr>
            <sz val="10"/>
            <rFont val="SimSun"/>
            <charset val="134"/>
          </rPr>
          <t>https://scholar.google.com/citations?hl=en&amp;vq=en&amp;view_op=list_hcore&amp;venue=w44irn7CFc0J.2020</t>
        </r>
      </text>
    </comment>
    <comment ref="X230" authorId="0">
      <text>
        <r>
          <rPr>
            <sz val="10"/>
            <rFont val="SimSun"/>
            <charset val="134"/>
          </rPr>
          <t>https://scholar.google.com/citations?hl=en&amp;vq=en&amp;view_op=list_hcore&amp;venue=w44irn7CFc0J.2020</t>
        </r>
      </text>
    </comment>
    <comment ref="N232" authorId="0">
      <text>
        <r>
          <rPr>
            <sz val="10"/>
            <rFont val="SimSun"/>
            <charset val="134"/>
          </rPr>
          <t>Computed summing the parameters on table 1 of section 5</t>
        </r>
      </text>
    </comment>
    <comment ref="N233" authorId="0">
      <text>
        <r>
          <rPr>
            <sz val="10"/>
            <rFont val="SimSun"/>
            <charset val="134"/>
          </rPr>
          <t>Quick calculation based on figure 3 of the paper</t>
        </r>
      </text>
    </comment>
    <comment ref="N236" authorId="0">
      <text>
        <r>
          <rPr>
            <sz val="10"/>
            <rFont val="SimSun"/>
            <charset val="134"/>
          </rPr>
          <t>The input to the policy network is a 19 × 19 × 48 image stack consisting of 48 feature planes. The first hidden layer zero pads the input into a 23 × 23 image, then convolves k filters of kernel size 5 × 5 with stride 1 with the input image and applies a rectifier nonlinearity. Each of the subsequent hidden layers 2 to 12 zero pads the respective previous hidden layer into a 21 × 21 image, then convolves k filters of kernel size 3 × 3 with stride 1, again followed by a rectifier nonlinearity. The final layer convolves 1 filter of kernel size 1 × 1 with stride 1, with a different bias for each position, and applies a softmax function. The match version of AlphaGo used k = 192 filters; Fig. 2b and Extended Data Table 3 additionally show the results of training with k = 128, 256 and 384 filters.
The input to the value network is also a 19 × 19 × 48 image stack, with an additional binary feature plane describing the current colour to play. Hidden layers 2 to 11 are identical to the policy network, hidden layer 12 is an additional convolution layer, hidden layer 13 convolves 1 filter of kernel size 1 × 1 with stride 1, and hidden layer 14 is a fully connected linear layer with 256 rectifier units. The output layer is a fully connected linear layer with a single tanh unit.</t>
        </r>
      </text>
    </comment>
    <comment ref="O236" authorId="0">
      <text>
        <r>
          <rPr>
            <sz val="10"/>
            <rFont val="SimSun"/>
            <charset val="134"/>
          </rPr>
          <t>Assume 0.3 utilisation rate, 1e13 GPU FLOP/s [single precision]. Trained in three stages using 50 GPUs over 3 weeks + 1 day + 1 week
Training compute = (50 GPUs)(29 days)(86400s/day)(0.3 utilisation rate)(1e13 FLOP/s) = 3.8e20 FLOPs</t>
        </r>
      </text>
    </comment>
    <comment ref="P236" authorId="0">
      <text>
        <r>
          <rPr>
            <sz val="10"/>
            <rFont val="SimSun"/>
            <charset val="134"/>
          </rPr>
          <t>Distributed: 176 GPUs + 1202 PUs + 40 search threads
Single machine: 8 GPUs + 48 CPUs 
https://www.nature.com/articles/nature16961</t>
        </r>
      </text>
    </comment>
    <comment ref="F237" authorId="0">
      <text>
        <r>
          <rPr>
            <sz val="10"/>
            <rFont val="SimSun"/>
            <charset val="134"/>
          </rPr>
          <t>Not an exact date - this is accurate up to the month, when Fan Hui played against AlphaGo Fan. 
Source: bottom of page 354, "The published version, which we refer to as AlphaGo Fan, defeated the European champion Fan Hui in October 2015."
https://www.nature.com/articles/nature24270.epdf?author_access_token=VJXbVjaSHxFoctQQ4p2k4tRgN0jAjWel9jnR3ZoTv0PVW4gB86EEpGqTRDtpIz-2rmo8-KG06gqVobU5NSCFeHILHcVFUeMsbvwS-lxjqQGg98faovwjxeTUgZAUMnRQ</t>
        </r>
      </text>
    </comment>
    <comment ref="X240" authorId="0">
      <text>
        <r>
          <rPr>
            <sz val="10"/>
            <rFont val="SimSun"/>
            <charset val="134"/>
          </rPr>
          <t>https://scholar.google.com/citations?hl=en&amp;vq=en&amp;view_op=list_hcore&amp;venue=w44irn7CFc0J.2020</t>
        </r>
      </text>
    </comment>
    <comment ref="N241" authorId="0">
      <text>
        <r>
          <rPr>
            <sz val="10"/>
            <rFont val="SimSun"/>
            <charset val="134"/>
          </rPr>
          <t>Table 3 from Xception paper</t>
        </r>
      </text>
    </comment>
    <comment ref="P241" authorId="0">
      <text>
        <r>
          <rPr>
            <sz val="10"/>
            <rFont val="SimSun"/>
            <charset val="134"/>
          </rPr>
          <t>Rados (FLOPs)
https://drive.google.com/drive/folders/1bhy5z6hh1n3wCHx6528Xb7xB1KhYdAL1</t>
        </r>
      </text>
    </comment>
    <comment ref="X241" authorId="0">
      <text>
        <r>
          <rPr>
            <sz val="10"/>
            <rFont val="SimSun"/>
            <charset val="134"/>
          </rPr>
          <t>https://scholar.google.com/citations?hl=en&amp;vq=en&amp;view_op=list_hcore&amp;venue=w44irn7CFc0J.2020</t>
        </r>
      </text>
    </comment>
    <comment ref="M242" authorId="0">
      <text>
        <r>
          <rPr>
            <sz val="10"/>
            <rFont val="SimSun"/>
            <charset val="134"/>
          </rPr>
          <t>We explore architectures with up to 11 layers including many bidirectional recurrent layers and convolutional layers.</t>
        </r>
      </text>
    </comment>
    <comment ref="N242" authorId="0">
      <text>
        <r>
          <rPr>
            <sz val="10"/>
            <rFont val="SimSun"/>
            <charset val="134"/>
          </rPr>
          <t>All networks have 38 million parameters.</t>
        </r>
      </text>
    </comment>
    <comment ref="O242" authorId="0">
      <text>
        <r>
          <rPr>
            <sz val="10"/>
            <rFont val="SimSun"/>
            <charset val="134"/>
          </rPr>
          <t xml:space="preserve">1 timestep = (1280 hidden units)^2 * (7 RNN layers * 4 matrices for bidirectional + 2 DNN layers) * (2 for doubling parameters from 36M to 72M) = 98 MFLOPs
20 epochs * 12,000 hours * 3600 seconds/hour * 50 samples/sec * 98 MFLOPs * 3 add-multiply * 2 backprop 
= 26,000 PF = 0.30 pfs-days
</t>
        </r>
      </text>
    </comment>
    <comment ref="U242" authorId="0">
      <text>
        <r>
          <rPr>
            <sz val="10"/>
            <rFont val="SimSun"/>
            <charset val="134"/>
          </rPr>
          <t>Our English speech system
is trained on 11,940 hours of speech, while the Mandarin system is trained on 9,400 hours. We use data synthesis to further augment the data during training</t>
        </r>
      </text>
    </comment>
    <comment ref="N243" authorId="0">
      <text>
        <r>
          <rPr>
            <sz val="10"/>
            <rFont val="SimSun"/>
            <charset val="134"/>
          </rPr>
          <t>Taken from https://arxiv.org/abs/1605.07146</t>
        </r>
      </text>
    </comment>
    <comment ref="O243" authorId="0">
      <text>
        <r>
          <rPr>
            <sz val="10"/>
            <rFont val="SimSun"/>
            <charset val="134"/>
          </rPr>
          <t>(11.4 *10^9) mult-adds per forward pass
2 FLOPS/ mult-add
3.5 for forward &amp; backward pass
1.2 * 10^6 examples in dataset
128 epochs
Source:x</t>
        </r>
      </text>
    </comment>
    <comment ref="P243" authorId="0">
      <text>
        <r>
          <rPr>
            <sz val="10"/>
            <rFont val="SimSun"/>
            <charset val="134"/>
          </rPr>
          <t>Table 1</t>
        </r>
      </text>
    </comment>
    <comment ref="Q243" authorId="0">
      <text>
        <r>
          <rPr>
            <sz val="10"/>
            <rFont val="SimSun"/>
            <charset val="134"/>
          </rPr>
          <t>They won ILSVRC 2015, but actually the classification dataset is the same as 2012</t>
        </r>
      </text>
    </comment>
    <comment ref="U243" authorId="0">
      <text>
        <r>
          <rPr>
            <sz val="10"/>
            <rFont val="SimSun"/>
            <charset val="134"/>
          </rPr>
          <t>https://cloud.google.com/tpu/docs/imagenet-setup</t>
        </r>
      </text>
    </comment>
    <comment ref="N244" authorId="0">
      <text>
        <r>
          <rPr>
            <sz val="10"/>
            <rFont val="SimSun"/>
            <charset val="134"/>
          </rPr>
          <t>Table 6</t>
        </r>
      </text>
    </comment>
    <comment ref="O247" authorId="0">
      <text>
        <r>
          <rPr>
            <sz val="10"/>
            <rFont val="SimSun"/>
            <charset val="134"/>
          </rPr>
          <t>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t>
        </r>
      </text>
    </comment>
    <comment ref="R247" authorId="0">
      <text>
        <r>
          <rPr>
            <sz val="10"/>
            <rFont val="SimSun"/>
            <charset val="134"/>
          </rPr>
          <t>We trained the policy network pσ to classify positions according to expert moves played in the KGS data set. This data set contains 29.4 million positions from 160,000 games played by KGS 6 to 9 dan human players; 35.4% of the games are handicap games.</t>
        </r>
      </text>
    </comment>
    <comment ref="N250" authorId="0">
      <text>
        <r>
          <rPr>
            <sz val="10"/>
            <rFont val="SimSun"/>
            <charset val="134"/>
          </rPr>
          <t>"The folks from Google strike again with Inception-v4, 43M parameters."
https://towardsdatascience.com/illustrated-10-cnn-architectures-95d78ace614d</t>
        </r>
      </text>
    </comment>
    <comment ref="P250" authorId="0">
      <text>
        <r>
          <rPr>
            <sz val="10"/>
            <rFont val="SimSun"/>
            <charset val="134"/>
          </rPr>
          <t>Rados (FLOPs)
https://drive.google.com/drive/folders/1bhy5z6hh1n3wCHx6528Xb7xB1KhYdAL1</t>
        </r>
      </text>
    </comment>
    <comment ref="P251" authorId="0">
      <text>
        <r>
          <rPr>
            <sz val="10"/>
            <rFont val="SimSun"/>
            <charset val="134"/>
          </rPr>
          <t>Rados (FLOPs)
https://drive.google.com/drive/folders/1bhy5z6hh1n3wCHx6528Xb7xB1KhYdAL1</t>
        </r>
      </text>
    </comment>
    <comment ref="N252" authorId="0">
      <text>
        <r>
          <rPr>
            <sz val="10"/>
            <rFont val="SimSun"/>
            <charset val="134"/>
          </rPr>
          <t>Inferred from title of the paper</t>
        </r>
      </text>
    </comment>
    <comment ref="X252" authorId="0">
      <text>
        <r>
          <rPr>
            <sz val="10"/>
            <rFont val="SimSun"/>
            <charset val="134"/>
          </rPr>
          <t>https://scholar.google.com/citations?hl=en&amp;vq=en&amp;view_op=list_hcore&amp;venue=w44irn7CFc0J.2020</t>
        </r>
      </text>
    </comment>
    <comment ref="N259" authorId="0">
      <text>
        <r>
          <rPr>
            <sz val="10"/>
            <rFont val="SimSun"/>
            <charset val="134"/>
          </rPr>
          <t>Table 5 in 'Outrageously Large Neural Networks: The Sparsely-Gated Mixture-of-Experts Layer'
https://arxiv.org/abs/1701.06538</t>
        </r>
      </text>
    </comment>
    <comment ref="O259" authorId="0">
      <text>
        <r>
          <rPr>
            <sz val="10"/>
            <rFont val="SimSun"/>
            <charset val="134"/>
          </rPr>
          <t>sqrt(10 * 100) factor added because production model used 2-3 orders of magnitude more data, but only 1 epoch rather than 10.
96 K80 GPU’s * 9 days * 8.5 TFLOPS * 0.33 utilization * sqrt(10 * 100)  
= 6.9e6 PF = 79 pfs-days
source: https://openai.com/blog/ai-and-compute/</t>
        </r>
      </text>
    </comment>
    <comment ref="N260" authorId="0">
      <text>
        <r>
          <rPr>
            <sz val="10"/>
            <rFont val="SimSun"/>
            <charset val="134"/>
          </rPr>
          <t>Table 3</t>
        </r>
      </text>
    </comment>
    <comment ref="O260" authorId="0">
      <text>
        <r>
          <rPr>
            <sz val="10"/>
            <rFont val="SimSun"/>
            <charset val="134"/>
          </rPr>
          <t>60 K80 GPU’s * 3 days * 8.5 TFLOPS/GPU * 0.33 utilization 
= 4.4e4 PF = 0.44 pfs-days</t>
        </r>
      </text>
    </comment>
    <comment ref="P260" authorId="0">
      <text>
        <r>
          <rPr>
            <sz val="10"/>
            <rFont val="SimSun"/>
            <charset val="134"/>
          </rPr>
          <t>Rados (FLOPs)
https://drive.google.com/drive/folders/1bhy5z6hh1n3wCHx6528Xb7xB1KhYdAL1</t>
        </r>
      </text>
    </comment>
    <comment ref="X261" authorId="0">
      <text>
        <r>
          <rPr>
            <sz val="10"/>
            <rFont val="SimSun"/>
            <charset val="134"/>
          </rPr>
          <t>https://scholar.google.com/citations?hl=en&amp;vq=en&amp;view_op=list_hcore&amp;venue=5RY_PS94Oc4J.2020</t>
        </r>
      </text>
    </comment>
    <comment ref="M262" authorId="0">
      <text>
        <r>
          <rPr>
            <sz val="10"/>
            <rFont val="SimSun"/>
            <charset val="134"/>
          </rPr>
          <t>Table 1</t>
        </r>
      </text>
    </comment>
    <comment ref="N262" authorId="0">
      <text>
        <r>
          <rPr>
            <sz val="10"/>
            <rFont val="SimSun"/>
            <charset val="134"/>
          </rPr>
          <t>Table 1</t>
        </r>
      </text>
    </comment>
    <comment ref="O262" authorId="0">
      <text>
        <r>
          <rPr>
            <sz val="10"/>
            <rFont val="SimSun"/>
            <charset val="134"/>
          </rPr>
          <t>50 epochs * 50,000 images * 10.0 GFLOPSs * 12800 networks * 2 add-multiply * 3 backward pass 
= 1.9e6 PF = 22 pfs-days
source: https://openai.com/blog/ai-and-compute/</t>
        </r>
      </text>
    </comment>
    <comment ref="X262" authorId="0">
      <text>
        <r>
          <rPr>
            <sz val="10"/>
            <rFont val="SimSun"/>
            <charset val="134"/>
          </rPr>
          <t>https://scholar.google.com/citations?hl=en&amp;vq=en&amp;view_op=list_hcore&amp;venue=w44irn7CFc0J.2020</t>
        </r>
      </text>
    </comment>
    <comment ref="N263" authorId="0">
      <text>
        <r>
          <rPr>
            <sz val="10"/>
            <rFont val="SimSun"/>
            <charset val="134"/>
          </rPr>
          <t>"If you’re thinking about ResNets, yes, they are related. ResNeXt-50 has 25M parameters (ResNet-50 has 25.5M)."
https://towardsdatascience.com/illustrated-10-cnn-architectures-95d78ace614d</t>
        </r>
      </text>
    </comment>
    <comment ref="P263" authorId="0">
      <text>
        <r>
          <rPr>
            <sz val="10"/>
            <rFont val="SimSun"/>
            <charset val="134"/>
          </rPr>
          <t>Rados  (FLOPs)
https://drive.google.com/drive/folders/1bhy5z6hh1n3wCHx6528Xb7xB1KhYdAL1</t>
        </r>
      </text>
    </comment>
    <comment ref="A271" authorId="0">
      <text>
        <r>
          <rPr>
            <sz val="10"/>
            <rFont val="SimSun"/>
            <charset val="134"/>
          </rPr>
          <t>aka YOLO9000</t>
        </r>
      </text>
    </comment>
    <comment ref="N271" authorId="0">
      <text>
        <r>
          <rPr>
            <sz val="10"/>
            <rFont val="SimSun"/>
            <charset val="134"/>
          </rPr>
          <t>Source: https://resources.wolframcloud.com/NeuralNetRepository/resources/YOLO-V2-Trained-on-MS-COCO-Data_1</t>
        </r>
      </text>
    </comment>
    <comment ref="L272" authorId="0">
      <text>
        <r>
          <rPr>
            <sz val="10"/>
            <rFont val="SimSun"/>
            <charset val="134"/>
          </rPr>
          <t>Claims to be first ML system to reach superhuman level at No Limit Poker Texas Hold Em</t>
        </r>
      </text>
    </comment>
    <comment ref="O272" authorId="0">
      <text>
        <r>
          <rPr>
            <sz val="10"/>
            <rFont val="SimSun"/>
            <charset val="134"/>
          </rPr>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25M core hours for 196 cores
2. We have  895 TFLOPS for 752 nodes a 2 CPUs a 14 cores
2.1 That's 42.5 GFLOPS per core.
3. Running this for 25M h
3.1 25 * 10^6 * 60 * 60 * 42.5 * 10^9 FLOP/S = 3.825e21 FLOPs
4. Assuming 30% utilization
 3.825e21 * 0.3
→ 1.1475e21 FLOPs</t>
        </r>
      </text>
    </comment>
    <comment ref="S272" authorId="0">
      <text>
        <r>
          <rPr>
            <sz val="10"/>
            <rFont val="SimSun"/>
            <charset val="134"/>
          </rPr>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t>
        </r>
      </text>
    </comment>
    <comment ref="F273" authorId="0">
      <text>
        <r>
          <rPr>
            <sz val="10"/>
            <rFont val="SimSun"/>
            <charset val="134"/>
          </rPr>
          <t xml:space="preserve">Tehcnically not published until the paper for AlphaGo Zero was published, but this is when the model was first released to play against 60 Go players
https://deepmind.com/alphago-master-series
</t>
        </r>
      </text>
    </comment>
    <comment ref="O273" authorId="0">
      <text>
        <r>
          <rPr>
            <sz val="10"/>
            <rFont val="SimSun"/>
            <charset val="134"/>
          </rPr>
          <t>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20 days (half of the total training time), I estimate the compute to be around half that of AGZ. I round this down to 1.5e23, and I expect this to only be accurate within an OOM.</t>
        </r>
      </text>
    </comment>
    <comment ref="N274" authorId="0">
      <text>
        <r>
          <rPr>
            <sz val="10"/>
            <rFont val="SimSun"/>
            <charset val="134"/>
          </rPr>
          <t>Figure 3, p.9
source: https://docs.google.com/spreadsheets/d/1Kj4Q5WADcDXtUJLIOfGTCE3tGvxNczEMwyy8QtgSkHk/edit#gid=54587040&amp;fvid=1361937389</t>
        </r>
      </text>
    </comment>
    <comment ref="O274" authorId="0">
      <text>
        <r>
          <rPr>
            <sz val="10"/>
            <rFont val="SimSun"/>
            <charset val="134"/>
          </rPr>
          <t>source: https://docs.google.com/spreadsheets/d/1Kj4Q5WADcDXtUJLIOfGTCE3tGvxNczEMwyy8QtgSkHk/edit#gid=54587040&amp;fvid=1361937389</t>
        </r>
      </text>
    </comment>
    <comment ref="N275" authorId="0">
      <text>
        <r>
          <rPr>
            <sz val="10"/>
            <rFont val="SimSun"/>
            <charset val="134"/>
          </rPr>
          <t>Table 5
https://arxiv.org/abs/1701.06538</t>
        </r>
      </text>
    </comment>
    <comment ref="O275" authorId="0">
      <text>
        <r>
          <rPr>
            <sz val="10"/>
            <rFont val="SimSun"/>
            <charset val="134"/>
          </rPr>
          <t xml:space="preserve">12 days 
64 NVIDIA K40 GPUS (see hardware data sheet for performance)
0.33 util rate
 </t>
        </r>
      </text>
    </comment>
    <comment ref="S276" authorId="0">
      <text>
        <r>
          <rPr>
            <sz val="10"/>
            <rFont val="SimSun"/>
            <charset val="134"/>
          </rPr>
          <t>Training with
ResNet-50-FPN on COCO trainval35k takes 32 hours
in our synchronized 8-GPU implementation (0.72s per 16-
image mini-batch), and 44 hours with ResNet-101-FPN</t>
        </r>
      </text>
    </comment>
    <comment ref="T276" authorId="0">
      <text>
        <r>
          <rPr>
            <sz val="10"/>
            <rFont val="SimSun"/>
            <charset val="134"/>
          </rPr>
          <t>"This model
runs at 195ms per image on an Nvidia Tesla M40 GPU"</t>
        </r>
      </text>
    </comment>
    <comment ref="P278" authorId="0">
      <text>
        <r>
          <rPr>
            <sz val="10"/>
            <rFont val="SimSun"/>
            <charset val="134"/>
          </rPr>
          <t>Rados (FLOPs)
https://drive.google.com/drive/folders/1bhy5z6hh1n3wCHx6528Xb7xB1KhYdAL1</t>
        </r>
      </text>
    </comment>
    <comment ref="N280" authorId="0">
      <text>
        <r>
          <rPr>
            <sz val="10"/>
            <rFont val="SimSun"/>
            <charset val="134"/>
          </rPr>
          <t>This page suggests the transformer has 213M parameters.
"Although there are others architectures that make use of attention layers, none achieves so good results so fast. Not only that, but the only model that can compite against Transformer is the Slicenet22, proposed just fifteen days before. It takes much longer to train, due to the huge amount of parameters it requires (348 million against the 213 millions of Transformer), and the BLEU scores it achieves are slightly worse on average. In short, up to date it offers no profit over Transformer."
https://ricardokleinklein.github.io/2017/11/16/Attention-is-all-you-need.html</t>
        </r>
      </text>
    </comment>
    <comment ref="O280" authorId="0">
      <text>
        <r>
          <rPr>
            <sz val="10"/>
            <rFont val="SimSun"/>
            <charset val="134"/>
          </rPr>
          <t>"The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t>
        </r>
      </text>
    </comment>
    <comment ref="P280" authorId="0">
      <text>
        <r>
          <rPr>
            <sz val="10"/>
            <rFont val="SimSun"/>
            <charset val="134"/>
          </rPr>
          <t>Source: rados dataset (FLOPs)
https://drive.google.com/drive/folders/1bhy5z6hh1n3wCHx6528Xb7xB1KhYdAL1</t>
        </r>
      </text>
    </comment>
    <comment ref="S280" authorId="0">
      <text>
        <r>
          <rPr>
            <sz val="10"/>
            <rFont val="SimSun"/>
            <charset val="134"/>
          </rPr>
          <t>We trained our models on one machine with 8 NVIDIA P100 GPUs. For our base models using
the hyperparameters described throughout the paper, each training step took about 0.4 seconds. We trained the base models for a total of 100,000 steps or 12 hours. For our big models,(described on the
bottom line of table 3), step time was 1.0 seconds. The big models were trained for 300,000 steps
(3.5 days).</t>
        </r>
      </text>
    </comment>
    <comment ref="P284" authorId="0">
      <text>
        <r>
          <rPr>
            <sz val="10"/>
            <rFont val="SimSun"/>
            <charset val="134"/>
          </rPr>
          <t>Table 4 (ShuffleNet 1x, g=8)
https://arxiv.org/abs/1707.01083</t>
        </r>
      </text>
    </comment>
    <comment ref="O287" authorId="0">
      <text>
        <r>
          <rPr>
            <sz val="10"/>
            <rFont val="SimSun"/>
            <charset val="134"/>
          </rPr>
          <t xml:space="preserve">2 months * 30 days * 50 K80 GPUs (5.60E+12 FLOPS/GPU) * 24 * 3600 * 0.33 = </t>
        </r>
      </text>
    </comment>
    <comment ref="N288" authorId="0">
      <text>
        <r>
          <rPr>
            <sz val="10"/>
            <rFont val="SimSun"/>
            <charset val="134"/>
          </rPr>
          <t>source: table 2 in https://arxiv.org/pdf/1911.09070.pdf</t>
        </r>
      </text>
    </comment>
    <comment ref="P288" authorId="0">
      <text>
        <r>
          <rPr>
            <sz val="10"/>
            <rFont val="SimSun"/>
            <charset val="134"/>
          </rPr>
          <t>source: table 2 in https://arxiv.org/pdf/1911.09070.pdf</t>
        </r>
      </text>
    </comment>
    <comment ref="N289" authorId="0">
      <text>
        <r>
          <rPr>
            <sz val="10"/>
            <rFont val="SimSun"/>
            <charset val="134"/>
          </rPr>
          <t>source: table 2 in https://arxiv.org/pdf/1911.09070.pdf</t>
        </r>
      </text>
    </comment>
    <comment ref="P289" authorId="0">
      <text>
        <r>
          <rPr>
            <sz val="10"/>
            <rFont val="SimSun"/>
            <charset val="134"/>
          </rPr>
          <t>source: table 2 in https://arxiv.org/pdf/1911.09070.pdf</t>
        </r>
      </text>
    </comment>
    <comment ref="O290" authorId="0">
      <text>
        <r>
          <rPr>
            <sz val="10"/>
            <rFont val="SimSun"/>
            <charset val="134"/>
          </rPr>
          <t>Extracted from AI and Compute (https://openai.com/blog/ai-and-compute/) charts by using https://automeris.io/WebPlotDigitizer/.</t>
        </r>
      </text>
    </comment>
    <comment ref="N292" authorId="0">
      <text>
        <r>
          <rPr>
            <sz val="10"/>
            <rFont val="SimSun"/>
            <charset val="134"/>
          </rPr>
          <t>Table 16</t>
        </r>
      </text>
    </comment>
    <comment ref="P292" authorId="0">
      <text>
        <r>
          <rPr>
            <sz val="10"/>
            <rFont val="SimSun"/>
            <charset val="134"/>
          </rPr>
          <t>Table 16</t>
        </r>
      </text>
    </comment>
    <comment ref="N293" authorId="0">
      <text>
        <r>
          <rPr>
            <sz val="10"/>
            <rFont val="SimSun"/>
            <charset val="134"/>
          </rPr>
          <t>Quick calculation</t>
        </r>
      </text>
    </comment>
    <comment ref="O293" authorId="0">
      <text>
        <r>
          <rPr>
            <sz val="10"/>
            <rFont val="SimSun"/>
            <charset val="134"/>
          </rPr>
          <t>source: https://docs.google.com/spreadsheets/d/1Kj4Q5WADcDXtUJLIOfGTCE3tGvxNczEMwyy8QtgSkHk/edit#gid=54587040&amp;fvid=1361937389
AGZ had two models, one of which was small and another of which was large. The compute for AGZ is for the large model, which has 40 residual blocks instead of 20.</t>
        </r>
      </text>
    </comment>
    <comment ref="Y293" authorId="0">
      <text>
        <r>
          <rPr>
            <sz val="10"/>
            <rFont val="SimSun"/>
            <charset val="134"/>
          </rPr>
          <t>https://www.yuzeh.com/data/agz-cost.html</t>
        </r>
      </text>
    </comment>
    <comment ref="N294" authorId="0">
      <text>
        <r>
          <rPr>
            <sz val="10"/>
            <rFont val="SimSun"/>
            <charset val="134"/>
          </rPr>
          <t>"In terms of number of parameters the baseline has 35.4M while CapsNet
has 8.2M parameters and 6.8M parameters without the reconstruction subnetwork"</t>
        </r>
      </text>
    </comment>
    <comment ref="N295" authorId="0">
      <text>
        <r>
          <rPr>
            <sz val="10"/>
            <rFont val="SimSun"/>
            <charset val="134"/>
          </rPr>
          <t>"This model has 24.56M parameters which is 2 times more parameters
than CapsNet with 11.36M parameters."</t>
        </r>
      </text>
    </comment>
    <comment ref="O300" authorId="0">
      <text>
        <r>
          <rPr>
            <sz val="10"/>
            <rFont val="SimSun"/>
            <charset val="134"/>
          </rPr>
          <t>Extracted from AI and Compute (https://openai.com/blog/ai-and-compute/) charts by using https://automeris.io/WebPlotDigitizer/.</t>
        </r>
      </text>
    </comment>
    <comment ref="P300" authorId="0">
      <text>
        <r>
          <rPr>
            <sz val="10"/>
            <rFont val="SimSun"/>
            <charset val="134"/>
          </rPr>
          <t>This post claims 0.8 seconds per move for the 40-day training version of the model (Go)
https://www.yuzeh.com/data/agz-cost.html</t>
        </r>
      </text>
    </comment>
    <comment ref="P303" authorId="0">
      <text>
        <r>
          <rPr>
            <sz val="10"/>
            <rFont val="SimSun"/>
            <charset val="134"/>
          </rPr>
          <t>Rados dataset (FLOPs)
https://drive.google.com/drive/folders/1bhy5z6hh1n3wCHx6528Xb7xB1KhYdAL1</t>
        </r>
      </text>
    </comment>
    <comment ref="N305" authorId="0">
      <text>
        <r>
          <rPr>
            <sz val="10"/>
            <rFont val="SimSun"/>
            <charset val="134"/>
          </rPr>
          <t>"Figure 3 in the paper states that the large architecture has 1.6 million parameters. I am using the large model because it was the only one trained on all the Atari games at once, which seems like the most impressive task in the suite."
Source: https://docs.google.com/spreadsheets/d/1Kj4Q5WADcDXtUJLIOfGTCE3tGvxNczEMwyy8QtgSkHk/edit#gid=54587040&amp;fvid=1361937389</t>
        </r>
      </text>
    </comment>
    <comment ref="O305" authorId="0">
      <text>
        <r>
          <rPr>
            <sz val="10"/>
            <rFont val="SimSun"/>
            <charset val="134"/>
          </rPr>
          <t>source: https://docs.google.com/spreadsheets/d/1Kj4Q5WADcDXtUJLIOfGTCE3tGvxNczEMwyy8QtgSkHk/edit#gid=54587040&amp;fvid=1361937389</t>
        </r>
      </text>
    </comment>
    <comment ref="F306" authorId="0">
      <text>
        <r>
          <rPr>
            <sz val="10"/>
            <rFont val="SimSun"/>
            <charset val="134"/>
          </rPr>
          <t>March 2018</t>
        </r>
      </text>
    </comment>
    <comment ref="N307" authorId="0">
      <text>
        <r>
          <rPr>
            <sz val="10"/>
            <rFont val="SimSun"/>
            <charset val="134"/>
          </rPr>
          <t>https://openai.com/blog/image-gpt/#rfref53</t>
        </r>
      </text>
    </comment>
    <comment ref="N308" authorId="0">
      <text>
        <r>
          <rPr>
            <sz val="10"/>
            <rFont val="SimSun"/>
            <charset val="134"/>
          </rPr>
          <t>Feature extractor (ignoring biases)
32*3*3*3 +
64*3*3*32 +
32*1*1*64 +
64*3*3*32 +
128*3*3*64 +
2*(64*1*1*128 +
128*3*3*64) +
256*3*3*128 +
8*(128*1*1*256 +
256*3*3*128) +
512*3*3*256 + 
8*(256*1*1*512 + 
512*3*3*256) + 
1024*3*3*512 + 
4*(512*1*1*1024 +
1024*3*3*512) +
8*8*1024*1000
source: table 1</t>
        </r>
      </text>
    </comment>
    <comment ref="O308" authorId="0">
      <text>
        <r>
          <rPr>
            <sz val="10"/>
            <rFont val="SimSun"/>
            <charset val="134"/>
          </rPr>
          <t>We use the formula training_compute = ops_per_forward_pass * 3.5 * n_epochs * n_examples
Assuming 160 epochs of training as in https://arxiv.org/pdf/1612.08242.pdf</t>
        </r>
      </text>
    </comment>
    <comment ref="P308" authorId="0">
      <text>
        <r>
          <rPr>
            <sz val="10"/>
            <rFont val="SimSun"/>
            <charset val="134"/>
          </rPr>
          <t>source: table 1 in https://arxiv.org/pdf/1911.09070.pdf
The backbone are 1.87e10 FLOP according to table 1 in https://arxiv.org/abs/1804.02767</t>
        </r>
      </text>
    </comment>
    <comment ref="R308" authorId="0">
      <text>
        <r>
          <rPr>
            <sz val="10"/>
            <rFont val="SimSun"/>
            <charset val="134"/>
          </rPr>
          <t>Source: https://image-net.org/download.php</t>
        </r>
      </text>
    </comment>
    <comment ref="N309" authorId="0">
      <text>
        <r>
          <rPr>
            <sz val="10"/>
            <rFont val="SimSun"/>
            <charset val="134"/>
          </rPr>
          <t xml:space="preserve">Table 6
</t>
        </r>
      </text>
    </comment>
    <comment ref="P309" authorId="0">
      <text>
        <r>
          <rPr>
            <sz val="10"/>
            <rFont val="SimSun"/>
            <charset val="134"/>
          </rPr>
          <t>Rados (FLOPs)
https://drive.google.com/drive/folders/1bhy5z6hh1n3wCHx6528Xb7xB1KhYdAL1</t>
        </r>
      </text>
    </comment>
    <comment ref="S309" authorId="0">
      <text>
        <r>
          <rPr>
            <sz val="10"/>
            <rFont val="SimSun"/>
            <charset val="134"/>
          </rPr>
          <t>" Mahajan et al. (2018) required 19
GPU years to train their ResNeXt101-32x48d"
https://arxiv.org/abs/2103.00020</t>
        </r>
      </text>
    </comment>
    <comment ref="N310" authorId="0">
      <text>
        <r>
          <rPr>
            <sz val="10"/>
            <rFont val="SimSun"/>
            <charset val="134"/>
          </rPr>
          <t>"The model had 117M parameters in total."
source: https://medium.com/walmartglobaltech/the-journey-of-open-ai-gpt-models-32d95b7b7fb2</t>
        </r>
      </text>
    </comment>
    <comment ref="O310" authorId="0">
      <text>
        <r>
          <rPr>
            <sz val="10"/>
            <rFont val="SimSun"/>
            <charset val="134"/>
          </rPr>
          <t xml:space="preserve">COMPUTE = FORWARD COMPUTE PER TOKEN * 3 BACKWARD FORWARD ADJUSTMENT * EPOCHS * DATASET SIZE
"We train for 100 epochs on minibatches of 64 randomly sampled, contiguous sequences of 512 tokens."
</t>
        </r>
      </text>
    </comment>
    <comment ref="P310" authorId="0">
      <text>
        <r>
          <rPr>
            <sz val="10"/>
            <rFont val="SimSun"/>
            <charset val="134"/>
          </rPr>
          <t>Rados dataset (FLOPs)
https://drive.google.com/drive/folders/1bhy5z6hh1n3wCHx6528Xb7xB1KhYdAL1</t>
        </r>
      </text>
    </comment>
    <comment ref="Q310" authorId="0">
      <text>
        <r>
          <rPr>
            <sz val="10"/>
            <rFont val="SimSun"/>
            <charset val="134"/>
          </rPr>
          <t>"We use the BooksCorpus dataset [71] for training the language model"</t>
        </r>
      </text>
    </comment>
    <comment ref="R310" authorId="0">
      <text>
        <r>
          <rPr>
            <sz val="10"/>
            <rFont val="SimSun"/>
            <charset val="134"/>
          </rPr>
          <t>"BookCorpus is a large collection of free novel books written by unpublished authors, which contains 11,038 books (around 74M sentences and 1G words) of 16 different sub-genres (e.g., Romance, Historical, Adventure, etc.)."
https://paperswithcode.com/dataset/bookcorpus
It seems to have about 5000MB of content
source: https://huggingface.co/datasets/bookcorpusopen
Assuming a byte-pair encoder similar to GPT-2, there are 8 bytes / token.
So approximately 5000MB / 8 bytes / token = 5e9 / 8 tokens</t>
        </r>
      </text>
    </comment>
    <comment ref="N311" authorId="0">
      <text>
        <r>
          <rPr>
            <sz val="10"/>
            <rFont val="SimSun"/>
            <charset val="134"/>
          </rPr>
          <t>Rados</t>
        </r>
      </text>
    </comment>
    <comment ref="P311" authorId="0">
      <text>
        <r>
          <rPr>
            <sz val="10"/>
            <rFont val="SimSun"/>
            <charset val="134"/>
          </rPr>
          <t>Rados (FLOPs)
https://drive.google.com/drive/folders/1bhy5z6hh1n3wCHx6528Xb7xB1KhYdAL1</t>
        </r>
      </text>
    </comment>
    <comment ref="P312" authorId="0">
      <text>
        <r>
          <rPr>
            <sz val="10"/>
            <rFont val="SimSun"/>
            <charset val="134"/>
          </rPr>
          <t>Rados (FLOPs)
https://drive.google.com/drive/folders/1bhy5z6hh1n3wCHx6528Xb7xB1KhYdAL1</t>
        </r>
      </text>
    </comment>
    <comment ref="N313" authorId="0">
      <text>
        <r>
          <rPr>
            <sz val="10"/>
            <rFont val="SimSun"/>
            <charset val="134"/>
          </rPr>
          <t>Calculated from the architecture schematic in Figure S11 on pg 55 of the Capture the Flag supplementary materials. This is dominated by the size of the vision module, which is 116 million parameters, followed by the temporal processors which is 4.3 million parameters. The RL policy itself is only 0.79 million parameters. Also, I'm pretty uncertain if I'm right about how I calculated these parameters.
Source: 
https://docs.google.com/spreadsheets/d/1Kj4Q5WADcDXtUJLIOfGTCE3tGvxNczEMwyy8QtgSkHk/edit#gid=54587040&amp;fvid=1361937389</t>
        </r>
      </text>
    </comment>
    <comment ref="O313" authorId="0">
      <text>
        <r>
          <rPr>
            <sz val="10"/>
            <rFont val="SimSun"/>
            <charset val="134"/>
          </rPr>
          <t>Source: 
https://docs.google.com/spreadsheets/d/1Kj4Q5WADcDXtUJLIOfGTCE3tGvxNczEMwyy8QtgSkHk/edit#gid=54587040&amp;fvid=1361937389</t>
        </r>
      </text>
    </comment>
    <comment ref="N314" authorId="0">
      <text>
        <r>
          <rPr>
            <sz val="10"/>
            <rFont val="SimSun"/>
            <charset val="134"/>
          </rPr>
          <t>I used the publicly available implementation available at [1]
There I loaded the biggan-deep512/1 model, and ran script [2] to compute the number of parameters
[1] https://colab.research.google.com/github/tensorflow/hub/blob/master/examples/colab/biggan_generation_with_tf_hub.ipynb
[2]
n_params = 0
for var in module.variables:
  n_params += np.prod(var.shape.as_list())
  pass
print(n_params)</t>
        </r>
      </text>
    </comment>
    <comment ref="O314" authorId="0">
      <text>
        <r>
          <rPr>
            <sz val="10"/>
            <rFont val="SimSun"/>
            <charset val="134"/>
          </rPr>
          <t>Estimate taken from here
https://www.lesswrong.com/posts/wfpdejMWog4vEDLDg/ai-and-compute-trend-isn-t-predictive-of-what-is-happening</t>
        </r>
      </text>
    </comment>
    <comment ref="N315" authorId="0">
      <text>
        <r>
          <rPr>
            <sz val="10"/>
            <rFont val="SimSun"/>
            <charset val="134"/>
          </rPr>
          <t>"This representational demand motivates the introduction of high-capacity deep neural networks. We found the architecture, shown in Figure 3, with residual connections, 20 convolution layers with 512 channels
for a total of 22 million parameters, and instance normalization to drastically improve performance, as shown in Figure 6 of the Experiments section."</t>
        </r>
      </text>
    </comment>
    <comment ref="O316" authorId="0">
      <text>
        <r>
          <rPr>
            <sz val="10"/>
            <rFont val="SimSun"/>
            <charset val="134"/>
          </rPr>
          <t>more info here https://docs.google.com/document/d/1B8x6XYcmB1u6Tmq3VcbAtj5bzhDaj2TcIPyK6Wpupx4/edit?usp=sharing</t>
        </r>
      </text>
    </comment>
    <comment ref="P316" authorId="0">
      <text>
        <r>
          <rPr>
            <sz val="10"/>
            <rFont val="SimSun"/>
            <charset val="134"/>
          </rPr>
          <t>Rados (FLOPs)
https://drive.google.com/drive/folders/1bhy5z6hh1n3wCHx6528Xb7xB1KhYdAL1</t>
        </r>
      </text>
    </comment>
    <comment ref="N321" authorId="0">
      <text>
        <r>
          <rPr>
            <sz val="10"/>
            <rFont val="SimSun"/>
            <charset val="134"/>
          </rPr>
          <t>source: https://docs.google.com/spreadsheets/d/1Kj4Q5WADcDXtUJLIOfGTCE3tGvxNczEMwyy8QtgSkHk/edit#gid=54587040&amp;fvid=1361937389</t>
        </r>
      </text>
    </comment>
    <comment ref="O321" authorId="0">
      <text>
        <r>
          <rPr>
            <sz val="10"/>
            <rFont val="SimSun"/>
            <charset val="134"/>
          </rPr>
          <t>source: https://docs.google.com/spreadsheets/d/1Kj4Q5WADcDXtUJLIOfGTCE3tGvxNczEMwyy8QtgSkHk/edit#gid=54587040&amp;fvid=1361937389</t>
        </r>
      </text>
    </comment>
    <comment ref="N322" authorId="0">
      <text>
        <r>
          <rPr>
            <sz val="10"/>
            <rFont val="SimSun"/>
            <charset val="134"/>
          </rPr>
          <t>"GPT-2 is a large transformer-based language model with 1.5 billion parameters"</t>
        </r>
      </text>
    </comment>
    <comment ref="O322" authorId="0">
      <text>
        <r>
          <rPr>
            <sz val="10"/>
            <rFont val="SimSun"/>
            <charset val="134"/>
          </rPr>
          <t>We use COMPUTE = FORWARD COMPUTE PER TOKEN * 3 BACKWARD FORWARD ADJUSTMENT* N EPOCHS * N TOKENS IN TRAINING DATASET
The number of epochs is not reported, but this other paper [1] claims in table 1 that it is 20 or 100 epochs. 100 epochs is consistent with the original GPT paper.
[1] https://arxiv.org/abs/1906.06669</t>
        </r>
      </text>
    </comment>
    <comment ref="P322" authorId="0">
      <text>
        <r>
          <rPr>
            <sz val="10"/>
            <rFont val="SimSun"/>
            <charset val="134"/>
          </rPr>
          <t>Rados (FLOPs)
https://drive.google.com/drive/folders/1bhy5z6hh1n3wCHx6528Xb7xB1KhYdAL1</t>
        </r>
      </text>
    </comment>
    <comment ref="R322" authorId="0">
      <text>
        <r>
          <rPr>
            <sz val="10"/>
            <rFont val="SimSun"/>
            <charset val="134"/>
          </rPr>
          <t>The dataset size is 40GB. According to table 12, 128 tokens are about ~500 characters. Since each character is 2 bytes in unicode, this means that there are about 500*2 byte / 128 tokens ≈ 1000 / 128  ≈ 8 bytes / tokens.
the dataset size in token is then about 40GB / 8 tokens / byte ≈ 5e9</t>
        </r>
      </text>
    </comment>
    <comment ref="U322" authorId="0">
      <text>
        <r>
          <rPr>
            <sz val="10"/>
            <rFont val="SimSun"/>
            <charset val="134"/>
          </rPr>
          <t>"Our model, called GPT-2 (a successor to GPT), was trained simply to predict the next word in 40GB of Internet text."</t>
        </r>
      </text>
    </comment>
    <comment ref="Y322" authorId="0">
      <text>
        <r>
          <rPr>
            <sz val="10"/>
            <rFont val="SimSun"/>
            <charset val="134"/>
          </rPr>
          <t>https://en.wikipedia.org/wiki/GPT-2#:~:text=The%20cloud%20compute%20costs%20for,full%201.5%20billion%20parameter%20model).</t>
        </r>
      </text>
    </comment>
    <comment ref="O323" authorId="0">
      <text>
        <r>
          <rPr>
            <sz val="10"/>
            <rFont val="SimSun"/>
            <charset val="134"/>
          </rPr>
          <t>For their searched Imagenet models, they used 200 GPU hours on a V100 GPU.
At FP32, a V100 GPU has a peak performance of 1.56E+14 FLOPS.
Utilization rate of 0.33.</t>
        </r>
      </text>
    </comment>
    <comment ref="P323" authorId="0">
      <text>
        <r>
          <rPr>
            <sz val="10"/>
            <rFont val="SimSun"/>
            <charset val="134"/>
          </rPr>
          <t xml:space="preserve">5.1 Miliseconds on a V100 GPU
</t>
        </r>
      </text>
    </comment>
    <comment ref="N326" authorId="0">
      <text>
        <r>
          <rPr>
            <sz val="10"/>
            <rFont val="SimSun"/>
            <charset val="134"/>
          </rPr>
          <t>source: https://openai.com/blog/image-gpt/#rfref25d</t>
        </r>
      </text>
    </comment>
    <comment ref="P327" authorId="0">
      <text>
        <r>
          <rPr>
            <sz val="10"/>
            <rFont val="SimSun"/>
            <charset val="134"/>
          </rPr>
          <t xml:space="preserve">table 2: using efficientnet_b0
</t>
        </r>
      </text>
    </comment>
    <comment ref="O329" authorId="0">
      <text>
        <r>
          <rPr>
            <sz val="10"/>
            <rFont val="SimSun"/>
            <charset val="134"/>
          </rPr>
          <t>4.5 days of training
64 TPUv2 devices, which have a peak performance of 180 TFLOPS
Assume 1/3 utilization rate
0.33*4.5*8.64*10^4*64*1.8*10^14 ~= 1.5×10^21</t>
        </r>
      </text>
    </comment>
    <comment ref="N330" authorId="0">
      <text>
        <r>
          <rPr>
            <sz val="10"/>
            <rFont val="SimSun"/>
            <charset val="134"/>
          </rPr>
          <t>From https://arxiv.org/pdf/1807.11626.pdf</t>
        </r>
      </text>
    </comment>
    <comment ref="O330" authorId="0">
      <text>
        <r>
          <rPr>
            <sz val="10"/>
            <rFont val="SimSun"/>
            <charset val="134"/>
          </rPr>
          <t>4.5 days of training
64 TPUv2 devices, which have a peak performance of 180 TFLOPS
Assume 1/3 utilization rate
0.33*4.5*8.64*10^4*64*1.8*10^14 ~= 1.5×10^21</t>
        </r>
      </text>
    </comment>
    <comment ref="N331" authorId="0">
      <text>
        <r>
          <rPr>
            <sz val="10"/>
            <rFont val="SimSun"/>
            <charset val="134"/>
          </rPr>
          <t>Figure 1
https://arxiv.org/abs/2104.05158</t>
        </r>
      </text>
    </comment>
    <comment ref="O331" authorId="0">
      <text>
        <r>
          <rPr>
            <sz val="10"/>
            <rFont val="SimSun"/>
            <charset val="134"/>
          </rPr>
          <t>Figure 1
https://arxiv.org/abs/2104.05158</t>
        </r>
      </text>
    </comment>
    <comment ref="A332" authorId="0">
      <text>
        <r>
          <rPr>
            <sz val="10"/>
            <rFont val="SimSun"/>
            <charset val="134"/>
          </rPr>
          <t>Version with temporal hierarchy, matchmaking, PBT, and internal reward signal</t>
        </r>
      </text>
    </comment>
    <comment ref="N332" authorId="0">
      <text>
        <r>
          <rPr>
            <sz val="10"/>
            <rFont val="SimSun"/>
            <charset val="134"/>
          </rPr>
          <t>Architecture described in figure S11 of the supplement
The architecture includes modules for visual embedding, reward prediction, recurrent processing, policy, baseline and pixel control.
Input is 84x84x3 pixels as seen in figure S10 of the supplement
"We elected to use a resolution of 84x84 pixels as in previous related work in this environment. Each pixel is represented by a triple of three bytes"
Visual embedding (84x84x3 -&gt; 256)
32*(8*8*3+1)+64*(4*4*32+1)+64*(3*3*64+1)+64*(3*3*64+1) + (84/(S^4)*84/(S^4)*64+1)*256
Note there is no information about the stride S used in the convolutions; we assume S = 1
Reward prediction (256 -&gt; 3)
(256+1)*128 + (128+1)*3
Recurrent processing (n-&gt; 512)
VU1 (256 -&gt; 512)
4*(799+2*32)*((512+(32*2) + 3*32 + 5*2 + 3)+(799+2*32)+1) + 2*(256+1)*256
VU2 (512 -&gt; 512)
4*(512+2*32)*((512+(32*2) + 3*32 + 5*2 + 3)+(512+2*32)+1) + 2*(256+1)*256
LSTMs usually have 4*(n*m+n*n+n) parameters, where n=input size and m=output size.
This DNS + LSTM takes as input the concatenation of the previous layer of size n and R read vectors of size W=32; and outputs m units plus an interface vector of size (W*R) + 3*W + 5*R + 3, for a total of about 4*(n+R*W)*((m+(W*R) + 3*W + 5*R + 3)+(n+R*32)+1) parameters
I assume R=2 since that seems implied by the previous paper (?)
The first VU has as input the visual embedding (size 256), the previous action (size 540) and the previous reward (size 3), for a total size of 256+540+3 = 799. The output is size 512.
The second VU has input size 512 and output size 512
The DNC memory architecture is described in https://www.nature.com/articles/nature20101.epdf
Policy (512 -&gt; 5x3x3x3x2x2)
6*(512+1)*256 + (256+1)*5 + 3*(256+1)*3 + 2*(256+1)*2
Baseline
(512+1)*256 + (256+1)*1
Pixel control
(512+1)*32*7*7 + 32*(9*9+1) + 5*(4*4+1) + 3*2*(4*4+1) + 2*2*(4*4+1) + 1*(4*4+1)
"we trained independent pixel control policies for each of the six action groups"</t>
        </r>
      </text>
    </comment>
    <comment ref="N335" authorId="0">
      <text>
        <r>
          <rPr>
            <sz val="10"/>
            <rFont val="SimSun"/>
            <charset val="134"/>
          </rPr>
          <t>source: https://openai.com/blog/image-gpt/#rfref13e</t>
        </r>
      </text>
    </comment>
    <comment ref="R336" authorId="0">
      <text>
        <r>
          <rPr>
            <sz val="10"/>
            <rFont val="SimSun"/>
            <charset val="134"/>
          </rPr>
          <t>"Conversely, when training a ResNeXt-101 32x48d pre-trained in weakly-supervised fashion on 940 million public images at resolution 224x224 and further optimizing for test resolution 320x320, we obtain a test top-1 accuracy of 86.4% (top-5: 98.0%) (single-crop)"</t>
        </r>
      </text>
    </comment>
    <comment ref="N338" authorId="0">
      <text>
        <r>
          <rPr>
            <sz val="10"/>
            <rFont val="SimSun"/>
            <charset val="134"/>
          </rPr>
          <t>https://openai.com/blog/image-gpt/#rfref53</t>
        </r>
      </text>
    </comment>
    <comment ref="O339" authorId="0">
      <text>
        <r>
          <rPr>
            <sz val="10"/>
            <rFont val="SimSun"/>
            <charset val="134"/>
          </rPr>
          <t>3-5 days of training (say, 4.5), 50 teraFLOP/second at 50% utilization rate (reported) = 1.94E19</t>
        </r>
      </text>
    </comment>
    <comment ref="N340" authorId="0">
      <text>
        <r>
          <rPr>
            <sz val="10"/>
            <rFont val="SimSun"/>
            <charset val="134"/>
          </rPr>
          <t xml:space="preserve">Source: https://lair.lighton.ai/akronomicon/
Archived source: https://web.archive.org/web/20211220142906/https://lair.lighton.ai/akronomicon/
</t>
        </r>
      </text>
    </comment>
    <comment ref="O340" authorId="0">
      <text>
        <r>
          <rPr>
            <sz val="10"/>
            <rFont val="SimSun"/>
            <charset val="134"/>
          </rPr>
          <t>Source: https://lair.lighton.ai/akronomicon/</t>
        </r>
      </text>
    </comment>
    <comment ref="P340" authorId="0">
      <text>
        <r>
          <rPr>
            <sz val="10"/>
            <rFont val="SimSun"/>
            <charset val="134"/>
          </rPr>
          <t>Rados (FLOPs)
https://drive.google.com/drive/folders/1bhy5z6hh1n3wCHx6528Xb7xB1KhYdAL1</t>
        </r>
      </text>
    </comment>
    <comment ref="N341" authorId="0">
      <text>
        <r>
          <rPr>
            <sz val="10"/>
            <rFont val="SimSun"/>
            <charset val="134"/>
          </rPr>
          <t>Source: https://lair.lighton.ai/akronomicon/</t>
        </r>
      </text>
    </comment>
    <comment ref="O341" authorId="0">
      <text>
        <r>
          <rPr>
            <sz val="10"/>
            <rFont val="SimSun"/>
            <charset val="134"/>
          </rPr>
          <t>Source: https://lair.lighton.ai/akronomicon/</t>
        </r>
      </text>
    </comment>
    <comment ref="N342" authorId="0">
      <text>
        <r>
          <rPr>
            <sz val="10"/>
            <rFont val="SimSun"/>
            <charset val="134"/>
          </rPr>
          <t>"The default model, which uses a batch size of 64,000 and 1.6 million parameters,..." pg. 7 of the Hide and Seek paper, stored in "RL papers"
source: https://docs.google.com/spreadsheets/d/1Kj4Q5WADcDXtUJLIOfGTCE3tGvxNczEMwyy8QtgSkHk/edit#gid=54587040&amp;fvid=1361937389</t>
        </r>
      </text>
    </comment>
    <comment ref="O342" authorId="0">
      <text>
        <r>
          <rPr>
            <sz val="10"/>
            <rFont val="SimSun"/>
            <charset val="134"/>
          </rPr>
          <t>source: https://docs.google.com/spreadsheets/d/1Kj4Q5WADcDXtUJLIOfGTCE3tGvxNczEMwyy8QtgSkHk/edit#gid=54587040&amp;fvid=1361937389</t>
        </r>
      </text>
    </comment>
    <comment ref="N343" authorId="0">
      <text>
        <r>
          <rPr>
            <sz val="10"/>
            <rFont val="SimSun"/>
            <charset val="134"/>
          </rPr>
          <t>An ALBERT
configuration similar to BERT-large has 18x fewer parameters and can be trained about 1.7x faster.</t>
        </r>
      </text>
    </comment>
    <comment ref="P343" authorId="0">
      <text>
        <r>
          <rPr>
            <sz val="10"/>
            <rFont val="SimSun"/>
            <charset val="134"/>
          </rPr>
          <t>Rados dataset  (FLOPs)
https://drive.google.com/drive/folders/1bhy5z6hh1n3wCHx6528Xb7xB1KhYdAL1</t>
        </r>
      </text>
    </comment>
    <comment ref="N346" authorId="0">
      <text>
        <r>
          <rPr>
            <sz val="10"/>
            <rFont val="SimSun"/>
            <charset val="134"/>
          </rPr>
          <t>Table 13 on pg. 44 of the Cube paper, saved in "RL papers" folder. Sum of all the trainable parameters (dominated by the value and policy networks).
source: https://docs.google.com/spreadsheets/d/1Kj4Q5WADcDXtUJLIOfGTCE3tGvxNczEMwyy8QtgSkHk/edit#gid=54587040&amp;fvid=1361937389</t>
        </r>
      </text>
    </comment>
    <comment ref="O346" authorId="0">
      <text>
        <r>
          <rPr>
            <sz val="10"/>
            <rFont val="SimSun"/>
            <charset val="134"/>
          </rPr>
          <t>source: https://docs.google.com/spreadsheets/d/1Kj4Q5WADcDXtUJLIOfGTCE3tGvxNczEMwyy8QtgSkHk/edit#gid=54587040&amp;fvid=1361937389</t>
        </r>
      </text>
    </comment>
    <comment ref="N347" authorId="0">
      <text>
        <r>
          <rPr>
            <sz val="10"/>
            <rFont val="SimSun"/>
            <charset val="134"/>
          </rPr>
          <t>The full 11-billion parameter model</t>
        </r>
      </text>
    </comment>
    <comment ref="O347" authorId="0">
      <text>
        <r>
          <rPr>
            <sz val="10"/>
            <rFont val="SimSun"/>
            <charset val="134"/>
          </rPr>
          <t>source: https://lair.lighton.ai/akronomicon/</t>
        </r>
      </text>
    </comment>
    <comment ref="N348" authorId="0">
      <text>
        <r>
          <rPr>
            <sz val="10"/>
            <rFont val="SimSun"/>
            <charset val="134"/>
          </rPr>
          <t>source: https://lair.lighton.ai/akronomicon/</t>
        </r>
      </text>
    </comment>
    <comment ref="O348" authorId="0">
      <text>
        <r>
          <rPr>
            <sz val="10"/>
            <rFont val="SimSun"/>
            <charset val="134"/>
          </rPr>
          <t>source: https://lair.lighton.ai/akronomicon/</t>
        </r>
      </text>
    </comment>
    <comment ref="N349" authorId="0">
      <text>
        <r>
          <rPr>
            <sz val="10"/>
            <rFont val="SimSun"/>
            <charset val="134"/>
          </rPr>
          <t>"In total, BART contains roughly 10% more parameters than the equivalently sized BERT model."
I counted the parameters in the huggingface model
https://huggingface.co/facebook/bart-large/tree/main
from transformers import AutoTokenizer, AutoModel
tokenizer = AutoTokenizer.from_pretrained("facebook/bart-large")
model = AutoModel.from_pretrained("facebook/bart-large")
sum(p.numel() for p in model.parameters() if p.requires_grad)</t>
        </r>
      </text>
    </comment>
    <comment ref="N350" authorId="0">
      <text>
        <r>
          <rPr>
            <sz val="10"/>
            <rFont val="SimSun"/>
            <charset val="134"/>
          </rPr>
          <t>AlphaStar has 139 million weights, but only 55 million weights are required during inference.</t>
        </r>
      </text>
    </comment>
    <comment ref="O350" authorId="0">
      <text>
        <r>
          <rPr>
            <sz val="10"/>
            <rFont val="SimSun"/>
            <charset val="134"/>
          </rPr>
          <t>Estimated in the blogpost below
https://www.lesswrong.com/posts/wfpdejMWog4vEDLDg/ai-and-compute-trend-isn-t-predictive-of-what-is-happening</t>
        </r>
      </text>
    </comment>
    <comment ref="Y350" authorId="0">
      <text>
        <r>
          <rPr>
            <sz val="10"/>
            <rFont val="SimSun"/>
            <charset val="134"/>
          </rPr>
          <t>https://medium.com/swlh/deepmind-achieved-starcraft-ii-grandmaster-level-but-at-what-cost-32891dd990e4#:~:text=According%20to%20the%20analysis%20by,Source%3A%20DeepMind.</t>
        </r>
      </text>
    </comment>
    <comment ref="P351" authorId="0">
      <text>
        <r>
          <rPr>
            <sz val="10"/>
            <rFont val="SimSun"/>
            <charset val="134"/>
          </rPr>
          <t>Rados (FLOPs)
https://drive.google.com/drive/folders/1bhy5z6hh1n3wCHx6528Xb7xB1KhYdAL1</t>
        </r>
      </text>
    </comment>
    <comment ref="S351" authorId="0">
      <text>
        <r>
          <rPr>
            <sz val="10"/>
            <rFont val="SimSun"/>
            <charset val="134"/>
          </rPr>
          <t>"Xie et al. (2020) required 33 TPUv3 core-years to train their Noisy Student EfficientNet-L2"
https://arxiv.org/abs/2103.00020</t>
        </r>
      </text>
    </comment>
    <comment ref="N352" authorId="0">
      <text>
        <r>
          <rPr>
            <sz val="10"/>
            <rFont val="SimSun"/>
            <charset val="134"/>
          </rPr>
          <t>https://openai.com/blog/image-gpt/#rfref53</t>
        </r>
      </text>
    </comment>
    <comment ref="N353" authorId="0">
      <text>
        <r>
          <rPr>
            <sz val="10"/>
            <rFont val="SimSun"/>
            <charset val="134"/>
          </rPr>
          <t>Both the representation and dynamics function use the same architecture asAlphaZero, but with 16 instead of20 residual blocks [15]. We use 3x3 kernels and 256 hidden planes for each convolution.
Previous downsampling:
•  1 convolution with stride 2 and 128 output planes, output resolution 48x48.•  2 residual blocks with 128 planes•  1 convolution with stride 2 and 256 output planes, output resolution 24x24.•  3 residual blocks with 256 planes.•  Average pooling with stride 2, output resolution 12x12.•  3 residual blocks with 256 planes.•  Average pooling with stride 2, output resolution 6x6.</t>
        </r>
      </text>
    </comment>
    <comment ref="L356" authorId="0">
      <text>
        <r>
          <rPr>
            <sz val="10"/>
            <rFont val="SimSun"/>
            <charset val="134"/>
          </rPr>
          <t>"On April 13th, 2019, OpenAI Five became the first AI system to defeat the world champions at an esports game."</t>
        </r>
      </text>
    </comment>
    <comment ref="N356" authorId="0">
      <text>
        <r>
          <rPr>
            <sz val="10"/>
            <rFont val="SimSun"/>
            <charset val="134"/>
          </rPr>
          <t>First figure in section "Rapid"
https://openai.com/blog/openai-five/</t>
        </r>
      </text>
    </comment>
    <comment ref="O356" authorId="0">
      <text>
        <r>
          <rPr>
            <sz val="10"/>
            <rFont val="SimSun"/>
            <charset val="134"/>
          </rPr>
          <t>"770±50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t>
        </r>
      </text>
    </comment>
    <comment ref="L357" authorId="0">
      <text>
        <r>
          <rPr>
            <sz val="10"/>
            <rFont val="SimSun"/>
            <charset val="134"/>
          </rPr>
          <t>"On April 13th, 2019, OpenAI Five became the first AI system to defeat the world champions at an esports game."</t>
        </r>
      </text>
    </comment>
    <comment ref="N357" authorId="0">
      <text>
        <r>
          <rPr>
            <sz val="10"/>
            <rFont val="SimSun"/>
            <charset val="134"/>
          </rPr>
          <t>"We define a policy (π) as a function from the history of observations to a probability distribution
over actions, which we parameterize as a recurrent neural network with approximately 159 million
parameters (θ)." pg. 3 of paper
source: https://docs.google.com/spreadsheets/d/1Kj4Q5WADcDXtUJLIOfGTCE3tGvxNczEMwyy8QtgSkHk/edit#gid=54587040&amp;fvid=1361937389</t>
        </r>
      </text>
    </comment>
    <comment ref="O357" authorId="0">
      <text>
        <r>
          <rPr>
            <sz val="10"/>
            <rFont val="SimSun"/>
            <charset val="134"/>
          </rPr>
          <t>source: https://docs.google.com/spreadsheets/d/1Kj4Q5WADcDXtUJLIOfGTCE3tGvxNczEMwyy8QtgSkHk/edit#gid=54587040&amp;fvid=1361937389</t>
        </r>
      </text>
    </comment>
    <comment ref="H359" authorId="0">
      <text>
        <r>
          <rPr>
            <sz val="10"/>
            <rFont val="SimSun"/>
            <charset val="134"/>
          </rPr>
          <t>Not a direct reference to the system</t>
        </r>
      </text>
    </comment>
    <comment ref="N359" authorId="0">
      <text>
        <r>
          <rPr>
            <sz val="10"/>
            <rFont val="SimSun"/>
            <charset val="134"/>
          </rPr>
          <t>Figure 1
https://arxiv.org/abs/2104.05158</t>
        </r>
      </text>
    </comment>
    <comment ref="O359" authorId="0">
      <text>
        <r>
          <rPr>
            <sz val="10"/>
            <rFont val="SimSun"/>
            <charset val="134"/>
          </rPr>
          <t>Figure 1
https://arxiv.org/abs/2104.05158</t>
        </r>
      </text>
    </comment>
    <comment ref="N360" authorId="0">
      <text>
        <r>
          <rPr>
            <sz val="10"/>
            <rFont val="SimSun"/>
            <charset val="134"/>
          </rPr>
          <t>Quick estimation, probably wrong</t>
        </r>
      </text>
    </comment>
    <comment ref="O360" authorId="0">
      <text>
        <r>
          <rPr>
            <sz val="10"/>
            <rFont val="SimSun"/>
            <charset val="134"/>
          </rPr>
          <t>Estimated in the blogpost below
https://www.lesswrong.com/posts/wfpdejMWog4vEDLDg/ai-and-compute-trend-isn-t-predictive-of-what-is-happening</t>
        </r>
      </text>
    </comment>
    <comment ref="N361" authorId="0">
      <text>
        <r>
          <rPr>
            <sz val="10"/>
            <rFont val="SimSun"/>
            <charset val="134"/>
          </rPr>
          <t>We train a base model ERNIEGENBASE (L=12, H=768, A=12, Total Parameters=110M)1
and a large model ERNIE-GENLARGE (L=24, H=1024,
A=16, Total Parameters=340M) with parameters initialized
by BERTBASE and BERTLARGE respectively</t>
        </r>
      </text>
    </comment>
    <comment ref="N362" authorId="0">
      <text>
        <r>
          <rPr>
            <sz val="10"/>
            <rFont val="SimSun"/>
            <charset val="134"/>
          </rPr>
          <t>We present Meena, a multi-turn open-domain chatbot trained end-to-end on data mined and filtered from public domain social media conversations. This 2.6B parameter neural network is simply trained to minimize perplexity of the next token.</t>
        </r>
      </text>
    </comment>
    <comment ref="O362" authorId="0">
      <text>
        <r>
          <rPr>
            <sz val="10"/>
            <rFont val="SimSun"/>
            <charset val="134"/>
          </rPr>
          <t>Estimated in the blogpost below
https://www.lesswrong.com/posts/wfpdejMWog4vEDLDg/ai-and-compute-trend-isn-t-predictive-of-what-is-happening</t>
        </r>
      </text>
    </comment>
    <comment ref="Y362" authorId="0">
      <text>
        <r>
          <rPr>
            <sz val="10"/>
            <rFont val="SimSun"/>
            <charset val="134"/>
          </rPr>
          <t xml:space="preserve">https://bdtechtalks.com/2020/02/03/google-meena-chatbot-ai-language-model/
</t>
        </r>
      </text>
    </comment>
    <comment ref="N363" authorId="0">
      <text>
        <r>
          <rPr>
            <sz val="10"/>
            <rFont val="SimSun"/>
            <charset val="134"/>
          </rPr>
          <t>Rados, also specified in Table 1 in the paper</t>
        </r>
      </text>
    </comment>
    <comment ref="P363" authorId="0">
      <text>
        <r>
          <rPr>
            <sz val="10"/>
            <rFont val="SimSun"/>
            <charset val="134"/>
          </rPr>
          <t>Rados (FLOPs)
https://drive.google.com/drive/folders/1bhy5z6hh1n3wCHx6528Xb7xB1KhYdAL1</t>
        </r>
      </text>
    </comment>
    <comment ref="N364" authorId="0">
      <text>
        <r>
          <rPr>
            <sz val="10"/>
            <rFont val="SimSun"/>
            <charset val="134"/>
          </rPr>
          <t>source: https://lair.lighton.ai/akronomicon/</t>
        </r>
      </text>
    </comment>
    <comment ref="O364" authorId="0">
      <text>
        <r>
          <rPr>
            <sz val="10"/>
            <rFont val="SimSun"/>
            <charset val="134"/>
          </rPr>
          <t>source: https://lair.lighton.ai/akronomicon/</t>
        </r>
      </text>
    </comment>
    <comment ref="P364" authorId="0">
      <text>
        <r>
          <rPr>
            <sz val="10"/>
            <rFont val="SimSun"/>
            <charset val="134"/>
          </rPr>
          <t>Rados (FLOPs)
https://drive.google.com/drive/folders/1bhy5z6hh1n3wCHx6528Xb7xB1KhYdAL1</t>
        </r>
      </text>
    </comment>
    <comment ref="N365" authorId="0">
      <text>
        <r>
          <rPr>
            <sz val="10"/>
            <rFont val="SimSun"/>
            <charset val="134"/>
          </rPr>
          <t>source: https://openai.com/blog/image-gpt/</t>
        </r>
      </text>
    </comment>
    <comment ref="N366" authorId="0">
      <text>
        <r>
          <rPr>
            <sz val="10"/>
            <rFont val="SimSun"/>
            <charset val="134"/>
          </rPr>
          <t>source: https://lair.lighton.ai/akronomicon/</t>
        </r>
      </text>
    </comment>
    <comment ref="O366" authorId="0">
      <text>
        <r>
          <rPr>
            <sz val="10"/>
            <rFont val="SimSun"/>
            <charset val="134"/>
          </rPr>
          <t>source: https://lair.lighton.ai/akronomicon/</t>
        </r>
      </text>
    </comment>
    <comment ref="N367" authorId="0">
      <text>
        <r>
          <rPr>
            <sz val="10"/>
            <rFont val="SimSun"/>
            <charset val="134"/>
          </rPr>
          <t>Rados</t>
        </r>
      </text>
    </comment>
    <comment ref="P367" authorId="0">
      <text>
        <r>
          <rPr>
            <sz val="10"/>
            <rFont val="SimSun"/>
            <charset val="134"/>
          </rPr>
          <t>Rados (FLOPs)
https://drive.google.com/drive/folders/1bhy5z6hh1n3wCHx6528Xb7xB1KhYdAL1</t>
        </r>
      </text>
    </comment>
    <comment ref="N371" authorId="0">
      <text>
        <r>
          <rPr>
            <sz val="10"/>
            <rFont val="SimSun"/>
            <charset val="134"/>
          </rPr>
          <t>Rados</t>
        </r>
      </text>
    </comment>
    <comment ref="P371" authorId="0">
      <text>
        <r>
          <rPr>
            <sz val="10"/>
            <rFont val="SimSun"/>
            <charset val="134"/>
          </rPr>
          <t>Rados (FLOPs)
https://drive.google.com/drive/folders/1bhy5z6hh1n3wCHx6528Xb7xB1KhYdAL1</t>
        </r>
      </text>
    </comment>
    <comment ref="A374" authorId="0">
      <text>
        <r>
          <rPr>
            <sz val="10"/>
            <rFont val="SimSun"/>
            <charset val="134"/>
          </rPr>
          <t>AKA "davinci" base model https://beta.openai.com/docs/engines</t>
        </r>
      </text>
    </comment>
    <comment ref="N374" authorId="0">
      <text>
        <r>
          <rPr>
            <sz val="10"/>
            <rFont val="SimSun"/>
            <charset val="134"/>
          </rPr>
          <t>we train GPT-3, an autoregressive language model with 175 billion parameters</t>
        </r>
      </text>
    </comment>
    <comment ref="O374" authorId="0">
      <text>
        <r>
          <rPr>
            <sz val="10"/>
            <rFont val="SimSun"/>
            <charset val="134"/>
          </rPr>
          <t>Table D.1
https://arxiv.org/abs/2005.14165</t>
        </r>
      </text>
    </comment>
    <comment ref="P374" authorId="0">
      <text>
        <r>
          <rPr>
            <sz val="10"/>
            <rFont val="SimSun"/>
            <charset val="134"/>
          </rPr>
          <t>Rados (FLOPs)
https://drive.google.com/drive/folders/1bhy5z6hh1n3wCHx6528Xb7xB1KhYdAL1</t>
        </r>
      </text>
    </comment>
    <comment ref="Y374" authorId="0">
      <text>
        <r>
          <rPr>
            <sz val="10"/>
            <rFont val="SimSun"/>
            <charset val="134"/>
          </rPr>
          <t>https://towardsdatascience.com/the-future-of-ai-is-decentralized-848d4931a29a#:~:text=Training%20GPT%2D3%20reportedly%20cost,a%20single%20training%20run%C2%B9.</t>
        </r>
      </text>
    </comment>
    <comment ref="O375" authorId="0">
      <text>
        <r>
          <rPr>
            <sz val="10"/>
            <rFont val="SimSun"/>
            <charset val="134"/>
          </rPr>
          <t xml:space="preserve">4.2k V100-hours (table 1)
0.33 utilization rate
</t>
        </r>
      </text>
    </comment>
    <comment ref="N376" authorId="0">
      <text>
        <r>
          <rPr>
            <sz val="10"/>
            <rFont val="SimSun"/>
            <charset val="134"/>
          </rPr>
          <t>Rados</t>
        </r>
      </text>
    </comment>
    <comment ref="P376" authorId="0">
      <text>
        <r>
          <rPr>
            <sz val="10"/>
            <rFont val="SimSun"/>
            <charset val="134"/>
          </rPr>
          <t>Rados (FLOPs)
https://drive.google.com/drive/folders/1bhy5z6hh1n3wCHx6528Xb7xB1KhYdAL1</t>
        </r>
      </text>
    </comment>
    <comment ref="N377" authorId="0">
      <text>
        <r>
          <rPr>
            <sz val="10"/>
            <rFont val="SimSun"/>
            <charset val="134"/>
          </rPr>
          <t>source: https://openai.com/blog/image-gpt/#rfref53</t>
        </r>
      </text>
    </comment>
    <comment ref="O377" authorId="0">
      <text>
        <r>
          <rPr>
            <sz val="10"/>
            <rFont val="SimSun"/>
            <charset val="134"/>
          </rPr>
          <t>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t>
        </r>
      </text>
    </comment>
    <comment ref="N378" authorId="0">
      <text>
        <r>
          <rPr>
            <sz val="10"/>
            <rFont val="SimSun"/>
            <charset val="134"/>
          </rPr>
          <t>source: https://openai.com/blog/image-gpt/#rfref53</t>
        </r>
      </text>
    </comment>
    <comment ref="O378" authorId="0">
      <text>
        <r>
          <rPr>
            <sz val="10"/>
            <rFont val="SimSun"/>
            <charset val="134"/>
          </rPr>
          <t>Taken from here
https://www.lesswrong.com/posts/wfpdejMWog4vEDLDg/ai-and-compute-trend-isn-t-predictive-of-what-is-happening</t>
        </r>
      </text>
    </comment>
    <comment ref="N379" authorId="0">
      <text>
        <r>
          <rPr>
            <sz val="10"/>
            <rFont val="SimSun"/>
            <charset val="134"/>
          </rPr>
          <t>"The 600B parameters model that achieved the best translation quality was trained with 2048 TPU v3 cores for 4 days, a total cost of 22 TPU v3 core-years."</t>
        </r>
      </text>
    </comment>
    <comment ref="O379" authorId="0">
      <text>
        <r>
          <rPr>
            <sz val="10"/>
            <rFont val="SimSun"/>
            <charset val="134"/>
          </rPr>
          <t>Estimated in the blogpost below
https://www.lesswrong.com/posts/wfpdejMWog4vEDLDg/ai-and-compute-trend-isn-t-predictive-of-what-is-happening</t>
        </r>
      </text>
    </comment>
    <comment ref="N380" authorId="0">
      <text>
        <r>
          <rPr>
            <sz val="10"/>
            <rFont val="SimSun"/>
            <charset val="134"/>
          </rPr>
          <t>"Our best quality dense single Transformer model (2.3B parameters) achieving ∆BLEU
of 6.1, was trained with GPipe [15] on 2048 TPU v3 cores for 6 weeks or total of 235.5 TPU v3
core-years."</t>
        </r>
      </text>
    </comment>
    <comment ref="O380" authorId="0">
      <text>
        <r>
          <rPr>
            <sz val="10"/>
            <rFont val="SimSun"/>
            <charset val="134"/>
          </rPr>
          <t>Estimated in the blogpost below
https://www.lesswrong.com/posts/wfpdejMWog4vEDLDg/ai-and-compute-trend-isn-t-predictive-of-what-is-happening</t>
        </r>
      </text>
    </comment>
    <comment ref="N382" authorId="0">
      <text>
        <r>
          <rPr>
            <sz val="10"/>
            <rFont val="SimSun"/>
            <charset val="134"/>
          </rPr>
          <t>"In particular, with single-model and single-scale, our EfficientDetD7 achieves state-of-the-art 52.2 AP on COCO test-dev with 52M parameters and 325B FLOPs"</t>
        </r>
      </text>
    </comment>
    <comment ref="P382" authorId="0">
      <text>
        <r>
          <rPr>
            <sz val="10"/>
            <rFont val="SimSun"/>
            <charset val="134"/>
          </rPr>
          <t>"In particular, with single-model and single-scale, our EfficientDetD7 achieves state-of-the-art 52.2 AP on COCO test-dev with 52M parameters and 325B FLOPs"</t>
        </r>
      </text>
    </comment>
    <comment ref="L383" authorId="0">
      <text>
        <r>
          <rPr>
            <sz val="10"/>
            <rFont val="SimSun"/>
            <charset val="134"/>
          </rPr>
          <t>Arguably an "important" paper? 
Abstract: 
"We show for the first time that learning powerful representations from speech audio alone followed by fine-tuning on transcribed speech can outperform the best semi-supervised methods while being conceptually simpler."</t>
        </r>
      </text>
    </comment>
    <comment ref="N383" authorId="0">
      <text>
        <r>
          <rPr>
            <sz val="10"/>
            <rFont val="SimSun"/>
            <charset val="134"/>
          </rPr>
          <t xml:space="preserve">Section 5.1:
"We consider two model sizes: BASE (95m parameters) and LARGE (317m parameters)
</t>
        </r>
      </text>
    </comment>
    <comment ref="O383" authorId="0">
      <text>
        <r>
          <rPr>
            <sz val="10"/>
            <rFont val="SimSun"/>
            <charset val="134"/>
          </rPr>
          <t>Section 4.2:
0.1 * 64 GPUs * 125 TFLOP/s * 1.6days * 24h/day * 3600s/h</t>
        </r>
      </text>
    </comment>
    <comment ref="A384" authorId="0">
      <text>
        <r>
          <rPr>
            <sz val="10"/>
            <rFont val="SimSun"/>
            <charset val="134"/>
          </rPr>
          <t>ViT-L/16 represents the large (there are small, large and huge) with 16x16 image input</t>
        </r>
      </text>
    </comment>
    <comment ref="N384" authorId="0">
      <text>
        <r>
          <rPr>
            <sz val="10"/>
            <rFont val="SimSun"/>
            <charset val="134"/>
          </rPr>
          <t>Table 1 https://arxiv.org/pdf/2010.11929.pdf</t>
        </r>
      </text>
    </comment>
    <comment ref="N385" authorId="0">
      <text>
        <r>
          <rPr>
            <sz val="10"/>
            <rFont val="SimSun"/>
            <charset val="134"/>
          </rPr>
          <t>Table 1 https://arxiv.org/pdf/2010.11929.pdf</t>
        </r>
      </text>
    </comment>
    <comment ref="N387" authorId="0">
      <text>
        <r>
          <rPr>
            <sz val="10"/>
            <rFont val="SimSun"/>
            <charset val="134"/>
          </rPr>
          <t>"To the best of our knowledge, CPM, with 2.6 billion parameters and 100GB Chinese training data, is the largest Chinese pre-trained language mode"</t>
        </r>
      </text>
    </comment>
    <comment ref="O387" authorId="0">
      <text>
        <r>
          <rPr>
            <sz val="10"/>
            <rFont val="SimSun"/>
            <charset val="134"/>
          </rPr>
          <t>source: https://lair.lighton.ai/akronomicon/</t>
        </r>
      </text>
    </comment>
    <comment ref="N389" authorId="0">
      <text>
        <r>
          <rPr>
            <sz val="10"/>
            <rFont val="SimSun"/>
            <charset val="134"/>
          </rPr>
          <t xml:space="preserve">Architecture high-level description here:
https://github.com/werner-duvaud/muzero-general/blob/master/docs/muzero-network-werner-duvaud.png
AFAIK there are three key modules: representation, prediction and dynamics.
Representation
============
CNN
ResNet
Prediction
========
</t>
        </r>
      </text>
    </comment>
    <comment ref="R389" authorId="0">
      <text>
        <r>
          <rPr>
            <sz val="10"/>
            <rFont val="SimSun"/>
            <charset val="134"/>
          </rPr>
          <t>Table 1
https://arxiv.org/pdf/1911.08265.pdf</t>
        </r>
      </text>
    </comment>
    <comment ref="N390" authorId="0">
      <text>
        <r>
          <rPr>
            <sz val="10"/>
            <rFont val="SimSun"/>
            <charset val="134"/>
          </rPr>
          <t>source: https://lair.lighton.ai/akronomicon/</t>
        </r>
      </text>
    </comment>
    <comment ref="O390" authorId="0">
      <text>
        <r>
          <rPr>
            <sz val="10"/>
            <rFont val="SimSun"/>
            <charset val="134"/>
          </rPr>
          <t>source: https://lair.lighton.ai/akronomicon/</t>
        </r>
      </text>
    </comment>
    <comment ref="H391" authorId="0">
      <text>
        <r>
          <rPr>
            <sz val="10"/>
            <rFont val="SimSun"/>
            <charset val="134"/>
          </rPr>
          <t>Not a direct reference to the system</t>
        </r>
      </text>
    </comment>
    <comment ref="N391" authorId="0">
      <text>
        <r>
          <rPr>
            <sz val="10"/>
            <rFont val="SimSun"/>
            <charset val="134"/>
          </rPr>
          <t>Figure 1
https://arxiv.org/abs/2104.05158</t>
        </r>
      </text>
    </comment>
    <comment ref="O391" authorId="0">
      <text>
        <r>
          <rPr>
            <sz val="10"/>
            <rFont val="SimSun"/>
            <charset val="134"/>
          </rPr>
          <t>Figure 1
https://arxiv.org/abs/2104.05158</t>
        </r>
      </text>
    </comment>
    <comment ref="N392" authorId="0">
      <text>
        <r>
          <rPr>
            <sz val="10"/>
            <rFont val="SimSun"/>
            <charset val="134"/>
          </rPr>
          <t>"...we scale up DeBERTa by training a larger version that consists of 48 Transform layers with 1.5 billion parameters"
Other versions are smaller and use a smaller pre-training dataset. These are distinguished in the paper (e.g. DeBERTa1.5B is the version of DeBERTa with 1.5 billion parameters).</t>
        </r>
      </text>
    </comment>
    <comment ref="U392" authorId="0">
      <text>
        <r>
          <rPr>
            <sz val="10"/>
            <rFont val="SimSun"/>
            <charset val="134"/>
          </rPr>
          <t>"DeBERTa1.5B is trained on a pre-training dataset amounting to 160G,
similar to that in Liu et al."</t>
        </r>
      </text>
    </comment>
    <comment ref="N393" authorId="0">
      <text>
        <r>
          <rPr>
            <sz val="10"/>
            <rFont val="SimSun"/>
            <charset val="134"/>
          </rPr>
          <t>"For instance, in a 1.9B parameter configuration similar to GPT-3 XL, Primer uses 1/3 of the training compute to achieve the same one-shot performance as Transformer"</t>
        </r>
      </text>
    </comment>
    <comment ref="O393" authorId="0">
      <text>
        <r>
          <rPr>
            <sz val="10"/>
            <rFont val="SimSun"/>
            <charset val="134"/>
          </rPr>
          <t>From the email they claim to have use 72K TPUv4 hours for training
Thus: 
72000 h * 0.1 * 275e12 FLOP/s 3600s/h = 7.1e21 FLOP</t>
        </r>
      </text>
    </comment>
    <comment ref="N394" authorId="0">
      <text>
        <r>
          <rPr>
            <sz val="10"/>
            <rFont val="SimSun"/>
            <charset val="134"/>
          </rPr>
          <t>"... we study the utility of large models, with the parameter count ranging from 600M to 8B..."</t>
        </r>
      </text>
    </comment>
    <comment ref="N395" authorId="0">
      <text>
        <r>
          <rPr>
            <sz val="10"/>
            <rFont val="SimSun"/>
            <charset val="134"/>
          </rPr>
          <t>"We examined the improvement in model size in detail by considering four model sizes: 0.35B, 0.7B, 1.1B, and 1.6B parameters"</t>
        </r>
      </text>
    </comment>
    <comment ref="N396" authorId="0">
      <text>
        <r>
          <rPr>
            <sz val="10"/>
            <rFont val="SimSun"/>
            <charset val="134"/>
          </rPr>
          <t>Image encoder
~ResNet-50 (from paper)
25.6M params
Text encoder
~Transformer (from paper)
63M params</t>
        </r>
      </text>
    </comment>
    <comment ref="P396" authorId="0">
      <text>
        <r>
          <rPr>
            <sz val="10"/>
            <rFont val="SimSun"/>
            <charset val="134"/>
          </rPr>
          <t>Figure 10 https://arxiv.org/pdf/2103.00020.pdf</t>
        </r>
      </text>
    </comment>
    <comment ref="N397" authorId="0">
      <text>
        <r>
          <rPr>
            <sz val="10"/>
            <rFont val="SimSun"/>
            <charset val="134"/>
          </rPr>
          <t>Image encoder
Vision Transformer
Table 1 in https://arxiv.org/pdf/2010.11929.pdf
Authors fine-tuned ViT L/14 at additional 336px resolution, hence the @336 (See ViT)
307M params
Text encoder
~Transformer (from paper)
63M params</t>
        </r>
      </text>
    </comment>
    <comment ref="O397" authorId="0">
      <text>
        <r>
          <rPr>
            <sz val="10"/>
            <rFont val="SimSun"/>
            <charset val="134"/>
          </rPr>
          <t>https://docs.google.com/document/d/156miAJkFN9DDX06C3s03UDsretCtymCKiGDddLBCgQE/edit?usp=sharing</t>
        </r>
      </text>
    </comment>
    <comment ref="P397" authorId="0">
      <text>
        <r>
          <rPr>
            <sz val="10"/>
            <rFont val="SimSun"/>
            <charset val="134"/>
          </rPr>
          <t>Figure 10 https://arxiv.org/pdf/2103.00020.pdf</t>
        </r>
      </text>
    </comment>
    <comment ref="S397" authorId="0">
      <text>
        <r>
          <rPr>
            <sz val="10"/>
            <rFont val="SimSun"/>
            <charset val="134"/>
          </rPr>
          <t>"In the end, our best performing CLIP model trains on 256 GPUs for 2 weeks which is similar to existing large scale image models."</t>
        </r>
      </text>
    </comment>
    <comment ref="Y397" authorId="0">
      <text>
        <r>
          <rPr>
            <sz val="10"/>
            <rFont val="SimSun"/>
            <charset val="134"/>
          </rPr>
          <t xml:space="preserve">https://www.kdnuggets.com/2021/03/beginners-guide-clip-model.html
</t>
        </r>
      </text>
    </comment>
    <comment ref="N398" authorId="0">
      <text>
        <r>
          <rPr>
            <sz val="10"/>
            <rFont val="SimSun"/>
            <charset val="134"/>
          </rPr>
          <t>DALL·E is a 12-billion parameter version of GPT-3 trained to generate images from text descriptions</t>
        </r>
      </text>
    </comment>
    <comment ref="O398" authorId="0">
      <text>
        <r>
          <rPr>
            <sz val="10"/>
            <rFont val="SimSun"/>
            <charset val="134"/>
          </rPr>
          <t>source: https://lair.lighton.ai/akronomicon/</t>
        </r>
      </text>
    </comment>
    <comment ref="N399" authorId="0">
      <text>
        <r>
          <rPr>
            <sz val="10"/>
            <rFont val="SimSun"/>
            <charset val="134"/>
          </rPr>
          <t>Combining expert, model and data parallelism, we design two large Switch Transformer models, one
with 395 billion and 1.6 trillion parameters</t>
        </r>
      </text>
    </comment>
    <comment ref="A400" authorId="0">
      <text>
        <r>
          <rPr>
            <sz val="10"/>
            <rFont val="SimSun"/>
            <charset val="134"/>
          </rPr>
          <t>Abstract: 
"We take a 137B parameter pretrained model and instruction tune it on over 60 NLP datasets verbalized via natural language instruction templates. We evaluate this instruction-tuned model, which we call FLAN, on unseen task types."</t>
        </r>
      </text>
    </comment>
    <comment ref="L400" authorId="0">
      <text>
        <r>
          <rPr>
            <sz val="10"/>
            <rFont val="SimSun"/>
            <charset val="134"/>
          </rPr>
          <t>Abstract: 
"FLAN substantially improves the performance of its unmodified counterpart and surpasses zero-shot 175B GPT-3 on 20 of 25 datasets that we evaluate."</t>
        </r>
      </text>
    </comment>
    <comment ref="N400" authorId="0">
      <text>
        <r>
          <rPr>
            <sz val="10"/>
            <rFont val="SimSun"/>
            <charset val="134"/>
          </rPr>
          <t>Abstract:
"We take a 137B parameter pretrained language model and instruction tune it on
over 60 NLP datasets verbalized via natural language instruction templates. We
evaluate this instruction-tuned model, which we call FLAN, on unseen task types."
Many models seem to be using the same 137B base transformer model?</t>
        </r>
      </text>
    </comment>
    <comment ref="Q400" authorId="0">
      <text>
        <r>
          <rPr>
            <sz val="10"/>
            <rFont val="SimSun"/>
            <charset val="134"/>
          </rPr>
          <t>Abstract: "We take a 137B parameter pretrained language model and instruction tune it on
over 60 NLP datasets"</t>
        </r>
      </text>
    </comment>
    <comment ref="R400" authorId="0">
      <text>
        <r>
          <rPr>
            <sz val="10"/>
            <rFont val="SimSun"/>
            <charset val="134"/>
          </rPr>
          <t>Section 2.4: 
"This model is pretrained on a collection of web documents (including those with computer code), dialog data, and Wikipedia, tokenized into 2.49T BPE tokens with a 32k vocabulary using the SentencePiece library "</t>
        </r>
      </text>
    </comment>
    <comment ref="N401" authorId="0">
      <text>
        <r>
          <rPr>
            <sz val="10"/>
            <rFont val="SimSun"/>
            <charset val="134"/>
          </rPr>
          <t>See figure 7</t>
        </r>
      </text>
    </comment>
    <comment ref="N402" authorId="0">
      <text>
        <r>
          <rPr>
            <sz val="10"/>
            <rFont val="SimSun"/>
            <charset val="134"/>
          </rPr>
          <t>"We scale the
model size up to 10 billion and 100 billion parameters, and build
the largest pretrained model in Chinese."</t>
        </r>
      </text>
    </comment>
    <comment ref="O402" authorId="0">
      <text>
        <r>
          <rPr>
            <sz val="10"/>
            <rFont val="SimSun"/>
            <charset val="134"/>
          </rPr>
          <t>"We implement M6-100B with around 100 billion parameters
on 128 Nvidia A100s and the speed of pretraining achieves 1440
samples/s (for samples of the sequence length of 272)."
Their response to our email doesn't say enough to tell us what the compute is for this paper, but allows us to determine the compute for the follow-up paper with the M6-10T model (but we knew this already)</t>
        </r>
      </text>
    </comment>
    <comment ref="N403" authorId="0">
      <text>
        <r>
          <rPr>
            <sz val="10"/>
            <rFont val="SimSun"/>
            <charset val="134"/>
          </rPr>
          <t>"We scale the
model size up to 10 billion and 100 billion parameters, and build
the largest pretrained model in Chinese."</t>
        </r>
      </text>
    </comment>
    <comment ref="N404" authorId="0">
      <text>
        <r>
          <rPr>
            <sz val="10"/>
            <rFont val="SimSun"/>
            <charset val="134"/>
          </rPr>
          <t>"It has 2.6 billion parameters and is capable of performing cognitive activities such as memorization, comprehension, retrieval, numerical calculation, multi-language, etc."
https://medium.com/syncedreview/chinas-gpt-3-baai-introduces-superscale-intelligence-model-wu-dao-1-0-98a573fc4d70</t>
        </r>
      </text>
    </comment>
    <comment ref="N405" authorId="0">
      <text>
        <r>
          <rPr>
            <sz val="10"/>
            <rFont val="SimSun"/>
            <charset val="134"/>
          </rPr>
          <t>"Currently, the model has 1 billion parameters and is trained on 50 million graphic pairs collected from open sources."
https://medium.com/syncedreview/chinas-gpt-3-baai-introduces-superscale-intelligence-model-wu-dao-1-0-98a573fc4d70</t>
        </r>
      </text>
    </comment>
    <comment ref="N406" authorId="0">
      <text>
        <r>
          <rPr>
            <sz val="10"/>
            <rFont val="SimSun"/>
            <charset val="134"/>
          </rPr>
          <t>"Wu Dao — Wen Hui has reached 11.3 billion parameters, and through simple fine-tuning can generate poetry, make videos, draw pictures, retrieve text, perform complex reasoning, etc."
https://medium.com/syncedreview/chinas-gpt-3-baai-introduces-superscale-intelligence-model-wu-dao-1-0-98a573fc4d70</t>
        </r>
      </text>
    </comment>
    <comment ref="A408" authorId="0">
      <text>
        <r>
          <rPr>
            <sz val="10"/>
            <rFont val="SimSun"/>
            <charset val="134"/>
          </rPr>
          <t>Section 2.2: 
"We employ a standard Seq2Seq Transformer architecture to generate responses..."</t>
        </r>
      </text>
    </comment>
    <comment ref="L408" authorId="0">
      <text>
        <r>
          <rPr>
            <sz val="10"/>
            <rFont val="SimSun"/>
            <charset val="134"/>
          </rPr>
          <t>Abstract:
"Human evaluations show our best models are superior to existing approaches in multi-turn dialogue in terms of engagingness and humanness measurements. We then discuss the limitations of this work by analyzing failure cases of our models."</t>
        </r>
      </text>
    </comment>
    <comment ref="N408" authorId="0">
      <text>
        <r>
          <rPr>
            <sz val="10"/>
            <rFont val="SimSun"/>
            <charset val="134"/>
          </rPr>
          <t>Abstract:
"We build variants of these recipes with 90M, 2.7B and 9.4B parameter models"
This differs from the previous seq2seq model in the dataset - perhaps this makes sense because this is a "standard Seq2Seq Transformer architecture" and doesn't describe a specific fixed number of parameters?</t>
        </r>
      </text>
    </comment>
    <comment ref="O408" authorId="0">
      <text>
        <r>
          <rPr>
            <sz val="10"/>
            <rFont val="SimSun"/>
            <charset val="134"/>
          </rPr>
          <t>Unclear - no mention of GPUs used, or training time, and the architecture is terribly complicated</t>
        </r>
      </text>
    </comment>
    <comment ref="Q408" authorId="0">
      <text>
        <r>
          <rPr>
            <sz val="10"/>
            <rFont val="SimSun"/>
            <charset val="134"/>
          </rPr>
          <t>Section 6:
Pushshfit.io Reddit, ConvAI 2, Wizard of Wikipedia</t>
        </r>
      </text>
    </comment>
    <comment ref="L409" authorId="0">
      <text>
        <r>
          <rPr>
            <sz val="10"/>
            <rFont val="SimSun"/>
            <charset val="134"/>
          </rPr>
          <t>Improves on hardware SOTA for similar problems
Abstract: 
"We push the model
scale to over 1 trillion parameters and implement it on solely 480 NVIDIA V100-32GB GPUs, in comparison with the recent SOTAs [11; 6] on 2048 TPU cores."</t>
        </r>
      </text>
    </comment>
    <comment ref="N409" authorId="0">
      <text>
        <r>
          <rPr>
            <sz val="10"/>
            <rFont val="SimSun"/>
            <charset val="134"/>
          </rPr>
          <t>Section 4, pg 8:
"Due to limited computational resources, we attempt to
figure out solutions to implement a 1-trillion-parameter model on solely 480 NVIDIA V100-32GB
GPUs."</t>
        </r>
      </text>
    </comment>
    <comment ref="O409" authorId="0">
      <text>
        <r>
          <rPr>
            <sz val="10"/>
            <rFont val="SimSun"/>
            <charset val="134"/>
          </rPr>
          <t>Confused - calculating this requires understanding their routing algorithm, which will take some time.</t>
        </r>
      </text>
    </comment>
    <comment ref="R409" authorId="0">
      <text>
        <r>
          <rPr>
            <sz val="10"/>
            <rFont val="SimSun"/>
            <charset val="134"/>
          </rPr>
          <t>Images</t>
        </r>
      </text>
    </comment>
    <comment ref="N410" authorId="0">
      <text>
        <r>
          <rPr>
            <sz val="10"/>
            <rFont val="SimSun"/>
            <charset val="134"/>
          </rPr>
          <t>source: https://www.eleuther.ai/projects/gpt-neo/</t>
        </r>
      </text>
    </comment>
    <comment ref="O410" authorId="0">
      <text>
        <r>
          <rPr>
            <sz val="10"/>
            <rFont val="SimSun"/>
            <charset val="134"/>
          </rPr>
          <t>source: https://www.aitracker.org/</t>
        </r>
      </text>
    </comment>
    <comment ref="N411" authorId="0">
      <text>
        <r>
          <rPr>
            <sz val="10"/>
            <rFont val="SimSun"/>
            <charset val="134"/>
          </rPr>
          <t>"Our approach allows us to perform training iterations on a model with 1 trillion parameters at 502 petaFLOP/s on 3072 GPUs with achieved per-GPU throughput of 52% of theoretical peak."</t>
        </r>
      </text>
    </comment>
    <comment ref="N412" authorId="0">
      <text>
        <r>
          <rPr>
            <sz val="10"/>
            <rFont val="SimSun"/>
            <charset val="134"/>
          </rPr>
          <t>"We demonstrate the capability to train very large DLRMs with up to 12 Trillion parameters"
https://arxiv.org/abs/2104.05158</t>
        </r>
      </text>
    </comment>
    <comment ref="N413" authorId="0">
      <text>
        <r>
          <rPr>
            <sz val="10"/>
            <rFont val="SimSun"/>
            <charset val="134"/>
          </rPr>
          <t>Table in https://git.openi.org.cn/PCL-Platform.Intelligence/PanGu-Alpha</t>
        </r>
      </text>
    </comment>
    <comment ref="O413" authorId="0">
      <text>
        <r>
          <rPr>
            <sz val="10"/>
            <rFont val="SimSun"/>
            <charset val="134"/>
          </rPr>
          <t>source: https://lair.lighton.ai/akronomicon/</t>
        </r>
      </text>
    </comment>
    <comment ref="N414" authorId="0">
      <text>
        <r>
          <rPr>
            <sz val="10"/>
            <rFont val="SimSun"/>
            <charset val="134"/>
          </rPr>
          <t>source: model details table in GitHub</t>
        </r>
      </text>
    </comment>
    <comment ref="O414" authorId="0">
      <text>
        <r>
          <rPr>
            <sz val="10"/>
            <rFont val="SimSun"/>
            <charset val="134"/>
          </rPr>
          <t>source: zero shot evaluation table in GitHub</t>
        </r>
      </text>
    </comment>
    <comment ref="N415" authorId="0">
      <text>
        <r>
          <rPr>
            <sz val="10"/>
            <rFont val="SimSun"/>
            <charset val="134"/>
          </rPr>
          <t>source: https://lair.lighton.ai/akronomicon/</t>
        </r>
      </text>
    </comment>
    <comment ref="O415" authorId="0">
      <text>
        <r>
          <rPr>
            <sz val="10"/>
            <rFont val="SimSun"/>
            <charset val="134"/>
          </rPr>
          <t>source: https://lair.lighton.ai/akronomicon/</t>
        </r>
      </text>
    </comment>
    <comment ref="N416" authorId="0">
      <text>
        <r>
          <rPr>
            <sz val="10"/>
            <rFont val="SimSun"/>
            <charset val="134"/>
          </rPr>
          <t>1.6 Trillion Parameter
https://www.forbes.com/sites/nishatalagala/2021/07/08/google-built-a-trillion-parameter-ai-model-7-things-you-should-know/
I think they mentioned the number in the keynote.</t>
        </r>
      </text>
    </comment>
    <comment ref="N417" authorId="0">
      <text>
        <r>
          <rPr>
            <sz val="10"/>
            <rFont val="SimSun"/>
            <charset val="134"/>
          </rPr>
          <t>source: https://lair.lighton.ai/akronomicon/</t>
        </r>
      </text>
    </comment>
    <comment ref="O417" authorId="0">
      <text>
        <r>
          <rPr>
            <sz val="10"/>
            <rFont val="SimSun"/>
            <charset val="134"/>
          </rPr>
          <t>source: https://lair.lighton.ai/akronomicon/</t>
        </r>
      </text>
    </comment>
    <comment ref="N418" authorId="0">
      <text>
        <r>
          <rPr>
            <sz val="10"/>
            <rFont val="SimSun"/>
            <charset val="134"/>
          </rPr>
          <t>"We propose CogView, a 4-billion-parameter Transformer with VQ-VAE tokenizer to advance this problem."</t>
        </r>
      </text>
    </comment>
    <comment ref="O418" authorId="0">
      <text>
        <r>
          <rPr>
            <sz val="10"/>
            <rFont val="SimSun"/>
            <charset val="134"/>
          </rPr>
          <t>source: https://lair.lighton.ai/akronomicon/</t>
        </r>
      </text>
    </comment>
    <comment ref="N419" authorId="0">
      <text>
        <r>
          <rPr>
            <sz val="10"/>
            <rFont val="SimSun"/>
            <charset val="134"/>
          </rPr>
          <t>"It's been trained on 1.75 trillion parameters"</t>
        </r>
      </text>
    </comment>
    <comment ref="N420" authorId="0">
      <text>
        <r>
          <rPr>
            <sz val="10"/>
            <rFont val="SimSun"/>
            <charset val="134"/>
          </rPr>
          <t>source: https://lair.lighton.ai/akronomicon/</t>
        </r>
      </text>
    </comment>
    <comment ref="O420" authorId="0">
      <text>
        <r>
          <rPr>
            <sz val="10"/>
            <rFont val="SimSun"/>
            <charset val="134"/>
          </rPr>
          <t>source: https://lair.lighton.ai/akronomicon/</t>
        </r>
      </text>
    </comment>
    <comment ref="A421" authorId="0">
      <text>
        <r>
          <rPr>
            <sz val="10"/>
            <rFont val="SimSun"/>
            <charset val="134"/>
          </rPr>
          <t>Appendix B:
" Our CIFAR10 model has 35.7 million parameters, and our LSUN and
CelebA-HQ models have 114 million parameters. We also trained a larger variant of the LSUN Bedroom model with approximately 256 million parameters by increasing filter count."</t>
        </r>
      </text>
    </comment>
    <comment ref="L421" authorId="0">
      <text>
        <r>
          <rPr>
            <sz val="10"/>
            <rFont val="SimSun"/>
            <charset val="134"/>
          </rPr>
          <t>Novel approach to image synthesis that yields SOTA results on datasets like CIFAR-10
Abstract: 
"On the unconditional CIFAR10 dataset, we obtain an Inception score of 9.46 and a state-of-the-art FID score of 3.17. "</t>
        </r>
      </text>
    </comment>
    <comment ref="N421" authorId="0">
      <text>
        <r>
          <rPr>
            <sz val="10"/>
            <rFont val="SimSun"/>
            <charset val="134"/>
          </rPr>
          <t>Appendix B: 
" Our CIFAR10 model has 35.7 million parameters, and our LSUN and
CelebA-HQ models have 114 million parameters. We also trained a larger variant of the LSUN Bedroom model with approximately 256 million parameters by increasing filter count."</t>
        </r>
      </text>
    </comment>
    <comment ref="O421" authorId="0">
      <text>
        <r>
          <rPr>
            <sz val="10"/>
            <rFont val="SimSun"/>
            <charset val="134"/>
          </rPr>
          <t>Numbers in Appendix B
420 TFLOPs * 10.6h * 3600s/h * 0.1 = 1.6e18</t>
        </r>
      </text>
    </comment>
    <comment ref="N422" authorId="0">
      <text>
        <r>
          <rPr>
            <sz val="10"/>
            <rFont val="SimSun"/>
            <charset val="134"/>
          </rPr>
          <t>We trained the model with 10 billion parameters on a 4TB corpus consisting of plain texts and a large-scale knowledge graph.</t>
        </r>
      </text>
    </comment>
    <comment ref="O422" authorId="0">
      <text>
        <r>
          <rPr>
            <sz val="10"/>
            <rFont val="SimSun"/>
            <charset val="134"/>
          </rPr>
          <t>Table 11 shows that the base 10 billion parameter model is trained in 4h (11h30m without progressive learning)
"For both two settings, we carry out pre-training on 8 NVIDIA Tesla V100 GPUs."
Each Tesla V100 GPU ought to have ~120 peak teraFLOP/s in deep learning settings.
source: https://www.nvidia.com/en-gb/data-center/tesla-v100/
We assume 0.17 utilization factor, in line with https://openai.com/blog/ai-and-compute/
Total training compute is then 8 GPU *120 TFLOP/(s*GPU) * (4*60*60s)*0.17</t>
        </r>
      </text>
    </comment>
    <comment ref="N423" authorId="0">
      <text>
        <r>
          <rPr>
            <sz val="10"/>
            <rFont val="SimSun"/>
            <charset val="134"/>
          </rPr>
          <t>"With just a single sample, a 12B parameter Codex solves 28.8% of these problems, and a 300M parameter Codex solves 13.2% of these problems"</t>
        </r>
      </text>
    </comment>
    <comment ref="O423" authorId="0">
      <text>
        <r>
          <rPr>
            <sz val="10"/>
            <rFont val="SimSun"/>
            <charset val="134"/>
          </rPr>
          <t xml:space="preserve">"The original training of GPT-3-12B consumed hundreds of petaflop/sdays of compute, while fine-tuning it to create Codex-12B
consumed a similar amount of compute."
</t>
        </r>
      </text>
    </comment>
    <comment ref="N424" authorId="0">
      <text>
        <r>
          <rPr>
            <sz val="10"/>
            <rFont val="SimSun"/>
            <charset val="134"/>
          </rPr>
          <t>estimate described here: https://docs.google.com/document/d/1S9xZyCeITDOs-P1W_-liNW0WgVN-OLsSudVrPXMaLqw/edit?usp=sharing</t>
        </r>
      </text>
    </comment>
    <comment ref="L425" authorId="0">
      <text>
        <r>
          <rPr>
            <sz val="10"/>
            <rFont val="SimSun"/>
            <charset val="134"/>
          </rPr>
          <t>Abstract: 
" the
HuBERT model either matches or improves upon the state-ofthe-art wav2vec 2.0 performance on the Librispeech (960h) and
Libri-light (60,000h) benchmarks with 10min, 1h, 10h, 100h, and
960h fine-tuning subsets."</t>
        </r>
      </text>
    </comment>
    <comment ref="N425" authorId="0">
      <text>
        <r>
          <rPr>
            <sz val="10"/>
            <rFont val="SimSun"/>
            <charset val="134"/>
          </rPr>
          <t>From abstract:
"Using a 1B parameter model, HuBERT shows up to 19% and 13% relative WER reduction on the more challenging dev-other and test-other evaluation subsets"</t>
        </r>
      </text>
    </comment>
    <comment ref="O425" authorId="0">
      <text>
        <r>
          <rPr>
            <sz val="10"/>
            <rFont val="SimSun"/>
            <charset val="134"/>
          </rPr>
          <t>GPU NOT SPECIFIED - for the sake of argument I assume something on the order of 1 TFLOP/s
Numbers from Section IV part C
0.1 * (960h * 32GPUs + 60000h * 256 GPUs) * 3600s/h * 1 TFLOP/s/GPU</t>
        </r>
      </text>
    </comment>
    <comment ref="L426" authorId="0">
      <text>
        <r>
          <rPr>
            <sz val="10"/>
            <rFont val="SimSun"/>
            <charset val="134"/>
          </rPr>
          <t>Applies self-supervised learning to outside ImageNet and unbounded datasets, with good results</t>
        </r>
      </text>
    </comment>
    <comment ref="N426" authorId="0">
      <text>
        <r>
          <rPr>
            <sz val="10"/>
            <rFont val="SimSun"/>
            <charset val="134"/>
          </rPr>
          <t>From abstract:
" Our final SElf-supERvised (SEER) model, a RegNetY with 1.3B parameters..."</t>
        </r>
      </text>
    </comment>
    <comment ref="O426" authorId="0">
      <text>
        <r>
          <rPr>
            <sz val="10"/>
            <rFont val="SimSun"/>
            <charset val="134"/>
          </rPr>
          <t>Numbers from section 3.2
512 GPUs * 0.1 * 8days * 24h/day * 3600s/h * 125 TFLOP/s</t>
        </r>
      </text>
    </comment>
    <comment ref="Q426" authorId="0">
      <text>
        <r>
          <rPr>
            <sz val="10"/>
            <rFont val="SimSun"/>
            <charset val="134"/>
          </rPr>
          <t>Section 3.3:
"For our billion scale pretraining, we consider a dataloader that directly samples random, public, and non-EU images from Instagram"
Note the dataset is not static - it is refreshed every 90 days</t>
        </r>
      </text>
    </comment>
    <comment ref="N428" authorId="0">
      <text>
        <r>
          <rPr>
            <sz val="10"/>
            <rFont val="SimSun"/>
            <charset val="134"/>
          </rPr>
          <t>"Jurassic-1 models come in two sizes, where the Jumbo version, at 178B parameters, is the largest and most sophisticated language model ever released for general use by developers."</t>
        </r>
      </text>
    </comment>
    <comment ref="O428" authorId="0">
      <text>
        <r>
          <rPr>
            <sz val="10"/>
            <rFont val="SimSun"/>
            <charset val="134"/>
          </rPr>
          <t>see here https://docs.google.com/document/d/1B8x6XYcmB1u6Tmq3VcbAtj5bzhDaj2TcIPyK6Wpupx4/edit</t>
        </r>
      </text>
    </comment>
    <comment ref="L429" authorId="0">
      <text>
        <r>
          <rPr>
            <sz val="10"/>
            <rFont val="SimSun"/>
            <charset val="134"/>
          </rPr>
          <t>Abstract:
"Our model also outperforms
the RoBERTa-Large model on several English tasks of the GLUE benchmark by 0.3% on average while handling 99 more languages."</t>
        </r>
      </text>
    </comment>
    <comment ref="N429" authorId="0">
      <text>
        <r>
          <rPr>
            <sz val="10"/>
            <rFont val="SimSun"/>
            <charset val="134"/>
          </rPr>
          <t>Section 2.1:
" ...XLM-RXXL (L= 48, H = 4096, A = 32, 10.7B params)"</t>
        </r>
      </text>
    </comment>
    <comment ref="L431" authorId="0">
      <text>
        <r>
          <rPr>
            <sz val="10"/>
            <rFont val="SimSun"/>
            <charset val="134"/>
          </rPr>
          <t>"MEB is running in production for 100 percent of Bing searches, in all regions and languages."</t>
        </r>
      </text>
    </comment>
    <comment ref="N431" authorId="0">
      <text>
        <r>
          <rPr>
            <sz val="10"/>
            <rFont val="SimSun"/>
            <charset val="134"/>
          </rPr>
          <t>See paper title</t>
        </r>
      </text>
    </comment>
    <comment ref="N432" authorId="0">
      <text>
        <r>
          <rPr>
            <sz val="10"/>
            <rFont val="SimSun"/>
            <charset val="134"/>
          </rPr>
          <t>"We demonstrate a practice of pretraining unprecedented 10-trillion-parameter model, an order of magnitude larger than the state-of-the-art, on solely 512 GPUs within 10 days"</t>
        </r>
      </text>
    </comment>
    <comment ref="O432" authorId="0">
      <text>
        <r>
          <rPr>
            <sz val="10"/>
            <rFont val="SimSun"/>
            <charset val="134"/>
          </rPr>
          <t>512 GPUs in 10 days - using NVIDIA V100 GPUs
Using the NVIDIA V100 Specifications this works out to be: 
0.10 * 125E12 * 512 * 10 * 86400 = 5.53E21
(Assuming 10% utilisation, and 125TFLOPS)</t>
        </r>
      </text>
    </comment>
    <comment ref="S432" authorId="0">
      <text>
        <r>
          <rPr>
            <sz val="10"/>
            <rFont val="SimSun"/>
            <charset val="134"/>
          </rPr>
          <t>512 GPUs * 10 days * 24 h/day</t>
        </r>
      </text>
    </comment>
    <comment ref="O433" authorId="0">
      <text>
        <r>
          <rPr>
            <sz val="10"/>
            <rFont val="SimSun"/>
            <charset val="134"/>
          </rPr>
          <t>https://www.lesswrong.com/posts/bGuMrzhJdENCo8BxX/nvidia-and-microsoft-releases-530b-parameter-transformer?commentId=HSJSNspKp94tFcSCx</t>
        </r>
      </text>
    </comment>
    <comment ref="R433" authorId="0">
      <text>
        <r>
          <rPr>
            <sz val="10"/>
            <rFont val="SimSun"/>
            <charset val="134"/>
          </rPr>
          <t>"We trained the model on 270 billion tokens."</t>
        </r>
      </text>
    </comment>
    <comment ref="N434" authorId="0">
      <text>
        <r>
          <rPr>
            <sz val="10"/>
            <rFont val="SimSun"/>
            <charset val="134"/>
          </rPr>
          <t>"Unless specified otherwise, we use the XXL version which
has 11B parameters."</t>
        </r>
      </text>
    </comment>
    <comment ref="O436" authorId="0">
      <text>
        <r>
          <rPr>
            <sz val="10"/>
            <rFont val="SimSun"/>
            <charset val="134"/>
          </rPr>
          <t>"Our implementation is computationally friendly. To train an Atari agent for 100k steps, it only needs 4 GPUs to train 7 hours."</t>
        </r>
      </text>
    </comment>
    <comment ref="N437" authorId="0">
      <text>
        <r>
          <rPr>
            <sz val="10"/>
            <rFont val="SimSun"/>
            <charset val="134"/>
          </rPr>
          <t>"With this method, Yuan 1.0, the current largest singleton language model with 245B parameters, achieves excellent performance on thousands GPUs during training, and the state-of-the-art results on NLP tasks."</t>
        </r>
      </text>
    </comment>
    <comment ref="O437" authorId="0">
      <text>
        <r>
          <rPr>
            <sz val="10"/>
            <rFont val="SimSun"/>
            <charset val="134"/>
          </rPr>
          <t>source: https://www.aitracker.org/</t>
        </r>
      </text>
    </comment>
    <comment ref="N438" authorId="0">
      <text>
        <r>
          <rPr>
            <sz val="10"/>
            <rFont val="SimSun"/>
            <charset val="134"/>
          </rPr>
          <t>"In this paper, we present an analysis of Transformer-based language model performance across a wide range of model scales — from models with tens of millions of parameters up to a 280 billion parameter model called Gopher."</t>
        </r>
      </text>
    </comment>
    <comment ref="O438" authorId="0">
      <text>
        <r>
          <rPr>
            <sz val="10"/>
            <rFont val="SimSun"/>
            <charset val="134"/>
          </rPr>
          <t>See table A24
6.31E+08 Train PFLOPs</t>
        </r>
      </text>
    </comment>
    <comment ref="N439" authorId="0">
      <text>
        <r>
          <rPr>
            <sz val="10"/>
            <rFont val="SimSun"/>
            <charset val="134"/>
          </rPr>
          <t>"Retro provides a constant gain for models ranging from 150M to 7B parameters, and Retro can be improved at evaluation time by increasing the database size and the number of retrieved neighbours. "</t>
        </r>
      </text>
    </comment>
    <comment ref="R439" authorId="0">
      <text>
        <r>
          <rPr>
            <sz val="10"/>
            <rFont val="SimSun"/>
            <charset val="134"/>
          </rPr>
          <t>"With a 2 trillion token database, our Retrieval-Enhanced Transformer (RETRO) obtains comparable performance to GPT-3 and Jurassic-1 on the Pile, despite using 25× fewer parameters."</t>
        </r>
      </text>
    </comment>
    <comment ref="N440" authorId="0">
      <text>
        <r>
          <rPr>
            <sz val="10"/>
            <rFont val="SimSun"/>
            <charset val="134"/>
          </rPr>
          <t>"Samples from a 3.5 billion parameter text-conditional diffusion model using classifier-free guidance are favored by human evaluators to those from DALL-E, even when the latter uses expensive CLIP reranking"</t>
        </r>
      </text>
    </comment>
    <comment ref="N444" authorId="0">
      <text>
        <r>
          <rPr>
            <sz val="10"/>
            <rFont val="SimSun"/>
            <charset val="134"/>
          </rPr>
          <t>source: https://twitter.com/BaiduResearch/status/1468633977242243078?t=6q4zuLNdTSc4GUBe9OM5Aw&amp;s=19</t>
        </r>
      </text>
    </comment>
    <comment ref="A446" authorId="0">
      <text>
        <r>
          <rPr>
            <sz val="10"/>
            <rFont val="SimSun"/>
            <charset val="134"/>
          </rPr>
          <t>Netflix algorithm</t>
        </r>
      </text>
    </comment>
    <comment ref="F446" authorId="0">
      <text>
        <r>
          <rPr>
            <sz val="10"/>
            <rFont val="SimSun"/>
            <charset val="134"/>
          </rPr>
          <t>"In January 2000, Netflix introduced
“Suggestions”"</t>
        </r>
      </text>
    </comment>
    <comment ref="I448" authorId="0">
      <text>
        <r>
          <rPr>
            <sz val="10"/>
            <rFont val="SimSun"/>
            <charset val="134"/>
          </rPr>
          <t>45 hours on 32 TPUv3 cores
a TPUv3 board has a PTP of 420TFLOPS, and 8 cores</t>
        </r>
      </text>
    </comment>
    <comment ref="O448" authorId="0">
      <text>
        <r>
          <rPr>
            <sz val="10"/>
            <rFont val="SimSun"/>
            <charset val="134"/>
          </rPr>
          <t xml:space="preserve">"training C on eight K40 GPUs, takes about 3-4 weeks"
0.33 util rate
(From Imagenet paper-data, Besiroglu et al., forthcoming) </t>
        </r>
      </text>
    </comment>
    <comment ref="O449" authorId="0">
      <text>
        <r>
          <rPr>
            <sz val="10"/>
            <rFont val="SimSun"/>
            <charset val="134"/>
          </rPr>
          <t xml:space="preserve">"All networks in this paper can be
trained on a single GeForce GTX Titan GPU (6 GB memory) within two to four weeks."
(From Imagenet paper-data, Besiroglu et al., forthcoming) </t>
        </r>
      </text>
    </comment>
    <comment ref="O450" authorId="0">
      <text>
        <r>
          <rPr>
            <sz val="10"/>
            <rFont val="SimSun"/>
            <charset val="134"/>
          </rPr>
          <t xml:space="preserve">Table 5
They also report TPUv3 days, which aligns with the number on table 5
(From Imagenet paper-data, Besiroglu et al., forthcoming) </t>
        </r>
      </text>
    </comment>
    <comment ref="I451" authorId="0">
      <text>
        <r>
          <rPr>
            <sz val="10"/>
            <rFont val="SimSun"/>
            <charset val="134"/>
          </rPr>
          <t>450 K40 GPUs for 20k models (approx. 7 days).</t>
        </r>
      </text>
    </comment>
    <comment ref="O451" authorId="0">
      <text>
        <r>
          <rPr>
            <sz val="10"/>
            <rFont val="SimSun"/>
            <charset val="134"/>
          </rPr>
          <t xml:space="preserve">450 K40 GPUs for 20k models (approx. 7 days).
(From Imagenet paper-data, Besiroglu et al., forthcoming) </t>
        </r>
      </text>
    </comment>
    <comment ref="O452" authorId="0">
      <text>
        <r>
          <rPr>
            <sz val="10"/>
            <rFont val="SimSun"/>
            <charset val="134"/>
          </rPr>
          <t xml:space="preserve">8 times less compute than Zoph (2018), which used 500 p100s for 4 days.
(From Imagenet paper-data, Besiroglu et al., forthcoming) </t>
        </r>
      </text>
    </comment>
    <comment ref="O453" authorId="0">
      <text>
        <r>
          <rPr>
            <sz val="10"/>
            <rFont val="SimSun"/>
            <charset val="134"/>
          </rPr>
          <t xml:space="preserve">17.9 GFLOPS per forward pass
300 epochs
1.28M training examples
3.5 f_to_b pass ratio
(From Imagenet paper-data, Besiroglu et al., forthcoming) </t>
        </r>
      </text>
    </comment>
    <comment ref="B457" authorId="0">
      <text>
        <r>
          <rPr>
            <sz val="10"/>
            <rFont val="SimSun"/>
            <charset val="134"/>
          </rPr>
          <t>But not only: Long-Range Arena includes multiple modalities</t>
        </r>
      </text>
    </comment>
    <comment ref="N458" authorId="0">
      <text>
        <r>
          <rPr>
            <sz val="10"/>
            <rFont val="SimSun"/>
            <charset val="134"/>
          </rPr>
          <t>Sum numbers of weights in Table 1.b</t>
        </r>
      </text>
    </comment>
    <comment ref="O458" authorId="0">
      <text>
        <r>
          <rPr>
            <sz val="10"/>
            <rFont val="SimSun"/>
            <charset val="134"/>
          </rPr>
          <t>"Training each network requires one day of computation with an optimized GPU
implementation"
Assuming 1.58E+12 FLOP/second on FP32 (from the table in the Estimating compute post), we get
3600*24*1.58E+12 = 1.37E+17 FLOP</t>
        </r>
      </text>
    </comment>
    <comment ref="N464" authorId="0">
      <text>
        <r>
          <rPr>
            <sz val="10"/>
            <rFont val="SimSun"/>
            <charset val="134"/>
          </rPr>
          <t xml:space="preserve">Shallowly investigated, couldn't find much.
</t>
        </r>
      </text>
    </comment>
    <comment ref="O700" authorId="0">
      <text>
        <r>
          <rPr>
            <sz val="10"/>
            <rFont val="SimSun"/>
            <charset val="134"/>
          </rPr>
          <t>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t>
        </r>
      </text>
    </comment>
    <comment ref="T700" authorId="0">
      <text>
        <r>
          <rPr>
            <sz val="10"/>
            <rFont val="SimSun"/>
            <charset val="134"/>
          </rPr>
          <t xml:space="preserve">This is per image
</t>
        </r>
      </text>
    </comment>
    <comment ref="O729" authorId="0">
      <text>
        <r>
          <rPr>
            <sz val="10"/>
            <rFont val="SimSun"/>
            <charset val="134"/>
          </rPr>
          <t xml:space="preserve">8 GPUs (they don''t specify which, so I used the average for FP32 for 2017 from the write-up table)
8 hours 
0.33 util rate
</t>
        </r>
      </text>
    </comment>
    <comment ref="R729" authorId="0">
      <text>
        <r>
          <rPr>
            <sz val="10"/>
            <rFont val="SimSun"/>
            <charset val="134"/>
          </rPr>
          <t>"it can be successfully trained on a large scale data set with 1M
entities, 25k relationships and more than 17M training samples"</t>
        </r>
      </text>
    </comment>
    <comment ref="O737" authorId="0">
      <text>
        <r>
          <rPr>
            <sz val="10"/>
            <rFont val="SimSun"/>
            <charset val="134"/>
          </rPr>
          <t xml:space="preserve">34 hours of training
512 TPU V3s
0.33 utilization rate
</t>
        </r>
      </text>
    </comment>
    <comment ref="O738" authorId="0">
      <text>
        <r>
          <rPr>
            <sz val="10"/>
            <rFont val="SimSun"/>
            <charset val="134"/>
          </rPr>
          <t xml:space="preserve">12 hours of training for POS tagging
GeForce GTX TITAN X GPU
0.33 utilization rate
</t>
        </r>
      </text>
    </comment>
    <comment ref="O739" authorId="0">
      <text>
        <r>
          <rPr>
            <sz val="10"/>
            <rFont val="SimSun"/>
            <charset val="134"/>
          </rPr>
          <t xml:space="preserve">8 hours of training for NER
GeForce GTX TITAN X GPU
0.33 utilization rate
</t>
        </r>
      </text>
    </comment>
  </commentList>
</comments>
</file>

<file path=xl/comments8.xml><?xml version="1.0" encoding="utf-8"?>
<comments xmlns="http://schemas.openxmlformats.org/spreadsheetml/2006/main">
  <authors>
    <author/>
  </authors>
  <commentList>
    <comment ref="M1" authorId="0">
      <text>
        <r>
          <rPr>
            <sz val="10"/>
            <rFont val="SimSun"/>
            <charset val="134"/>
          </rPr>
          <t>What was the deviation threshold again?
	-Jaime Sevilla</t>
        </r>
      </text>
    </comment>
    <comment ref="G3" authorId="0">
      <text>
        <r>
          <rPr>
            <sz val="10"/>
            <rFont val="SimSun"/>
            <charset val="134"/>
          </rPr>
          <t>@pavill01@ucm.es no lo borres! tiene que quedar constancia de cual fue el training objective en alguna parte, pq valida la inclusion de este modelo en la base de datos
	-Jaime Sevilla
Deberiamos unir esta columna con la columna de milestone, creo yo
	-Jaime Sevilla
para que sea "improved metric X by X% with respect to the SOTA at publication time"
	-Jaime Sevilla</t>
        </r>
      </text>
    </comment>
    <comment ref="M45" authorId="0">
      <text>
        <r>
          <rPr>
            <sz val="10"/>
            <rFont val="SimSun"/>
            <charset val="134"/>
          </rPr>
          <t>@pavill01@ucm.es what is up with this one?
	-Jaime Sevilla</t>
        </r>
      </text>
    </comment>
  </commentList>
</comments>
</file>

<file path=xl/comments9.xml><?xml version="1.0" encoding="utf-8"?>
<comments xmlns="http://schemas.openxmlformats.org/spreadsheetml/2006/main">
  <authors>
    <author/>
  </authors>
  <commentList>
    <comment ref="A1" authorId="0">
      <text>
        <r>
          <rPr>
            <sz val="10"/>
            <rFont val="SimSun"/>
            <charset val="134"/>
          </rPr>
          <t>CC-BY Jaime Sevilla &amp; Pablo Villalobos
If you find an error, want to add new information or suggest a new entry, leave a comment or email jaimesevillamolina@gmail.com</t>
        </r>
      </text>
    </comment>
    <comment ref="B1" authorId="0">
      <text>
        <r>
          <rPr>
            <sz val="10"/>
            <rFont val="SimSun"/>
            <charset val="134"/>
          </rPr>
          <t>semicolon separated</t>
        </r>
      </text>
    </comment>
    <comment ref="C1" authorId="0">
      <text>
        <r>
          <rPr>
            <sz val="10"/>
            <rFont val="SimSun"/>
            <charset val="134"/>
          </rPr>
          <t>semicolon separated</t>
        </r>
      </text>
    </comment>
    <comment ref="D1" authorId="0">
      <text>
        <r>
          <rPr>
            <sz val="10"/>
            <rFont val="SimSun"/>
            <charset val="134"/>
          </rPr>
          <t>Supervised ML, unsupervised ML, RL, statistical modelling, etc</t>
        </r>
      </text>
    </comment>
    <comment ref="E1" authorId="0">
      <text>
        <r>
          <rPr>
            <sz val="10"/>
            <rFont val="SimSun"/>
            <charset val="134"/>
          </rPr>
          <t>Vision, speech, language, games, etc</t>
        </r>
      </text>
    </comment>
    <comment ref="F1" authorId="0">
      <text>
        <r>
          <rPr>
            <sz val="10"/>
            <rFont val="SimSun"/>
            <charset val="134"/>
          </rPr>
          <t>The concrete task the system was built to perform</t>
        </r>
      </text>
    </comment>
    <comment ref="G1" authorId="0">
      <text>
        <r>
          <rPr>
            <sz val="10"/>
            <rFont val="SimSun"/>
            <charset val="134"/>
          </rPr>
          <t>The metric that was used as training loss</t>
        </r>
      </text>
    </comment>
    <comment ref="H1" authorId="0">
      <text>
        <r>
          <rPr>
            <sz val="10"/>
            <rFont val="SimSun"/>
            <charset val="134"/>
          </rPr>
          <t>SOTA improvement, highly cited, historical relevance</t>
        </r>
      </text>
    </comment>
    <comment ref="I1" authorId="0">
      <text>
        <r>
          <rPr>
            <sz val="10"/>
            <rFont val="SimSun"/>
            <charset val="134"/>
          </rPr>
          <t>Reason for inclusion in the dataset</t>
        </r>
      </text>
    </comment>
    <comment ref="M1" authorId="0">
      <text>
        <r>
          <rPr>
            <sz val="10"/>
            <rFont val="SimSun"/>
            <charset val="134"/>
          </rPr>
          <t>Number of hidden layers</t>
        </r>
      </text>
    </comment>
    <comment ref="N1" authorId="0">
      <text>
        <r>
          <rPr>
            <sz val="10"/>
            <rFont val="SimSun"/>
            <charset val="134"/>
          </rPr>
          <t>Number of free parameters</t>
        </r>
      </text>
    </comment>
    <comment ref="O1" authorId="0">
      <text>
        <r>
          <rPr>
            <sz val="10"/>
            <rFont val="SimSun"/>
            <charset val="134"/>
          </rPr>
          <t>Training time x cores (hours)</t>
        </r>
      </text>
    </comment>
    <comment ref="I18" authorId="0">
      <text>
        <r>
          <rPr>
            <sz val="10"/>
            <rFont val="SimSun"/>
            <charset val="134"/>
          </rPr>
          <t>https://www.nature.com/news/polopoly_fs/7.21246!/file/GoogleScholartop100articlesonly.xlsx</t>
        </r>
      </text>
    </comment>
    <comment ref="I32" authorId="0">
      <text>
        <r>
          <rPr>
            <sz val="10"/>
            <rFont val="SimSun"/>
            <charset val="134"/>
          </rPr>
          <t>https://www.nature.com/news/polopoly_fs/7.21246!/file/GoogleScholartop100articlesonly.xlsx</t>
        </r>
      </text>
    </comment>
    <comment ref="N32" authorId="0">
      <text>
        <r>
          <rPr>
            <sz val="10"/>
            <rFont val="SimSun"/>
            <charset val="134"/>
          </rPr>
          <t>On a Travelling Salesman problem
"We were able to anneal into locally
optimal solutions with a c 0.95 for N up to 6000 sites."</t>
        </r>
      </text>
    </comment>
  </commentList>
</comments>
</file>

<file path=xl/sharedStrings.xml><?xml version="1.0" encoding="utf-8"?>
<sst xmlns="http://schemas.openxmlformats.org/spreadsheetml/2006/main" count="14398" uniqueCount="5326">
  <si>
    <t>System</t>
  </si>
  <si>
    <t>Domain</t>
  </si>
  <si>
    <t>Task</t>
  </si>
  <si>
    <t>Organization(s)</t>
  </si>
  <si>
    <t>Organization Categorization</t>
  </si>
  <si>
    <t>Author(s)</t>
  </si>
  <si>
    <t>Publication date</t>
  </si>
  <si>
    <t>Year</t>
  </si>
  <si>
    <t>Reference</t>
  </si>
  <si>
    <t>Link</t>
  </si>
  <si>
    <t>Citations</t>
  </si>
  <si>
    <t>Inclusion criteria</t>
  </si>
  <si>
    <t>Inclusion criteria met</t>
  </si>
  <si>
    <t>Parameters</t>
  </si>
  <si>
    <t>Training compute (FLOP)</t>
  </si>
  <si>
    <t>Training dataset</t>
  </si>
  <si>
    <t>Training dataset size (datapoints)</t>
  </si>
  <si>
    <t>Hidden layers</t>
  </si>
  <si>
    <t>Inference compute (FLOP)</t>
  </si>
  <si>
    <t>Training time (hours)</t>
  </si>
  <si>
    <t>Equivalent training time (hours)</t>
  </si>
  <si>
    <t>Inference time (ms)</t>
  </si>
  <si>
    <t>Training dataset size (GB)</t>
  </si>
  <si>
    <t>Approach</t>
  </si>
  <si>
    <t>Dense or sparse model</t>
  </si>
  <si>
    <t>Training objective</t>
  </si>
  <si>
    <t>Training compute cost (2020 USD)</t>
  </si>
  <si>
    <t>Self-supervised training</t>
  </si>
  <si>
    <t>Architecture</t>
  </si>
  <si>
    <t>Compute Sponsor Categorization</t>
  </si>
  <si>
    <t>Abstract</t>
  </si>
  <si>
    <t>GPT-4</t>
  </si>
  <si>
    <t>Multimodal</t>
  </si>
  <si>
    <t>Language modelling</t>
  </si>
  <si>
    <t>OpenAI</t>
  </si>
  <si>
    <t>Industry</t>
  </si>
  <si>
    <t>GPT-4 Technical Report</t>
  </si>
  <si>
    <t>https://arxiv.org/abs/2303.08774</t>
  </si>
  <si>
    <t>SOTA Improvement</t>
  </si>
  <si>
    <t>Yes</t>
  </si>
  <si>
    <t>Phenaki</t>
  </si>
  <si>
    <t>Vision</t>
  </si>
  <si>
    <t>Video generation</t>
  </si>
  <si>
    <t>Google Brain, University College London, University of Michigan</t>
  </si>
  <si>
    <t>Industry - Academia Collaboration (Industry leaning)</t>
  </si>
  <si>
    <t>Ruben Villegas, Mohammad Babaeizadeh, Pieter-Jan Kindermans, Hernan Moraldo, Han Zhang, Mohammad Taghi Saffar, Santiago Castro, Julius Kunze, Dumitru Erhan</t>
  </si>
  <si>
    <t>Phenaki: Variable Length Video Generation From Open Domain Textual Description</t>
  </si>
  <si>
    <t>https://arxiv.org/abs/2210.02399</t>
  </si>
  <si>
    <t>No</t>
  </si>
  <si>
    <t/>
  </si>
  <si>
    <t>Minerva (540B)</t>
  </si>
  <si>
    <t>Language</t>
  </si>
  <si>
    <t>Quantitative Reasoning Problems</t>
  </si>
  <si>
    <t>Google Research</t>
  </si>
  <si>
    <t>Aitor Lewkowycz, Anders Andreassen, David Dohan, Ethan Dyer, Henryk Michalewski, Vinay Ramasesh, Ambrose Slone, Cem Anil, Imanol Schlag, Theo Gutman-Solo, Yuhuai Wu, Behnam Neyshabur, Guy Gur-Ari, Vedant Misra</t>
  </si>
  <si>
    <t>Solving Quantitative Reasoning Problems with Language Models</t>
  </si>
  <si>
    <t>https://arxiv.org/abs/2206.14858</t>
  </si>
  <si>
    <t>PaLM, finetuned on Arxiv</t>
  </si>
  <si>
    <t>Language models have achieved remarkable performance on a wide range of tasks that require natural language understanding. Nevertheless, state-of-the-art models have generally struggled with tasks that require quantitative reasoning, such as solving mathematics, science, and engineering problems at the college level. To help close this gap, we introduce Minerva, a large language model pretrained on general natural language data and further trained on technical content. The model achieves state-of-the-art performance on technical benchmarks without the use of external tools. We also evaluate our model on over two hundred undergraduate-level problems in physics, biology, chemistry, economics, and other sciences that require quantitative reasoning, and find that the model can correctly answer nearly a third of them.</t>
  </si>
  <si>
    <t>PaLM (540B)</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</si>
  <si>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t>
  </si>
  <si>
    <t>PaLM: Scaling Language Modeling with Pathways</t>
  </si>
  <si>
    <t>https://arxiv.org/abs/2204.02311</t>
  </si>
  <si>
    <t>Large language models have been shown to achieve remarkable performance across a variety of natural language tasks using few-shot learning, which drastically reduces the number of task-specific training examples needed to adapt the model to a particular application. To further our understanding of the impact of scale on few-shot learning, we trained a 540-billion parameter, densely activated, Transformer language model, which we call Pathways Language Model PaLM. We trained PaLM on 6144 TPU v4 chips using Pathways, a new ML system which enables highly efficient training across multiple TPU Pods. We demonstrate continued benefits of scaling by achieving state-of-the-art few-shot learning results on hundreds of language understanding and generation benchmarks. On a number of these tasks, PaLM 540B achieves breakthrough performance, outperforming the finetuned state-of-the-art on a suite of multi-step reasoning tasks, and outperforming average human performance on the recently released BIG-bench benchmark. A significant number of BIG-bench tasks showed discontinuous improvements from model scale, meaning that performance steeply increased as we scaled to our largest model. PaLM also has strong capabilities in multilingual tasks and source code generation, which we demonstrate on a wide array of benchmarks. We additionally provide a comprehensive analysis on bias and toxicity, and study the extent of training data memorization with respect to model scale. Finally, we discuss the ethical considerations related to large language models and discuss potential mitigation strategies.</t>
  </si>
  <si>
    <t>OPT-175B</t>
  </si>
  <si>
    <t>Meta AI</t>
  </si>
  <si>
    <t>Susan Zhang, Stephen Roller, Naman Goyal, Mikel Artetxe, Moya Chen, Shuohui Chen, Christopher Dewan, Mona Diab, Xian Li, Xi Victoria Lin, Todor Mihaylov, Myle Ott, Sam Shleifer, Kurt Shuster, Daniel Simig, Punit Singh Koura, Anjali Sridhar, Tianlu Wang, Luke Zettlemoyer</t>
  </si>
  <si>
    <t>OPT: Open Pre-trained Transformer Language Models</t>
  </si>
  <si>
    <t>https://ai.facebook.com/blog/democratizing-access-to-large-scale-language-models-with-opt-175b/</t>
  </si>
  <si>
    <t>Large language models, which are often trained for hundreds of thousands of compute days, have shown remarkable capabilities for zero- and few-shot learning. Given their computational cost, these models are difficult to replicate without significant capital. For the few that are available through APIs, no access is granted to the full model weights, making them difficult to study. We present Open Pre-trained Transformers (OPT), a suite of decoder-only pre-trained transformers ranging from 125M to 175B parameters, which we aim to fully and responsibly share with interested researchers. We show that OPT-175B is comparable to GPT-3,1 while requiring only 1/7th the carbon footprint to develop. We are also releasing our logbook detailing the infrastructure challenges we faced, along with code for experimenting with all of the released models</t>
  </si>
  <si>
    <t>Chinchilla</t>
  </si>
  <si>
    <t>DeepMind</t>
  </si>
  <si>
    <t>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and Laurent Sifre</t>
  </si>
  <si>
    <t>Training Compute-Optimal Large Language Models</t>
  </si>
  <si>
    <t>https://arxiv.org/abs/2203.15556</t>
  </si>
  <si>
    <t>We investigate the optimal model size and number of tokens for training a transformer language model under a given compute budget. We find that current large language models are significantly undertrained, a consequence of the recent focus on scaling language models whilst keeping the amount of training data constant. By training over \nummodels language models ranging from 70 million to over 16 billion parameters on 5 to 500 billion tokens, we find that for compute-optimal training, the model size and the number of training tokens should be scaled equally: for every doubling of model size the number of training tokens should also be doubled. We test this hypothesis by training a predicted compute-optimal model, \chinchilla, that uses the same compute budget as \gopher but with 70B parameters and 4× more more data. \chinchilla uniformly and significantly outperforms \Gopher (280B), GPT-3 (175B), Jurassic-1 (178B), and Megatron-Turing NLG (530B) on a large range of downstream evaluation tasks. This also means that \chinchilla uses substantially less compute for fine-tuning and inference, greatly facilitating downstream usage. As a highlight, \chinchilla reaches a state-of-the-art average accuracy of 67.5\% on the MMLU benchmark, greater than a 7\% improvement over \gopher.</t>
  </si>
  <si>
    <t>Parti</t>
  </si>
  <si>
    <t>Drawing</t>
  </si>
  <si>
    <t>Text-to-image</t>
  </si>
  <si>
    <t>Jiahui Yu, Yuanzhong Xu, Jing Yu Koh, Thang Luong, Gunjan Baid, Zirui Wang, Vijay Vasudevan, Alexander Ku, Yinfei Yang, Burcu Karagol Ayan, Ben Hutchinson, Wei Han, Zarana Parekh, Xin Li, Han Zhang, Jason Baldridge, Yonghui Wu</t>
  </si>
  <si>
    <t>Scaling Autoregressive Models for Content-Rich Text-to-Image Generation</t>
  </si>
  <si>
    <t>https://arxiv.org/abs/2206.10789v1</t>
  </si>
  <si>
    <t xml:space="preserve">LAION-400M, FIT400M, JFT-4B </t>
  </si>
  <si>
    <t>We present the Pathways Autoregressive Text-to-Image (Parti) model, which generates high-fidelity photorealistic images and supports content-rich synthesis involving complex compositions and world knowledge. Parti treats text-to-image generation as a sequence-to-sequence modeling problem, akin to machine translation, with sequences of image tokens as the target outputs rather than text tokens in another language. This strategy can naturally tap into the rich body of prior work on large language models, which have seen continued advances in capabilities and performance through scaling data and model sizes. Our approach is simple: First, Parti uses a Transformer-based image tokenizer, ViT-VQGAN, to encode images as sequences of discrete tokens. Second, we achieve consistent quality improvements by scaling the encoder-decoder Transformer model up to 20B parameters, with a new state-of-the-art zero-shot FID score of 7.23 and finetuned FID score of 3.22 on MS-COCO. Our detailed analysis on Localized Narratives as well as PartiPrompts (P2), a new holistic benchmark of over 1600 English prompts, demonstrate the effectiveness of Parti across a wide variety of categories and difficulty aspects. We also explore and highlight limitations of our models in order to define and exemplify key areas of focus for further improvements. See https://parti.research.google/ for high-resolution images.</t>
  </si>
  <si>
    <t>LaMDA</t>
  </si>
  <si>
    <t>Google</t>
  </si>
  <si>
    <t>Romal Thoppilan, Daniel De Freitas, Jamie Hall, Noam Shazeer, Apoorv Kulshreshtha, Heng-Tze Cheng, Alicia Jin, Taylor Bos, Leslie Baker, Yu Du, YaGuang Li, Hongrae Lee, Huaixiu Steven Zheng, Amin Ghafouri, Marcelo Menegali, Yanping Huang, Maxim Krikun, Dmitry Lepikhin, James Qin, Dehao Chen, Yuanzhong Xu, Zhifeng Chen, Adam Roberts, Maarten Bosma, Yanqi Zhou, Chung-Ching Chang, Igor Krivokon, Will Rusch, Marc Pickett, Kathleen Meier-Hellstern, Meredith Ringel Morris, Tulsee Doshi, Renelito Delos Santos, Toju Duke, Johnny Soraker, Ben Zevenbergen, Vinodkumar Prabhakaran, Mark Diaz, Ben Hutchinson, Kristen Olson, Alejandra Molina, Erin Hoffman-John, Josh Lee, Lora Aroyo, Ravi Rajakumar, Alena Butryna, Matthew Lamm, Viktoriya Kuzmina, Joe Fenton, Aaron Cohen, Rachel Bernstein, Ray Kurzweil, Blaise Aguera-Arcas, Claire Cui, Marian Croak, Ed Chi, Quoc Le</t>
  </si>
  <si>
    <t>LaMDA: Language Models for Dialog Applications</t>
  </si>
  <si>
    <t>https://arxiv.org/abs/2201.08239</t>
  </si>
  <si>
    <t>Historical significance</t>
  </si>
  <si>
    <t>Infiniset</t>
  </si>
  <si>
    <t>We present LaMDA: Language Models for Dialog Applications. LaMDA is a family of Transformer-based neural language models specialized for dialog, which have up to 137B parameters and are pre-trained on 1.56T words of public dialog data and web text. While model scaling alone can improve quality, it shows less improvements on safety and factual grounding. We demonstrate that fine-tuning with annotated data and enabling the model to consult external knowledge sources can lead to significant improvements towards the two key challenges of safety and factual grounding. The first challenge, safety, involves ensuring that the model's responses are consistent with a set of human values, such as preventing harmful suggestions and unfair bias. We quantify safety using a metric based on an illustrative set of human values, and we find that filtering candidate responses using a LaMDA classifier fine-tuned with a small amount of crowdworker-annotated data offers a promising approach to improving model safety. The second challenge, factual grounding, involves enabling the model to consult external knowledge sources, such as an information retrieval system, a language translator, and a calculator. We quantify factuality using a groundedness metric, and we find that our approach enables the model to generate responses grounded in known sources, rather than responses that merely sound plausible. Finally, we explore the use of LaMDA in the domains of education and content recommendations, and analyze their helpfulness and role consistency.</t>
  </si>
  <si>
    <t>YaLM</t>
  </si>
  <si>
    <t>Yandex</t>
  </si>
  <si>
    <t>23/06/2022</t>
  </si>
  <si>
    <t>https://medium.com/yandex/yandex-publishes-yalm-100b-its-the-largest-gpt-like-neural-network-in-open-source-d1df53d0e9a6</t>
  </si>
  <si>
    <t>AlexaTM 20B</t>
  </si>
  <si>
    <t>Amazon</t>
  </si>
  <si>
    <t>Saleh Soltan, Shankar Ananthakrishnan, Jack FitzGerald, Rahul Gupta, Wael Hamza, Haidar Khan, Charith Peris, Stephen Rawls, Andy Rosenbaum, Anna Rumshisky, Chandana Satya Prakash, Mukund Sridhar, Fabian Triefenbach, Apurv Verma, Gokhan Tur, Prem Natarajan</t>
  </si>
  <si>
    <t>AlexaTM 20B: Few-Shot Learning Using a Large-Scale Multilingual Seq2Seq Model</t>
  </si>
  <si>
    <t>https://arxiv.org/abs/2208.01448</t>
  </si>
  <si>
    <t>mC4; Wikipedia</t>
  </si>
  <si>
    <t xml:space="preserve">In this work, we demonstrate that multilingual large-scale sequence-to-sequence (seq2seq) models, pre-trained on a mixture of denoising and Causal Language Modeling (CLM) tasks, are more efficient few-shot learners than decoder-only models on various tasks. In particular, we train a 20 billion parameter multilingual seq2seq model called Alexa Teacher Model (AlexaTM 20B) and show that it achieves state-of-the-art (SOTA) performance on 1-shot summarization tasks, outperforming a much larger 540B PaLM decoder model. AlexaTM 20B also achieves SOTA in 1-shot machine translation, especially for low-resource languages, across almost all language pairs supported by the model (Arabic, English, French, German, Hindi, Italian, Japanese, Marathi, Portuguese, Spanish, Tamil, and Telugu) on Flores-101 dataset. We also show in zero-shot setting, AlexaTM 20B outperforms GPT3 (175B) on SuperGLUE and SQuADv2 datasets and provides SOTA performance on multilingual tasks such as XNLI, XCOPA, Paws-X, and XWinograd. Overall, our results present a compelling case for seq2seq models as a powerful alternative to decoder-only models for Large-scale Language Model (LLM) training. </t>
  </si>
  <si>
    <t>BLOOM</t>
  </si>
  <si>
    <t>Language model</t>
  </si>
  <si>
    <t>Hugging Face, BigScience</t>
  </si>
  <si>
    <t>Research Collective</t>
  </si>
  <si>
    <t>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t>
  </si>
  <si>
    <t xml:space="preserve">BigScience Large Open-science Open-access Multilingual Language Model
</t>
  </si>
  <si>
    <t>https://huggingface.co/bigscience/bloom</t>
  </si>
  <si>
    <t>"TB scale multilingual dataset"</t>
  </si>
  <si>
    <t>GPT-NeoX-20B</t>
  </si>
  <si>
    <t>EleutherAI</t>
  </si>
  <si>
    <t>Sid Black, Stella Biderman, Eric Hallahan, Quentin Anthony, Leo Gao, Laurence Golding, Horace He, Connor Leahy, Kyle McDonell, Jason Phang, Michael Pieler, USVSN Sai Prashanth, Shivanshu Purohit, Laria Reynolds, Jonathan Tow, Ben Wang, Samuel Weinbach</t>
  </si>
  <si>
    <t>Announcing GPT- NeoX- 20B</t>
  </si>
  <si>
    <t>https://blog.eleuther.ai/announcing-20b/</t>
  </si>
  <si>
    <t>The Pile</t>
  </si>
  <si>
    <t>Stable Diffusion (LDM-KL-8-G)</t>
  </si>
  <si>
    <t>Stability AI, Runway</t>
  </si>
  <si>
    <t>Robin Rombach, Andreas Blattmann, Dominik Lorenz, Patrick Esser, Björn Ommer</t>
  </si>
  <si>
    <t>High-Resolution Image Synthesis with Latent Diffusion Models</t>
  </si>
  <si>
    <t>https://arxiv.org/abs/2112.10752</t>
  </si>
  <si>
    <t>Significant use</t>
  </si>
  <si>
    <t>LAION-400M</t>
  </si>
  <si>
    <t>By decomposing the image formation process into a sequential application of denoising autoencoders, diffusion models (DMs) achieve state-of-the-art synthesis results on image data and beyond. Additionally, their formulation allows for a guiding mechanism to control the image generation process without retraining. However, since these models typically operate directly in pixel space, optimization of powerful DMs often consumes hundreds of GPU days and inference is expensive due to sequential evaluations. To enable DM training on limited computational resources while retaining their quality and flexibility, we apply them in the latent space of powerful pretrained autoencoders. In contrast to previous work, training diffusion models on such a representation allows for the first time to reach a near-optimal point between complexity reduction and detail preservation, greatly boosting visual fidelity. By introducing cross-attention layers into the model architecture, we turn diffusion models into powerful and flexible generators for general conditioning inputs such as text or bounding boxes and high-resolution synthesis becomes possible in a convolutional manner. Our latent diffusion models (LDMs) achieve a new state of the art for image inpainting and highly competitive performance on various tasks, including unconditional image generation, semantic scene synthesis, and super-resolution, while significantly reducing computational requirements compared to pixel-based DMs. Code is available at this https URL .</t>
  </si>
  <si>
    <t>Whisper</t>
  </si>
  <si>
    <t>Speech</t>
  </si>
  <si>
    <t>Audio Speech Recognition</t>
  </si>
  <si>
    <t>Alec Radford, Jong Wook Kim, Tao Xu, Greg Brockman, Christine McLeavey, Ilya Sutskever</t>
  </si>
  <si>
    <t>Robust Speech Recognition via Large-Scale Weak Supervision</t>
  </si>
  <si>
    <t>https://cdn.openai.com/papers/whisper.pdf</t>
  </si>
  <si>
    <t>We study the capabilities of speech processing systems trained simply to predict large amounts of transcripts of audio on the internet. When scaled to 680,000 hours of multilingual and multitask supervision, the resulting models generalize well to standard benchmarks and are often competitive with prior fully supervised results but in a zeroshot transfer setting without the need for any finetuning. When compared to humans, the models approach their accuracy and robustness. We are releasing models and inference code to serve as a foundation for further work on robust speech processing.</t>
  </si>
  <si>
    <t>GLM-130B</t>
  </si>
  <si>
    <t>Tsinghua KEG</t>
  </si>
  <si>
    <t>Academia</t>
  </si>
  <si>
    <t>GLM-130B: An open bilingual pre-trained model</t>
  </si>
  <si>
    <t>https://keg.cs.tsinghua.edu.cn/glm-130b/posts/glm-130b/</t>
  </si>
  <si>
    <t>AlphaCode</t>
  </si>
  <si>
    <t>Code generation</t>
  </si>
  <si>
    <t>The Alpha Code team</t>
  </si>
  <si>
    <t>Competition-Level Code Generation with AlphaCode</t>
  </si>
  <si>
    <t>https://deepmind.com/blog/article/Competitive-programming-with-AlphaCode</t>
  </si>
  <si>
    <t>SOTA improvement</t>
  </si>
  <si>
    <t>NLLB</t>
  </si>
  <si>
    <t>Translation</t>
  </si>
  <si>
    <t>Marta R. Costa-jussà, James Cross, Onur Çelebi, Maha Elbayad, Kenneth Heafield, Kevin Heffernan, Elahe Kalbassi, Janice Lam, Daniel Licht, Jean Maillard, Anna Sun, Skyler Wang, Guillaume Wenzek, Al Youngblood, Bapi Akula, Loic Barrault, Gabriel Mejia Gonzalez, Prangthip Hansanti, John Hoffman, Semarley Jarrett, Kaushik Ram Sadagopan, Dirk Rowe, Shannon Spruit, Chau Tran, Pierre Andrews, Necip Fazil Ayan, Shruti Bhosale, Sergey Edunov, Angela Fan, Cynthia Gao, Vedanuj Goswami, Francisco (Paco) Guzmán, Philipp Koehn, Alexandre Mourachko, Christophe Ropers, Safiyyah Saleem, Holger Schwenk, Jeff Wang</t>
  </si>
  <si>
    <t>No Language Left Behind: Scaling Human-Centered Machine Translation</t>
  </si>
  <si>
    <t>https://research.facebook.com/publications/no-language-left-behind/?utm_source=twitter&amp;utm_medium=organic_social&amp;utm_campaign=nllb&amp;utm_content=os-artifacts</t>
  </si>
  <si>
    <t>Driven by the goal of eradicating language barriers on a global scale, machine translation has solidified itself as a key focus of artificial intelligence research today. However, such efforts have coalesced around a small subset of languages, leaving behind the vast majority of mostly low-resource languages. What does it take to break the 200 language barrier while ensuring safe, high quality results, all while keeping ethical considerations in mind? In No Language Left Behind, we took on this challenge by first contextualizing the need for low-resource language translation support through exploratory interviews with native speakers. Then, we created datasets and models aimed at narrowing the performance gap between low and high-resource languages. More specifically, we developed a conditional compute model based on Sparsely Gated Mixture of Experts that is trained on data obtained with novel and effective data mining techniques tailored for low-resource languages. We propose multiple architectural and training improvements to counteract overfitting while training on thousands of tasks. Critically, we evaluated the performance of over 40,000 different translation directions using a human-translated benchmark, Flores-200, and combined human evaluation with a novel toxicity benchmark covering all languages in Flores-200 to assess translation safety. Our model achieves an improvement of 44% BLEU relative to the previous state-of-the-art, laying important groundwork towards realizing a universal translation system. Finally, we open source all contributions described in this work, accessible at https://github.com/facebookresearch/fairseq/tree/nllb.</t>
  </si>
  <si>
    <t>Primer</t>
  </si>
  <si>
    <t>Google Research, Brain Team</t>
  </si>
  <si>
    <t>DavidR.So, WojciechMan ́ke, HanxiaoLiu, ZihangDai, NoamShazeer, QuocV.Le</t>
  </si>
  <si>
    <t>Primer: Searching for Efficient Transformers for Language Modeling</t>
  </si>
  <si>
    <t>https://arxiv.org/abs/2109.08668</t>
  </si>
  <si>
    <t>C4</t>
  </si>
  <si>
    <t>Large Transformer models have been central to recent advances in natural language processing. The training and inference costs of these models, however, have grown rapidly and become prohibitively expensive. Here we aim to reduce the costs of Transformers by searching for a more efficient variant. Compared to previous approaches, our search is performed at a lower level, over the primitives that define a Transformer TensorFlow program. We identify an architecture, named Primer, that has a smaller training cost than the original Transformer and other variants for auto-regressive language modeling. Primer's improvements can be mostly attributed to two simple modifications: squaring ReLU activations and adding a depthwise convolution layer after each Q, K, and V projection in self-attention. Experiments show Primer's gains over Transformer increase as compute scale grows and follow a power law with respect to quality at optimal model sizes. We also verify empirically that Primer can be dropped into different codebases to significantly speed up training without additional tuning. For example, at a 500M parameter size, Primer improves the original T5 architecture on C4 auto-regressive language modeling, reducing the training cost by 4X. Furthermore, the reduced training cost means Primer needs much less compute to reach a target one-shot performance. For instance, in a 1.9B parameter configuration similar to GPT-3 XL, Primer uses 1/3 of the training compute to achieve the same one-shot performance as Transformer. We open source our models and several comparisons in T5 to help with reproducibility.</t>
  </si>
  <si>
    <t>Gato</t>
  </si>
  <si>
    <t>Scott Reed, Konrad Żołna, Emilio Parisotto, Sergio Gómez Colmenarejo, Alexander Novikov, Gabriel Barth-Maron, Mai Giménez, Yury Sulsky, Jackie Kay, Jost Tobias Springenberg, Tom Eccles, Jake Bruce, Ali Razavi, Ashley Edwards, Nicolas Heess, Yutian Chen, Raia Hadsell, Oriol Vinyals, Mahyar Bordbar, Nando de Freitas</t>
  </si>
  <si>
    <t>A Generalist Agent</t>
  </si>
  <si>
    <t>https://www.deepmind.com/publications/a-generalist-agent</t>
  </si>
  <si>
    <t>Inspired by progress in large-scale language modeling, we apply a similar approach towards building a single generalist agent beyond the realm of text outputs. The agent, which we refer to as Gato, works as a multi-modal, multi-task, multi-embodiment generalist policy. The same network with the same weights can play Atari, caption images, chat, stack blocks with a real robot arm and much more, deciding based on its context whether to output text, joint torques, button presses, or other tokens. In this report we describe the model and the data, and document the current capabilities of Gato.</t>
  </si>
  <si>
    <t>GPT-SW3</t>
  </si>
  <si>
    <t>AI Sweden, RISE</t>
  </si>
  <si>
    <t>Ariel Ekgren, Amaru Cuba Gyllensten, Evangelia Gogoulou, Alice Heiman, Severine Verlinden, Joey Ohman, Fredrik Carlsson, Magnus Sahlgren</t>
  </si>
  <si>
    <t>25/06/2022</t>
  </si>
  <si>
    <t>Lessons Learned from GPT-SW3: Building the First Large-Scale Generative Language Model for Swedish</t>
  </si>
  <si>
    <t>http://www.lrec-conf.org/proceedings/lrec2022/pdf/2022.lrec-1.376.pdf</t>
  </si>
  <si>
    <t>Large-scale generative language models such as the GPT series (Radford and Narasimhan, 2018; Radford et al., 2019; Brown et al., 2020) have enjoyed considerable attention in recent years. This has been partly due to their unprecedented ability to generate coherent text, but also for their capacity for zero-shot performance - without any training examples, on a wide range of different tasks. A prerequisite for building such models is access to both large amounts of high-quality text data and powerful computational resources. This has proven to be a limiting factor for the development of large-scale models for languages other than English. With the goal of promoting the development of largescale generative models for other languages, we here present our work on developing and evaluating GPTSW3, a 3.5 billion parameter autoregressive language model, trained on a newly collected 100 GB Swedish corpus. To the best of our knowledge, this is the largest generative model for Swedish to date, and probably one of the bigger non-English models at the moment. In this paper, we collect the lessons learned by developing and evaluating this model, including challenges with data collection, training procedures, and validation activities.</t>
  </si>
  <si>
    <t>Sparse all-MLP</t>
  </si>
  <si>
    <t>MetaAI</t>
  </si>
  <si>
    <t>Ping Yu, Mikel Artexte, Myle Ott, Sam  Shleifer, Hongyu Gong, Ves Stoyanov</t>
  </si>
  <si>
    <t>Efficient Language Modeling with Sparse all-MLP</t>
  </si>
  <si>
    <t>https://arxiv.org/abs/2203.06850</t>
  </si>
  <si>
    <t>RoBERTa dataset</t>
  </si>
  <si>
    <t>All-MLP architectures have attracted increasing interest as an alternative to attention-based models. In NLP, recent work like gMLP shows that all-MLPs can match Transformers in language modeling, but still lag behind in downstream tasks. In this work, we analyze the limitations of MLPs in expressiveness, and propose sparsely activated MLPs with mixture-of-experts (MoEs) in both feature and input (token) dimensions. Such sparse all-MLPs significantly increase model capacity and expressiveness while keeping the compute constant. We address critical challenges in incorporating conditional computation with two routing strategies. The proposed sparse all-MLP improves language modeling perplexity and obtains up to 2× improvement in training efficiency compared to both Transformer-based MoEs (GShard, Switch Transformer, Base Layers and HASH Layers) as well as dense Transformers and all-MLPs. Finally, we evaluate its zero-shot in-context learning performance on six downstream tasks, and find that it surpasses Transformer-based MoEs and dense Transformers.</t>
  </si>
  <si>
    <t>LiMoE</t>
  </si>
  <si>
    <t>Image classification</t>
  </si>
  <si>
    <t>Basil Mustafa, Carlos Riquelme, Joan Puigcerver, Rodolphe Jenatton, Neil Houlsby</t>
  </si>
  <si>
    <t>Multimodal Contrastive Learning with LIMoE: the Language-Image Mixture of Experts</t>
  </si>
  <si>
    <t>https://arxiv.org/abs/2206.02770</t>
  </si>
  <si>
    <t>data2vec (vision)</t>
  </si>
  <si>
    <t>Alexei Baevski,  Wei-Ning Hsu,  Qiantong Xu , Arun Babu,  Jiatao Gu,  Michael Auli</t>
  </si>
  <si>
    <t>Data2vec: A General Framework for Self-supervised Learning in Speech, Vision and Language</t>
  </si>
  <si>
    <t>https://ai.facebook.com/research/data2vec-a-general-framework-for-self-supervised-learning-in-speech-vision-and-language/</t>
  </si>
  <si>
    <t>ImageNet</t>
  </si>
  <si>
    <t>data2vec (speech)</t>
  </si>
  <si>
    <t>LS-960</t>
  </si>
  <si>
    <t>data2vec (language)</t>
  </si>
  <si>
    <t>Books Corpus, English Wikipedia</t>
  </si>
  <si>
    <t>InstructGPT</t>
  </si>
  <si>
    <t>Long Ouyang, Pamela Mishkin, Jeff Wu, Xu Jiang, Diogo Almeida, Carroll L. Wainwright,John Schulman Amanda Askell, Fraser Kelton Peter Welinder, Luke Miller Maddie Simens Paul Christiano,Ryan Lowe,Chong Zhang Jacob Hilton, Sandhini Agarwal Katarina Slama Alex Ray, Jan Leike</t>
  </si>
  <si>
    <t>Training language models to follow instructions with human feedback</t>
  </si>
  <si>
    <t>https://cdn.openai.com/papers/Training_language_models_to_follow_instructions_with_human_feedback.pdf</t>
  </si>
  <si>
    <t>RETRO-7B</t>
  </si>
  <si>
    <t>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Osindero,Karen Simonyan, Jack W. Rae‡, Erich Elsen‡ and Laurent Sifre</t>
  </si>
  <si>
    <t>Improving language models by retrieving from trillions of tokens</t>
  </si>
  <si>
    <t>https://arxiv.org/abs/2112.04426</t>
  </si>
  <si>
    <t>Retrieval Transformer</t>
  </si>
  <si>
    <t>MuZero VP9</t>
  </si>
  <si>
    <t>Other</t>
  </si>
  <si>
    <t>Video compression</t>
  </si>
  <si>
    <t>Amol Mandhane, Anton Zhernov, Maribeth Rauh, Chenjie Gu, Miaosen Wang, Flora Xue, Wendy Shang, Derek Pang, Rene Claus, Ching-Han Chiang, Cheng Chen, Jingning Han, Angie Chen, Daniel J. Mankowitz, Jackson Broshear, Julian Schrittwieser, Thomas Hubert, Oriol Vinyals, Timothy Mann</t>
  </si>
  <si>
    <t>MuZero with Self-competition for Rate Control in VP9 Video Compression</t>
  </si>
  <si>
    <t>https://arxiv.org/abs/2202.06626</t>
  </si>
  <si>
    <t>DeepNet</t>
  </si>
  <si>
    <t>Microsoft Research</t>
  </si>
  <si>
    <t>Hongyu Wang, Shuming Ma, Li Dong, Shaohan Huang, Dongdong Zhang, Furu Wei</t>
  </si>
  <si>
    <t>DeepNet: Scaling Transformers to 1,000 Layers</t>
  </si>
  <si>
    <t>https://arxiv.org/abs/2203.00555</t>
  </si>
  <si>
    <t>Statement Curriculum Learning</t>
  </si>
  <si>
    <t>Automated theorem proving</t>
  </si>
  <si>
    <t xml:space="preserve">Stanislas Polu, Jesse Michael Han, Kunhao Zheng, Mantas Baksys, Igor Babuschkin, Ilya Sutskever </t>
  </si>
  <si>
    <t>Formal Mathematics Statement Curriculum Learning</t>
  </si>
  <si>
    <t>https://arxiv.org/abs/2202.01344</t>
  </si>
  <si>
    <t>BaGuaLu</t>
  </si>
  <si>
    <t>Tsinghua University</t>
  </si>
  <si>
    <t>Zixuan Ma, Jiaao He, Jiezhong Qiu, Huanqi Cao, Yunawei Wang</t>
  </si>
  <si>
    <t>BaGuaLu: Targeting Brain Scale Pretrained Models with over 37 Million Cores</t>
  </si>
  <si>
    <t>https://dl.acm.org/doi/abs/10.1145/3503221.3508417</t>
  </si>
  <si>
    <t>DALL·E 2</t>
  </si>
  <si>
    <t>Aditya Ramesh, Prafulla Dhariwal, Alex Nichol, Casey Chu, Mark Chen</t>
  </si>
  <si>
    <t>Hierarchical Text-Conditional Image Generation with CLIP Latents</t>
  </si>
  <si>
    <t>https://cdn.openai.com/papers/dall-e-2.pdf</t>
  </si>
  <si>
    <t>CLIP, DALL-E</t>
  </si>
  <si>
    <t>Flamingo</t>
  </si>
  <si>
    <t>Jean-Baptiste Alayrac, Jeff Donahue, Pauline Luc, Antoine Miech, Iain Barr, Yana Hasson, Karel Lenc, Arthur Mensch, Katie Millican, Malcolm Reynolds, Roman Ring, Eliza Rutherford, Serkan Cabi, Tengda Han, Zhitao Gong, Sina Samangooei, Marianne Monteiro, Jacob Menick, Sebastian Borgeaud, Andrew Brock, Aida Nematzadeh, Sahand Sharifzadeh, Mikolaj Binkowski, Ricardo Barreira, Oriol Vinyals, Andrew Zisserman, Karen Simonyan</t>
  </si>
  <si>
    <t>Flamingo: a Visual Language Model for Few-Shot Learning</t>
  </si>
  <si>
    <t>https://arxiv.org/abs/2204.14198</t>
  </si>
  <si>
    <t>Jurassic-X</t>
  </si>
  <si>
    <t>AI21labs</t>
  </si>
  <si>
    <t>Ehud Karpas, Omri Abend, Yonatan Belinkov, Barak Lenz, Opher Lieber, Nir Ratner, Yoav Shoham, Hofit Bata, Yoav Levine, Kevin Leyton-Brown, Dor Muhlgay, Noam Rozen, Erez Schwartz, Gal Shachaf, Shai Shalev-Shwartz, Amnon Shashua, Moshe Tenenholtz</t>
  </si>
  <si>
    <t>MRKL Systems A modular, neuro-symbolic architecture that combines large language models, external knowledge sources and discrete reasoning</t>
  </si>
  <si>
    <t>https://www.ai21.com/blog/jurassic-x-crossing-the-neuro-symbolic-chasm-with-the-mrkl-system</t>
  </si>
  <si>
    <t>UL2</t>
  </si>
  <si>
    <t>Yi Tay, Mostafa Dehghani, Vinh Q. Tran, Xavier Garcia, Dara Bahri, Tal Schuster, Huaixiu Steven Zheng, Neil Houlsby, Donald Metzler</t>
  </si>
  <si>
    <t>Unifying Language Learning Paradigms</t>
  </si>
  <si>
    <t>https://arxiv.org/abs/2205.05131v1</t>
  </si>
  <si>
    <t>Imagen</t>
  </si>
  <si>
    <t>Chitwan Saharia, William Chan, Saurabh Saxena, Lala Li</t>
  </si>
  <si>
    <t>Photorealistic Text-to-Image Diffusion Models with Deep Language Understanding</t>
  </si>
  <si>
    <t>https://imagen.research.google/</t>
  </si>
  <si>
    <t>MetaLM</t>
  </si>
  <si>
    <t>Yaru Hao, Haoyu Song, Li Dong, Shaohan Huang, Zewen Chi, Wenhui Wang, Shuming Ma, Furu Wei</t>
  </si>
  <si>
    <t>Language Models are General-Purpose Interfaces</t>
  </si>
  <si>
    <t>https://arxiv.org/abs/2206.06336v1</t>
  </si>
  <si>
    <t>Make-A-Video</t>
  </si>
  <si>
    <t>Text-to-Video</t>
  </si>
  <si>
    <t>Uriel Singer, Adam Polyak, Thomas Hayes, Xi Yin, Jie An, Songyang Zhang, Qiyuan Hu, Harry Yang, Oron Ashual, Oran Gafni, Devi Parikh, Sonal Gupta, Yaniv Taigman</t>
  </si>
  <si>
    <t>Make-A-Video: Text-to-Video Generation without Text-Video Data</t>
  </si>
  <si>
    <t>https://arxiv.org/abs/2209.14792</t>
  </si>
  <si>
    <t>Galactica</t>
  </si>
  <si>
    <t>Ross Taylor, Marcin Kardas, Guillem Cucurull, Thomas Scialom, Anthony Hartshorn, Elvis Saravia, Andrew Poulton, Viktor Kerkez, Robert Stojnic</t>
  </si>
  <si>
    <t>Galactica: A Large Language Model for Science</t>
  </si>
  <si>
    <t>https://galactica.org/static/paper.pdf</t>
  </si>
  <si>
    <t>Galactica Corpus</t>
  </si>
  <si>
    <t>CICERO</t>
  </si>
  <si>
    <t>Games</t>
  </si>
  <si>
    <t>Diplomacy</t>
  </si>
  <si>
    <t>Human-level play in the game of Diplomacy by combining language models with strategic reasoning</t>
  </si>
  <si>
    <t>https://www.science.org/doi/10.1126/science.ade9097</t>
  </si>
  <si>
    <t>WebDiplomacy</t>
  </si>
  <si>
    <t>Imagen Video</t>
  </si>
  <si>
    <t>Google Brain</t>
  </si>
  <si>
    <t>Jonathan Ho, William Chan, Chitwan Saharia, Jay Whang, Ruiqi Gao, Alexey Gritsenko, Diederik P. Kingma, Ben Poole, Mohammad Norouzi, David J. Fleet, Tim Salimans</t>
  </si>
  <si>
    <t>Imagen Video: High Definition Video Generation with Diffusion Models</t>
  </si>
  <si>
    <t>https://arxiv.org/abs/2210.02303</t>
  </si>
  <si>
    <t>Megatron-LM (1T)</t>
  </si>
  <si>
    <t>Text autocompletion</t>
  </si>
  <si>
    <t>Stanford, Microsoft Research, NVIDIA</t>
  </si>
  <si>
    <t>Deepak Narayanan, Mohammad Shoeybi, Jared Casper, Patrick LeGresley, Mostofa Patwary, Vijay Korthikanti, Dmitri Vainbrand, Prethvi Kashinkunti, Julie Bernauer, Bryan Catanzaro, Amar Phanishayee, Matei Zaharia</t>
  </si>
  <si>
    <t>Efficient Large-Scale Language Model Training on GPU Clusters</t>
  </si>
  <si>
    <t>https://arxiv.org/abs/2104.04473</t>
  </si>
  <si>
    <t>Megatron-Turing NLG 530B</t>
  </si>
  <si>
    <t>Microsoft, NVIDIA</t>
  </si>
  <si>
    <t>Ali Alvi, Paresh Kharya</t>
  </si>
  <si>
    <t>Using DeepSpeed and Megatron to Train Megatron-Turing NLG 530B, the World’s Largest and Most Powerful Generative Language Model</t>
  </si>
  <si>
    <t>https://www.microsoft.com/en-us/research/blog/using-deepspeed-and-megatron-to-train-megatron-turing-nlg-530b-the-worlds-largest-and-most-powerful-generative-language-model/</t>
  </si>
  <si>
    <t>Pretrained general-purpose language models can achieve state-of-the-art accuracies in various natural language processing domains by adapting to downstream tasks via zero-shot, few-shot and fine-tuning techniques. Because of their success, the size of these models has increased rapidly, requiring high-performance hardware, software, and algorithmic techniques to enable training such large models. As the result of a joint effort between Microsoft and NVIDIA, we present details on the training of the largest monolithic transformer based language model, Megatron-Turing NLG 530B (MT-NLG), with 530 billion parameters. In this paper, we first focus on the infrastructure as well as the 3D parallelism methodology used to train this model using DeepSpeed and Megatron. Next, we detail the training process, the design of our training corpus, and our data curation techniques, which we believe is a key ingredient to the success of the model. Finally, we discuss various evaluation results, as well as other interesting observations and new properties exhibited by MT-NLG. We demonstrate that MT-NLG achieves superior zero-, one-, and few-shot learning accuracies on several NLP benchmarks and establishes new state-of-the-art results. We believe that our contributions will help further the development of large-scale training infrastructures, large-scale language models, and natural language generations.</t>
  </si>
  <si>
    <t>Gopher</t>
  </si>
  <si>
    <t>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and Geoffrey Irving</t>
  </si>
  <si>
    <t>Scaling Language Models: Methods, Analysis &amp; Insights from Training Gopher</t>
  </si>
  <si>
    <t>https://deepmind.com/blog/article/language-modelling-at-scale</t>
  </si>
  <si>
    <t>We enhance auto-regressive language models by conditioning on document chunks retrieved from a large corpus, based on local similarity with preceding tokens. With a 2 trillion token database, our Retrieval-Enhanced Transformer (RETRO) obtains comparable performance to GPT-3 and Jurassic-1 on the Pile, despite using 25× fewer parameters. After fine-tuning, RETRO performance translates to downstream knowledge-intensive tasks such as question answering. RETRO combines a frozen Bert retriever, a differentiable encoder and a chunked cross-attention mechanism to predict tokens based on an order of magnitude more data than what is typically consumed during training. We typically train RETRO from scratch, yet can also rapidly RETROfit pre-trained transformers with retrieval and still achieve good performance. Our work opens up new avenues for improving language models through explicit memory at unprecedented scale.</t>
  </si>
  <si>
    <t>Yuan 1.0</t>
  </si>
  <si>
    <t>Inspur</t>
  </si>
  <si>
    <t>Shaohua Wu, Xudong Zhao, Tong Yu, Rongguo Zhang, Chong Shen, Hongli Liu, Feng Li, Hong Zhu, Jiangang Luo, Liang Xu, Xuanwei Zhang, Jun Liu</t>
  </si>
  <si>
    <t>Yuan 1.0: Large-Scale Pre-trained Language Model in Zero-Shot and Few-Shot Learning</t>
  </si>
  <si>
    <t>https://arxiv.org/abs/2110.04725</t>
  </si>
  <si>
    <t>Recent work like GPT-3 has demonstrated excellent performance of Zero-Shot and Few-Shot learning on many natural language processing (NLP) tasks by scaling up model size, dataset size and the amount of computation. However, training a model like GPT-3 requires huge amount of computational resources which makes it challengeable to researchers. In this work, we propose a method that incorporates large-scale distributed training performance into model architecture design. With this method, Yuan 1.0, the current largest singleton language model with 245B parameters, achieves excellent performance on thousands GPUs during training, and the state-of-the-art results on NLP tasks. A data processing method is designed to efficiently filter massive amount of raw data. The current largest high-quality Chinese corpus with 5TB high quality texts is built based on this method. In addition, a calibration and label expansion method is proposed to improve the Zero-Shot and Few-Shot performance, and steady improvement is observed on the accuracy of various tasks. Yuan 1.0 presents strong capacity of natural language generation, and the generated articles are difficult to distinguish from the human-written ones.</t>
  </si>
  <si>
    <t>Jurassic-1-Jumbo</t>
  </si>
  <si>
    <t>AI21 Labs</t>
  </si>
  <si>
    <t>Opher Lieber, Or Sharir, Barak Lenz, Yoav Shoham</t>
  </si>
  <si>
    <t>Jurassic-1: Technical Details and Evaluation</t>
  </si>
  <si>
    <t>https://uploads-ssl.webflow.com/60fd4503684b466578c0d307/61138924626a6981ee09caf6_jurassic_tech_paper.pdf</t>
  </si>
  <si>
    <t>Jurassic-1 is a pair of auto-regressive language models recently released by AI21 Labs, consisting of J1-Jumbo, a 178B-parameter model, and J1-Large, a 7B-parameter model. We describe their architecture and training, and evaluate their performance relative to GPT-3. The evaluation is in terms of perplexity, as well as zero-shot and few-shot learning. To that end, we developed a zeroshot and few-shot test suite, which we made publicly available (https://github.com/ai21labs/ lm-evaluation) as a shared resource for the evaluation of mega language models.</t>
  </si>
  <si>
    <t>Source 1.0</t>
  </si>
  <si>
    <t>https://www.gwern.net/docs/ai/scaling/2021-10-11-xinzhiyuan-inspursource10gpt245b.html</t>
  </si>
  <si>
    <t>ALIGN</t>
  </si>
  <si>
    <t>Representation Learning</t>
  </si>
  <si>
    <t>Google AI</t>
  </si>
  <si>
    <t>ChaoJia,YinfeiYang,YeXia,Yi-TingChen,ZaranaParekh,HieuPham,QuocV.Le,YunhsuanSung, Zhen Li, and Tom Duerig</t>
  </si>
  <si>
    <t>Scaling up visual and vision-language representation learning with noisy text supervision</t>
  </si>
  <si>
    <t>https://arxiv.org/abs/2102.05918</t>
  </si>
  <si>
    <t>Pre-trained representations are becoming crucial for many NLP and perception tasks. While representation learning in NLP has transitioned to training on raw text without human annotations, visual and vision-language representations still rely heavily on curated training datasets that are expensive or require expert knowledge. For vision applications, representations are mostly learned using datasets with explicit class labels such as ImageNet or OpenImages. For vision-language, popular datasets like Conceptual Captions, MSCOCO, or CLIP all involve a non-trivial data collection (and cleaning) process. This costly curation process limits the size of datasets and hence hinders the scaling of trained models. In this paper, we leverage a noisy dataset of over one billion image alt-text pairs, obtained without expensive filtering or post-processing steps in the Conceptual Captions dataset. A simple dual-encoder architecture learns to align visual and language representations of the image and text pairs using a contrastive loss. We show that the scale of our corpus can make up for its noise and leads to state-of-the-art representations even with such a simple learning scheme. Our visual representation achieves strong performance when transferred to classification tasks such as ImageNet and VTAB. The aligned visual and language representations enables zero-shot image classification and also set new state-of-the-art results on Flickr30K and MSCOCO image-text retrieval benchmarks, even when compared with more sophisticated cross-attention models. The representations also enable cross-modality search with complex text and text + image queries.</t>
  </si>
  <si>
    <t>Meta Pseudo Labels</t>
  </si>
  <si>
    <t>Image Classification</t>
  </si>
  <si>
    <t>Google AI, Brain team</t>
  </si>
  <si>
    <t>Hieu Pham, Zihang Dai, Qizhe Xie, Minh-Thang Luong, and Quoc V. Le</t>
  </si>
  <si>
    <t>Meta pseudo labels</t>
  </si>
  <si>
    <t>https://arxiv.org/abs/2003.10580</t>
  </si>
  <si>
    <t>We present Meta Pseudo Labels, a semi-supervised learning method that achieves a new state-of-the-art top-1 accuracy of 90.2% on ImageNet, which is 1.6% better than the existing state-of-the-art. Like Pseudo Labels, Meta Pseudo Labels has a teacher network to generate pseudo labels on unlabeled data to teach a student network. However, unlike Pseudo Labels where the teacher is fixed, the teacher in Meta Pseudo Labels is constantly adapted by the feedback of the student's performance on the labeled dataset. As a result, the teacher generates better pseudo labels to teach the student. Our code will be available at this https URL.</t>
  </si>
  <si>
    <t>Switch</t>
  </si>
  <si>
    <t>William Fedus, Barret Zoph, Noam Shazeer</t>
  </si>
  <si>
    <t>Switch Transformers: Scaling to Trillion Parameter Models with Simple and Efficient Sparsity</t>
  </si>
  <si>
    <t>https://arxiv.org/abs/2101.03961</t>
  </si>
  <si>
    <t>Switch Transformer</t>
  </si>
  <si>
    <t xml:space="preserve">In deep learning, models typically reuse the same parameters for all inputs. Mixture of Experts (MoE) defies this and instead selects different parameters for each incoming example. The result is a sparsely-activated model -- with outrageous numbers of parameters -- but a constant computational cost. However, despite several notable successes of MoE, widespread adoption has been hindered by complexity, communication costs and training instability -- we address these with the Switch Transformer. We simplify the MoE routing algorithm and design intuitive improved models with reduced communication and computational costs. Our proposed training techniques help wrangle the instabilities and we show large sparse models may be trained, for the first time, with lower precision (bfloat16) formats. We design models based off T5-Base and T5-Large to obtain up to 7x increases in pre-training speed with the same computational resources. These improvements extend into multilingual settings where we measure gains over the mT5-Base version across all 101 languages. Finally, we advance the current scale of language models by pre-training up to trillion parameter models on the "Colossal Clean Crawled Corpus" and achieve a 4x speedup over the T5-XXL model.
</t>
  </si>
  <si>
    <t>GOAT</t>
  </si>
  <si>
    <t>Open ended play</t>
  </si>
  <si>
    <t>Open- Ended Learning Team</t>
  </si>
  <si>
    <t>Open-Ended Learning Leads to Generally Capable Agents</t>
  </si>
  <si>
    <t>https://deepmind.com/blog/article/generally-capable-agents-emerge-from-open-ended-play</t>
  </si>
  <si>
    <t>XLand</t>
  </si>
  <si>
    <t>In this work we create agents that can perform well beyond a single, individual task, that exhibit much wider generalisation of behaviour to a massive, rich space of challenges. We define a universe of tasks within an environment domain and demonstrate the ability to train agents that are generally capable across this vast space and beyond. The environment is natively multi-agent, spanning the continuum of competitive, cooperative, and independent games, which are situated within procedurally generated physical 3D worlds. The resulting space is exceptionally diverse in terms of the challenges posed to agents, and as such, even measuring the learning progress of an agent is an open research problem. We propose an iterative notion of improvement between successive generations of agents, rather than seeking to maximise a singular objective, allowing us to quantify progress despite tasks being incomparable in terms of achievable rewards. We show that through constructing an open-ended learning process, which dynamically changes the training task distributions and training objectives such that the agent never stops learning, we achieve consistent learning of new behaviours. The resulting agent is able to score reward in every one of our humanly solvable evaluation levels, with behaviour generalising to many held-out points in the universe of tasks. Examples of this zero-shot generalisation include good performance on Hide and Seek, Capture the Flag, and Tag. Through analysis and hand-authored probe tasks we characterise the behaviour of our agent, and find interesting emergent heuristic behaviours such as trial-and-error experimentation, simple tool use, option switching, and cooperation. Finally, we demonstrate that the general capabilities of this agent could unlock larger scale transfer of behaviour through cheap finetuning.</t>
  </si>
  <si>
    <t>ProtT5-XXL</t>
  </si>
  <si>
    <t>Proteins</t>
  </si>
  <si>
    <t>Technical University of Munich, Med AI Technology, Google AI, NVIDIA, Oak Ridge National Laboratory</t>
  </si>
  <si>
    <t>Industry - Academia Collaboration</t>
  </si>
  <si>
    <t>A Elnaggar, M Heinzinger, C Dallago, G Rihawi</t>
  </si>
  <si>
    <t>ProtTrans: Towards Cracking the Language of Life’s Code Through Self-Supervised Learning</t>
  </si>
  <si>
    <t>https://www.biorxiv.org/content/10.1101/2020.07.12.199554v3</t>
  </si>
  <si>
    <t>UniRef; BDF</t>
  </si>
  <si>
    <t>Computational biology and bioinformatics provide vast data gold-mines from protein sequences, ideal for Language Models taken from NLP. These LMs reach for new prediction frontiers at low inference costs. Here, we trained two auto-regressive models (Transformer-XL, XLNet) and four auto-encoder models (BERT, Albert, Electra, T5) on data from UniRef and BFD containing up to 393 billion amino acids. The LMs were trained on the Summit supercomputer using 5616 GPUs and TPU Pod up-to 1024 cores. Dimensionality reduction revealed that the raw protein LM-embeddings from unlabeled data captured some biophysical features of protein sequences. We validated the advantage of using the embeddings as exclusive input for several subsequent tasks. The first was a per-residue prediction of protein secondary structure (3-state accuracy Q3=81%-87%); the second were per-protein predictions of protein sub-cellular localization (ten-state accuracy: Q10=81%) and membrane vs. water-soluble (2-state accuracy Q2=91%). For the per-residue predictions the transfer of the most informative embeddings (ProtT5) for the first time outperformed the state-of-the-art without using evolutionary information thereby bypassing expensive database searches. Taken together, the results implied that protein LMs learned some of the grammar of the language of life. To facilitate future work, we released our models at https://github.com/agemagician/ProtTrans.</t>
  </si>
  <si>
    <t>HyperClova</t>
  </si>
  <si>
    <t>Naver Corp</t>
  </si>
  <si>
    <t>Hyperclova</t>
  </si>
  <si>
    <t>https://www.navercorp.com/promotion/pressReleasesView/30546</t>
  </si>
  <si>
    <t>PanGu-α</t>
  </si>
  <si>
    <t>PanGu-α team</t>
  </si>
  <si>
    <t>Wei Zeng, Xiaozhe Ren, Teng Su, Hui Wang, Yi LiaoZhiwei WangXin JiangZhenzhang YangKaisheng WangXiaoda ZhangChen LiZiyan GongYifan YaoXinjing HuangJun WangJianfeng YuQi GuoYue YuYan ZhangJin WangHengtao TaoDasen YanZexuan YiFang PengFangqing JiangHan ZhangLingfeng DengYehong ZhangZhe LinChao ZhangShaojie ZhangMingyue GuoShanzhi GuGaojun FanYaowei WangXuefeng JinQun LiuYonghong Tian</t>
  </si>
  <si>
    <t>PanGu-α: Large-scale Autoregressive Pretrained Chinese Language Models with Auto-parallel Computation</t>
  </si>
  <si>
    <t>https://arxiv.org/abs/2104.12369</t>
  </si>
  <si>
    <t>Custom dataset</t>
  </si>
  <si>
    <t>unidirectional transformer decoder</t>
  </si>
  <si>
    <t>Large-scale Pretrained Language Models (PLMs) have become the new paradigm for Natural Language Processing (NLP). PLMs with hundreds of billions parameters such as GPT-3 have demonstrated strong performances on natural language understanding and generation with \textit{few-shot in-context} learning. In this work, we present our practice on training large-scale autoregressive language models named PanGu-α, with up to 200 billion parameters. PanGu-α is developed under the MindSpore and trained on a cluster of 2048 Ascend 910 AI processors. The training parallelism strategy is implemented based on MindSpore Auto-parallel, which composes five parallelism dimensions to scale the training task to 2048 processors efficiently, including data parallelism, op-level model parallelism, pipeline model parallelism, optimizer model parallelism and rematerialization. To enhance the generalization ability of PanGu-α, we collect 1.1TB high-quality Chinese data from a wide range of domains to pretrain the model. We empirically test the generation ability of PanGu-α in various scenarios including text summarization, question answering, dialogue generation, etc. Moreover, we investigate the effect of model scales on the few-shot performances across a broad range of Chinese NLP tasks. The experimental results demonstrate the superior capabilities of PanGu-α in performing various tasks under few-shot or zero-shot settings.</t>
  </si>
  <si>
    <t>FLAN</t>
  </si>
  <si>
    <t>Jason Wei, Maarten Bosma, Vincent Y. Zhao, Kelvin Guu, Adams Wei Yu, Brian Lester, Nan Du, Andrew M. Dai, and Quoc V. Le</t>
  </si>
  <si>
    <t>FINETUNED LANGUAGE MODELS ARE ZERO-SHOT LEARNERS</t>
  </si>
  <si>
    <t>https://arxiv.org/pdf/2109.01652.pdf</t>
  </si>
  <si>
    <t>This paper explores a simple method for improving the zero-shot learning abilities of language models. We show that instruction tuning—finetuning language models on a collection of datasets described via instructions—substantially improves zeroshot performance on unseen tasks. We take a 137B parameter pretrained language model and instruction tune it on over 60 NLP datasets verbalized via natural language instruction templates. We evaluate this instruction-tuned model, which we call FLAN, on unseen task types. FLAN substantially improves the performance of its unmodified counterpart and surpasses zero-shot 175B GPT-3 on 20 of 25 datasets that we evaluate. FLAN even outperforms few-shot GPT-3 by a large margin on ANLI, RTE, BoolQ, AI2-ARC, OpenbookQA, and StoryCloze. Ablation studies reveal that number of finetuning datasets, model scale, and natural language instructions are key to the success of instruction tuning.</t>
  </si>
  <si>
    <t>DALL-E</t>
  </si>
  <si>
    <t>Aditya Ramesh, Mikhail Pavlov, Gabriel Goh, Scott Gray, Chelsea Voss, Alec Radford, Mark Chen, Ilya Sutskever</t>
  </si>
  <si>
    <t>Zero-Shot Text-to-Image Generation</t>
  </si>
  <si>
    <t>https://openai.com/blog/dall-e/</t>
  </si>
  <si>
    <t>Text-to-image generation has traditionally focused on finding better modeling assumptions for training on a fixed dataset. These assumptions might involve complex architectures, auxiliary losses, or side information such as object part labels or segmentation masks supplied during training. We describe a simple approach for this task based on a transformer that autoregressively models the text and image tokens as a single stream of data. With sufficient data and scale, our approach is competitive with previous domain-specific models when evaluated in a zero-shot fashion.</t>
  </si>
  <si>
    <t>PLUG</t>
  </si>
  <si>
    <t>Alibaba Group</t>
  </si>
  <si>
    <t>https://mp.weixin.qq.com/s/DAQomIkDa52Sef-ruyH5qg</t>
  </si>
  <si>
    <t>CogView</t>
  </si>
  <si>
    <t>Tsinghua University, DAMO academy Alibaba</t>
  </si>
  <si>
    <t>Industry - Academia Collaboration (Academia leaning)</t>
  </si>
  <si>
    <t>M Ding, Z Yang, W Hong, W Zheng, C Zhou</t>
  </si>
  <si>
    <t>CogView: Mastering Text-to-Image Generation via Transformers</t>
  </si>
  <si>
    <t>https://arxiv.org/abs/2105.13290</t>
  </si>
  <si>
    <t>Text-to-Image generation in the general domain has long been an open problem, which requires both a powerful generative model and cross-modal understanding. We propose CogView, a 4-billion-parameter Transformer with VQ-VAE tokenizer to advance this problem. We also demonstrate the finetuning strategies for various downstream tasks, e.g. style learning, super-resolution, text-image ranking and fashion design, and methods to stabilize pretraining, e.g. eliminating NaN losses. CogView achieves the state-of-the-art FID on the blurred MS COCO dataset, outperforming previous GAN-based models and a recent similar work DALL-E.</t>
  </si>
  <si>
    <t>T0-XXL</t>
  </si>
  <si>
    <t>Hugging Face, Brown University</t>
  </si>
  <si>
    <t>Industry - Academia collaboration</t>
  </si>
  <si>
    <t>Victor Sanh, Albert Webson, Colin Raffel, Stephen H. Bach, Lintang Sutawika, Zaid Alyafeai, Antoine Chaffin, Arnaud Stiegler, Teven Le Scao,  Arun Raja, Manan Dey, M Saiful Bari, Canwen Xu, Urmish Thakker, Shanya Sharma, Eliza Szczechla, Taewoon Kim, Gunjan Chhablani, Nihal V. Nayak, Debajyoti Datta, Jonathan Chang, Mike Tian-Jian Jiang, Han Wang, Matteo Manica, Sheng Shen, Zheng-Xin Yong, Harshit Pandey, Michael McKenna, Rachel Bawden, Thomas Wang, Trishala Neeraj, Jos Rozen, Abheesht Sharma, Andrea Santilli, Thibault Fevry, Jason Alan Fries, Ryan Teehan, Tali Bers, Stella Biderman, Leo Gao, Thomas Wolf, Alexander M. Rush</t>
  </si>
  <si>
    <t>15/10/2021</t>
  </si>
  <si>
    <t>https://arxiv.org/abs/2110.08207</t>
  </si>
  <si>
    <t>Large language models have recently been shown to attain reasonable zero-shot generalization on a diverse set of tasks (Brown et al., 2020). It has been hypothesized that this is a consequence of implicit multitask learning in language models' pretraining (Radford et al., 2019). Can zero-shot generalization instead be directly induced by explicit multitask learning? To test this question at scale, we develop a system for easily mapping any natural language tasks into a human-readable prompted form. We convert a large set of supervised datasets, each with multiple prompts with diverse wording. These prompted datasets allow for benchmarking the ability of a model to perform completely held-out tasks. We fine-tune a pretrained encoder-decoder model (Raffel et al., 2020; Lester et al., 2021) on this multitask mixture covering a wide variety of tasks. The model attains strong zero-shot performance on several standard datasets, often outperforming models up to 16x its size. Further, our approach attains strong performance on a subset of tasks from the BIG-bench benchmark, outperforming models up to 6x its size. All trained models are available at this https URL and all prompts are available at this https URL.</t>
  </si>
  <si>
    <t>GPT-J-6B</t>
  </si>
  <si>
    <t>Research collective</t>
  </si>
  <si>
    <t>Aran Komatsuzaki</t>
  </si>
  <si>
    <t>GPT-J-6B: 6B JAX-Based Transformer</t>
  </si>
  <si>
    <t>https://arankomatsuzaki.wordpress.com/2021/06/04/gpt-j/</t>
  </si>
  <si>
    <t>CLIP (ViT L/14@336px)</t>
  </si>
  <si>
    <t>Zero-shot image classification</t>
  </si>
  <si>
    <t>Open AI</t>
  </si>
  <si>
    <t>Alec Radford, Jong Wook Kim, Chris Hallacy, Aditya Ramesh, Gabriel Goh, Sandhini Agarwal, Girish Sastry, Amanda Askell, Pamela Mishkin, Jack Clark, Gretchen Krueger, Ilya Sutskever</t>
  </si>
  <si>
    <t>Learning Transferable Visual Models From Natural Language Supervision</t>
  </si>
  <si>
    <t>https://arxiv.org/abs/2103.00020</t>
  </si>
  <si>
    <t>Custom image-text pairs from the internet</t>
  </si>
  <si>
    <t>State-of-the-art computer vision systems are trained to predict a fixed set of predetermined object categories. This restricted form of supervision limits their generality and usability since additional labeled data is needed to specify any other visual concept. Learning directly from raw text about images is a promising alternative which leverages a much broader source of supervision. We demonstrate that the simple pre-training task of predicting which caption goes with which image is an efficient and scalable way to learn SOTA image representations from scratch on a dataset of 400 million (image, text) pairs collected from the internet. After pre-training, natural language is used to reference learned visual concepts (or describe new ones) enabling zero-shot transfer of the model to downstream tasks. We study the performance of this approach by benchmarking on over 30 different existing computer vision datasets, spanning tasks such as OCR, action recognition in videos, geo-localization, and many types of fine-grained object classification. The model transfers non-trivially to most tasks and is often competitive with a fully supervised baseline without the need for any dataset specific training. For instance, we match the accuracy of the original ResNet-50 on ImageNet zero-shot without needing to use any of the 1.28 million training examples it was trained on. We release our code and pre-trained model weights at this https URL.</t>
  </si>
  <si>
    <t>GPT-Neo</t>
  </si>
  <si>
    <t>https://www.eleuther.ai/projects/gpt-neo/</t>
  </si>
  <si>
    <t>Wu Dao - Wen Lan</t>
  </si>
  <si>
    <t>BAAI</t>
  </si>
  <si>
    <t>Non-profit</t>
  </si>
  <si>
    <t>China's GPT-3? BAAI Introduces Superscale Intelligence Model 'Wu Dao 1.0'</t>
  </si>
  <si>
    <t>https://medium.com/syncedreview/chinas-gpt-3-baai-introduces-superscale-intelligence-model-wu-dao-1-0-98a573fc4d70</t>
  </si>
  <si>
    <t>DeBERTa</t>
  </si>
  <si>
    <t>Microsoft</t>
  </si>
  <si>
    <t>Pengcheng He, Xiaodong Liu, Jianfeng Gao, Weizhu Chen</t>
  </si>
  <si>
    <t>DeBERTa: Decoding-enhanced BERT with Disentangled Attention</t>
  </si>
  <si>
    <t>https://arxiv.org/abs/2006.03654</t>
  </si>
  <si>
    <t xml:space="preserve">160 (pretraining), </t>
  </si>
  <si>
    <t>Recent progress in pre-trained neural language models has significantly improved the performance of many natural language processing (NLP) tasks. In this paper we propose a new model architecture DeBERTa (Decoding-enhanced BERT with disentangled attention) that improves the BERT and RoBERTa models using two novel techniques. The first is the disentangled attention mechanism, where each word is represented using two vectors that encode its content and position, respectively, and the attention weights among words are computed using disentangled matrices on their contents and relative positions, respectively. Second, an enhanced mask decoder is used to incorporate absolute positions in the decoding layer to predict the masked tokens in model pre-training. In addition, a new virtual adversarial training method is used for fine-tuning to improve models' generalization. We show that these techniques significantly improve the efficiency of model pre-training and the performance of both natural language understanding (NLU) and natural langauge generation (NLG) downstream tasks. Compared to RoBERTa-Large, a DeBERTa model trained on half of the training data performs consistently better on a wide range of NLP tasks, achieving improvements on MNLI by +0.9% (90.2% vs. 91.1%), on SQuAD v2.0 by +2.3% (88.4% vs. 90.7%) and RACE by +3.6% (83.2% vs. 86.8%). Notably, we scale up DeBERTa by training a larger version that consists of 48 Transform layers with 1.5 billion parameters. The significant performance boost makes the single DeBERTa model surpass the human performance on the SuperGLUE benchmark (Wang et al., 2019a) for the first time in terms of macro-average score (89.9 versus 89.8), and the ensemble DeBERTa model sits atop the SuperGLUE leaderboard as of January 6, 2021, out performing the human baseline by a decent margin (90.3 versus 89.8).</t>
  </si>
  <si>
    <t>HuBERT</t>
  </si>
  <si>
    <t>Facebook AI Research</t>
  </si>
  <si>
    <t>Wei-Ning Hsu, Benjamin Bolte, Yao-Hung Hubert Tsai, Kushal Lakhotia, Ruslan Salakhutdinov, Abdelrahman Mohamed</t>
  </si>
  <si>
    <t>HuBERT: Self-Supervised Speech Representation Learning by Masked Prediction of Hidden Units</t>
  </si>
  <si>
    <t>https://arxiv.org/abs/2106.07447</t>
  </si>
  <si>
    <t>LibriSpeech</t>
  </si>
  <si>
    <t>Self-supervised approaches for speech representation learning are challenged by three unique problems: (1) there are multiple sound units in each input utterance, (2) there is no lexicon of input sound units during the pre-training phase, and (3) sound units have variable lengths with no explicit segmentation. To deal with these three problems, we propose the Hidden-Unit BERT (HuBERT) approach for self-supervised speech representation learning, which utilizes an offline clustering step to provide aligned target labels for a BERT-like prediction loss. A key ingredient of our approach is applying the prediction loss over the masked regions only, which forces the model to learn a combined acoustic and language model over the continuous inputs. HuBERT relies primarily on the consistency of the unsupervised clustering step rather than the intrinsic quality of the assigned cluster labels. Starting with a simple k-means teacher of 100 clusters, and using two iterations of clustering, the HuBERT model either matches or improves upon the state-of-the-art wav2vec 2.0 performance on the Librispeech (960h) and Libri-light (60,000h) benchmarks with 10min, 1h, 10h, 100h, and 960h fine-tuning subsets. Using a 1B parameter model, HuBERT shows up to 19% and 13% relative WER reduction on the more challenging dev-other and test-other evaluation subsets.</t>
  </si>
  <si>
    <t>M6-10T</t>
  </si>
  <si>
    <t>Alibaba</t>
  </si>
  <si>
    <t>Junyang Lin, An Yang, Jinze Bai, Chang Zhou, Le Jiang, Xianyan Jia, Ang Wang, Jie Zhang, Yong Li, Wei Lin, Jingren Zhou, Hongxia Yang</t>
  </si>
  <si>
    <t>M6-10T: A Sharing-Delinking Paradigm for Efficient Multi-Trillion Parameter Pretraining</t>
  </si>
  <si>
    <t>https://arxiv.org/abs/2110.03888</t>
  </si>
  <si>
    <t>BookCorpus; English Wikipedia</t>
  </si>
  <si>
    <t>Recent expeditious developments in deep learning algorithms, distributed training, and even hardware design for large models have enabled training extreme-scale models, say GPT-3 and Switch Transformer possessing hundreds of billions or even trillions of parameters. However, under limited resources, extreme-scale model training that requires enormous amounts of computes and memory footprint suffers from frustratingly low efficiency in model convergence. In this paper, we propose a simple training strategy called "Pseudo-to-Real" for high-memory-footprint-required large models. Pseudo-to-Real is compatible with large models with architecture of sequential layers. We demonstrate a practice of pretraining unprecedented 10-trillion-parameter model, an order of magnitude larger than the state-of-the-art, on solely 512 GPUs within 10 days. Besides demonstrating the application of Pseudo-to-Real, we also provide a technique, Granular CPU offloading, to manage CPU memory for training large model and maintain high GPU utilities. Fast training of extreme-scale models on a decent amount of resources can bring much smaller carbon footprint and contribute to greener AI.</t>
  </si>
  <si>
    <t>NÜWA</t>
  </si>
  <si>
    <t>Microsoft Research, Peking University</t>
  </si>
  <si>
    <t>Chenfei Wu, Jian Liang, Lei Ji, Fan Yang, Yuejian Fang, Daxin Jiang, Nan Duan</t>
  </si>
  <si>
    <t>NÜWA: Visual Synthesis Pre-training for Neural visUal World creAtion</t>
  </si>
  <si>
    <t>https://arxiv.org/abs/2111.12417</t>
  </si>
  <si>
    <t>Conceptual Captions, Moments in Time, VATEX</t>
  </si>
  <si>
    <t>This paper presents a unified multimodal pre-trained model called NÜWA that can generate new or manipulate existing visual data (i.e., images and videos) for various visual synthesis tasks. To cover language, image, and video at the same time for different scenarios, a 3D transformer encoder-decoder framework is designed, which can not only deal with videos as 3D data but also adapt to texts and images as 1D and 2D data, respectively. A 3D Nearby Attention (3DNA) mechanism is also proposed to consider the nature of the visual data and reduce the computational complexity. We evaluate NÜWA on 8 downstream tasks. Compared to several strong baselines, NÜWA achieves state-of-the-art results on text-to-image generation, text-to-video generation, video prediction, etc. Furthermore, it also shows surprisingly good zero-shot capabilities on text-guided image and video manipulation tasks. Project repo is this https URL.</t>
  </si>
  <si>
    <t>SEER</t>
  </si>
  <si>
    <t>Facebook AI Research, Inria</t>
  </si>
  <si>
    <t>Priya Goyal, Mathilde Caron, Benjamin Lefaudeux, Min Xu, Pengchao Wang, Vivek Pai, Mannat Singh, Vitaliy Liptchinsky, Ishan Misra, Armand Joulin, Piotr Bojanowski</t>
  </si>
  <si>
    <t>Self-supervised Pretraining of Visual Features in the Wild</t>
  </si>
  <si>
    <t>https://arxiv.org/abs/2103.01988</t>
  </si>
  <si>
    <t>Recently, self-supervised learning methods like MoCo, SimCLR, BYOL and SwAV have reduced the gap with supervised methods. These results have been achieved in a control environment, that is the highly curated ImageNet dataset. However, the premise of self-supervised learning is that it can learn from any random image and from any unbounded dataset. In this work, we explore if self-supervision lives to its expectation by training large models on random, uncurated images with no supervision. Our final SElf-supERvised (SEER) model, a RegNetY with 1.3B parameters trained on 1B random images with 512 GPUs achieves 84.2% top-1 accuracy, surpassing the best self-supervised pretrained model by 1% and confirming that self-supervised learning works in a real world setting. Interestingly, we also observe that self-supervised models are good few-shot learners achieving 77.9% top-1 with access to only 10% of ImageNet. Code: this https URL</t>
  </si>
  <si>
    <t>ViT-G/14</t>
  </si>
  <si>
    <t>X Zhai, A Kolesnikov, N Houlsby, L Beyer</t>
  </si>
  <si>
    <t>Scaling Vision Transformers</t>
  </si>
  <si>
    <t>https://arxiv.org/abs/2106.04560</t>
  </si>
  <si>
    <t>JFT-3B</t>
  </si>
  <si>
    <t>Yes?</t>
  </si>
  <si>
    <t>Attention-based neural networks such as the Vision Transformer (ViT) have recently attained state-of-the-art results on many computer vision benchmarks. Scale is a primary ingredient in attaining excellent results, therefore, understanding a model's scaling properties is a key to designing future generations effectively. While the laws for scaling Transformer language models have been studied, it is unknown how Vision Transformers scale. To address this, we scale ViT models and data, both up and down, and characterize the relationships between error rate, data, and compute. Along the way, we refine the architecture and training of ViT, reducing memory consumption and increasing accuracy of the resulting models. As a result, we successfully train a ViT model with two billion parameters, which attains a new state-of-the-art on ImageNet of 90.45% top-1 accuracy. The model also performs well for few-shot transfer, for example, reaching 84.86% top-1 accuracy on ImageNet with only 10 examples per class.</t>
  </si>
  <si>
    <t>NEO (DL:RM-2022)</t>
  </si>
  <si>
    <t>Recommendation</t>
  </si>
  <si>
    <t>Facebook</t>
  </si>
  <si>
    <t>D Mudigere, Y Hao, J Huang, A Tulloch</t>
  </si>
  <si>
    <t>Software-Hardware Co-design for Fast and Scalable Training of Deep Learning Recommendation Models</t>
  </si>
  <si>
    <t>https://arxiv.org/abs/2104.05158</t>
  </si>
  <si>
    <t>Deep learning recommendation models (DLRMs) are used across many business-critical services at Facebook 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40X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t>
  </si>
  <si>
    <t>Wu Dao - Wen Yuan</t>
  </si>
  <si>
    <t>PAGnol-XL</t>
  </si>
  <si>
    <t>LightOn, LPENS</t>
  </si>
  <si>
    <t>Julien Launay, E.L. Tommasone, Baptiste Pannier, François Boniface, Amélie Chatelain, Alessandro Cappelli, Iacopo Poli, Djamé Seddah</t>
  </si>
  <si>
    <t>16/10/2021</t>
  </si>
  <si>
    <t>https://arxiv.org/pdf/2110.08554.pdf</t>
  </si>
  <si>
    <t>Access to large pre-trained models of varied architectures, in many different languages, is central to the democratization of NLP. We introduce PAGnol, a collection of French GPT models. Using scaling laws, we efficiently train PAGnol-XL (1.5B parameters) with the same computational budget as CamemBERT, a model 13 times smaller. PAGnol-XL is the largest model trained to date for the French language. We plan to train increasingly large and performing versions of PAGnol, exploring the capabilities of French extreme-scale models. For this first release, we focus on the pretraining and scaling calculations underlining PAGnol. We fit a scaling law for compute for the French language, and compare it with its English counterpart. We find the pre-training dataset significantly conditions the quality of the outputs, with common datasets such as OSCAR leading to low-quality offensive text. We evaluate our models on discriminative and generative tasks in French, comparing to other state-of-the-art French and multilingual models, and reaching the state of the art in the abstract summarization task. Our research was conducted on the public GENCI Jean Zay supercomputer, and our models up to the Large are made publicly available.</t>
  </si>
  <si>
    <t>Wu Dao - Wen Hui</t>
  </si>
  <si>
    <t>Transformer local-attention (NesT-B)</t>
  </si>
  <si>
    <t>Google cloud AI, Google research, Rutgers University</t>
  </si>
  <si>
    <t>Industry - Academia Collaboration (Industry Leaning)</t>
  </si>
  <si>
    <r>
      <rPr>
        <sz val="10"/>
        <color rgb="FF000000"/>
        <rFont val="Roboto Condensed"/>
        <charset val="134"/>
      </rPr>
      <t>Zizhao Zhang</t>
    </r>
    <r>
      <rPr>
        <sz val="10"/>
        <color rgb="FF000000"/>
        <rFont val="Roboto Condensed"/>
        <charset val="134"/>
      </rPr>
      <t xml:space="preserve">, </t>
    </r>
    <r>
      <rPr>
        <sz val="10"/>
        <color rgb="FF000000"/>
        <rFont val="Roboto Condensed"/>
        <charset val="134"/>
      </rPr>
      <t>Han Zhang</t>
    </r>
    <r>
      <rPr>
        <sz val="10"/>
        <color rgb="FF000000"/>
        <rFont val="Roboto Condensed"/>
        <charset val="134"/>
      </rPr>
      <t xml:space="preserve">, </t>
    </r>
    <r>
      <rPr>
        <sz val="10"/>
        <color rgb="FF000000"/>
        <rFont val="Roboto Condensed"/>
        <charset val="134"/>
      </rPr>
      <t>Long Zhao</t>
    </r>
    <r>
      <rPr>
        <sz val="10"/>
        <color rgb="FF000000"/>
        <rFont val="Roboto Condensed"/>
        <charset val="134"/>
      </rPr>
      <t xml:space="preserve">, </t>
    </r>
    <r>
      <rPr>
        <sz val="10"/>
        <color rgb="FF000000"/>
        <rFont val="Roboto Condensed"/>
        <charset val="134"/>
      </rPr>
      <t>Ting Chen</t>
    </r>
    <r>
      <rPr>
        <sz val="10"/>
        <color rgb="FF000000"/>
        <rFont val="Roboto Condensed"/>
        <charset val="134"/>
      </rPr>
      <t>, Tomas Pfister</t>
    </r>
  </si>
  <si>
    <t>Nested Hierarchical Transformer: Towards Accurate, Data-Efficient and Interpretable Visual Understanding</t>
  </si>
  <si>
    <t>https://arxiv.org/abs/2105.12723v4</t>
  </si>
  <si>
    <t>Highly cited</t>
  </si>
  <si>
    <t>Imagenet-1k</t>
  </si>
  <si>
    <t>Hierarchical structures are popular in recent vision transformers, however, they require sophisticated designs and massive datasets to work well. In this paper, we explore the idea of nesting basic local transformers on non-overlapping image blocks and aggregating them in a hierarchical way. We find that the block aggregation function plays a critical role in enabling cross-block non-local information communication. This observation leads us to design a simplified architecture that requires minor code changes upon the original vision transformer. The benefits of the proposed judiciously-selected design are threefold: (1) NesT converges faster and requires much less training data to achieve good generalization on both ImageNet and small datasets like CIFAR; (2) when extending our key ideas to image generation, NesT leads to a strong decoder that is 8× faster than previous transformer-based generators; and (3) we show that decoupling the feature learning and abstraction processes via this nested hierarchy in our design enables constructing a novel method (named GradCAT) for visually interpreting the learned model. Source code is available this https URL.</t>
  </si>
  <si>
    <t>ERNIE 3.0</t>
  </si>
  <si>
    <t xml:space="preserve">Baidu Inc. </t>
  </si>
  <si>
    <t>Y Sun, S Wang, S Feng, S Ding, C Pang</t>
  </si>
  <si>
    <t>ERNIE 3.0: Large-scale Knowledge Enhanced Pre-training for Language Understanding and Generation</t>
  </si>
  <si>
    <t>http://research.baidu.com/Blog/index-view?id=160</t>
  </si>
  <si>
    <t>Transformer-XL: Transformer with auxilary recurrence memory module</t>
  </si>
  <si>
    <t>Denoising Diffusion Probabilistic Models (LSUN Bedroom)</t>
  </si>
  <si>
    <t>UC Berkeley</t>
  </si>
  <si>
    <t>Jonathan Ho, Ajay Jain, Pieter Abbeel</t>
  </si>
  <si>
    <t>Denoising Diffusion Probabilistic Models</t>
  </si>
  <si>
    <t>https://arxiv.org/abs/2006.11239</t>
  </si>
  <si>
    <t>PCL-BAIDU Wenxin (ERNIE 3.0 Titan)</t>
  </si>
  <si>
    <t>Baidu</t>
  </si>
  <si>
    <t>Shuohuan Wang, Yu Sun, Yang Xiang, Zhihua Wu, Siyu Ding, Weibao Gong, Shikun Feng</t>
  </si>
  <si>
    <t>ERNIE 3.0 Titan: Exploring Larger-scale Knowledge Enhanced Pre-training for Language Understanding and Generation</t>
  </si>
  <si>
    <t>https://arxiv.org/abs/2112.12731</t>
  </si>
  <si>
    <t xml:space="preserve"> ERNIE 3.0 Corpus</t>
  </si>
  <si>
    <t>CLIP (ResNet-50)</t>
  </si>
  <si>
    <t>BigSSL</t>
  </si>
  <si>
    <t>Audio speech recognition</t>
  </si>
  <si>
    <t>Google, Apple</t>
  </si>
  <si>
    <t>Yu Zhang,  Daniel S. Park, Wei Han,James Qin, Anmol Gulati, Joel Shor, Aren Jansen, Yuanzhong Xu, Yanping Huang, Shibo Wang, Zongwei Zhou, Bo Li, Min Ma, William Chan, Jiahui Yu, Yongqiang Wang, Liangliang Cao, Khe Chai Sim, Bhuvana Ramabhadran, Tara N. Sainath, Françoise Beaufays, Zhifeng Chen, Quoc V. Le, Chung-Cheng Chiu, Ruoming Pang and Yonghui Wu</t>
  </si>
  <si>
    <t>BigSSL: Exploring the Frontier of Large-Scale Semi-Supervised Learning for Automatic Speech Recognition</t>
  </si>
  <si>
    <t>https://arxiv.org/abs/2109.13226</t>
  </si>
  <si>
    <t>Rational DQN Average</t>
  </si>
  <si>
    <t>Atari Games</t>
  </si>
  <si>
    <t>TU Darmstadt</t>
  </si>
  <si>
    <t>Q Delfosse, P Schramowski, A Molina</t>
  </si>
  <si>
    <t>Recurrent Rational Networks</t>
  </si>
  <si>
    <t>https://openreview.net/forum?id=gnRmI8TatHV</t>
  </si>
  <si>
    <t>M6-10B</t>
  </si>
  <si>
    <t>Tsinghua University, Alibaba Group</t>
  </si>
  <si>
    <t>J Lin, R Men, A Yang, C Zhou, M Ding, Y Zhang</t>
  </si>
  <si>
    <t>M6: A Chinese Multimodal Pretrainer</t>
  </si>
  <si>
    <t>https://arxiv.org/abs/2103.00823</t>
  </si>
  <si>
    <t>M6-100B</t>
  </si>
  <si>
    <t>Wu Dao - Wen Su</t>
  </si>
  <si>
    <t>Generative BST</t>
  </si>
  <si>
    <t>Stephen Roller, Emily Dinan, Naman Goyal, Da Ju, Mary Williamson, Yinhan Liu, Jing Xu, Myle Ott, Kurt Shuster, Eric M. Smith, Y-Lan Boureau, Jason Weston</t>
  </si>
  <si>
    <t>Recipes for building an open-domain chatbot</t>
  </si>
  <si>
    <t>https://arxiv.org/abs/2004.13637</t>
  </si>
  <si>
    <t>M6-T</t>
  </si>
  <si>
    <t>An Yang, Junyang Lin, Rui Men, Chang Zhou, Le Jiang, Xianyan Jia, Ang Wang, Jie Zhang, Jiamang Wang, Yong Li, Di Zhang, Wei Lin, Lin Qu, Jingren Zhou, Hongxia Yang</t>
  </si>
  <si>
    <t>M6-T: Exploring Sparse Expert Models and Beyond</t>
  </si>
  <si>
    <t>https://arxiv.org/abs/2105.15082</t>
  </si>
  <si>
    <t>M6-Corpus</t>
  </si>
  <si>
    <t>DLRM-12T</t>
  </si>
  <si>
    <t>Facebook AI</t>
  </si>
  <si>
    <t>Dheevatsa Mudigere, Yuchen Hao, Jianyu Huang, Andrew Tulloch, Srinivas Sridharan, Xing Liu, Mustafa Ozdal, Jade Nie, Jongsoo Park, Liang Luo, Jie Amy Yang, Leon Gao, Dmytro Ivchenko, Aarti Basant, Yuxi Hu, Jiyan Yang, Ehsan K. Ardestani, Xiaodong Wang, Rakesh Komuravelli, Ching-Hsiang Chu, Serhat Yilmaz, Huayu Li, Jiyuan Qian, Zhuobo Feng, Yinbin Ma, Junjie Yang, Ellie Wen, Hong Li, Lin Yang, Chonglin Sun, Whitney Zhao, Dimitry Melts, Krishna Dhulipala, KR Kishore, Tyler Graf, Assaf Eisenman, Kiran Kumar Matam, Adi Gangidi, Guoqiang Jerry Chen, Manoj Krishnan, Avinash Nayak, Krishnakumar Nair, Bharath Muthiah, Mahmoud khorashadi, Pallab Bhattacharya, Petr Lapukhov, Maxim Naumov, Lin Qiao, Mikhail Smelyanskiy, Bill Jia, Vijay Rao</t>
  </si>
  <si>
    <t>Wu Dao 2.0</t>
  </si>
  <si>
    <t>A Tarantola</t>
  </si>
  <si>
    <t>China's gigantic multi-modal AI is no one-trick pony</t>
  </si>
  <si>
    <t>https://www.engadget.com/chinas-gigantic-multi-modal-ai-is-no-one-trick-pony-211414388.html</t>
  </si>
  <si>
    <t>Codex</t>
  </si>
  <si>
    <t>Code autocompletion</t>
  </si>
  <si>
    <t xml:space="preserve">Mark Chen , Jerry Tworek, Heewoo Jun, Qiming Yuan, Henrique Ponde de Oliveira Pinto, Jared Kaplan, Harri Edwards, Yuri Burda, Nicholas Joseph, Greg Brockman, Alex Ray, Raul Puri, Gretchen Krueger,  Michael Petrov, Heidy Khlaaf, Girish Sastry, Pamela Mishkin, Brooke Chan, Scott Gray, Nick Ryder, Mikhail Pavlov, Alethea Power, Lukasz Kaiser, Clemens Winter, Philippe Tillet, Felipe Petroski Such, Dave Cummings, Fotios Chantzis, Elizabeth Barnes, Ariel Herbert-Voss, William Hebgen Guss,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 </t>
  </si>
  <si>
    <t>Evaluating Large Language Models Trained on Code</t>
  </si>
  <si>
    <t>https://openai.com/blog/openai-codex/</t>
  </si>
  <si>
    <t>XLMR-XXL</t>
  </si>
  <si>
    <t>Naman Goyal, Jingfei Du, Myle Ott, Giri Anantharaman, Alexis Conneau</t>
  </si>
  <si>
    <t>Larger-Scale Transformers for Multilingual Masked Language Modeling</t>
  </si>
  <si>
    <t>https://arxiv.org/abs/2105.00572</t>
  </si>
  <si>
    <t>CC100</t>
  </si>
  <si>
    <t>Jason Wei, Maarten Bosma, Vincent Y. Zhao, Kelvin Guu, Adams Wei Yu, Brian Lester, Nan Du, Andrew M. Dai, Quoc V. Le</t>
  </si>
  <si>
    <t>Finetuned Language Models Are Zero-Shot Learners</t>
  </si>
  <si>
    <t>https://arxiv.org/abs/2109.01652</t>
  </si>
  <si>
    <t>MEB</t>
  </si>
  <si>
    <t>Search</t>
  </si>
  <si>
    <t>Microsoft Bing</t>
  </si>
  <si>
    <t>W Liu, Z Wang, X Liu, N Zeng, Y Liu, FE Alsaadi</t>
  </si>
  <si>
    <t>Make Every feature Binary: A 135B parameter sparse neural network for massively improved search relevance</t>
  </si>
  <si>
    <t>https://www.microsoft.com/en-us/research/blog/make-every-feature-binary-a-135b-parameter-sparse-neural-network-for-massively-improved-search-relevance/</t>
  </si>
  <si>
    <t>Hugging Face, Brown University, BigScience</t>
  </si>
  <si>
    <r>
      <rPr>
        <sz val="10"/>
        <color rgb="FF000000"/>
        <rFont val="Roboto Condensed"/>
        <charset val="134"/>
      </rPr>
      <t>Victor Sanh</t>
    </r>
    <r>
      <rPr>
        <sz val="10"/>
        <color rgb="FF000000"/>
        <rFont val="Roboto Condensed"/>
        <charset val="134"/>
      </rPr>
      <t xml:space="preserve">, </t>
    </r>
    <r>
      <rPr>
        <sz val="10"/>
        <color rgb="FF000000"/>
        <rFont val="Roboto Condensed"/>
        <charset val="134"/>
      </rPr>
      <t>Albert Webson</t>
    </r>
    <r>
      <rPr>
        <sz val="10"/>
        <color rgb="FF000000"/>
        <rFont val="Roboto Condensed"/>
        <charset val="134"/>
      </rPr>
      <t xml:space="preserve">, </t>
    </r>
    <r>
      <rPr>
        <sz val="10"/>
        <color rgb="FF000000"/>
        <rFont val="Roboto Condensed"/>
        <charset val="134"/>
      </rPr>
      <t>Colin Raffel</t>
    </r>
    <r>
      <rPr>
        <sz val="10"/>
        <color rgb="FF000000"/>
        <rFont val="Roboto Condensed"/>
        <charset val="134"/>
      </rPr>
      <t xml:space="preserve">, </t>
    </r>
    <r>
      <rPr>
        <sz val="10"/>
        <color rgb="FF000000"/>
        <rFont val="Roboto Condensed"/>
        <charset val="134"/>
      </rPr>
      <t>Stephen H. Bach</t>
    </r>
    <r>
      <rPr>
        <sz val="10"/>
        <color rgb="FF000000"/>
        <rFont val="Roboto Condensed"/>
        <charset val="134"/>
      </rPr>
      <t xml:space="preserve">, </t>
    </r>
    <r>
      <rPr>
        <sz val="10"/>
        <color rgb="FF000000"/>
        <rFont val="Roboto Condensed"/>
        <charset val="134"/>
      </rPr>
      <t>Lintang Sutawika</t>
    </r>
    <r>
      <rPr>
        <sz val="10"/>
        <color rgb="FF000000"/>
        <rFont val="Roboto Condensed"/>
        <charset val="134"/>
      </rPr>
      <t xml:space="preserve">, </t>
    </r>
    <r>
      <rPr>
        <sz val="10"/>
        <color rgb="FF000000"/>
        <rFont val="Roboto Condensed"/>
        <charset val="134"/>
      </rPr>
      <t>Zaid Alyafeai</t>
    </r>
    <r>
      <rPr>
        <sz val="10"/>
        <color rgb="FF000000"/>
        <rFont val="Roboto Condensed"/>
        <charset val="134"/>
      </rPr>
      <t xml:space="preserve">, </t>
    </r>
    <r>
      <rPr>
        <sz val="10"/>
        <color rgb="FF000000"/>
        <rFont val="Roboto Condensed"/>
        <charset val="134"/>
      </rPr>
      <t>Antoine Chaffin</t>
    </r>
    <r>
      <rPr>
        <sz val="10"/>
        <color rgb="FF000000"/>
        <rFont val="Roboto Condensed"/>
        <charset val="134"/>
      </rPr>
      <t xml:space="preserve">, </t>
    </r>
    <r>
      <rPr>
        <sz val="10"/>
        <color rgb="FF000000"/>
        <rFont val="Roboto Condensed"/>
        <charset val="134"/>
      </rPr>
      <t>Arnaud Stiegler</t>
    </r>
    <r>
      <rPr>
        <sz val="10"/>
        <color rgb="FF000000"/>
        <rFont val="Roboto Condensed"/>
        <charset val="134"/>
      </rPr>
      <t xml:space="preserve">, </t>
    </r>
    <r>
      <rPr>
        <sz val="10"/>
        <color rgb="FF000000"/>
        <rFont val="Roboto Condensed"/>
        <charset val="134"/>
      </rPr>
      <t>Teven Le Scao</t>
    </r>
    <r>
      <rPr>
        <sz val="10"/>
        <color rgb="FF000000"/>
        <rFont val="Roboto Condensed"/>
        <charset val="134"/>
      </rPr>
      <t xml:space="preserve">, </t>
    </r>
    <r>
      <rPr>
        <sz val="10"/>
        <color rgb="FF000000"/>
        <rFont val="Roboto Condensed"/>
        <charset val="134"/>
      </rPr>
      <t>Arun Raja</t>
    </r>
    <r>
      <rPr>
        <sz val="10"/>
        <color rgb="FF000000"/>
        <rFont val="Roboto Condensed"/>
        <charset val="134"/>
      </rPr>
      <t xml:space="preserve">, </t>
    </r>
    <r>
      <rPr>
        <sz val="10"/>
        <color rgb="FF000000"/>
        <rFont val="Roboto Condensed"/>
        <charset val="134"/>
      </rPr>
      <t>Manan Dey</t>
    </r>
    <r>
      <rPr>
        <sz val="10"/>
        <color rgb="FF000000"/>
        <rFont val="Roboto Condensed"/>
        <charset val="134"/>
      </rPr>
      <t xml:space="preserve">, </t>
    </r>
    <r>
      <rPr>
        <sz val="10"/>
        <color rgb="FF000000"/>
        <rFont val="Roboto Condensed"/>
        <charset val="134"/>
      </rPr>
      <t>M Saiful Bari</t>
    </r>
    <r>
      <rPr>
        <sz val="10"/>
        <color rgb="FF000000"/>
        <rFont val="Roboto Condensed"/>
        <charset val="134"/>
      </rPr>
      <t xml:space="preserve">, </t>
    </r>
    <r>
      <rPr>
        <sz val="10"/>
        <color rgb="FF000000"/>
        <rFont val="Roboto Condensed"/>
        <charset val="134"/>
      </rPr>
      <t>Canwen Xu</t>
    </r>
    <r>
      <rPr>
        <sz val="10"/>
        <color rgb="FF000000"/>
        <rFont val="Roboto Condensed"/>
        <charset val="134"/>
      </rPr>
      <t xml:space="preserve">, </t>
    </r>
    <r>
      <rPr>
        <sz val="10"/>
        <color rgb="FF000000"/>
        <rFont val="Roboto Condensed"/>
        <charset val="134"/>
      </rPr>
      <t>Urmish Thakker</t>
    </r>
    <r>
      <rPr>
        <sz val="10"/>
        <color rgb="FF000000"/>
        <rFont val="Roboto Condensed"/>
        <charset val="134"/>
      </rPr>
      <t xml:space="preserve">, </t>
    </r>
    <r>
      <rPr>
        <sz val="10"/>
        <color rgb="FF000000"/>
        <rFont val="Roboto Condensed"/>
        <charset val="134"/>
      </rPr>
      <t>Shanya Sharma Sharma</t>
    </r>
    <r>
      <rPr>
        <sz val="10"/>
        <color rgb="FF000000"/>
        <rFont val="Roboto Condensed"/>
        <charset val="134"/>
      </rPr>
      <t xml:space="preserve">, </t>
    </r>
    <r>
      <rPr>
        <sz val="10"/>
        <color rgb="FF000000"/>
        <rFont val="Roboto Condensed"/>
        <charset val="134"/>
      </rPr>
      <t>Eliza Szczechla</t>
    </r>
    <r>
      <rPr>
        <sz val="10"/>
        <color rgb="FF000000"/>
        <rFont val="Roboto Condensed"/>
        <charset val="134"/>
      </rPr>
      <t xml:space="preserve">, </t>
    </r>
    <r>
      <rPr>
        <sz val="10"/>
        <color rgb="FF000000"/>
        <rFont val="Roboto Condensed"/>
        <charset val="134"/>
      </rPr>
      <t>Taewoon Kim</t>
    </r>
    <r>
      <rPr>
        <sz val="10"/>
        <color rgb="FF000000"/>
        <rFont val="Roboto Condensed"/>
        <charset val="134"/>
      </rPr>
      <t xml:space="preserve">, </t>
    </r>
    <r>
      <rPr>
        <sz val="10"/>
        <color rgb="FF000000"/>
        <rFont val="Roboto Condensed"/>
        <charset val="134"/>
      </rPr>
      <t>Gunjan Chhablani</t>
    </r>
    <r>
      <rPr>
        <sz val="10"/>
        <color rgb="FF000000"/>
        <rFont val="Roboto Condensed"/>
        <charset val="134"/>
      </rPr>
      <t xml:space="preserve">, </t>
    </r>
    <r>
      <rPr>
        <sz val="10"/>
        <color rgb="FF000000"/>
        <rFont val="Roboto Condensed"/>
        <charset val="134"/>
      </rPr>
      <t>Nihal Nayak</t>
    </r>
    <r>
      <rPr>
        <sz val="10"/>
        <color rgb="FF000000"/>
        <rFont val="Roboto Condensed"/>
        <charset val="134"/>
      </rPr>
      <t xml:space="preserve">, </t>
    </r>
    <r>
      <rPr>
        <sz val="10"/>
        <color rgb="FF000000"/>
        <rFont val="Roboto Condensed"/>
        <charset val="134"/>
      </rPr>
      <t>Debajyoti Datta</t>
    </r>
    <r>
      <rPr>
        <sz val="10"/>
        <color rgb="FF000000"/>
        <rFont val="Roboto Condensed"/>
        <charset val="134"/>
      </rPr>
      <t xml:space="preserve">, </t>
    </r>
    <r>
      <rPr>
        <sz val="10"/>
        <color rgb="FF000000"/>
        <rFont val="Roboto Condensed"/>
        <charset val="134"/>
      </rPr>
      <t>Jonathan Chang</t>
    </r>
    <r>
      <rPr>
        <sz val="10"/>
        <color rgb="FF000000"/>
        <rFont val="Roboto Condensed"/>
        <charset val="134"/>
      </rPr>
      <t xml:space="preserve">, </t>
    </r>
    <r>
      <rPr>
        <sz val="10"/>
        <color rgb="FF000000"/>
        <rFont val="Roboto Condensed"/>
        <charset val="134"/>
      </rPr>
      <t>Mike Tian-Jian Jiang</t>
    </r>
    <r>
      <rPr>
        <sz val="10"/>
        <color rgb="FF000000"/>
        <rFont val="Roboto Condensed"/>
        <charset val="134"/>
      </rPr>
      <t xml:space="preserve">, </t>
    </r>
    <r>
      <rPr>
        <sz val="10"/>
        <color rgb="FF000000"/>
        <rFont val="Roboto Condensed"/>
        <charset val="134"/>
      </rPr>
      <t>Han Wang</t>
    </r>
    <r>
      <rPr>
        <sz val="10"/>
        <color rgb="FF000000"/>
        <rFont val="Roboto Condensed"/>
        <charset val="134"/>
      </rPr>
      <t xml:space="preserve">, </t>
    </r>
    <r>
      <rPr>
        <sz val="10"/>
        <color rgb="FF000000"/>
        <rFont val="Roboto Condensed"/>
        <charset val="134"/>
      </rPr>
      <t>Matteo Manica</t>
    </r>
    <r>
      <rPr>
        <sz val="10"/>
        <color rgb="FF000000"/>
        <rFont val="Roboto Condensed"/>
        <charset val="134"/>
      </rPr>
      <t xml:space="preserve">, </t>
    </r>
    <r>
      <rPr>
        <sz val="10"/>
        <color rgb="FF000000"/>
        <rFont val="Roboto Condensed"/>
        <charset val="134"/>
      </rPr>
      <t>Sheng Shen</t>
    </r>
    <r>
      <rPr>
        <sz val="10"/>
        <color rgb="FF000000"/>
        <rFont val="Roboto Condensed"/>
        <charset val="134"/>
      </rPr>
      <t xml:space="preserve">, </t>
    </r>
    <r>
      <rPr>
        <sz val="10"/>
        <color rgb="FF000000"/>
        <rFont val="Roboto Condensed"/>
        <charset val="134"/>
      </rPr>
      <t>Zheng Xin Yong</t>
    </r>
    <r>
      <rPr>
        <sz val="10"/>
        <color rgb="FF000000"/>
        <rFont val="Roboto Condensed"/>
        <charset val="134"/>
      </rPr>
      <t xml:space="preserve">, </t>
    </r>
    <r>
      <rPr>
        <sz val="10"/>
        <color rgb="FF000000"/>
        <rFont val="Roboto Condensed"/>
        <charset val="134"/>
      </rPr>
      <t>Harshit Pandey</t>
    </r>
    <r>
      <rPr>
        <sz val="10"/>
        <color rgb="FF000000"/>
        <rFont val="Roboto Condensed"/>
        <charset val="134"/>
      </rPr>
      <t xml:space="preserve">, </t>
    </r>
    <r>
      <rPr>
        <sz val="10"/>
        <color rgb="FF000000"/>
        <rFont val="Roboto Condensed"/>
        <charset val="134"/>
      </rPr>
      <t>Rachel Bawden</t>
    </r>
    <r>
      <rPr>
        <sz val="10"/>
        <color rgb="FF000000"/>
        <rFont val="Roboto Condensed"/>
        <charset val="134"/>
      </rPr>
      <t xml:space="preserve">, </t>
    </r>
    <r>
      <rPr>
        <sz val="10"/>
        <color rgb="FF000000"/>
        <rFont val="Roboto Condensed"/>
        <charset val="134"/>
      </rPr>
      <t>Thomas Wang</t>
    </r>
    <r>
      <rPr>
        <sz val="10"/>
        <color rgb="FF000000"/>
        <rFont val="Roboto Condensed"/>
        <charset val="134"/>
      </rPr>
      <t xml:space="preserve">, </t>
    </r>
    <r>
      <rPr>
        <sz val="10"/>
        <color rgb="FF000000"/>
        <rFont val="Roboto Condensed"/>
        <charset val="134"/>
      </rPr>
      <t>Trishala Neeraj</t>
    </r>
    <r>
      <rPr>
        <sz val="10"/>
        <color rgb="FF000000"/>
        <rFont val="Roboto Condensed"/>
        <charset val="134"/>
      </rPr>
      <t xml:space="preserve">, </t>
    </r>
    <r>
      <rPr>
        <sz val="10"/>
        <color rgb="FF000000"/>
        <rFont val="Roboto Condensed"/>
        <charset val="134"/>
      </rPr>
      <t>Jos Rozen</t>
    </r>
    <r>
      <rPr>
        <sz val="10"/>
        <color rgb="FF000000"/>
        <rFont val="Roboto Condensed"/>
        <charset val="134"/>
      </rPr>
      <t xml:space="preserve">, </t>
    </r>
    <r>
      <rPr>
        <sz val="10"/>
        <color rgb="FF000000"/>
        <rFont val="Roboto Condensed"/>
        <charset val="134"/>
      </rPr>
      <t>Abheesht Sharma</t>
    </r>
    <r>
      <rPr>
        <sz val="10"/>
        <color rgb="FF000000"/>
        <rFont val="Roboto Condensed"/>
        <charset val="134"/>
      </rPr>
      <t xml:space="preserve">, </t>
    </r>
    <r>
      <rPr>
        <sz val="10"/>
        <color rgb="FF000000"/>
        <rFont val="Roboto Condensed"/>
        <charset val="134"/>
      </rPr>
      <t>Andrea Santilli</t>
    </r>
    <r>
      <rPr>
        <sz val="10"/>
        <color rgb="FF000000"/>
        <rFont val="Roboto Condensed"/>
        <charset val="134"/>
      </rPr>
      <t xml:space="preserve">, </t>
    </r>
    <r>
      <rPr>
        <sz val="10"/>
        <color rgb="FF000000"/>
        <rFont val="Roboto Condensed"/>
        <charset val="134"/>
      </rPr>
      <t>Thibault Fevry</t>
    </r>
    <r>
      <rPr>
        <sz val="10"/>
        <color rgb="FF000000"/>
        <rFont val="Roboto Condensed"/>
        <charset val="134"/>
      </rPr>
      <t xml:space="preserve">, </t>
    </r>
    <r>
      <rPr>
        <sz val="10"/>
        <color rgb="FF000000"/>
        <rFont val="Roboto Condensed"/>
        <charset val="134"/>
      </rPr>
      <t>Jason Alan Fries</t>
    </r>
    <r>
      <rPr>
        <sz val="10"/>
        <color rgb="FF000000"/>
        <rFont val="Roboto Condensed"/>
        <charset val="134"/>
      </rPr>
      <t xml:space="preserve">, </t>
    </r>
    <r>
      <rPr>
        <sz val="10"/>
        <color rgb="FF000000"/>
        <rFont val="Roboto Condensed"/>
        <charset val="134"/>
      </rPr>
      <t>Ryan Teehan</t>
    </r>
    <r>
      <rPr>
        <sz val="10"/>
        <color rgb="FF000000"/>
        <rFont val="Roboto Condensed"/>
        <charset val="134"/>
      </rPr>
      <t xml:space="preserve">, </t>
    </r>
    <r>
      <rPr>
        <sz val="10"/>
        <color rgb="FF000000"/>
        <rFont val="Roboto Condensed"/>
        <charset val="134"/>
      </rPr>
      <t>Stella Biderman</t>
    </r>
    <r>
      <rPr>
        <sz val="10"/>
        <color rgb="FF000000"/>
        <rFont val="Roboto Condensed"/>
        <charset val="134"/>
      </rPr>
      <t xml:space="preserve">, </t>
    </r>
    <r>
      <rPr>
        <sz val="10"/>
        <color rgb="FF000000"/>
        <rFont val="Roboto Condensed"/>
        <charset val="134"/>
      </rPr>
      <t>Leo Gao</t>
    </r>
    <r>
      <rPr>
        <sz val="10"/>
        <color rgb="FF000000"/>
        <rFont val="Roboto Condensed"/>
        <charset val="134"/>
      </rPr>
      <t xml:space="preserve">, </t>
    </r>
    <r>
      <rPr>
        <sz val="10"/>
        <color rgb="FF000000"/>
        <rFont val="Roboto Condensed"/>
        <charset val="134"/>
      </rPr>
      <t>Tali Bers</t>
    </r>
    <r>
      <rPr>
        <sz val="10"/>
        <color rgb="FF000000"/>
        <rFont val="Roboto Condensed"/>
        <charset val="134"/>
      </rPr>
      <t xml:space="preserve">, </t>
    </r>
    <r>
      <rPr>
        <sz val="10"/>
        <color rgb="FF000000"/>
        <rFont val="Roboto Condensed"/>
        <charset val="134"/>
      </rPr>
      <t>Thomas Wolf</t>
    </r>
    <r>
      <rPr>
        <sz val="10"/>
        <color rgb="FF000000"/>
        <rFont val="Roboto Condensed"/>
        <charset val="134"/>
      </rPr>
      <t xml:space="preserve">, </t>
    </r>
    <r>
      <rPr>
        <sz val="10"/>
        <color rgb="FF000000"/>
        <rFont val="Roboto Condensed"/>
        <charset val="134"/>
      </rPr>
      <t>Alexander M. Rush</t>
    </r>
  </si>
  <si>
    <t>Multitask Prompted Training Enables Zero-Shot Task Generalization</t>
  </si>
  <si>
    <t>Cloob</t>
  </si>
  <si>
    <t>Ellis Unit Linz and LIT AI Lab, Johannes Kepler University, IARIA Vienna, HERE Technologies</t>
  </si>
  <si>
    <t>Industry - Academia Collaboration (Academia Leaning)</t>
  </si>
  <si>
    <t>Andreas Fürst ∗Elisabeth Rumetshofer ∗Johannes Lehner,Viet Tran,Fei Tang, Hubert Ramsauer, David Kreil, Michael Kopp, Günter Klambauer, Angela Bitto-Nemling, Sepp Hochreiter</t>
  </si>
  <si>
    <t>CLOOB: Modern Hopfield Networks with InfoLOOB Outperform CLIP</t>
  </si>
  <si>
    <t>https://arxiv.org/abs/2110.11316</t>
  </si>
  <si>
    <t>EfficientZero</t>
  </si>
  <si>
    <t>Tsinghua University, UC Berkeley, Shanghai Qi Zhi institute</t>
  </si>
  <si>
    <t>Weirui Ye, Shaohuai Liu, Thanard Kurutach, Pieter Abbeel, Yang Gao</t>
  </si>
  <si>
    <t>Mastering Atari Games with Limited Data</t>
  </si>
  <si>
    <t>https://arxiv.org/abs/2111.00210</t>
  </si>
  <si>
    <t>Japanese dialog transformers</t>
  </si>
  <si>
    <t>NTT Communication Science Laboratories</t>
  </si>
  <si>
    <t>Hiroaki Sugiyama, Masahiro Mizukami, Tsunehiro Arimoto, Hiromi Narimatsu, Yuya Chiba, Hideharu Nakajima, Toyomi Meguro</t>
  </si>
  <si>
    <t>Empirical Analysis of Training Strategies of Transformer-based Japanese Chit-chat Systems</t>
  </si>
  <si>
    <t>https://arxiv.org/abs/2109.05217</t>
  </si>
  <si>
    <t>Player of Games</t>
  </si>
  <si>
    <t>Martin Schmid, Matej Moravcik, Neil Burch, Rudolf Kadlec, Josh Davidson, Kevin Waugh, Nolan Bard, Finbarr Timbers, Marc Lanctot, Zach Holland, Elnaz Davoodi, Alden Christianson, Michael Bowling</t>
  </si>
  <si>
    <t>https://arxiv.org/abs/2112.03178</t>
  </si>
  <si>
    <t>GLIDE</t>
  </si>
  <si>
    <t>Alex Nichol, Prafulla Dhariwal, Aditya Ramesh, Pranav Shyam Pamela Mishkin Bob McGrew IlyaSutskever MarkChen</t>
  </si>
  <si>
    <t>GLIDE: Towards Photorealistic Image Generation and Editing with Text-Guided Diffusion Models</t>
  </si>
  <si>
    <t>https://arxiv.org/abs/2112.10741</t>
  </si>
  <si>
    <t>XGLM</t>
  </si>
  <si>
    <t>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t>
  </si>
  <si>
    <t>Few-shot Learning with Multilingual Language Models</t>
  </si>
  <si>
    <t>https://arxiv.org/pdf/2112.10668.pdf</t>
  </si>
  <si>
    <t>Subset of CC100-XL</t>
  </si>
  <si>
    <t>ERNIE-ViLG</t>
  </si>
  <si>
    <t>Vision-language generation</t>
  </si>
  <si>
    <t>Han Zhang, Weichong Yin, Yewei Fang, Lanxin Li, Boqiang Duan, Zhihua Wu, Yu Sun, Hao Tian, Hua Wu, Haifeng Wang</t>
  </si>
  <si>
    <t>ERNIE-ViLG: Unified Generative Pre-training for Bidirectional Vision-Language Generation</t>
  </si>
  <si>
    <t>https://arxiv.org/abs/2112.15283</t>
  </si>
  <si>
    <t>GPT-3 175B (davinci)</t>
  </si>
  <si>
    <t>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t>
  </si>
  <si>
    <t>Language models are Few- Shot Learners</t>
  </si>
  <si>
    <t>https://arxiv.org/abs/2005.14165</t>
  </si>
  <si>
    <t>CommonCrawl; WebText2; Books1; Books2; Wikipedia</t>
  </si>
  <si>
    <t>45TB</t>
  </si>
  <si>
    <t>Recent work has demonstrated substantial gains on many NLP tasks and benchmarks by pre-training on a large corpus of text followed by fine-tuning on a specific task. While typically task-agnostic in architecture, this method still requires task-specific fine-tuning datasets of thousands or tens of thousands of examples. By contrast, humans can generally perform a new language task from only a few examples or from simple instructions - something which current NLP systems still largely struggle to do. Here we show that scaling up language models greatly improves task-agnostic, few-shot performance, sometimes even reaching competitiveness with prior state-of-the-art fine-tuning approaches. Specifically, we train GPT-3, an autoregressive language model with 175 billion parameters, 10x more than any previous non-sparse language model, and test its performance in the few-shot setting. For all tasks, GPT-3 is applied without any gradient updates or fine-tuning, with tasks and few-shot demonstrations specified purely via text interaction with the model. GPT-3 achieves strong performance on many NLP datasets, including translation, question-answering, and cloze tasks, as well as several tasks that require on-the-fly reasoning or domain adaptation, such as unscrambling words, using a novel word in a sentence, or performing 3-digit arithmetic. At the same time, we also identify some datasets where GPT-3's few-shot learning still struggles, as well as some datasets where GPT-3 faces methodological issues related to training on large web corpora. Finally, we find that GPT-3 can generate samples of news articles which human evaluators have difficulty distinguishing from articles written by humans. We discuss broader societal impacts of this finding and of GPT-3 in general.</t>
  </si>
  <si>
    <t>Meena</t>
  </si>
  <si>
    <t>Dongling Xiao, Han Zhang, Yukun Li, Yu Sun, Hao Tian, Hua Wu, Haifeng Wang</t>
  </si>
  <si>
    <t>Towards a Human-like Open-Domain Chatbot</t>
  </si>
  <si>
    <t>https://arxiv.org/abs/2001.09977</t>
  </si>
  <si>
    <t>Evolved Transformer seq2seq model</t>
  </si>
  <si>
    <t>We present Meena, a multi-turn open-domain chatbot trained end-to-end on data mined and filtered from public domain social media conversations. This 2.6B parameter neural network is simply trained to minimize perplexity of the next token. We also propose a human evaluation metric called Sensibleness and Specificity Average (SSA), which captures key elements of a human-like multi-turn conversation. Our experiments show strong correlation between perplexity and SSA. The fact that the best perplexity end-to-end trained Meena scores high on SSA (72% on multi-turn evaluation) suggests that a human-level SSA of 86% is potentially within reach if we can better optimize perplexity. Additionally, the full version of Meena (with a filtering mechanism and tuned decoding) scores 79% SSA, 23% higher in absolute SSA than the existing chatbots we evaluated.</t>
  </si>
  <si>
    <t>iGPT-XL</t>
  </si>
  <si>
    <t>Image completion</t>
  </si>
  <si>
    <t>Mark Chen, Alec Radford, Rewon Child, Jeff Wu, Heewoo Jun, Prafulla Dhariwal, David Luan, Ilya Sutskever</t>
  </si>
  <si>
    <t>Generative Pretraining from Pixels</t>
  </si>
  <si>
    <t>https://openai.com/blog/image-gpt/</t>
  </si>
  <si>
    <t>ILSVRC 2012</t>
  </si>
  <si>
    <t>Inspired by progress in unsupervised representation learning for natural language, we examine whether similar models can learn useful representations for images. We train a sequence Transformer to auto-regressively predict pixels, without incorporating knowledge of the 2D input structure. Despite training on low-resolution ImageNet without labels, we find that a GPT-2 scale model learns strong image representations as measured by linear probing, fine-tuning, and low-data classification. On CIFAR-10, we achieve 96.3% accuracy with a linear probe, outperforming a supervised Wide ResNet, and 99.0% accuracy with full finetuning, matching the top supervised pre-trained models. An even larger model trained on a mixture of ImageNet and web images is competitive with self-supervised benchmarks on ImageNet, achieving 72.0% top-1 accuracy on a linear probe of our features.</t>
  </si>
  <si>
    <t>GShard (dense)</t>
  </si>
  <si>
    <t>Dmitry Lepikhin, HyoukJoong Lee, Yuanzhong Xu, Dehao Chen, Orhan Firat, Yanping Huang, Maxim Krikun, Noam Shazeer, Zhifeng Chen</t>
  </si>
  <si>
    <t>GShard: Scaling Giant Models with Conditional Computation and Automatic Sharding</t>
  </si>
  <si>
    <t>https://arxiv.org/abs/2006.16668</t>
  </si>
  <si>
    <t>Neural network scaling has been critical for improving the model quality in many real-world machine learning applications with vast amounts of training data and compute. Although this trend of scaling is affirmed to be a sure-fire approach for better model quality, there are challenges on the path such as the computation cost, ease of programming, and efficient implementation on parallel devices. GShard is a module composed of a set of lightweight annotation APIs and an extension to the XLA compiler. It provides an elegant way to express a wide range of parallel computation patterns with minimal changes to the existing model code. GShard enabled us to scale up multilingual neural machine translation Transformer model with Sparsely-Gated Mixture-of-Experts beyond 600 billion parameters using automatic sharding. We demonstrate that such a giant model can efficiently be trained on 2048 TPU v3 accelerators in 4 days to achieve far superior quality for translation from 100 languages to English compared to the prior art.</t>
  </si>
  <si>
    <t>Turing NLG</t>
  </si>
  <si>
    <t>C Rosset</t>
  </si>
  <si>
    <t>Turing-NLG: A 17-billion-parameter language model by Microsoft</t>
  </si>
  <si>
    <t>https://www.microsoft.com/en-us/research/blog/turing-nlg-a-17-billion-parameter-language-model-by-microsoft/</t>
  </si>
  <si>
    <t>Next token prediction</t>
  </si>
  <si>
    <t>GShard (600B)</t>
  </si>
  <si>
    <t>ViT-H/14</t>
  </si>
  <si>
    <t>Image representation</t>
  </si>
  <si>
    <t>Alexey Dosovitskiy, Lucas Beyer, Alexander Kolesnikov, Dirk Weissenborn, Xiaohua Zhai, Thomas Unterthiner, Mostafa Dehghani, Matthias Minderer, Georg Heigold, Sylvain Gelly, Jakob Uszkoreit, Neil Houlsby</t>
  </si>
  <si>
    <t>An Image is Worth 16x16 Words: Transformers for Image Recognition at Scale</t>
  </si>
  <si>
    <t>https://openreview.net/forum?id=YicbFdNTTy</t>
  </si>
  <si>
    <t>While the Transformer architecture has become the de-facto standard for natural language processing tasks, its applications to computer vision remain limited. In vision, attention is either applied in conjunction with convolutional networks, or used to replace certain components of convolutional networks while keeping their overall structure in place. We show that this reliance on CNNs is not necessary and a pure transformer applied directly to sequences of image patches can perform very well on image classification tasks. When pre-trained on large amounts of data and transferred to multiple mid-sized or small image recognition benchmarks (ImageNet, CIFAR-100, VTAB, etc.), Vision Transformer (ViT) attains excellent results compared to state-of-the-art convolutional networks while requiring substantially fewer computational resources to train.</t>
  </si>
  <si>
    <t>iGPT-L</t>
  </si>
  <si>
    <t>ALBERT-xxlarge</t>
  </si>
  <si>
    <t>Google research, Toyota Technological Institute at Chicago</t>
  </si>
  <si>
    <t>Zhenzhong Lan, Mingda Chen, Sebastian Goodman, Kevin Gimpel, Piyush Sharma, and Radu Soricut</t>
  </si>
  <si>
    <t>ALBERT: A Lite BERT for Self-supervised Learning of Language Representations.</t>
  </si>
  <si>
    <t>https://arxiv.org/abs/1909.11942</t>
  </si>
  <si>
    <t>Increasing model size when pretraining natural language representations often results in improved performance on downstream tasks. However, at some point further model increases become harder due to GPU/TPU memory limitations and longer training times. To address these problems, we present two parameter-reduction techniques to lower memory consumption and increase the training speed of BERT. Comprehensive empirical evidence shows that our proposed methods lead to models that scale much better compared to the original BERT. We also use a self-supervised loss that focuses on modeling inter-sentence coherence, and show it consistently helps downstream tasks with multi-sentence inputs. As a result, our best model establishes new state-of-the-art results on the GLUE, RACE, and \squad benchmarks while having fewer parameters compared to BERT-large. The code and the pretrained models are available at this https URL.</t>
  </si>
  <si>
    <t>AraGPT2-Mega</t>
  </si>
  <si>
    <t>American University of Beirut</t>
  </si>
  <si>
    <t>W Antoun, F Baly, H Hajj</t>
  </si>
  <si>
    <t>AraGPT2: Pre-Trained Transformer for Arabic Language Generation</t>
  </si>
  <si>
    <t>https://arxiv.org/abs/2012.15520</t>
  </si>
  <si>
    <t>Recently, pre-trained transformer-based architectures have proven to be very efficient at language modeling and understanding, given that they are trained on a large enough corpus. Applications in language generation for Arabic are still lagging in comparison to other NLP advances primarily due to the lack of advanced Arabic language generation models. In this paper, we develop the first advanced Arabic language generation model, AraGPT2, trained from scratch on a large Arabic corpus of internet text and news articles. Our largest model, AraGPT2-mega, has 1.46 billion parameters, which makes it the largest Arabic language model available. The Mega model was evaluated and showed success on different tasks including synthetic news generation, and zero-shot question answering. For text generation, our best model achieves a perplexity of 29.8 on held-out Wikipedia articles. A study conducted with human evaluators showed the significant success of AraGPT2-mega in generating news articles that are difficult to distinguish from articles written by humans. We thus develop and release an automatic discriminator model with a 98% percent accuracy in detecting model-generated text. The models are also publicly available, hoping to encourage new research directions and applications for Arabic NLP.</t>
  </si>
  <si>
    <t>CPM-Large</t>
  </si>
  <si>
    <t>Tsinghua University, BAAI</t>
  </si>
  <si>
    <t>Z Zhang, X Han, H Zhou, P Ke, Y Gu, D Ye, Y Qin, Y Su</t>
  </si>
  <si>
    <t>CPM: A Large-scale Generative Chinese Pre-trained Language Model</t>
  </si>
  <si>
    <t>https://arxiv.org/abs/2012.00413</t>
  </si>
  <si>
    <t>Left-To-Right Transformer Decoder</t>
  </si>
  <si>
    <t>Pre-trained Language Models (PLMs) have proven to be beneficial for various downstream NLP tasks. Recently, GPT-3, with 175 billion parameters and 570GB training data, drew a lot of attention due to the capacity of few-shot (even zero-shot) learning. However, applying GPT-3 to address Chinese NLP tasks is still challenging, as the training corpus of GPT-3 is primarily English, and the parameters are not publicly available. In this technical report, we release the Chinese Pre-trained Language Model (CPM) with generative pre-training on large-scale Chinese training data. To the best of our knowledge, CPM, with 2.6 billion parameters and 100GB Chinese training data, is the largest Chinese pre-trained language model, which could facilitate several downstream Chinese NLP tasks, such as conversation, essay generation, cloze test, and language understanding. Extensive experiments demonstrate that CPM achieves strong performance on many NLP tasks in the settings of few-shot (even zero-shot) learning. The code and parameters are available at this https URL.</t>
  </si>
  <si>
    <t>Once for All</t>
  </si>
  <si>
    <t>MIT-IBM Watson AI Lab</t>
  </si>
  <si>
    <t>Han Cai, Chuang Gan, Tianzhe Wang, Zhekai Zhang, and Song Han</t>
  </si>
  <si>
    <t>Once for all: Train one network and specialize it for efficient deployment.</t>
  </si>
  <si>
    <t>https://arxiv.org/abs/1908.09791</t>
  </si>
  <si>
    <t>Imagenet</t>
  </si>
  <si>
    <t>We address the challenging problem of efficient inference across many devices and resource constraints, especially on edge devices. Conventional approaches either manually design or use neural architecture search (NAS) to find a specialized neural network and train it from scratch for each case, which is computationally prohibitive (causing CO2 emission as much as 5 cars' lifetime) thus unscalable. In this work, we propose to train a once-for-all (OFA) network that supports diverse architectural settings by decoupling training and search, to reduce the cost. We can quickly get a specialized sub-network by selecting from the OFA network without additional training. To efficiently train OFA networks, we also propose a novel progressive shrinking algorithm, a generalized pruning method that reduces the model size across many more dimensions than pruning (depth, width, kernel size, and resolution). It can obtain a surprisingly large number of sub-networks (&gt;1019) that can fit different hardware platforms and latency constraints while maintaining the same level of accuracy as training independently. On diverse edge devices, OFA consistently outperforms state-of-the-art (SOTA) NAS methods (up to 4.0% ImageNet top1 accuracy improvement over MobileNetV3, or same accuracy but 1.5x faster than MobileNetV3, 2.6x faster than EfficientNet w.r.t measured latency) while reducing many orders of magnitude GPU hours and CO2 emission. In particular, OFA achieves a new SOTA 80.0% ImageNet top-1 accuracy under the mobile setting (&lt;600M MACs). OFA is the winning solution for the 3rd Low Power Computer Vision Challenge (LPCVC), DSP classification track and the 4th LPCVC, both classification track and detection track. Code and 50 pre-trained models (for many devices &amp; many latency constraints) are released at this https URL.</t>
  </si>
  <si>
    <t>wave2vec 2.0 LARGE</t>
  </si>
  <si>
    <t>Speech completion</t>
  </si>
  <si>
    <t>Alexei Baevski, Henry Zhou, Abdelrahman Mohamed, Michael Auli</t>
  </si>
  <si>
    <t>wav2vec 2.0: A Framework for Self-Supervised Learning of Speech Representations</t>
  </si>
  <si>
    <t>https://arxiv.org/abs/2006.11477</t>
  </si>
  <si>
    <t>We show for the first time that learning powerful representations from speech audio alone followed by fine-tuning on transcribed speech can outperform the best semi-supervised methods while being conceptually simpler. wav2vec 2.0 masks the speech input in the latent space and solves a contrastive task defined over a quantization of the latent representations which are jointly learned. Experiments using all labeled data of Librispeech achieve 1.8/3.3 WER on the clean/other test sets. When lowering the amount of labeled data to one hour, wav2vec 2.0 outperforms the previous state of the art on the 100 hour subset while using 100 times less labeled data. Using just ten minutes of labeled data and pre-training on 53k hours of unlabeled data still achieves 4.8/8.2 WER. This demonstrates the feasibility of speech recognition with limited amounts of labeled data.</t>
  </si>
  <si>
    <t>DLRM-2021</t>
  </si>
  <si>
    <t xml:space="preserve">Facebook AI </t>
  </si>
  <si>
    <t>High- performance, Distributed Training of Large scale Deep Learning Recommendation Models</t>
  </si>
  <si>
    <t>https://www.arxiv-vanity.com/papers/2104.05158/</t>
  </si>
  <si>
    <t>Deep learning recommendation models (DLRMs) are used across many business-critical services at Facebookand are the single largest AI application in terms of infrastructure demand in its data-centers. In this paper we discuss the SW/HW co-designed solution for high-performance distributed training of large-scale DLRMs. We introduce a high-performance scalable software stack based on PyTorch and pair it with the new evolution of Zion platform, namely ZionEX. We demonstrate the capability to train very large DLRMs with up to 12 Trillion parameters and show that we can attain 40 × speedup in terms of time to solution over previous systems. We achieve this by (i) designing the ZionEX platform with dedicated scale-out network, provisioned with high bandwidth, optimal topology and efficient transport (ii) implementing an optimized PyTorch-based training stack supporting both model and data parallelism (iii) developing sharding algorithms capable of hierarchical partitioning of the embedding tables along row, column dimensions and load balancing them across multiple workers; (iv) adding high-performance core operators while retaining flexibility to support optimizers with fully deterministic updates (v) leveraging reduced precision communications, multi-level memory hierarchy (HBM+DDR+SSD) and pipelining. Furthermore, we develop and briefly comment on distributed data ingestion and other supporting services that are required for the robust and efficient end-to-end training in production environments.</t>
  </si>
  <si>
    <t>ProGen</t>
  </si>
  <si>
    <t>Protein generation</t>
  </si>
  <si>
    <t>Salesforce research, Stanford</t>
  </si>
  <si>
    <t>A Madani, B McCann, N Naik, NS Keskar</t>
  </si>
  <si>
    <t>ProGen: Language Modeling for Protein Generation</t>
  </si>
  <si>
    <t>https://www.biorxiv.org/content/10.1101/2020.03.07.982272v2</t>
  </si>
  <si>
    <t>Generative modeling for protein engineering is key to solving fundamental problems in synthetic biology, medicine, and material science. We pose protein engineering as an unsupervised sequence generation problem in order to leverage the exponentially growing set of proteins that lack costly, structural annotations. We train a 1.2B-parameter language model, ProGen, on ∼280M protein sequences conditioned on taxonomic and keyword tags such as molecular function and cellular component. This provides ProGen with an unprecedented range of evolutionary sequence diversity and allows it to generate with fine-grained control as demonstrated by metrics based on primary sequence similarity, secondary structure accuracy, and conformational energy.</t>
  </si>
  <si>
    <t>ELECTRA</t>
  </si>
  <si>
    <t>Stanford University, Google Brain</t>
  </si>
  <si>
    <t>Kevin Clark, Minh-Thang Luong, Quoc V. Le, Christopher D. Manning</t>
  </si>
  <si>
    <t>23/03/2020</t>
  </si>
  <si>
    <t>ELECTRA: pre-training text encoders as discriminators rather than generators</t>
  </si>
  <si>
    <t>https://arxiv.org/abs/2003.10555v1</t>
  </si>
  <si>
    <t>Masked language modeling (MLM) pre-training methods such as BERT corrupt the input by replacing some tokens with [MASK] and then train a model to reconstruct the original tokens. While they produce good results when transferred to downstream NLP tasks, they generally require large amounts of compute to be effective. As an alternative, we propose a more sample-efficient pre-training task called replaced token detection. Instead of masking the input, our approach corrupts it by replacing some tokens with plausible alternatives sampled from a small generator network. Then, instead of training a model that predicts the original identities of the corrupted tokens, we train a discriminative model that predicts whether each token in the corrupted input was replaced by a generator sample or not. Thorough experiments demonstrate this new pre-training task is more efficient than MLM because the task is defined over all input tokens rather than just the small subset that was masked out. As a result, the contextual representations learned by our approach substantially outperform the ones learned by BERT given the same model size, data, and compute. The gains are particularly strong for small models; for example, we train a model on one GPU for 4 days that outperforms GPT (trained using 30x more compute) on the GLUE natural language understanding benchmark. Our approach also works well at scale, where it performs comparably to RoBERTa and XLNet while using less than 1/4 of their compute and outperforms them when using the same amount of compute.</t>
  </si>
  <si>
    <t>KEPLER</t>
  </si>
  <si>
    <t>Relation Extraction</t>
  </si>
  <si>
    <t>Tsinghua University, Princeton, Mila- Quebec AI, University de Montreal, HEC, CIFAR</t>
  </si>
  <si>
    <t>Xiaozhi Wang, Tianyu Gao, Zhaocheng Zhu, Zhiyuan Liu, Juanzi Li, and Jian Tang.</t>
  </si>
  <si>
    <t>KEPLER: A Unified Model for Knowledge Embedding and Pre- trained Language Representation.</t>
  </si>
  <si>
    <t>https://arxiv.org/abs/1911.06136</t>
  </si>
  <si>
    <t>Wikipedia+BookCorpus</t>
  </si>
  <si>
    <t>Pre-trained language representation models (PLMs) cannot well capture factual knowledge from text. In contrast, knowledge embedding (KE) methods can effectively represent the relational facts in knowledge graphs (KGs) with informative entity embeddings, but conventional KE models cannot take full advantage of the abundant textual information. In this paper, we propose a unified model for Knowledge Embedding and Pre-trained LanguagE Representation (KEPLER), which can not only better integrate factual knowledge into PLMs but also produce effective text-enhanced KE with the strong PLMs. In KEPLER, we encode textual entity descriptions with a PLM as their embeddings, and then jointly optimize the KE and language modeling objectives. Experimental results show that KEPLER achieves state-of-the-art performances on various NLP tasks, and also works remarkably well as an inductive KE model on KG link prediction. Furthermore, for pre-training and evaluating KEPLER, we construct Wikidata5M, a large-scale KG dataset with aligned entity descriptions, and benchmark state-of-the-art KE methods on it. It shall serve as a new KE benchmark and facilitate the research on large KG, inductive KE, and KG with text. The source code can be obtained from this https URL.</t>
  </si>
  <si>
    <t>AlphaFold</t>
  </si>
  <si>
    <t>Protein folding prediction</t>
  </si>
  <si>
    <t>Andrew W. Senior, Richard Evans, John Jumper, James Kirkpatrick, Laurent Sifre, Tim Green, Chongli Qin, Augustin Žídek, Alexander W. R. Nelson, Alex Bridgland, Hugo Penedones, Stig Petersen, Karen Simonyan, Steve Crossan, Pushmeet Kohli, David T. Jones, David Silver, Koray Kavukcuoglu &amp; Demis Hassabis</t>
  </si>
  <si>
    <t>Improved protein structure prediction using potentials from deep learning</t>
  </si>
  <si>
    <t>https://www.nature.com/articles/s41586-019-1923-7</t>
  </si>
  <si>
    <t>Score</t>
  </si>
  <si>
    <t>Protein structure prediction can be used to determine the three-dimensional shape of a protein from its amino acid sequence1. This problem is of fundamental importance as the structure of a protein largely determines its function2; however, protein structures can be difficult to determine experimentally. Considerable progress has recently been made by leveraging genetic information. It is possible to infer which amino acid residues are in contact by analysing covariation in homologous sequences, which aids in the prediction of protein structures3. Here we show that we can train a neural network to make accurate predictions of the distances between pairs of residues, which convey more information about the structure than contact predictions. Using this information, we construct a potential of mean force4 that can accurately describe the shape of a protein. We find that the resulting potential can be optimized by a simple gradient descent algorithm to generate structures without complex sampling procedures. The resulting system, named AlphaFold, achieves high accuracy, even for sequences with fewer homologous sequences. In the recent Critical Assessment of Protein Structure Prediction5 (CASP13)—a blind assessment of the state of the field—AlphaFold created high-accuracy structures (with template modelling (TM) scores6 of 0.7 or higher) for 24 out of 43 free modelling domains, whereas the next best method, which used sampling and contact information, achieved such accuracy for only 14 out of 43 domains. AlphaFold represents a considerable advance in protein-structure prediction. We expect this increased accuracy to enable insights into the function and malfunction of proteins, especially in cases for which no structures for homologous proteins have been experimentally determined7.</t>
  </si>
  <si>
    <t>Theseus 6/768</t>
  </si>
  <si>
    <t>UC San Diego, Beihang University, Microsoft</t>
  </si>
  <si>
    <t>Canwen Xu, Wangchunshu Zhou, Tao Ge, Furu Wei, Ming Zhou</t>
  </si>
  <si>
    <t>BERT-of-Theseus: Compressing BERT by Progressive Module Replacing</t>
  </si>
  <si>
    <t>https://arxiv.org/abs/2002.02925</t>
  </si>
  <si>
    <t>Perceiver IO</t>
  </si>
  <si>
    <t>Andrew Jaegle, Sebastian Borgeaud, Jean-Baptiste Alayrac, Carl Doersch, Catalin Ionescu, David Ding, Skanda Koppula, Daniel Zoran, Andrew Brock, Evan Shelhamer, Olivier Hénaff,
Matthew M. Botvinick, Andrew Zisserman, Oriol Vinyals, João Carreira</t>
  </si>
  <si>
    <t>Perceiver IO: A General Architecture for Structured Inputs &amp; Outputs</t>
  </si>
  <si>
    <t>https://arxiv.org/abs/2107.14795</t>
  </si>
  <si>
    <t>SimCLR</t>
  </si>
  <si>
    <t>Ting Chen, Simon Kornblith, Mohammad Norouzi, Geoffrey Hinton</t>
  </si>
  <si>
    <t>A Simple Framework for Contrastive Learning of Visual Representations</t>
  </si>
  <si>
    <t>https://arxiv.org/abs/2002.05709</t>
  </si>
  <si>
    <t>Stanford, Google Brain</t>
  </si>
  <si>
    <t>Electra: pre-training text encoders as discriminators rather than generators</t>
  </si>
  <si>
    <t>MetNet</t>
  </si>
  <si>
    <t>Weather prediction</t>
  </si>
  <si>
    <t>Casper Kaae Sønderby, Lasse Espeholt, Jonathan Heek, Mostafa Dehghani, Avital Oliver, Tim Salimans, Shreya Agrawal, Jason Hickey, Nal Kalchbrenner</t>
  </si>
  <si>
    <t>MetNet: A Neural Weather Model for Precipitation Forecasting</t>
  </si>
  <si>
    <t>https://arxiv.org/abs/2003.12140</t>
  </si>
  <si>
    <t>Agent57</t>
  </si>
  <si>
    <t>Atari</t>
  </si>
  <si>
    <t>AP Badia, B Piot, S Kapturowski</t>
  </si>
  <si>
    <t>Agent57: Outperforming the Atari Human Benchmark</t>
  </si>
  <si>
    <t>https://arxiv.org/abs/2003.13350</t>
  </si>
  <si>
    <t>Person re-identification</t>
  </si>
  <si>
    <t>Xiamen University, Australian National University, Carnegie Mellon University</t>
  </si>
  <si>
    <t xml:space="preserve">Zhun Zhong, Liang Zheng, Guoliang Kang, Shaozi Li, Yi Yang </t>
  </si>
  <si>
    <t xml:space="preserve"> Random Erasing Data Augmentation </t>
  </si>
  <si>
    <t>https://arxiv.org/abs/1708.04896</t>
  </si>
  <si>
    <t>MobileBERT</t>
  </si>
  <si>
    <t>Carnegie Mellon University, Google Brain</t>
  </si>
  <si>
    <t>Zhiqing Sun, Hongkun Yu, Xiaodan Song, Renjie Liu, Yiming Yang, Denny Zhou</t>
  </si>
  <si>
    <t>MobileBERT: a Compact Task-Agnostic BERT for Resource-Limited Devices</t>
  </si>
  <si>
    <t>https://arxiv.org/abs/2004.02984</t>
  </si>
  <si>
    <t>CURL</t>
  </si>
  <si>
    <t>A Srinivas, M Laskin, P Abbeel</t>
  </si>
  <si>
    <t>CURL: Contrastive Unsupervised Representations for Reinforcement Learning</t>
  </si>
  <si>
    <t>https://arxiv.org/abs/2004.04136v4</t>
  </si>
  <si>
    <t>Go-explore</t>
  </si>
  <si>
    <t>Uber AI, OpenAI</t>
  </si>
  <si>
    <t>A Ecoffet, J Huizinga, J Lehman, KO Stanley, J Clune</t>
  </si>
  <si>
    <t>First return, then explore</t>
  </si>
  <si>
    <t>https://arxiv.org/abs/2004.12919</t>
  </si>
  <si>
    <t>SqueezeBERT</t>
  </si>
  <si>
    <t>Berkeley</t>
  </si>
  <si>
    <t>Forrest N. Iandola, Albert E. Shaw, Ravi Krishna, Kurt W. Keutzer</t>
  </si>
  <si>
    <t>SqueezeBERT: What can computer vision teach NLP about efficient neural networks?</t>
  </si>
  <si>
    <t>https://arxiv.org/abs/2006.11316</t>
  </si>
  <si>
    <t>Hopfield Networks (2020)</t>
  </si>
  <si>
    <t>Johannes Kepler University Linz,Institute of Advanced Research in Artificial Intelligence,University of Oslo</t>
  </si>
  <si>
    <t>Hubert Ramsauer, Bernhard Schäfl, Johannes Lehner, Philipp Seidl, Michael Widrich, Thomas Adler, Lukas Gruber, Markus Holzleitner, Milena Pavlović, Geir Kjetil Sandve, Victor Greiff, David Kreil, Michael Kopp, Günter Klambauer, Johannes Brandstetter, Sepp Hochreiter</t>
  </si>
  <si>
    <t>Hopfield Networks is All You Need</t>
  </si>
  <si>
    <t>https://arxiv.org/abs/2008.02217</t>
  </si>
  <si>
    <t>EfficientDet</t>
  </si>
  <si>
    <t>Object detection</t>
  </si>
  <si>
    <t>Mingxing Tan, Ruoming Pang, Quoc V. Le</t>
  </si>
  <si>
    <t>EfficientDet: Scalable and Efficient Object Detection</t>
  </si>
  <si>
    <t>https://openaccess.thecvf.com/content_CVPR_2020/html/Tan_EfficientDet_Scalable_and_Efficient_Object_Detection_CVPR_2020_paper.html</t>
  </si>
  <si>
    <t>ERNIE-GEN (large)</t>
  </si>
  <si>
    <t>Language Generation</t>
  </si>
  <si>
    <t>ERNIE-GEN: An Enhanced Multi-Flow Pre-training and Fine-tuning Framework for Natural Language Generation</t>
  </si>
  <si>
    <t>https://arxiv.org/abs/2001.11314</t>
  </si>
  <si>
    <t>16GB</t>
  </si>
  <si>
    <t>ViT-Base/32</t>
  </si>
  <si>
    <t>https://arxiv.org/abs/2010.11929</t>
  </si>
  <si>
    <t>0.25 (512px image, one TPUv3 core)</t>
  </si>
  <si>
    <t>ViT-Huge/14</t>
  </si>
  <si>
    <t>100 (512px image, one TPUv3 core)</t>
  </si>
  <si>
    <t>SimCLRv2</t>
  </si>
  <si>
    <t>Google Research, Brain team</t>
  </si>
  <si>
    <t>Ting Chen, Simon Kornblith, Kevin Swersky, Mohammad Norouzi, and Geoffrey Hinton</t>
  </si>
  <si>
    <t>Big self- supervised models are strong semi-supervised learners.</t>
  </si>
  <si>
    <t>https://arxiv.org/abs/2006.10029</t>
  </si>
  <si>
    <t>AlphaFold2</t>
  </si>
  <si>
    <t>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t>
  </si>
  <si>
    <t>High Accuracy Protein Structure Prediction Using Deep Learning</t>
  </si>
  <si>
    <t>https://www.nature.com/articles/s41586-021-03819-2</t>
  </si>
  <si>
    <t>Important context, significant use</t>
  </si>
  <si>
    <t>VQGAN + CLIP</t>
  </si>
  <si>
    <t>Heidelberg University</t>
  </si>
  <si>
    <t>Patrick Esser, Robin Rombach, Björn Ommer</t>
  </si>
  <si>
    <t>Taming Transformers for High-Resolution Image Synthesis</t>
  </si>
  <si>
    <t>https://github.com/CompVis/taming-transformers</t>
  </si>
  <si>
    <t>AlphaStar</t>
  </si>
  <si>
    <t>StarCraft</t>
  </si>
  <si>
    <t>Oriol Vinyals,Igor Babuschkin,Wojciech M. Czarnecki,Michaël Mathieu,Andrew Dudzik,Junyoung Chung,David H. Choi,Richard Powell,Timo Ewalds,Petko Georgiev,Junhyuk Oh,Dan Horgan,Manuel Kroiss,Ivo Danihelka,Aja Huang,Laurent Sifre,Trevor Cai,John P. Agapiou,Max Jaderberg,Alexander S. Vezhnevets,Rémi Leblond,Tobias Pohlen,Valentin Dalibard,David Budden,Yury Sulsky,James Molloy,Tom L. Paine,Caglar Gulcehre,Ziyu Wang,Tobias Pfaff,Yuhuai Wu,Roman Ring,Dani Yogatama,Dario Wünsch,Katrina McKinney,Oliver Smith,Tom Schaul,Timothy Lillicrap,Koray Kavukcuoglu,Demis Hassabis,Chris Apps,David Silver</t>
  </si>
  <si>
    <t>Grandmaster level in StarCraft II using multi-agent reinforcement learning</t>
  </si>
  <si>
    <t>https://www.deepmind.com/blog/alphastar-grandmaster-level-in-starcraft-ii-using-multi-agent-reinforcement-learning</t>
  </si>
  <si>
    <t>Many real-world applications require artificial agents to compete and coordinate with other agents in complex environments. As a stepping stone to this goal, the domain of StarCraft has emerged as an important challenge for artificial intelligence research, owing to its iconic and enduring status among the most difficult professional esports and its relevance to the real world in terms of its raw complexity and multi-agent challenges. Over the course of a decade and numerous competitions1–3, the strongest agents have simplified important aspects of the game, utilized superhuman capabilities, or employed hand-crafted sub-systems4. Despite these advantages, no previous agent has come close to matching the overall skill of top StarCraft players. We chose to address the challenge of StarCraft using generalpurpose learning methods that are in principle applicable to other complex domains: a multi-agent reinforcement learning algorithm that uses data from both human and agent games within a diverse league of continually adapting strategies and counter-strategies, each represented by deep neural networks5,6. We evaluated our agent, AlphaStar, in the full game of StarCraft II, through a series of online games against human players. AlphaStar was rated at Grandmaster level for all three StarCraft races and above 99.8% of officially ranked human players.</t>
  </si>
  <si>
    <t>OpenAI Five</t>
  </si>
  <si>
    <t>Dota 2</t>
  </si>
  <si>
    <t>J Raiman, S Zhang, F Wolski</t>
  </si>
  <si>
    <t>Dota 2 with Large Scale Deep Reinforcement Learning</t>
  </si>
  <si>
    <t>https://arxiv.org/abs/1912.06680</t>
  </si>
  <si>
    <t xml:space="preserve">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
</t>
  </si>
  <si>
    <t>Megatron-BERT</t>
  </si>
  <si>
    <t>NVIDIA</t>
  </si>
  <si>
    <t>M Shoeybi, M Patwary, R Puri, P LeGresley</t>
  </si>
  <si>
    <t>Megatron-LM: Training Multi-Billion Parameter Language Models Using Model Parallelism</t>
  </si>
  <si>
    <t>https://arxiv.org/abs/1909.08053</t>
  </si>
  <si>
    <t>Recent work in language modeling demonstrates that training large transformer models advances the state of the art in Natural Language Processing applications. However, very large models can be quite difficult to train due to memory constraints. In this work, we present our techniques for training very large transformer models and implement a simple, efficient intra-layer model parallel approach that enables training transformer models with billions of parameters. Our approach does not require a new compiler or library changes, is orthogonal and complimentary to pipeline model parallelism, and can be fully implemented with the insertion of a few communication operations in native PyTorch. We illustrate this approach by converging transformer based models up to 8.3 billion parameters using 512 GPUs. We sustain 15.1 PetaFLOPs across the entire application with 76% scaling efficiency when compared to a strong single GPU baseline that sustains 39 TeraFLOPs, which is 30% of peak FLOPs. To demonstrate that large language models can further advance the state of the art (SOTA), we train an 8.3 billion parameter transformer language model similar to GPT-2 and a 3.9 billion parameter model similar to BERT. We show that careful attention to the placement of layer normalization in BERT-like models is critical to achieving increased performance as the model size grows. Using the GPT-2 model we achieve SOTA results on the WikiText103 (10.8 compared to SOTA perplexity of 15.8) and LAMBADA (66.5% compared to SOTA accuracy of 63.2%) datasets. Our BERT model achieves SOTA results on the RACE dataset (90.9% compared to SOTA accuracy of 89.4%).</t>
  </si>
  <si>
    <t>T5-11B</t>
  </si>
  <si>
    <t>Colin Raffel, Noam Shazeer, Adam Roberts, Katherine Lee, Sharan Narang, Michael Matena, Yanqi Zhou, Wei Li, Peter J. Liu</t>
  </si>
  <si>
    <t>Exploring the Limits of Transfer Learning with a Unified Text-to-Text Transformer</t>
  </si>
  <si>
    <t>https://arxiv.org/abs/1910.10683</t>
  </si>
  <si>
    <t>Colossal Clean Crawled Corpus (C4)</t>
  </si>
  <si>
    <t>Transformer (encoder-decoder performed best)</t>
  </si>
  <si>
    <t>Transfer learning, where a model is first pre-trained on a data-rich task before being fine-tuned on a downstream task, has emerged as a powerful technique in natural language processing (NLP). The effectiveness of transfer learning has given rise to a diversity of approaches, methodology, and practice. In this paper, we explore the landscape of transfer learning techniques for NLP by introducing a unified framework that converts all text-based language problems into a text-to-text format. Our systematic study compares pre-training objectives, architectures, unlabeled data sets, transfer approaches, and other factors on dozens of language understanding tasks. By combining the insights from our exploration with scale and our new ``Colossal Clean Crawled Corpus'', we achieve state-of-the-art results on many benchmarks covering summarization, question answering, text classification, and more. To facilitate future work on transfer learning for NLP, we release our data set, pre-trained models, and code.</t>
  </si>
  <si>
    <t>OpenAI Five Rerun</t>
  </si>
  <si>
    <t>Christopher Berner, Greg Brockman, Brooke Chan, Vicki Cheung,
Przemysław “Psyho"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t>
  </si>
  <si>
    <t>https://cdn.openai.com/dota-2.pdf</t>
  </si>
  <si>
    <t>On April 13th, 2019, OpenAI Five became the first AI system to defeat the world champions at an esports game. The game of Dota 2 presents novel challenges for AI systems such as long time horizons, imperfect information, and complex, continuous state-action spaces, all challenges which will become increasingly central to more capable AI systems. OpenAI Five leveraged existing reinforcement learning techniques, scaled to learn from batches of approximately 2 million frames every 2 seconds. We developed a distributed training system and tools for continual training which allowed us to train OpenAI Five for 10 months. By defeating the Dota 2 world champion (Team OG), OpenAI Five demonstrates that self-play reinforcement learning can achieve superhuman performance on a difficult task.</t>
  </si>
  <si>
    <t>T5-3B</t>
  </si>
  <si>
    <t>Megatron-LM (Original, 8.3B)</t>
  </si>
  <si>
    <t>FTW</t>
  </si>
  <si>
    <t>Capture the flag</t>
  </si>
  <si>
    <t>M Jaderberg, WM Czarnecki, I Dunning, L Marris</t>
  </si>
  <si>
    <t>Human-level performance in 3D multiplayer games with population-based reinforcement learning</t>
  </si>
  <si>
    <t>https://deepmind.com/research/publications/capture-the-flag</t>
  </si>
  <si>
    <t>MnasNet-A1 + SSDLite</t>
  </si>
  <si>
    <t>Performing image classification and object detection on mobile devices</t>
  </si>
  <si>
    <t xml:space="preserve">Google </t>
  </si>
  <si>
    <t>Mingxing Tan, Bo Chen, Ruoming Pang, Vijay Vasudevan, Mark Sandler, Andrew Howard, Quoc V. Le</t>
  </si>
  <si>
    <t>MnasNet: Platform-Aware Neural Architecture Search for Mobile</t>
  </si>
  <si>
    <t>https://arxiv.org/abs/1807.11626</t>
  </si>
  <si>
    <t>MS COCO</t>
  </si>
  <si>
    <t>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throughout the network. Experimental results show that our approach consistently outperforms state-of-the-art mobile CNN models across multiple vision tasks. On the ImageNet classification task, our MnasNet achieves 75.2% top-1 accuracy with 78ms latency on a Pixel phone, which is 1.8x faster than MobileNetV2 [29] with 0.5% higher accuracy and 2.3x faster than NASNet [36] with 1.2% higher accuracy. Our MnasNet also achieves better mAP quality than MobileNets for COCO object detection. Code is at this https URL</t>
  </si>
  <si>
    <t>MnasNet-A3</t>
  </si>
  <si>
    <t>GPT-2</t>
  </si>
  <si>
    <t>A Radford, J Wu, R Child, D Luan, D Amodei</t>
  </si>
  <si>
    <t>Language Models are Unsupervised Multitask Learners</t>
  </si>
  <si>
    <t>https://openai.com/blog/better-language-models/</t>
  </si>
  <si>
    <t>Natural language processing tasks, such as question answering, machine translation, reading comprehension, and summarization, are typically approached with supervised learning on taskspecific datasets. We demonstrate that language models begin to learn these tasks without any explicit supervision when trained on a new dataset of millions of webpages called WebText. When conditioned on a document plus questions, the answers generated by the language model reach 55 F1 on the CoQA dataset - matching or exceeding the performance of 3 out of 4 baseline systems without using the 127,000+ training examples. The capacity of the language model is essential to the success of zero-shot task transfer and increasing it improves performance in a log-linear fashion across tasks. Our largest model, GPT-2, is a 1.5B parameter Transformer that achieves state of the art results on 7 out of 8 tested language modeling datasets in a zero-shot setting but still underfits WebText. Samples from the model reflect these improvements and contain coherent paragraphs of text. These findings suggest a promising path towards building language processing systems which learn to perform tasks from their naturally occurring demonstrations.</t>
  </si>
  <si>
    <t>Rubik's cube</t>
  </si>
  <si>
    <t>Robotics</t>
  </si>
  <si>
    <t xml:space="preserve">Ilge Akkaya, Marcin Andrychowicz, Maciek Chociej, Mateusz Litwin, Bob McGrew, Arthur Petron, Alex Paino, Matthias Plappert, Glenn Powell, Raphael Ribas, Jonas Schneider, Nikolas Tezak, Jerry Tworek, Peter Welinder, Lilian Weng, Qiming Yuan, Wojciech Zaremba, Lei Zhang
</t>
  </si>
  <si>
    <t>Solving Rubik’s Cube with a Robot Hand</t>
  </si>
  <si>
    <t>https://arxiv.org/abs/1910.07113</t>
  </si>
  <si>
    <t>We demonstrate that models trained only in simulation can be used to solve a manipulation problem of unprecedented complexity on a real robot. This is made possible by two key components: a novel algorithm, which we call automatic domain randomization (ADR) and a robot platform built for machine learning. ADR automatically generates a distribution over randomized environments of ever-increasing difficulty. Control policies and vision state estimators trained with ADR exhibit vastly improved sim2real transfer. For control policies, memory-augmented models trained on an ADR-generated distribution of environments show clear signs of emergent meta-learning at test time. The combination of ADR with our custom robot platform allows us to solve a Rubik's cube with a humanoid robot hand, which involves both control and state estimation problems. Videos summarizing our results are available: this https URL</t>
  </si>
  <si>
    <t>MuZero</t>
  </si>
  <si>
    <t>J Schrittwieser, I Antonoglou, T Hubert, K Simonyan</t>
  </si>
  <si>
    <t>Mastering Atari Go Chess and Shogi by Planning with a Learned Model</t>
  </si>
  <si>
    <t>https://arxiv.org/abs/1911.08265v2</t>
  </si>
  <si>
    <t>Constructing agents with planning capabilities has long been one of the main challenges in the pursuit of artificial intelligence. Tree-based planning methods have enjoyed huge success in challenging domains, such as chess and Go, where a perfect simulator is available. However, in real-world problems the dynamics governing the environment are often complex and unknown. In this work we present the MuZero algorithm which, by combining a tree-based search with a learned model, achieves superhuman performance in a range of challenging and visually complex domains, without any knowledge of their underlying dynamics. MuZero learns a model that, when applied iteratively, predicts the quantities most directly relevant to planning: the reward, the action-selection policy, and the value function. When evaluated on 57 different Atari games - the canonical video game environment for testing AI techniques, in which model-based planning approaches have historically struggled - our new algorithm achieved a new state of the art. When evaluated on Go, chess and shogi, without any knowledge of the game rules, MuZero matched the superhuman performance of the AlphaZero algorithm that was supplied with the game rules.</t>
  </si>
  <si>
    <t>ProxylessNAS</t>
  </si>
  <si>
    <t>MIT</t>
  </si>
  <si>
    <t>Han Cai, Ligeng Zhu, and Song Han</t>
  </si>
  <si>
    <t>ProxylessNAS: Direct neural architecture search on target task and hardware</t>
  </si>
  <si>
    <t>https://arxiv.org/abs/1812.00332</t>
  </si>
  <si>
    <t>Neural architecture search (NAS) has a great impact by automatically designing effective neural network architectures. However, the prohibitive computational demand of conventional NAS algorithms (e.g. 104 GPU hours) makes it difficult to \emph{directly} search the architectures on large-scale tasks (e.g. ImageNet). Differentiable NAS can reduce the cost of GPU hours via a continuous representation of network architecture but suffers from the high GPU memory consumption issue (grow linearly w.r.t. candidate set size). As a result, they need to utilize~\emph{proxy} tasks, such as training on a smaller dataset, or learning with only a few blocks, or training just for a few epochs. These architectures optimized on proxy tasks are not guaranteed to be optimal on the target task. In this paper, we present \emph{ProxylessNAS} that can \emph{directly} learn the architectures for large-scale target tasks and target hardware platforms. We address the high memory consumption issue of differentiable NAS and reduce the computational cost (GPU hours and GPU memory) to the same level of regular training while still allowing a large candidate set. Experiments on CIFAR-10 and ImageNet demonstrate the effectiveness of directness and specialization. On CIFAR-10, our model achieves 2.08\% test error with only 5.7M parameters, better than the previous state-of-the-art architecture AmoebaNet-B, while using 6× fewer parameters. On ImageNet, our model achieves 3.1\% better top-1 accuracy than MobileNetV2, while being 1.2× faster with measured GPU latency. We also apply ProxylessNAS to specialize neural architectures for hardware with direct hardware metrics (e.g. latency) and provide insights for efficient CNN architecture design.</t>
  </si>
  <si>
    <t>ObjectNet</t>
  </si>
  <si>
    <t>Object recognition</t>
  </si>
  <si>
    <t>Andrei Barbu, David Mayo, Julian Alverio, William Luo, Christopher Wang, Dan Gutfre- und, Josh Tenenbaum, and Boris Katz</t>
  </si>
  <si>
    <t>Objectnet: A large-scale bias-controlled dataset for pushing the limits of object recognition models</t>
  </si>
  <si>
    <t>https://papers.nips.cc/paper/2019/file/97af07a14cacba681feacf3012730892-Paper.pdf</t>
  </si>
  <si>
    <t>Internal data</t>
  </si>
  <si>
    <t>We collect a large real-world test set, ObjectNet, for object recognition with controls where object backgrounds, rotations, and imaging viewpoints are random. Most scientific experiments have controls, confounds which are removed from the data, to ensure that subjects cannot perform a task by exploiting trivial correlations in the data. Historically, large machine learning and computer vision datasets have lacked such controls. This has resulted in models that must be fine-tuned for new datasets and perform better on datasets than in real-world applications. When tested on ObjectNet, object detectors show a 40-45% drop in performance, with respect to their performance on other benchmarks, due to the controls for biases. Controls make ObjectNet robust to fine-tuning showing only small performance increases. We develop a highly automated platform that enables gathering datasets with controls by crowdsourcing image capturing and annotation. ObjectNet is the same size as the ImageNet test set (50,000 images), and by design does not come paired with a training set in order to encourage generalization. The dataset is both easier than ImageNet – objects are largely centered and unoccluded – and harder, due to the controls. Although we focus on object recognition here, data with controls can be gathered at scale using automated tools throughout machine learning to generate datasets that exercise models in new ways thus providing valuable feedback to researchers. This work opens up new avenues for research in generalizable, robust, and more human-like computer vision and in creating datasets where results are predictive of real-world performance.</t>
  </si>
  <si>
    <t>AlphaX-1</t>
  </si>
  <si>
    <t>Neural architecture search for computer vision</t>
  </si>
  <si>
    <t>Brown and Facebook AI Research</t>
  </si>
  <si>
    <t>Linnan Wang, Yiyang Zhao, Yuu Jinnai, Yuandong Tian, Rodrigo Fonseca1</t>
  </si>
  <si>
    <t>AlphaX: eXploring Neural Architectures with Deep Neural Networks and Monte Carlo Tree Search</t>
  </si>
  <si>
    <t>https://arxiv.org/abs/1903.11059</t>
  </si>
  <si>
    <t>DLRM-2020</t>
  </si>
  <si>
    <t>M Naumov, D Mudigere, HJM Shi, J Huang</t>
  </si>
  <si>
    <t>Deep Learning Recommendation Model for Personalization and Recommendation Systems</t>
  </si>
  <si>
    <t>https://arxiv.org/abs/1906.00091</t>
  </si>
  <si>
    <t>Cross-lingual alignment</t>
  </si>
  <si>
    <t>Tel Aviv University, MIT</t>
  </si>
  <si>
    <t>Tal Schuster, Ori Ram, Regina Barzilay, and Amir Globerson.</t>
  </si>
  <si>
    <t>Cross-lingual alignment of contextual word embeddings, with applications to zero- shot dependency parsing.</t>
  </si>
  <si>
    <t>https://arxiv.org/abs/1902.09492</t>
  </si>
  <si>
    <t>Decoupled weight decay regularization</t>
  </si>
  <si>
    <t>University of Freiburg</t>
  </si>
  <si>
    <t>Ilya Loshchilov and Frank Hutter</t>
  </si>
  <si>
    <t>Decoupled weight decay regularization.</t>
  </si>
  <si>
    <t>https://arxiv.org/abs/1711.05101</t>
  </si>
  <si>
    <t>CIFAR-10</t>
  </si>
  <si>
    <t>Hide and Seek</t>
  </si>
  <si>
    <t>B Baker, I Kanitscheider, T Markov, Y Wu</t>
  </si>
  <si>
    <t>Emergent Tool Use From Multi-Agent Autocurricula</t>
  </si>
  <si>
    <t>https://openai.com/blog/emergent-tool-use/</t>
  </si>
  <si>
    <t>Hanabi 4 player</t>
  </si>
  <si>
    <t>Hanabi</t>
  </si>
  <si>
    <t xml:space="preserve">DeepMind, University of Oxford, Google Brain, Carnegie Mellon University, </t>
  </si>
  <si>
    <t>The Hanabi Challenge: A New Frontier for AI Research</t>
  </si>
  <si>
    <t>https://arxiv.org/abs/1902.00506</t>
  </si>
  <si>
    <t>Pluribus</t>
  </si>
  <si>
    <t>Poker</t>
  </si>
  <si>
    <t>Noam Brown, Tuomas Sandholm</t>
  </si>
  <si>
    <t>Superhuman AI for multiplayer poker</t>
  </si>
  <si>
    <t>https://www.science.org/cms/asset/910714a7-ee2a-486e-9970-42fb893b08d9/pap.pdf</t>
  </si>
  <si>
    <t>Transformer ELMo</t>
  </si>
  <si>
    <t>Univeristy of Washington, Allen Instititute for Artificial Intelligence</t>
  </si>
  <si>
    <t>AI2</t>
  </si>
  <si>
    <t>ME Peters, M Neumann, L Zettlemoyer</t>
  </si>
  <si>
    <t>Dissecting Contextual Word Embeddings: Architecture and Representation</t>
  </si>
  <si>
    <t>https://www.semanticscholar.org/paper/Dissecting-Contextual-Word-Embeddings%3A-Architecture-Peters-Neumann/ac11062f1f368d97f4c826c317bf50dcc13fdb59</t>
  </si>
  <si>
    <t>MT-DNN</t>
  </si>
  <si>
    <t>X Liu, P He, W Chen, J Gao</t>
  </si>
  <si>
    <t>Multi-Task Deep Neural Networks for Natural Language Understanding</t>
  </si>
  <si>
    <t>https://arxiv.org/abs/1901.11504</t>
  </si>
  <si>
    <t>Encoder-decoder</t>
  </si>
  <si>
    <t>Multilayer Bidirectional Transformer Encoder</t>
  </si>
  <si>
    <t>Speech recognition</t>
  </si>
  <si>
    <t xml:space="preserve"> Daniel S. Park, William Chan, Yu Zhang, Chung-Cheng Chiu, Barret Zoph, Ekin D. Cubuk, Quoc V. Le</t>
  </si>
  <si>
    <t>SpecAugment: A Simple Data Augmentation Method for Automatic Speech Recognition</t>
  </si>
  <si>
    <t>https://arxiv.org/abs/1904.08779</t>
  </si>
  <si>
    <t>Semantic segmentation</t>
  </si>
  <si>
    <t>Chinese Academy of Sciences</t>
  </si>
  <si>
    <t>Jun Fu, Jing Liu, Haijie Tian, Yong Li, Yongjun Bao, Zhiwei Fang, Hanqing Lu</t>
  </si>
  <si>
    <t>Dual Attention Network for Scene Segmentation</t>
  </si>
  <si>
    <t>https://openaccess.thecvf.com/content_CVPR_2019/html/Fu_Dual_Attention_Network_for_Scene_Segmentation_CVPR_2019_paper.html</t>
  </si>
  <si>
    <t>ResNet-50 Billion-scale</t>
  </si>
  <si>
    <t>https://paperswithcode.com/paper/language-models-are-unsupervised-multitask</t>
  </si>
  <si>
    <t>ResNeXt-101 Billion-scale</t>
  </si>
  <si>
    <t>IZ Yalniz, H Jégou, K Chen, M Paluri</t>
  </si>
  <si>
    <t>Billion-scale semi-supervised learning for image classification</t>
  </si>
  <si>
    <t>https://arxiv.org/abs/1905.00546</t>
  </si>
  <si>
    <t>CPC v2</t>
  </si>
  <si>
    <t>DeepMind, Berkeley</t>
  </si>
  <si>
    <t>Data-Efficient Image Recognition with Contrastive Predictive Coding</t>
  </si>
  <si>
    <t>https://arxiv.org/abs/1905.09272</t>
  </si>
  <si>
    <t>EfficientNet-L2</t>
  </si>
  <si>
    <t>M Tan, Q Le</t>
  </si>
  <si>
    <t>EfficientNet: Rethinking Model Scaling for Convolutional Neural Networks</t>
  </si>
  <si>
    <t>https://arxiv.org/abs/1905.11946</t>
  </si>
  <si>
    <t>Grover-Mega</t>
  </si>
  <si>
    <t>University of Washington</t>
  </si>
  <si>
    <t>R Zellers, A Holtzman, H Rashkin, Y Bisk</t>
  </si>
  <si>
    <t>Defending Against Neural Fake News</t>
  </si>
  <si>
    <t>https://arxiv.org/abs/1905.12616</t>
  </si>
  <si>
    <t>XLM</t>
  </si>
  <si>
    <t>G Lample, A Conneau</t>
  </si>
  <si>
    <t>Cross-lingual Language Model Pretraining</t>
  </si>
  <si>
    <t>https://arxiv.org/abs/1901.07291</t>
  </si>
  <si>
    <t>XLNet</t>
  </si>
  <si>
    <t xml:space="preserve">Carnegie Mellon University, Google AI Brain </t>
  </si>
  <si>
    <t>Z Yang, Z Dai, Y Yang, J Carbonell</t>
  </si>
  <si>
    <t>XLNet: Generalized Autoregressive Pretraining for Language Understanding</t>
  </si>
  <si>
    <t>https://arxiv.org/abs/1906.08237</t>
  </si>
  <si>
    <t>AMDIM</t>
  </si>
  <si>
    <t>Philip Bachman, R Devon Hjelm, William Buchwalter</t>
  </si>
  <si>
    <t>Learning Representations by Maximizing Mutual Information Across Views</t>
  </si>
  <si>
    <t>https://arxiv.org/abs/1906.00910</t>
  </si>
  <si>
    <t>FixRes ResNeXt-101 WSL</t>
  </si>
  <si>
    <t>H Touvron, A Vedaldi, M Douze, H Jégou</t>
  </si>
  <si>
    <t>Fixing the train-test resolution discrepancy</t>
  </si>
  <si>
    <t>https://arxiv.org/abs/1906.06423</t>
  </si>
  <si>
    <t>RoBERTa</t>
  </si>
  <si>
    <t>Y Liu, M Ott, N Goyal, J Du, M Joshi, D Chen</t>
  </si>
  <si>
    <t>RoBERTa: A Robustly Optimized BERT Pretraining Approach</t>
  </si>
  <si>
    <t>https://arxiv.org/abs/1907.11692</t>
  </si>
  <si>
    <t>BigBiGAN</t>
  </si>
  <si>
    <t>Spyros Gidaris, Praveer Singh, Nikos Komodakis</t>
  </si>
  <si>
    <t>Large Scale Adversarial Representation Learning</t>
  </si>
  <si>
    <t>https://arxiv.org/abs/1907.02544</t>
  </si>
  <si>
    <t>ALBERT</t>
  </si>
  <si>
    <t>Google, TTIC</t>
  </si>
  <si>
    <t>Z Lan, M Chen, S Goodman, K Gimpel</t>
  </si>
  <si>
    <t>ALBERT: A Lite BERT for Self-supervised Learning of Language Representations</t>
  </si>
  <si>
    <t>DistilBERT</t>
  </si>
  <si>
    <t>HuggingFace</t>
  </si>
  <si>
    <t>Victor Sanh, Lysandre Debut, Julien Chaumond, Thomas Wolf</t>
  </si>
  <si>
    <t>DistilBERT, a distilled version of BERT: smaller, faster, cheaper and lighter</t>
  </si>
  <si>
    <t>https://arxiv.org/abs/1910.01108</t>
  </si>
  <si>
    <t>Perplexity of next token</t>
  </si>
  <si>
    <t>BART-large</t>
  </si>
  <si>
    <t>Mike Lewis, Yinhan Liu, Naman Goyal, Marjan Ghazvininejad, Abdelrahman Mohamed, Omer Levy, Ves Stoyanov, Luke Zettlemoyer</t>
  </si>
  <si>
    <t>BART: Denoising Sequence-to-Sequence Pre-training for Natural Language Generation, Translation, and Comprehension</t>
  </si>
  <si>
    <t>https://arxiv.org/abs/1910.13461</t>
  </si>
  <si>
    <t>Noisy Student (L2)</t>
  </si>
  <si>
    <t>Carnegie Mellon University, Google</t>
  </si>
  <si>
    <t>Q Xie, MT Luong, E Hovy</t>
  </si>
  <si>
    <t>Self-training with Noisy Student improves ImageNet classification</t>
  </si>
  <si>
    <t>https://paperswithcode.com/paper/self-training-with-noisy-student-improves/review/</t>
  </si>
  <si>
    <t>MoCo</t>
  </si>
  <si>
    <t>Kaiming He, Haoqi Fan, Yuxin Wu, Saining Xe, Ross Girshick</t>
  </si>
  <si>
    <t>Momentum Contrast for Unsupervised Visual Representation Learning</t>
  </si>
  <si>
    <t>https://arxiv.org/abs/1911.05722</t>
  </si>
  <si>
    <t>University of Oxford</t>
  </si>
  <si>
    <t>S Wu, C Rupprecht, A Vedaldi</t>
  </si>
  <si>
    <t>Unsupervised Learning of Probably Symmetric Deformable 3D Objects From Images in the Wild</t>
  </si>
  <si>
    <t>https://arxiv.org/abs/1911.11130</t>
  </si>
  <si>
    <t>StarGAN v2</t>
  </si>
  <si>
    <t xml:space="preserve">NAVER AI Lab, Yonsei University, Swiss Federal Institute of Technology </t>
  </si>
  <si>
    <t>Yunjey Choi, Youngjung Uh, Jaejun Yoo, Jung-Woo Ha</t>
  </si>
  <si>
    <t>StarGAN v2: Diverse Image Synthesis for Multiple Domains</t>
  </si>
  <si>
    <t>https://arxiv.org/abs/1912.01865</t>
  </si>
  <si>
    <t>Big Transfer (BiT-L)</t>
  </si>
  <si>
    <t>A Kolesnikov, L Beyer, X Zhai, J Puigcerver, J Yung</t>
  </si>
  <si>
    <t>Large scale learning of general visual representations for transfer</t>
  </si>
  <si>
    <t>https://arxiv.org/abs/1912.11370</t>
  </si>
  <si>
    <t>BigGAN-deep 512x512</t>
  </si>
  <si>
    <t>Image generation</t>
  </si>
  <si>
    <t>Heriot-Watt University, DeepMind</t>
  </si>
  <si>
    <t>A Brock, J Donahue, K Simonyan</t>
  </si>
  <si>
    <t>Large Scale GAN Training for High Fidelity Natural Image Synthesis</t>
  </si>
  <si>
    <t>https://arxiv.org/abs/1809.11096</t>
  </si>
  <si>
    <t>JFT-300M</t>
  </si>
  <si>
    <t>Despite recent progress in generative image modeling, successfully generating high-resolution, diverse samples from complex datasets such as ImageNet remains an elusive goal. To this end, we train Generative Adversarial Networks at the largest scale yet attempted, and study the instabilities specific to such scale. We find that applying orthogonal regularization to the generator renders it amenable to a simple "truncation trick," allowing fine control over the trade-off between sample fidelity and variety by reducing the variance of the Generator's input. Our modifications lead to models which set the new state of the art in class-conditional image synthesis. When trained on ImageNet at 128x128 resolution, our models (BigGANs) achieve an Inception Score (IS) of 166.5 and Frechet Inception Distance (FID) of 7.4, improving over the previous best IS of 52.52 and FID of 18.6.</t>
  </si>
  <si>
    <t>AmoebaNet-A (F=448)</t>
  </si>
  <si>
    <t>Esteban Real, Alok Aggarwal, Yanping Huang, Quoc V Le</t>
  </si>
  <si>
    <t>Regularized Evolution for Image Classifier Architecture Search</t>
  </si>
  <si>
    <t>https://arxiv.org/abs/1802.01548</t>
  </si>
  <si>
    <t>The effort devoted to hand-crafting neural network image classifiers has motivated the use of architecture search to discover them automatically. Although evolutionary algorithms have been repeatedly applied to neural network topologies, the image classifiers thus discovered have remained inferior to human-crafted ones. Here, we evolve an image classifier---AmoebaNet-A---that surpasses hand-designs for the first time. To do this, we modify the tournament selection evolutionary algorithm by introducing an age property to favor the younger genotypes. Matching size, AmoebaNet-A has comparable accuracy to current state-of-the-art ImageNet models discovered with more complex architecture-search methods. Scaled to larger size, AmoebaNet-A sets a new state-of-the-art 83.9% / 96.6% top-5 ImageNet accuracy. In a controlled comparison against a well known reinforcement learning algorithm, we give evidence that evolution can obtain results faster with the same hardware, especially at the earlier stages of the search. This is relevant when fewer compute resources are available. Evolution is, thus, a simple method to effectively discover high-quality architectures.</t>
  </si>
  <si>
    <t>BERT-Large</t>
  </si>
  <si>
    <t>Next sentence prediction</t>
  </si>
  <si>
    <t>J Devlin, MW Chang, K Lee, K Toutanova</t>
  </si>
  <si>
    <t>BERT: Pre-training of Deep Bidirectional Transformers for Language Understanding</t>
  </si>
  <si>
    <t>https://arxiv.org/abs/1810.04805</t>
  </si>
  <si>
    <t>We introduce a new language representation model called BERT, which stands for Bidirectional Encoder Representations from Transformers. Unlike recent language representation models,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</si>
  <si>
    <t>IMPALA</t>
  </si>
  <si>
    <r>
      <rPr>
        <sz val="10"/>
        <color rgb="FF000000"/>
        <rFont val="Roboto Condensed"/>
        <charset val="134"/>
      </rPr>
      <t>Lasse Espeholt</t>
    </r>
    <r>
      <rPr>
        <sz val="10"/>
        <color rgb="FF000000"/>
        <rFont val="Roboto Condensed"/>
        <charset val="134"/>
      </rPr>
      <t xml:space="preserve">, </t>
    </r>
    <r>
      <rPr>
        <sz val="10"/>
        <color rgb="FF000000"/>
        <rFont val="Roboto Condensed"/>
        <charset val="134"/>
      </rPr>
      <t>Hubert Soyer</t>
    </r>
    <r>
      <rPr>
        <sz val="10"/>
        <color rgb="FF000000"/>
        <rFont val="Roboto Condensed"/>
        <charset val="134"/>
      </rPr>
      <t xml:space="preserve">, </t>
    </r>
    <r>
      <rPr>
        <sz val="10"/>
        <color rgb="FF000000"/>
        <rFont val="Roboto Condensed"/>
        <charset val="134"/>
      </rPr>
      <t>Remi Munos</t>
    </r>
    <r>
      <rPr>
        <sz val="10"/>
        <color rgb="FF000000"/>
        <rFont val="Roboto Condensed"/>
        <charset val="134"/>
      </rPr>
      <t xml:space="preserve">, </t>
    </r>
    <r>
      <rPr>
        <sz val="10"/>
        <color rgb="FF000000"/>
        <rFont val="Roboto Condensed"/>
        <charset val="134"/>
      </rPr>
      <t>Karen Simonyan</t>
    </r>
    <r>
      <rPr>
        <sz val="10"/>
        <color rgb="FF000000"/>
        <rFont val="Roboto Condensed"/>
        <charset val="134"/>
      </rPr>
      <t xml:space="preserve">, </t>
    </r>
    <r>
      <rPr>
        <sz val="10"/>
        <color rgb="FF000000"/>
        <rFont val="Roboto Condensed"/>
        <charset val="134"/>
      </rPr>
      <t>Volodymir Mnih</t>
    </r>
    <r>
      <rPr>
        <sz val="10"/>
        <color rgb="FF000000"/>
        <rFont val="Roboto Condensed"/>
        <charset val="134"/>
      </rPr>
      <t xml:space="preserve">, </t>
    </r>
    <r>
      <rPr>
        <sz val="10"/>
        <color rgb="FF000000"/>
        <rFont val="Roboto Condensed"/>
        <charset val="134"/>
      </rPr>
      <t>Tom Ward</t>
    </r>
    <r>
      <rPr>
        <sz val="10"/>
        <color rgb="FF000000"/>
        <rFont val="Roboto Condensed"/>
        <charset val="134"/>
      </rPr>
      <t xml:space="preserve">, </t>
    </r>
    <r>
      <rPr>
        <sz val="10"/>
        <color rgb="FF000000"/>
        <rFont val="Roboto Condensed"/>
        <charset val="134"/>
      </rPr>
      <t>Yotam Doron</t>
    </r>
    <r>
      <rPr>
        <sz val="10"/>
        <color rgb="FF000000"/>
        <rFont val="Roboto Condensed"/>
        <charset val="134"/>
      </rPr>
      <t xml:space="preserve">, </t>
    </r>
    <r>
      <rPr>
        <sz val="10"/>
        <color rgb="FF000000"/>
        <rFont val="Roboto Condensed"/>
        <charset val="134"/>
      </rPr>
      <t>Vlad Firoiu</t>
    </r>
    <r>
      <rPr>
        <sz val="10"/>
        <color rgb="FF000000"/>
        <rFont val="Roboto Condensed"/>
        <charset val="134"/>
      </rPr>
      <t xml:space="preserve">, </t>
    </r>
    <r>
      <rPr>
        <sz val="10"/>
        <color rgb="FF000000"/>
        <rFont val="Roboto Condensed"/>
        <charset val="134"/>
      </rPr>
      <t>Tim Harley</t>
    </r>
    <r>
      <rPr>
        <sz val="10"/>
        <color rgb="FF000000"/>
        <rFont val="Roboto Condensed"/>
        <charset val="134"/>
      </rPr>
      <t xml:space="preserve">, </t>
    </r>
    <r>
      <rPr>
        <sz val="10"/>
        <color rgb="FF000000"/>
        <rFont val="Roboto Condensed"/>
        <charset val="134"/>
      </rPr>
      <t>Iain Dunning</t>
    </r>
    <r>
      <rPr>
        <sz val="10"/>
        <color rgb="FF000000"/>
        <rFont val="Roboto Condensed"/>
        <charset val="134"/>
      </rPr>
      <t xml:space="preserve">, </t>
    </r>
    <r>
      <rPr>
        <sz val="10"/>
        <color rgb="FF000000"/>
        <rFont val="Roboto Condensed"/>
        <charset val="134"/>
      </rPr>
      <t>Shane Legg</t>
    </r>
    <r>
      <rPr>
        <sz val="10"/>
        <color rgb="FF000000"/>
        <rFont val="Roboto Condensed"/>
        <charset val="134"/>
      </rPr>
      <t xml:space="preserve">, </t>
    </r>
    <r>
      <rPr>
        <sz val="10"/>
        <color rgb="FF000000"/>
        <rFont val="Roboto Condensed"/>
        <charset val="134"/>
      </rPr>
      <t>Koray Kavukcuoglu</t>
    </r>
  </si>
  <si>
    <t>IMPALA: Scalable Distributed Deep-RL with Importance Weighted Actor-Learner Architectures</t>
  </si>
  <si>
    <t>https://arxiv.org/abs/1802.01561</t>
  </si>
  <si>
    <t>In this work we aim to solve a large collection of tasks using a single reinforcement learning agent with a single set of parameters. A key challenge is to handle the increased amount of data and extended training time. We have developed a new distributed agent IMPALA (Importance Weighted Actor-Learner Architecture) that not only uses resources more efficiently in single-machine training but also scales to thousands of machines without sacrificing data efficiency or resource utilisation. We achieve stable learning at high throughput by combining decoupled acting and learning with a novel off-policy correction method called V-trace. We demonstrate the effectiveness of IMPALA for multi-task reinforcement learning on DMLab-30 (a set of 30 tasks from the DeepMind Lab environment (Beattie et al., 2016)) and Atari-57 (all available Atari games in Arcade Learning Environment (Bellemare et al., 2013a)). Our results show that IMPALA is able to achieve better performance than previous agents with less data, and crucially exhibits positive transfer between tasks as a result of its multi-task approach.</t>
  </si>
  <si>
    <t>YOLOv3</t>
  </si>
  <si>
    <t>Joseph Redmon, Ali Farhadi</t>
  </si>
  <si>
    <t>YOLOv3: An Incremental Improvement</t>
  </si>
  <si>
    <t>https://arxiv.org/abs/1804.02767</t>
  </si>
  <si>
    <t>We present some updates to YOLO! We made a bunch of little design changes to make it better. We also trained this new network that's pretty swell. It's a little bigger than last time but more accurate. It's still fast though, don't worry. At 320x320 YOLOv3 runs in 22 ms at 28.2 mAP, as accurate as SSD but three times faster. When we look at the old .5 IOU mAP detection metric YOLOv3 is quite good. It achieves 57.9 mAP@50 in 51 ms on a Titan X, compared to 57.5 mAP@50 in 198 ms by RetinaNet, similar performance but 3.8x faster. As always, all the code is online at this https URL</t>
  </si>
  <si>
    <t>Population-based DRL</t>
  </si>
  <si>
    <t>Max Jaderberg, Wojciech M. Czarnecki, Iain Dunning, Luke Marris, Guy Lever, Antonio Garcia Castaneda, Charles Beattie, Neil C. Rabinowitz, Ari S. Morcos, Avraham Ruderman, Nicolas Sonnerat, Tim Green, Louise Deason, Joel Z. Leibo, David Silver, Demis Hassabis, Koray Kavukcuoglu, Thore Graepel</t>
  </si>
  <si>
    <t>Human-level performance in first-person multiplayer games with population-based deep reinforcement learning</t>
  </si>
  <si>
    <t>https://arxiv.org/abs/1807.01281</t>
  </si>
  <si>
    <t>Recent progress in artificial intelligence through reinforcement learning (RL) has shown great success on increasingly complex single-agent environments and two-player turn-based games. However, the real-world contains multiple agents, each learning and acting independently to cooperate and compete with other agents, and environments reflecting this degree of complexity remain an open challenge. In this work, we demonstrate for the first time that an agent can achieve human-level in a popular 3D multiplayer first-person video game, Quake III Arena Capture the Flag, using only pixels and game points as input. These results were achieved by a novel two-tier optimisation process in which a population of independent RL agents are trained concurrently from thousands of parallel matches with agents playing in teams together and against each other on randomly generated environments. Each agent in the population learns its own internal reward signal to complement the sparse delayed reward from winning, and selects actions using a novel temporally hierarchical representation that enables the agent to reason at multiple timescales. During game-play, these agents display human-like behaviours such as navigating, following, and defending based on a rich learned representation that is shown to encode high-level game knowledge. In an extensive tournament-style evaluation the trained agents exceeded the win-rate of strong human players both as teammates and opponents, and proved far stronger than existing state-of-the-art agents. These results demonstrate a significant jump in the capabilities of artificial agents, bringing us closer to the goal of human-level intelligence.</t>
  </si>
  <si>
    <t>GPT</t>
  </si>
  <si>
    <t>A Radford, K Narasimhan, T Salimans, I Sutskever</t>
  </si>
  <si>
    <t>Improving Language Understanding by Generative Pre-Training</t>
  </si>
  <si>
    <t>https://openai.com/blog/language-unsupervised/</t>
  </si>
  <si>
    <t>BooksCorpus</t>
  </si>
  <si>
    <t>Natural language understanding comprises a wide range of diverse tasks such as textual entailment, question answering, semantic similarity assessment, and document classification. Although large unlabeled text corpora are abundant, labeled data for learning these specific tasks is scarce, making it challenging for discriminatively trained models to perform adequately. We demonstrate that large gains on these tasks can be realized by generative pre-training of a language model on a diverse corpus of unlabeled text, followed by discriminative fine-tuning on each specific task. In contrast to previous approaches, we make use of task-aware input transformations during fine-tuning to achieve effective transfer while requiring minimal changes to the model architecture. We demonstrate the effectiveness of our approach on a wide range of benchmarks for natural language understanding. Our general task-agnostic model outperforms discriminatively trained models that use architectures specifically crafted for each task, significantly improving upon the state of the art in 9 out of the 12 tasks studied. For instance, we achieve absolute improvements of 8.9% on commonsense reasoning (Stories Cloze Test), 5.7% on question answering (RACE), and 1.5% on textual entailment (MultiNLI).</t>
  </si>
  <si>
    <t>Refined Part Pooling</t>
  </si>
  <si>
    <t>Person retrieval</t>
  </si>
  <si>
    <t>Tsinghua University, University of Technology Sydney, University of Texas at San Antonio</t>
  </si>
  <si>
    <t>Yifan Sun, Liang Zheng, Yi Yang, Qi Tian, Shengjin Wang</t>
  </si>
  <si>
    <t>Beyond Part Models: Person Retrieval with Refined Part Pooling (and a Strong Convolutional Baseline)</t>
  </si>
  <si>
    <t>https://arxiv.org/abs/1711.09349</t>
  </si>
  <si>
    <t>ULM-FiT</t>
  </si>
  <si>
    <t>Text classification</t>
  </si>
  <si>
    <t>University of San Francisco, Insight Centre NUI Galway</t>
  </si>
  <si>
    <t>J Howard, S Ruder</t>
  </si>
  <si>
    <t>Universal Language Model Fine-tuning for Text Classification</t>
  </si>
  <si>
    <t>https://arxiv.org/abs/1801.06146</t>
  </si>
  <si>
    <t>LSTM RNN</t>
  </si>
  <si>
    <t>ELMo</t>
  </si>
  <si>
    <t>AllenAI, University of Washington</t>
  </si>
  <si>
    <t>ME Peters, M Neumann, M Iyyer, M Gardner</t>
  </si>
  <si>
    <t>Deep contextualized word representations</t>
  </si>
  <si>
    <t>https://arxiv.org/abs/1802.05365</t>
  </si>
  <si>
    <t>AmoebaNet-A (F=190)</t>
  </si>
  <si>
    <t>E Real, A Aggarwal, Y Huang, QV Le</t>
  </si>
  <si>
    <t>DeepLabV3+</t>
  </si>
  <si>
    <t>Google Inc.</t>
  </si>
  <si>
    <t>Liang-Chieh Chen, Yukun Zhu, George Papandreou, Florian Schroff, Hartwig Adam</t>
  </si>
  <si>
    <t>Encoder-Decoder with Atrous Separable Convolution for Semantic Image Segmentation</t>
  </si>
  <si>
    <t>https://arxiv.org/abs/1802.02611v3</t>
  </si>
  <si>
    <t>Preferred Networks Inc, Ritsumeikan University, National Institute of Informatics</t>
  </si>
  <si>
    <t>Takeru Miyato, Toshiki Kataoka, Masanori Koyama, Yuichi Yoshida</t>
  </si>
  <si>
    <t>Spectral Normalization for Generative Adversarial Networks</t>
  </si>
  <si>
    <t>https://arxiv.org/abs/1802.05957</t>
  </si>
  <si>
    <t>Image super-resolution</t>
  </si>
  <si>
    <t>Northeastern University, University of Rochester</t>
  </si>
  <si>
    <t xml:space="preserve"> Yulun Zhang, Yapeng Tian, Yu Kong, Bineng Zhong, Yun Fu</t>
  </si>
  <si>
    <t>Residual Dense Network for Image Super-Resolution</t>
  </si>
  <si>
    <t>https://openaccess.thecvf.com/content_cvpr_2018/html/Zhang_Residual_Dense_Network_CVPR_2018_paper.html</t>
  </si>
  <si>
    <t>Chinese - English translation</t>
  </si>
  <si>
    <t>H Hassan, A Aue, C Chen, V Chowdhary</t>
  </si>
  <si>
    <t>Achieving Human Parity on Automatic Chinese to English News Translation</t>
  </si>
  <si>
    <t>https://www.microsoft.com/en-us/research/publication/achieving-human-parity-on-automatic-chinese-to-english-news-translation/</t>
  </si>
  <si>
    <t>Rotation</t>
  </si>
  <si>
    <t>École des Ponts ParisTech</t>
  </si>
  <si>
    <t>Unsupervised Representation Learning by Predicting Image Rotations</t>
  </si>
  <si>
    <t>https://arxiv.org/abs/1803.07728</t>
  </si>
  <si>
    <t>ResNeXt-101 32x48d</t>
  </si>
  <si>
    <t>D Mahajan, R Girshick</t>
  </si>
  <si>
    <t>Exploring the Limits of Weakly Supervised Pretraining</t>
  </si>
  <si>
    <t>https://arxiv.org/abs/1805.00932</t>
  </si>
  <si>
    <t>MobileNetV2</t>
  </si>
  <si>
    <t>M Sandler, A Howard, M Zhu</t>
  </si>
  <si>
    <t>MobileNetV2: Inverted Residuals and Linear Bottlenecks</t>
  </si>
  <si>
    <t>https://ieeexplore.ieee.org/document/8578572</t>
  </si>
  <si>
    <t>ShuffleNet v2</t>
  </si>
  <si>
    <t>Tsinghua University, Megvii Inc</t>
  </si>
  <si>
    <t>N Ma, X Zhang, HT Zheng</t>
  </si>
  <si>
    <t>ShuffleNet V2: Practical Guidelines for Efficient CNN Architecture Design</t>
  </si>
  <si>
    <t>https://arxiv.org/abs/1807.11164</t>
  </si>
  <si>
    <t>Northeastern University</t>
  </si>
  <si>
    <t xml:space="preserve"> Yulun Zhang, Kunpeng Li, Kai Li, Lichen Wang, Bineng Zhong, Yun Fu</t>
  </si>
  <si>
    <t>Image Super-Resolution Using Very Deep Residual Channel Attention Networks</t>
  </si>
  <si>
    <t>https://openaccess.thecvf.com/content_ECCV_2018/html/Yulun_Zhang_Image_Super-Resolution_Using_ECCV_2018_paper.html</t>
  </si>
  <si>
    <t>ESRGAN</t>
  </si>
  <si>
    <t>Chinese University of Hong Kong, Chinese Academy of Sciences, Nanyang Technological University</t>
  </si>
  <si>
    <t>Xintao Wang, Ke Yu, Shixiang Wu, Jinjin Gu, Yihao Liu, Chao Dong, Chen Change Loy, Yu Qiao, Xiaoou Tang</t>
  </si>
  <si>
    <t>ESRGAN: Enhanced Super-Resolution Generative Adversarial Networks</t>
  </si>
  <si>
    <t>https://arxiv.org/abs/1809.00219</t>
  </si>
  <si>
    <t>MetaMimic</t>
  </si>
  <si>
    <t>Tom Le Paine, Sergio Gomez</t>
  </si>
  <si>
    <t>One-Shot High-Fidelity Imitation: Training Large-Scale Deep Nets with RL</t>
  </si>
  <si>
    <t>https://arxiv.org/abs/1810.05017</t>
  </si>
  <si>
    <t>GPipe (Amoeba)</t>
  </si>
  <si>
    <t>Y Huang, Y Cheng, A Bapna, O Firat</t>
  </si>
  <si>
    <t>GPipe: Efficient Training of Giant Neural Networks using Pipeline Parallelism</t>
  </si>
  <si>
    <t>https://arxiv.org/abs/1811.06965</t>
  </si>
  <si>
    <t>GPipe (Transformer)</t>
  </si>
  <si>
    <t>AlphaGo Zero</t>
  </si>
  <si>
    <t>Go</t>
  </si>
  <si>
    <t>D Silver, J Schrittwieser, K Simonyan, I Antonoglou</t>
  </si>
  <si>
    <t>Mastering the game of Go without human knowledge</t>
  </si>
  <si>
    <t>https://www.researchgate.net/publication/320473480_Mastering_the_game_of_Go_without_human_knowledge</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</si>
  <si>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 © 2017 Macmillan Publishers Limited, part of Springer Nature. All rights reserved.</t>
  </si>
  <si>
    <t>AlphaGo Master</t>
  </si>
  <si>
    <t>AlphaZero</t>
  </si>
  <si>
    <t>D Silver, T Hubert, J Schrittwieser, I Antonoglou</t>
  </si>
  <si>
    <t>Mastering Chess and Shogi by Self-Play with a General Reinforcement Learning Algorithm</t>
  </si>
  <si>
    <t>https://arxiv.org/abs/1712.01815</t>
  </si>
  <si>
    <t>The game of chess is the most widely-studied domain in the history of artificial intelligence. The strongest programs are based on a combination of sophisticated search techniques, domain-specific adaptations, and handcrafted evaluation functions that have been refined by human experts over several decades. In contrast, the AlphaGo Zero program recently achieved superhuman performance in the game of Go, by tabula rasa reinforcement learning from games of self-play. In this paper, we generalise this approach into a single AlphaZero algorithm that can achieve, tabula rasa, superhuman performance in many challenging domains. Starting from random play, and given no domain knowledge except the game rules, AlphaZero achieved within 24 hours a superhuman level of play in the games of chess and shogi (Japanese chess) as well as Go, and convincingly defeated a world-champion program in each case.</t>
  </si>
  <si>
    <t>Libratus</t>
  </si>
  <si>
    <t>Carnegie Mellon University</t>
  </si>
  <si>
    <t>N Brown, T Sandholm, S Machine</t>
  </si>
  <si>
    <t>Libratus: The Superhuman AI for No-Limit Poker</t>
  </si>
  <si>
    <t>https://www.cs.cmu.edu/~noamb/papers/17-IJCAI-Libratus.pdf</t>
  </si>
  <si>
    <t>No-limit Texas Hold’em is the most popular variant of poker in the world. Heads-up no-limit Texas Hold’em is the main benchmark challenge for AI in imperfect-information games. We present Libratus, the first—and so far only—AI to defeat top human professionals in that game. Libratus’s architecture features three main modules, each of which has new algorithms: pre-computing a solution to an abstraction of the game which provides a high-level blueprint for the strategy of the AI, a new nested subgame-solving algorithm which repeatedly calculates a more detailed strategy as play progresses, and a self-improving module which augments the pre-computed blueprint over time.</t>
  </si>
  <si>
    <t>OpenAI TI7 DOTA 1v1</t>
  </si>
  <si>
    <t>DOTA</t>
  </si>
  <si>
    <t xml:space="preserve">Dota 2 </t>
  </si>
  <si>
    <t>https://openai.com/five/</t>
  </si>
  <si>
    <t>JFT</t>
  </si>
  <si>
    <t>Google Research, CMU</t>
  </si>
  <si>
    <t>ChenSun,AbhinavShrivastava,SaurabhSingh,andAbhinavGupta</t>
  </si>
  <si>
    <t>Revisiting Unreasonable Effectiveness of Data in Deep Learning Era.</t>
  </si>
  <si>
    <t>https://arxiv.org/abs/1707.02968</t>
  </si>
  <si>
    <t>The success of deep learning in vision can be attributed to: (a) models with high capacity; (b) increased computational power; and (c) availability of large-scale labeled data. Since 2012, there have been significant advances in representation capabilities of the models and computational capabilities of GPUs. But the size of the biggest dataset has surprisingly remained constant. What will happen if we increase the dataset size by 10x or 100x? This paper takes a step towards clearing the clouds of mystery surrounding the relationship between `enormous data' and visual deep learning. By exploiting the JFT-300M dataset which has more than 375M noisy labels for 300M images, we investigate how the performance of current vision tasks would change if this data was used for representation learning. Our paper delivers some surprising (and some expected) findings. First, we find that the performance on vision tasks increases logarithmically based on volume of training data size. Second, we show that representation learning (or pre-training) still holds a lot of promise. One can improve performance on many vision tasks by just training a better base model. Finally, as expected, we present new state-of-the-art results for different vision tasks including image classification, object detection, semantic segmentation and human pose estimation. Our sincere hope is that this inspires vision community to not undervalue the data and develop collective efforts in building larger datasets.</t>
  </si>
  <si>
    <t>MoE</t>
  </si>
  <si>
    <t>Language modelling / Machine translation</t>
  </si>
  <si>
    <t>Google Brain, Jagiellonian University, Cracow</t>
  </si>
  <si>
    <t>N Shazeer, A Mirhoseini, K Maziarz, A Davis</t>
  </si>
  <si>
    <t>Outrageously Large Neural Networks: The Sparsely-Gated Mixture-of-Experts Layer</t>
  </si>
  <si>
    <t>https://arxiv.org/abs/1701.06538</t>
  </si>
  <si>
    <t>Sparse</t>
  </si>
  <si>
    <t>Long Short-Term Memory Mixture-Of-Experts</t>
  </si>
  <si>
    <t>The capacity of a neural network to absorb information is limited by its number of parameters. Conditional computation, where parts of the network are active on a per-example basis, has been proposed in theory as a way of dramatically increasing model capacity without a proportional increase in computation. In practice, however, there are significant algorithmic and performance challenges. In this work, we address these challenges and finally realize the promise of conditional computation, achieving greater than 1000x improvements in model capacity with only minor losses in computational efficiency on modern GPU clusters. We introduce a Sparsely-Gated Mixture-of-Experts layer (MoE), consisting of up to thousands of feed-forward sub-networks. A trainable gating network determines a sparse combination of these experts to use for each example. We apply the MoE to the tasks of language modeling and machine translation, where model capacity is critical for absorbing the vast quantities of knowledge available in the training corpora. We present model architectures in which a MoE with up to 137 billion parameters is applied convolutionally between stacked LSTM layers. On large language modeling and machine translation benchmarks, these models achieve significantly better results than state-of-the-art at lower computational cost.</t>
  </si>
  <si>
    <t>PNASNet-5</t>
  </si>
  <si>
    <t>Johns Hopkins University, Stanford, Google AI</t>
  </si>
  <si>
    <t>C Liu, B Zoph, M Neumann, J Shlens</t>
  </si>
  <si>
    <t>Progressive Neural Architecture Search</t>
  </si>
  <si>
    <t>https://arxiv.org/abs/1712.00559</t>
  </si>
  <si>
    <t>We propose a new method for learning the structure of convolutional neural networks (CNNs) that is more efficient than recent state-of-the-art methods based on reinforcement learning and evolutionary algorithms. Our approach uses a sequential model-based optimization (SMBO) strategy, in which we search for structures in order of increasing complexity, while simultaneously learning a surrogate model to guide the search through structure space. Direct comparison under the same search space shows that our method is up to 5 times more efficient than the RL method of Zoph et al. (2018) in terms of number of models evaluated, and 8 times faster in terms of total compute. The structures we discover in this way achieve state of the art classification accuracies on CIFAR-10 and ImageNet.</t>
  </si>
  <si>
    <t>Transformer</t>
  </si>
  <si>
    <t>Google Brain ; Google Research</t>
  </si>
  <si>
    <t>Ashish Vaswani, Noam Shazeer, Niki Parmar, Jakob Uszkoreit, Llion Jones, Aidan N. Gomez, Lukasz Kaiser, Illia Polosukhin</t>
  </si>
  <si>
    <t>Attention Is All You Need</t>
  </si>
  <si>
    <t>https://proceedings.neurips.cc/paper/2017/file/3f5ee243547dee91fbd053c1c4a845aa-Paper.pdf</t>
  </si>
  <si>
    <t>DeepStack</t>
  </si>
  <si>
    <t>University of Alberta, Charles University, Czech Technical University</t>
  </si>
  <si>
    <r>
      <rPr>
        <sz val="10"/>
        <color rgb="FF000000"/>
        <rFont val="Roboto Condensed"/>
        <charset val="134"/>
      </rPr>
      <t>Matej Moravčík</t>
    </r>
    <r>
      <rPr>
        <sz val="10"/>
        <color rgb="FF000000"/>
        <rFont val="Roboto Condensed"/>
        <charset val="134"/>
      </rPr>
      <t xml:space="preserve">, </t>
    </r>
    <r>
      <rPr>
        <sz val="10"/>
        <color rgb="FF000000"/>
        <rFont val="Roboto Condensed"/>
        <charset val="134"/>
      </rPr>
      <t>Martin Schmid</t>
    </r>
    <r>
      <rPr>
        <sz val="10"/>
        <color rgb="FF000000"/>
        <rFont val="Roboto Condensed"/>
        <charset val="134"/>
      </rPr>
      <t xml:space="preserve">, </t>
    </r>
    <r>
      <rPr>
        <sz val="10"/>
        <color rgb="FF000000"/>
        <rFont val="Roboto Condensed"/>
        <charset val="134"/>
      </rPr>
      <t>Neil Burch</t>
    </r>
    <r>
      <rPr>
        <sz val="10"/>
        <color rgb="FF000000"/>
        <rFont val="Roboto Condensed"/>
        <charset val="134"/>
      </rPr>
      <t xml:space="preserve">, </t>
    </r>
    <r>
      <rPr>
        <sz val="10"/>
        <color rgb="FF000000"/>
        <rFont val="Roboto Condensed"/>
        <charset val="134"/>
      </rPr>
      <t>Viliam Lisý</t>
    </r>
    <r>
      <rPr>
        <sz val="10"/>
        <color rgb="FF000000"/>
        <rFont val="Roboto Condensed"/>
        <charset val="134"/>
      </rPr>
      <t xml:space="preserve">, </t>
    </r>
    <r>
      <rPr>
        <sz val="10"/>
        <color rgb="FF000000"/>
        <rFont val="Roboto Condensed"/>
        <charset val="134"/>
      </rPr>
      <t>Dustin Morrill</t>
    </r>
    <r>
      <rPr>
        <sz val="10"/>
        <color rgb="FF000000"/>
        <rFont val="Roboto Condensed"/>
        <charset val="134"/>
      </rPr>
      <t xml:space="preserve">, </t>
    </r>
    <r>
      <rPr>
        <sz val="10"/>
        <color rgb="FF000000"/>
        <rFont val="Roboto Condensed"/>
        <charset val="134"/>
      </rPr>
      <t>Nolan Bard</t>
    </r>
    <r>
      <rPr>
        <sz val="10"/>
        <color rgb="FF000000"/>
        <rFont val="Roboto Condensed"/>
        <charset val="134"/>
      </rPr>
      <t xml:space="preserve">, </t>
    </r>
    <r>
      <rPr>
        <sz val="10"/>
        <color rgb="FF000000"/>
        <rFont val="Roboto Condensed"/>
        <charset val="134"/>
      </rPr>
      <t>Trevor Davis</t>
    </r>
    <r>
      <rPr>
        <sz val="10"/>
        <color rgb="FF000000"/>
        <rFont val="Roboto Condensed"/>
        <charset val="134"/>
      </rPr>
      <t xml:space="preserve">, </t>
    </r>
    <r>
      <rPr>
        <sz val="10"/>
        <color rgb="FF000000"/>
        <rFont val="Roboto Condensed"/>
        <charset val="134"/>
      </rPr>
      <t>Kevin Waugh</t>
    </r>
    <r>
      <rPr>
        <sz val="10"/>
        <color rgb="FF000000"/>
        <rFont val="Roboto Condensed"/>
        <charset val="134"/>
      </rPr>
      <t xml:space="preserve">, </t>
    </r>
    <r>
      <rPr>
        <sz val="10"/>
        <color rgb="FF000000"/>
        <rFont val="Roboto Condensed"/>
        <charset val="134"/>
      </rPr>
      <t>Michael Johanson</t>
    </r>
    <r>
      <rPr>
        <sz val="10"/>
        <color rgb="FF000000"/>
        <rFont val="Roboto Condensed"/>
        <charset val="134"/>
      </rPr>
      <t xml:space="preserve">, </t>
    </r>
    <r>
      <rPr>
        <sz val="10"/>
        <color rgb="FF000000"/>
        <rFont val="Roboto Condensed"/>
        <charset val="134"/>
      </rPr>
      <t>Michael Bowlin</t>
    </r>
    <r>
      <rPr>
        <sz val="10"/>
        <color rgb="FF000000"/>
        <rFont val="Roboto Condensed"/>
        <charset val="134"/>
      </rPr>
      <t>g</t>
    </r>
  </si>
  <si>
    <t>DeepStack: Expert-Level Artificial Intelligence in No-Limit Poker</t>
  </si>
  <si>
    <t>https://arxiv.org/abs/1701.01724</t>
  </si>
  <si>
    <t>VIsion</t>
  </si>
  <si>
    <t>Harbin Institute of Technology, Hong Kong Polytechnic University, ULSee Inc., Xi’an Jiaotong University</t>
  </si>
  <si>
    <t>Kai Zhang, Wangmeng Zuo, Yunjin Chen, Deyu Meng, Lei Zhang</t>
  </si>
  <si>
    <t>Beyond a Gaussian Denoiser: Residual Learning of Deep CNN for Image Denoising</t>
  </si>
  <si>
    <t>https://ieeexplore.ieee.org/abstract/document/7839189</t>
  </si>
  <si>
    <t>University of Toronto, Twitter</t>
  </si>
  <si>
    <t xml:space="preserve"> Jake Snell, Kevin Swersky, Richard S. Zemel</t>
  </si>
  <si>
    <t>Prototypical Networks for Few-shot Learning</t>
  </si>
  <si>
    <t>https://arxiv.org/abs/1703.05175</t>
  </si>
  <si>
    <t>Mask R-CNN</t>
  </si>
  <si>
    <t>Image segmentation</t>
  </si>
  <si>
    <t>Kaiming He, Georgia Gkioxari, Piotr Dollár, Ross Girshick</t>
  </si>
  <si>
    <t>https://arxiv.org/abs/1703.06870</t>
  </si>
  <si>
    <t>COCO</t>
  </si>
  <si>
    <t>Montreal Institute for learning Algorithms, Courant Institute of Mathematical Sciences</t>
  </si>
  <si>
    <t>Ishaan Gulrajani, Faruk Ahmed, Martin Arjovsky, Vincent Dumoulin, Aaron Courville</t>
  </si>
  <si>
    <t>Improved Training of Wasserstein GANs</t>
  </si>
  <si>
    <t>https://arxiv.org/abs/1704.00028</t>
  </si>
  <si>
    <t>MobileNet</t>
  </si>
  <si>
    <t>AG Howard, M Zhu, B Chen, D Kalenichenko</t>
  </si>
  <si>
    <t>MobileNets: Efficient Convolutional Neural Networks for Mobile Vision Applications</t>
  </si>
  <si>
    <t>https://arxiv.org/abs/1704.04861</t>
  </si>
  <si>
    <t>Google Inc., University King College, Johns Hopkins University</t>
  </si>
  <si>
    <t>Liang-Chieh Chen, George Papandreou, Iasonas Kokkinos, Kevin Murphy, Alan L. Yuille</t>
  </si>
  <si>
    <t>DeepLab: Semantic Image Segmentation with Deep Convolutional Nets, Atrous Convolution, and Fully Connected CRFs</t>
  </si>
  <si>
    <t>https://ieeexplore.ieee.org/abstract/document/7913730</t>
  </si>
  <si>
    <t>Twitter</t>
  </si>
  <si>
    <t>Christian Ledig, Lucas Theis, Ferenc Huszar, Jose Caballero, Andrew Cunningham, Alejandro Acosta, Andrew Aitken, Alykhan Tejani, Johannes Totz, Zehan Wang, Wenzhe Shi</t>
  </si>
  <si>
    <t>Photo-Realistic Single Image Super-Resolution Using a Generative Adversarial Network</t>
  </si>
  <si>
    <t>https://openaccess.thecvf.com/content_cvpr_2017/html/Ledig_Photo-Realistic_Single_Image_CVPR_2017_paper.html</t>
  </si>
  <si>
    <t>Action recognition</t>
  </si>
  <si>
    <t>DeepMind, University of Oxford</t>
  </si>
  <si>
    <t>Joao Carreira, Andrew Zisserman</t>
  </si>
  <si>
    <t>Quo Vadis, Action Recognition? A New Model and the Kinetics Dataset</t>
  </si>
  <si>
    <t>https://arxiv.org/abs/1705.07750</t>
  </si>
  <si>
    <t>PointNet++</t>
  </si>
  <si>
    <t>3D segmentation</t>
  </si>
  <si>
    <t>Stanford University</t>
  </si>
  <si>
    <t>Charles R. Qi, Li Yi, Hao Su, Leonidas J. Guibas</t>
  </si>
  <si>
    <t>PointNet++: Deep Hierarchical Feature Learning on Point Sets in a Metric Space</t>
  </si>
  <si>
    <t>https://arxiv.org/abs/1706.02413</t>
  </si>
  <si>
    <t>Seoul National University</t>
  </si>
  <si>
    <t>Bee Lim, Sanghyun Son, Heewon Kim, Seungjun Nah, Kyoung Mu Lee</t>
  </si>
  <si>
    <t>Enhanced Deep Residual Networks for Single Image Super-Resolution</t>
  </si>
  <si>
    <t>https://arxiv.org/abs/1707.02921</t>
  </si>
  <si>
    <t>HRA</t>
  </si>
  <si>
    <t>Ms Pacman</t>
  </si>
  <si>
    <t>Microsoft Maluuba</t>
  </si>
  <si>
    <t>H Van Seijen, M Fatemi, J Romoff, R Laroche</t>
  </si>
  <si>
    <t>Hybrid Reward Architecture for Reinforcement Learning</t>
  </si>
  <si>
    <t>https://arxiv.org/abs/1706.04208</t>
  </si>
  <si>
    <t>DeepLabV3</t>
  </si>
  <si>
    <t>Google Inc</t>
  </si>
  <si>
    <t>Rethinking Atrous Convolution for Semantic Image Segmentation</t>
  </si>
  <si>
    <t>https://arxiv.org/abs/1706.05587</t>
  </si>
  <si>
    <t>Johannes Kepler University Linz</t>
  </si>
  <si>
    <t>Martin Heusel, Hubert Ramsauer, Thomas Unterthiner, Bernhard Nessler, Günter Klambauer, Sepp Hochreiter</t>
  </si>
  <si>
    <t>GANs Trained by a Two Time-Scale Update Rule Converge to a Local Nash Equilibrium</t>
  </si>
  <si>
    <t>https://arxiv.org/abs/1706.08500v1</t>
  </si>
  <si>
    <t>NoisyNet-Dueling</t>
  </si>
  <si>
    <t>M Fortunato, MG Azar, B Piot, J Menick</t>
  </si>
  <si>
    <t>Noisy Networks for Exploration</t>
  </si>
  <si>
    <t>https://arxiv.org/abs/1706.10295v3</t>
  </si>
  <si>
    <t>ShuffleNet v1</t>
  </si>
  <si>
    <t>Megvii Inc</t>
  </si>
  <si>
    <t>X Zhang, X Zhou, M Lin, J Sun</t>
  </si>
  <si>
    <t>ShuffleNet: An Extremely Efficient Convolutional Neural Network for Mobile Devices</t>
  </si>
  <si>
    <t>https://arxiv.org/abs/1707.01083</t>
  </si>
  <si>
    <t>NASNet-A</t>
  </si>
  <si>
    <t>B Zoph, V Vasudevan, J Shlens</t>
  </si>
  <si>
    <t>Learning Transferable Architectures for Scalable Image Recognition</t>
  </si>
  <si>
    <t>https://arxiv.org/abs/1707.07012</t>
  </si>
  <si>
    <t>Chinese University of Hong Kong</t>
  </si>
  <si>
    <t>Hengshuang Zhao, Jianping Shi, Xiaojuan Qi, Xiaogang Wang, Jiaya Jia</t>
  </si>
  <si>
    <t>Pyramid Scene Parsing Network</t>
  </si>
  <si>
    <t>https://ieeexplore.ieee.org/document/8100143</t>
  </si>
  <si>
    <t>RetinaNet-R50</t>
  </si>
  <si>
    <t>Facebook AI research</t>
  </si>
  <si>
    <t>TY Lin, P Goyal, R Girshick, K He</t>
  </si>
  <si>
    <t>Focal loss for dense object detection</t>
  </si>
  <si>
    <t>https://arxiv.org/abs/1708.02002</t>
  </si>
  <si>
    <t>RetinaNet-R101</t>
  </si>
  <si>
    <t>University of Guelph, Canadian Institute for Advanced Research and Vector Institute</t>
  </si>
  <si>
    <t xml:space="preserve"> Terrance DeVries, Graham W. Taylor</t>
  </si>
  <si>
    <t>Improved Regularization of Convolutional Neural Networks with Cutout</t>
  </si>
  <si>
    <t>https://arxiv.org/abs/1708.04552</t>
  </si>
  <si>
    <t>NeuMF (Pinterest)</t>
  </si>
  <si>
    <t>Collaborative filtering</t>
  </si>
  <si>
    <t>NUS, Columbia, Shandong University, Texas A&amp;M</t>
  </si>
  <si>
    <t>X He, L Liao, H Zhang, L Nie, X Hu</t>
  </si>
  <si>
    <t>Neural Collaborative Filtering</t>
  </si>
  <si>
    <t>https://arxiv.org/abs/1708.05031</t>
  </si>
  <si>
    <t>SENet (ImageNet)</t>
  </si>
  <si>
    <t>Chinese Academy of Sciences ; University of Oxford</t>
  </si>
  <si>
    <t>Jie Hu, Li Shen, Samuel Albanie, Gang Sun, Enhua Wu</t>
  </si>
  <si>
    <t>Squeeze-and-Excitation Networks</t>
  </si>
  <si>
    <t>https://arxiv.org/abs/1709.01507</t>
  </si>
  <si>
    <t>University of Technology Sydney</t>
  </si>
  <si>
    <t>Zhedong Zheng, Liang Zheng, Yi Yang</t>
  </si>
  <si>
    <t>Unlabeled Samples Generated by GAN Improve the Person Re-identification Baseline in vitro</t>
  </si>
  <si>
    <t>https://arxiv.org/abs/1701.07717</t>
  </si>
  <si>
    <t>CapsNet (MNIST)</t>
  </si>
  <si>
    <t>Character recognition</t>
  </si>
  <si>
    <t>S Sabour, N Frosst, GE Hinton</t>
  </si>
  <si>
    <t>Dynamic Routing Between Capsules</t>
  </si>
  <si>
    <t>https://arxiv.org/abs/1710.09829</t>
  </si>
  <si>
    <t>CapsNet (MultiMNIST)</t>
  </si>
  <si>
    <t>Nvidia</t>
  </si>
  <si>
    <t>Tero Karras, Timo Aila, Samuli Laine, Jaakko Lehtinen</t>
  </si>
  <si>
    <t>Progressive Growing of GANs for Improved Quality, Stability, and Variation</t>
  </si>
  <si>
    <t>https://arxiv.org/abs/1710.10196</t>
  </si>
  <si>
    <t>Visual Computing Institute, Aachen University</t>
  </si>
  <si>
    <t>Alexander Hermans, Lucas Beyer, Bastian Leibe</t>
  </si>
  <si>
    <t>In Defense of the Triplet Loss for Person Re-Identification</t>
  </si>
  <si>
    <t>https://arxiv.org/abs/1703.07737</t>
  </si>
  <si>
    <t>PNAS-net</t>
  </si>
  <si>
    <t>GNMT</t>
  </si>
  <si>
    <t>Yonghui Wu, Mike Schuster, Zhifeng Chen, Quoc V. Le, Mohammad Norouzi, Wolfgang Macherey, Maxim Krikun, Yuan Cao, Qin Gao, Klaus Macherey, Jeff Klingner, Apurva Shah, Melvin Johnson, Xiaobing Liu, Łukasz Kaiser, Stephan Gouws, Yoshikiyo Kato, Taku Kudo, Hideto Kazawa, Keith Stevens, George Kurian, Nishant Patil, Wei Wang, Cliff Young, Jason Smith, Jason Riesa, Alex Rudnick, Oriol Vinyals, Greg Corrado, Macduff Hughes, Jeffrey Dean</t>
  </si>
  <si>
    <t>Google's Neural Machine Translation System: Bridging the Gap between Human and Machine Translation</t>
  </si>
  <si>
    <t>https://research.google/pubs/pub45610/</t>
  </si>
  <si>
    <t>Neural Machine Translation (NMT) is an end-to-end learning approach for automated translation, with the potential to overcome many of the weaknesses of conventional phrase-based translation systems. Unfortunately, NMT systems are known to be computationally expensive both in training and in translation inference. Also, most NMT systems have difficulty with rare words. These issues have hindered NMT's use in practical deployments and services, where both accuracy and speed are essential. In this work, we present GNMT, Google's Neural Machine Translation system, which attempts to address many of these issues. Our model consists of a deep LSTM network with 8 encoder and 8 decoder layers using attention and residual connections. To improve parallelism and therefore decrease training time, our attention mechanism connects the bottom layer of the decoder to the top layer of the encoder. To accelerate the final translation speed, we employ low-precision arithmetic during inference computations. To improve handling of rare words, we divide words into a limited set of common sub-word units ("wordpieces") for both input and output. This method provides a good balance between the flexibility of "character"-delimited models and the efficiency of "word"-delimited models, naturally handles translation of rare words, and ultimately improves the overall accuracy of the system. Our beam search technique employs a length-normalization procedure and uses a coverage penalty, which encourages generation of an output sentence that is most likely to cover all the words in the source sentence. On the WMT'14 English-to-French and English-to-German benchmarks, GNMT achieves competitive results to state-of-the-art. Using a human side-by-side evaluation on a set of isolated simple sentences, it reduces translation errors by an average of 60% compared to Google's phrase-based production system.</t>
  </si>
  <si>
    <t>NASv3 (CIFAR-10)</t>
  </si>
  <si>
    <t>Barret Zoph, Quoc V. Le</t>
  </si>
  <si>
    <t>Neural Architecture Search with Reinforcement Learning</t>
  </si>
  <si>
    <t>https://arxiv.org/abs/1611.01578</t>
  </si>
  <si>
    <t>Neural networks are powerful and flexible models that work well for many difficult learning tasks in image, speech and natural language understanding. Despite their success, neural networks are still hard to design. In this paper, we use a recurrent network to generate the model descriptions of neural networks and train this RNN with reinforcement learning to maximize the expected accuracy of the generated architectures on a validation set. On the CIFAR-10 dataset, our method, starting from scratch, can design a novel network architecture that rivals the best human-invented architecture in terms of test set accuracy. Our CIFAR-10 model achieves a test error rate of 3.65, which is 0.09 percent better and 1.05x faster than the previous state-of-the-art model that used a similar architectural scheme. On the Penn Treebank dataset, our model can compose a novel recurrent cell that outperforms the widely-used LSTM cell, and other state-of-the-art baselines. Our cell achieves a test set perplexity of 62.4 on the Penn Treebank, which is 3.6 perplexity better than the previous state-of-the-art model. The cell can also be transferred to the character language modeling task on PTB and achieves a state-of-the-art perplexity of 1.214.</t>
  </si>
  <si>
    <t>AlphaGo Lee</t>
  </si>
  <si>
    <t>D Silver, A Huang, CJ Maddison, A Guez, L Sifre</t>
  </si>
  <si>
    <t>Mastering the game of Go with deep neural networks and tree search</t>
  </si>
  <si>
    <t>https://www.nature.com/articles/nature16961</t>
  </si>
  <si>
    <t>The game of Go has long been viewed as the most challenging of classic games for artificial intelligence owing to its enormous search space and the difficulty of evaluating board positions and moves. Here we introduce a new approach to computer Go that uses ‘value networks’ to evaluate board positions and ‘policy networks’ to select moves. These deep neural networks are trained by a novel combination of supervised learning from human expert games, and reinforcement learning from games of self-play. Without any lookahead search, the neural networks play Go at the level of state-of-the-art Monte Carlo tree search programs that simulate thousands of random games of self-play. We also introduce a new search algorithm that combines Monte Carlo simulation with value and policy networks. Using this search algorithm, our program AlphaGo achieved a 99.8% winning rate against other Go programs, and defeated the human European Go champion by 5 games to 0. This is the first time that a computer program has defeated a human professional player in the full-sized game of Go, a feat previously thought to be at least a decade away.</t>
  </si>
  <si>
    <t>Xception</t>
  </si>
  <si>
    <t>François Chollet</t>
  </si>
  <si>
    <t>Xception: Deep Learning with Depthwise Separable Convolutions</t>
  </si>
  <si>
    <t>https://arxiv.org/abs/1610.02357</t>
  </si>
  <si>
    <t>We present an interpretation of Inception modules in convolutional neural networks as being an intermediate step in-between regular convolution and the depthwise separable convolution operation (a depthwise convolution followed by a pointwise convolution). In this light, a depthwise separable convolution can be understood as an Inception module with a maximally large number of towers. This observation leads us to propose a novel deep convolutional neural network architecture inspired by Inception, where Inception modules have been replaced with depthwise separable convolutions. We show that this architecture, dubbed Xception, slightly outperforms Inception V3 on the ImageNet dataset (which Inception V3 was designed for), and significantly outperforms Inception V3 on a larger image classification dataset comprising 350 million images and 17,000 classes. Since the Xception architecture has the same number of parameters as Inception V3, the performance gains are not due to increased capacity but rather to a more efficient use of model parameters.</t>
  </si>
  <si>
    <t>Part-of-sentence tagging model</t>
  </si>
  <si>
    <t>POS tagging</t>
  </si>
  <si>
    <t>University of Toronto</t>
  </si>
  <si>
    <t>Jimmy Lei Ba, Jamie Ryan Kiros, and Geoffrey E Hin- ton</t>
  </si>
  <si>
    <t>Layer Normalization.</t>
  </si>
  <si>
    <t>https://arxiv.org/abs/1607.06450</t>
  </si>
  <si>
    <t>Named Entity Recognition model</t>
  </si>
  <si>
    <t>Layer Normalization</t>
  </si>
  <si>
    <t>R-FCN</t>
  </si>
  <si>
    <t>Microsoft research, Tsinghua university</t>
  </si>
  <si>
    <t>Jifeng Dai, Y. Li, Kaiming He, and Jian Sun</t>
  </si>
  <si>
    <t>R-fcn: Object detection via region-based fully convolutional networks.</t>
  </si>
  <si>
    <t>https://arxiv.org/abs/1605.06409</t>
  </si>
  <si>
    <t>PASCAL VOC (2007 and 2012 vesrions) + MS COCO</t>
  </si>
  <si>
    <t>Pose estimation</t>
  </si>
  <si>
    <t>The Robotics Institute, Carnegie Mellon University</t>
  </si>
  <si>
    <t>Shih-En Wei, Varun Ramakrishna, Takeo Kanade, Yaser Sheikh</t>
  </si>
  <si>
    <t>Convolutional Pose Machines</t>
  </si>
  <si>
    <t>https://arxiv.org/abs/1602.00134</t>
  </si>
  <si>
    <t>A3C FF hs</t>
  </si>
  <si>
    <t>Google, University of Montreal</t>
  </si>
  <si>
    <t>V Mnih, AP Badia, M Mirza, A Graves</t>
  </si>
  <si>
    <t>Asynchronous Methods for Deep Reinforcement Learning</t>
  </si>
  <si>
    <t>http://arxiv.org/abs/1602.01783v2</t>
  </si>
  <si>
    <t>Inceptionv4</t>
  </si>
  <si>
    <t>Christian Szegedy, Sergey Ioffe, Vincent Vanhoucke, Alex Alemi</t>
  </si>
  <si>
    <t>Inception-v4, Inception-ResNet and the Impact of Residual Connections on Learning</t>
  </si>
  <si>
    <t>https://arxiv.org/abs/1602.07261</t>
  </si>
  <si>
    <t>Inception-ResNet-V2</t>
  </si>
  <si>
    <t>SqueezeNet</t>
  </si>
  <si>
    <t>DeepScale, UC Berkeley, Stanford</t>
  </si>
  <si>
    <t>Forrest N. Iandola, Song Han, Matthew W. Moskewicz, Khalid Ashraf, William J. Dally, Kurt Keutzer</t>
  </si>
  <si>
    <t>SqueezeNet: AlexNet-level accuracy with 50x fewer parameters and &lt;0.5MB model size</t>
  </si>
  <si>
    <t>https://arxiv.org/abs/1602.07360</t>
  </si>
  <si>
    <t>Nanjing University, University of Adelaide</t>
  </si>
  <si>
    <t>Xiao-Jiao Mao, Chunhua Shen, Yu-Bin Yang</t>
  </si>
  <si>
    <t>Image Restoration Using Very Deep Convolutional Encoder-Decoder Networks with Symmetric Skip Connections</t>
  </si>
  <si>
    <t>https://arxiv.org/abs/1603.09056v2</t>
  </si>
  <si>
    <t>Video</t>
  </si>
  <si>
    <t>Graz University of Technology, University of Oxford</t>
  </si>
  <si>
    <t>Christoph Feichtenhofer, Axel Pinz, Andrew Zisserman</t>
  </si>
  <si>
    <t>Convolutional Two-Stream Network Fusion for Video Action Recognition</t>
  </si>
  <si>
    <t>https://openaccess.thecvf.com/content_cvpr_2016/html/Feichtenhofer_Convolutional_Two-Stream_Network_CVPR_2016_paper.html</t>
  </si>
  <si>
    <t>UCF101</t>
  </si>
  <si>
    <t>DMN</t>
  </si>
  <si>
    <t>Salesforce</t>
  </si>
  <si>
    <t>Ankit Kumar, Ozan Irsoy, Peter Ondruska, Mohit Iyyer, James Bradbury, Ishaan Gulrajani, Victor Zhong, Romain Paulus, Richard Socher</t>
  </si>
  <si>
    <t>Ask Me Anything: Dynamic Memory Networks for Natural Language Processing</t>
  </si>
  <si>
    <t>https://arxiv.org/abs/1506.07285</t>
  </si>
  <si>
    <t>HT Cheng, L Koc, J Harmsen, T Shaked</t>
  </si>
  <si>
    <t>Wide &amp; Deep Learning for Recommender Systems</t>
  </si>
  <si>
    <t>https://arxiv.org/abs/1606.07792</t>
  </si>
  <si>
    <t>A Joulin, E Grave, P Bojanowski, T Mikolov</t>
  </si>
  <si>
    <t>Bag of Tricks for Efficient Text Classification</t>
  </si>
  <si>
    <t>https://arxiv.org/abs/1607.01759</t>
  </si>
  <si>
    <t>Continuous Bag-Of-Words Model</t>
  </si>
  <si>
    <t>P Bojanowski, E Grave, A Joulin</t>
  </si>
  <si>
    <t>Enriching Word Vectors with Subword Information</t>
  </si>
  <si>
    <t>https://arxiv.org/abs/1607.04606</t>
  </si>
  <si>
    <t>DenseNet-264</t>
  </si>
  <si>
    <t>Tsinghua University, Cornell, Facebook AI research</t>
  </si>
  <si>
    <t>G Huang, Z Liu, L Van Der Maaten</t>
  </si>
  <si>
    <t>Densely Connected Convolutional Networks</t>
  </si>
  <si>
    <t>https://arxiv.org/abs/1608.06993</t>
  </si>
  <si>
    <t>Face detection</t>
  </si>
  <si>
    <t>Chinese Academy of Sciences, Chinese University of Hong Kong</t>
  </si>
  <si>
    <t>Kaipeng Zhang, Zhanpeng Zhang, Zhifeng Li, Yu Qiao</t>
  </si>
  <si>
    <t>Joint Face Detection and Alignment using Multitask cascaded convolutional networks</t>
  </si>
  <si>
    <t>https://arxiv.org/abs/1604.02878</t>
  </si>
  <si>
    <t>Google DeepMind</t>
  </si>
  <si>
    <t>A Oord, S Dieleman, H Zen, K Simonyan</t>
  </si>
  <si>
    <t>WaveNet: A Generative Model for Raw Audio</t>
  </si>
  <si>
    <t>https://arxiv.org/abs/1609.03499</t>
  </si>
  <si>
    <t>Paul Covington, Jay Adams, and Emre Sargin</t>
  </si>
  <si>
    <t>Deep Neural Networks for YouTube Recommendations</t>
  </si>
  <si>
    <t>https://research.google/pubs/pub45530/</t>
  </si>
  <si>
    <t>Stacked hourglass network</t>
  </si>
  <si>
    <t>University of Michigan</t>
  </si>
  <si>
    <t>Alejandro Newell, Kaiyu Yang, Jia Deng</t>
  </si>
  <si>
    <t>Stacked Hourglass Networks for Human Pose Estimation</t>
  </si>
  <si>
    <t>https://link.springer.com/chapter/10.1007/978-3-319-46484-8_29</t>
  </si>
  <si>
    <t>Kaiming He, Xiangyu Zhang, Shaoqing Ren, Jian Sun</t>
  </si>
  <si>
    <t>Identity Mappings in Deep Residual Networks</t>
  </si>
  <si>
    <t>https://link.springer.com/chapter/10.1007/978-3-319-46493-0_38</t>
  </si>
  <si>
    <t>ETH Zurich, The Chinese University of Hong Kong, Shenzhen Institute of Advanced Technology</t>
  </si>
  <si>
    <t>Limin Wang, Yuanjun Xiong, Zhe Wang, Yu Qiao, Dahua Lin, Xiaoou Tang, Luc Van Gool</t>
  </si>
  <si>
    <t>Temporal Segment Networks: Towards Good Practices for Deep Action Recognition</t>
  </si>
  <si>
    <t>https://link.springer.com/chapter/10.1007/978-3-319-46484-8_2</t>
  </si>
  <si>
    <t>MS-CNN</t>
  </si>
  <si>
    <t>SVCL UC San Diego, IBM</t>
  </si>
  <si>
    <t>Zhaowei Cai, Quanfu Fan, Rogerio S. Feris, Nuno Vasconcelos</t>
  </si>
  <si>
    <t>A Unified Multi-scale Deep Convolutional Neural Network for Fast Object Detection</t>
  </si>
  <si>
    <t>https://link.springer.com/chapter/10.1007/978-3-319-46493-0_22</t>
  </si>
  <si>
    <t>Wide Residual Network</t>
  </si>
  <si>
    <t>Université Paris-Est</t>
  </si>
  <si>
    <t>Sergey Zagoruyko, Nikos Komodakis</t>
  </si>
  <si>
    <t>Wide Residual Networks</t>
  </si>
  <si>
    <t>https://arxiv.org/abs/1605.07146</t>
  </si>
  <si>
    <t>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&amp; Demis Hassabis</t>
  </si>
  <si>
    <t>Hybrid computing using a neural network with dynamic external memory</t>
  </si>
  <si>
    <t>https://www.nature.com/articles/nature20101</t>
  </si>
  <si>
    <t>Jiwon Kim, Jung Kwon Lee, Kyoung Mu Lee</t>
  </si>
  <si>
    <t>Deeply-Recursive Convolutional Network for Image Super-Resolution</t>
  </si>
  <si>
    <t>https://arxiv.org/abs/1511.04491</t>
  </si>
  <si>
    <t>ResNeXt-50</t>
  </si>
  <si>
    <t>UC San Diego, Facebook</t>
  </si>
  <si>
    <t>Saining Xie, Ross Girshick, Piotr Dollár, Zhuowen Tu, Kaiming He</t>
  </si>
  <si>
    <t>Aggregated Residual Transformations for Deep Neural Networks</t>
  </si>
  <si>
    <t>https://arxiv.org/abs/1611.05431</t>
  </si>
  <si>
    <t>PolyNet</t>
  </si>
  <si>
    <t>The Chinese University of Hong Kong</t>
  </si>
  <si>
    <t>X Zhang, Z Li, C Change Loy</t>
  </si>
  <si>
    <t>PolyNet: A Pursuit of Structural Diversity in Very Deep Networks</t>
  </si>
  <si>
    <t>https://arxiv.org/abs/1611.05725</t>
  </si>
  <si>
    <t>RefineNet</t>
  </si>
  <si>
    <t>University of Adelaide, Australian Centre for Robotic Vision</t>
  </si>
  <si>
    <t>Guosheng Lin, Anton Milan, Chunhua Shen, Ian Reid</t>
  </si>
  <si>
    <t>RefineNet: Multi-Path Refinement Networks for High-Resolution Semantic Segmentation</t>
  </si>
  <si>
    <t>https://arxiv.org/abs/1611.06612v3</t>
  </si>
  <si>
    <t>P Isola, JY Zhu, T Zhou</t>
  </si>
  <si>
    <t>Image-to-Image Translation with Conditional Adversarial Networks</t>
  </si>
  <si>
    <t>https://arxiv.org/abs/1611.07004</t>
  </si>
  <si>
    <t>J Kirkpatrick, R Pascanu</t>
  </si>
  <si>
    <t>Overcoming catastrophic forgetting in neural networks</t>
  </si>
  <si>
    <t>https://arxiv.org/abs/1612.00796</t>
  </si>
  <si>
    <t>PointNet</t>
  </si>
  <si>
    <t>3d segmentation</t>
  </si>
  <si>
    <t>Stanford</t>
  </si>
  <si>
    <t>CR Qi, H Su, K Mo, LJ Guibas</t>
  </si>
  <si>
    <t>PointNet: Deep Learning on Point Sets for 3D Classification and Segmentation</t>
  </si>
  <si>
    <t>https://arxiv.org/abs/1612.00593</t>
  </si>
  <si>
    <t>Tim Salimans, Ian Goodfellow, Wojciech Zaremba, Vicki Cheung, Alec Radford, Xi Chen</t>
  </si>
  <si>
    <t>Improved Techniques for Training GANs</t>
  </si>
  <si>
    <t>https://dl.acm.org/doi/10.5555/3157096.3157346</t>
  </si>
  <si>
    <t>UT Austin, Google Inc, UC Berkeley</t>
  </si>
  <si>
    <t>V Gulshan, L Peng, M Coram, MC Stumpe, D Wu</t>
  </si>
  <si>
    <t>Development and Validation of a Deep Learning Algorithm for Detection of Diabetic Retinopathy in Retinal Fundus Photographs</t>
  </si>
  <si>
    <t>https://jamanetwork.com/journals/jama/article-abstract/2588763</t>
  </si>
  <si>
    <t>YOLOv2</t>
  </si>
  <si>
    <t>University of Washington, Allen Institute for AI</t>
  </si>
  <si>
    <t>YOLO9000: Better, Faster, Stronger</t>
  </si>
  <si>
    <t>https://arxiv.org/abs/1612.08242</t>
  </si>
  <si>
    <t>AlphaGo Fan</t>
  </si>
  <si>
    <t>https://www.nature.com/articles/nature24270.epdf?author_access_token=VJXbVjaSHxFoctQQ4p2k4tRgN0jAjWel9jnR3ZoTv0PVW4gB86EEpGqTRDtpIz-2rmo8-KG06gqVobU5NSCFeHILHcVFUeMsbvwS-lxjqQGg98faovwjxeTUgZAUMnRQ</t>
  </si>
  <si>
    <t>A long-standing goal of artificial intelligence is an algorithm that learns, tabula rasa, superhuman proficiency in challenging domains. Recently, AlphaGo became the first program to defeat a world champion in the game of Go. The tree search in AlphaGo evaluated positions and selected moves using deep neural networks. These neural networks were trained by supervised learning from human expert moves, and by reinforcement learning from self-play. Here we introduce an algorithm based solely on reinforcement learning, without human data, guidance or domain knowledge beyond game rules. AlphaGo becomes its own teacher: a neural network is trained to predict AlphaGo’s own move selections and also the winner of AlphaGo’s games. This neural network improves the strength of the tree search, resulting in higher quality move selection and stronger self-play in the next iteration. Starting tabula rasa, our new program AlphaGo Zero achieved superhuman performance, winning 100–0 against the previously published, champion-defeating AlphaGo.</t>
  </si>
  <si>
    <t>DeepSpeech2</t>
  </si>
  <si>
    <t>Baidu Research- Silicon Valley AI Lab</t>
  </si>
  <si>
    <t>D Amodei, S Ananthanarayanan</t>
  </si>
  <si>
    <t>Deep Speech 2: End-to-End Speech Recognition in English and Mandarin</t>
  </si>
  <si>
    <t>https://arxiv.org/abs/1512.02595</t>
  </si>
  <si>
    <t>We show that an end-to-end deep learning approach can be used to recognize either English or Mandarin Chinese speech--two vastly different languages. Because it replaces entire pipelines of hand-engineered components with neural networks, end-to-end learning allows us to handle a diverse variety of speech including noisy environments, accents and different languages. Key to our approach is our application of HPC techniques, resulting in a 7x speedup over our previous system. Because of this efficiency, experiments that previously took weeks now run in days. This enables us to iterate more quickly to identify superior architectures and algorithms. As a result, in several cases, our system is competitive with the transcription of human workers when benchmarked on standard datasets. Finally, using a technique called Batch Dispatch with GPUs in the data center, we show that our system can be inexpensively deployed in an online setting, delivering low latency when serving users at scale.</t>
  </si>
  <si>
    <t>MSRA (C, PReLU)</t>
  </si>
  <si>
    <t>Microsoft research</t>
  </si>
  <si>
    <t>Spatial Pyramid Pooling in Deep Convolutional Networks for Visual Recognition</t>
  </si>
  <si>
    <t>https://arxiv.org/abs/1406.4729</t>
  </si>
  <si>
    <t>Existing deep convolutional neural networks (CNNs) require a fixed-size (e.g., 224x224) input image. This requirement is "artificial" and may reduce the recognition accuracy for the images or sub-images of an arbitrary size/scale. In this work, we equip the networks with another pooling strategy, "spatial pyramid pooling", to eliminate the above requirement. The new network structure, called SPP-net, can generate a fixed-length representation regardless of image size/scale. Pyramid pooling is also robust to object deformations. With these advantages, SPP-net should in general improve all CNN-based image classification methods. On the ImageNet 2012 dataset, we demonstrate that SPP-net boosts the accuracy of a variety of CNN architectures despite their different designs. On the Pascal VOC 2007 and Caltech101 datasets, SPP-net achieves state-of-the-art classification results using a single full-image representation and no fine-tuning. The power of SPP-net is also significant in object detection. Using SPP-net, we compute the feature maps from the entire image only once, and then pool features in arbitrary regions (sub-images) to generate fixed-length representations for training the detectors. This method avoids repeatedly computing the convolutional features. In processing test images, our method is 24-102x faster than the R-CNN method, while achieving better or comparable accuracy on Pascal VOC 2007. In ImageNet Large Scale Visual Recognition Challenge (ILSVRC) 2014, our methods rank #2 in object detection and #3 in image classification among all 38 teams. This manuscript also introduces the improvement made for this competition.</t>
  </si>
  <si>
    <t>ResNet-152 (ImageNet)</t>
  </si>
  <si>
    <t>Deep Residual Learning for Image Recognition</t>
  </si>
  <si>
    <t>https://arxiv.org/abs/1512.03385</t>
  </si>
  <si>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layers---8x deeper than VGG nets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 where we also won the 1st places on the tasks of ImageNet detection, ImageNet localization, COCO detection, and COCO segmentation.</t>
  </si>
  <si>
    <t>GoogLeNet / InceptionV1</t>
  </si>
  <si>
    <t>Google, University of Michigan, University of North Carolina</t>
  </si>
  <si>
    <t>Christian Szegedy, Wei Liu, Yangqing Jia, Pierre Sermanet, Scott Reed, Dragomir Anguelov, Dumitru Erhan, Vincent Vanhoucke, Andrew Rabinovich</t>
  </si>
  <si>
    <t>Going deeper with convolutions</t>
  </si>
  <si>
    <t>https://arxiv.org/abs/1409.4842</t>
  </si>
  <si>
    <t>ILSVRC 2014</t>
  </si>
  <si>
    <t>University of Oxford, Stanford University, Baidu</t>
  </si>
  <si>
    <t>Shuai Zheng, Sadeep Jayasumana, Bernardino Romera-Paredes, Vibhav Vineet, Zhizhong Su, Dalong Du, Chang Huang, Philip H. S. Torr</t>
  </si>
  <si>
    <t>Conditional Random Fields as Recurrent Neural Networks</t>
  </si>
  <si>
    <t>https://arxiv.org/abs/1502.03240</t>
  </si>
  <si>
    <t>DQN-2015</t>
  </si>
  <si>
    <t>V Mnih, K Kavukcuoglu, D Silver, AA Rusu, J Veness</t>
  </si>
  <si>
    <t>Human-level control through deep reinforcement learning</t>
  </si>
  <si>
    <t>https://www.nature.com/articles/nature14236</t>
  </si>
  <si>
    <t>Constituency-Tree LSTM</t>
  </si>
  <si>
    <t>Semantic embedding</t>
  </si>
  <si>
    <t>Stanford, MetaMind Inc</t>
  </si>
  <si>
    <t>KS Tai, R Socher, CD Manning</t>
  </si>
  <si>
    <t>Improved Semantic Representations From Tree-Structured Long Short-Term Memory Networks</t>
  </si>
  <si>
    <t>https://arxiv.org/abs/1503.00075</t>
  </si>
  <si>
    <t>Tree-LSTM RNN</t>
  </si>
  <si>
    <t>Fast R-CNN</t>
  </si>
  <si>
    <t>R Girshick</t>
  </si>
  <si>
    <t>https://arxiv.org/abs/1504.08083</t>
  </si>
  <si>
    <t>University of Maryland, University of Texas, Google Inc.</t>
  </si>
  <si>
    <t>Joe Yue-Hei Ng, Matthew Hausknecht, Sudheendra Vijayanarasimhan, Oriol Vinyals, Rajat Monga, George Toderici</t>
  </si>
  <si>
    <t>Beyond Short Snippets: Deep Networks for Video Classification</t>
  </si>
  <si>
    <t>https://www.cv-foundation.org/openaccess/content_cvpr_2015/html/Ng_Beyond_Short_Snippets_2015_CVPR_paper.html</t>
  </si>
  <si>
    <t>DSN</t>
  </si>
  <si>
    <t>University of California, Microsoft Research</t>
  </si>
  <si>
    <t>Chen-Yu Lee, Saining Xie, Patrick Gallagher, Zhengyou Zhang, Zhuowen Tu</t>
  </si>
  <si>
    <t>Deeply-Supervised Nets</t>
  </si>
  <si>
    <t>http://proceedings.mlr.press/v38/lee15a.html</t>
  </si>
  <si>
    <t>Chinese University of Hong Kong, Chinese Academy of Sciences</t>
  </si>
  <si>
    <t>Limin Wang, Yu Qiao, Xiaoou Tang</t>
  </si>
  <si>
    <t>Action Recognition with Trajectory-Pooled Deep-Convolutional Descriptors</t>
  </si>
  <si>
    <t>https://www.cv-foundation.org/openaccess/content_cvpr_2015/html/Wang_Action_Recognition_With_2015_CVPR_paper.html</t>
  </si>
  <si>
    <t>Faster R-CNN</t>
  </si>
  <si>
    <t>S Ren, K He, R Girshick, J Sun</t>
  </si>
  <si>
    <t>Faster R-CNN: Towards Real-Time Object Detection with Region Proposal Networks</t>
  </si>
  <si>
    <t>https://arxiv.org/abs/1506.01497</t>
  </si>
  <si>
    <t>YOLO</t>
  </si>
  <si>
    <t>J Redmon, S Divvala, R Girshick</t>
  </si>
  <si>
    <t>You Only Look Once: Unified, Real-Time Object Detection</t>
  </si>
  <si>
    <t>https://arxiv.org/abs/1506.02640</t>
  </si>
  <si>
    <t>BatchNorm</t>
  </si>
  <si>
    <t>S Ioffe, C Szegedy</t>
  </si>
  <si>
    <t>Batch Normalization: Accelerating Deep Network Training by Reducing Internal Covariate Shift</t>
  </si>
  <si>
    <t>https://arxiv.org/abs/1502.03167</t>
  </si>
  <si>
    <t>Google, Carnegie Mellon University</t>
  </si>
  <si>
    <t>William Chan, Navdeep Jaitly, Quoc Le, and Oriol Vinyals</t>
  </si>
  <si>
    <t>Listen, attend and spell: A neural network for large vocabulary conversational speech recognition</t>
  </si>
  <si>
    <t>https://ieeexplore.ieee.org/document/7472621</t>
  </si>
  <si>
    <t>BPE</t>
  </si>
  <si>
    <t>University of Edinburgh</t>
  </si>
  <si>
    <t>R Sennrich, B Haddow, A Birch</t>
  </si>
  <si>
    <t>Neural Machine Translation of Rare Words with Subword Units</t>
  </si>
  <si>
    <t>https://arxiv.org/abs/1508.07909</t>
  </si>
  <si>
    <t>WMT'15</t>
  </si>
  <si>
    <t>TP Lillicrap, JJ Hunt, A Pritzel, N Heess, T Erez</t>
  </si>
  <si>
    <t>Continuous control with deep reinforcement learning</t>
  </si>
  <si>
    <t>https://arxiv.org/abs/1509.02971</t>
  </si>
  <si>
    <t>Z Wang, T Schaul, M Hessel</t>
  </si>
  <si>
    <t>Dueling Network Architectures for Deep Reinforcement Learning</t>
  </si>
  <si>
    <t>https://arxiv.org/abs/1511.06581</t>
  </si>
  <si>
    <t>Princeton University, Intel Labs</t>
  </si>
  <si>
    <t>Fisher Yu, Vladlen Koltun</t>
  </si>
  <si>
    <t>Multi-Scale Context Aggregation by Dilated Convolutions</t>
  </si>
  <si>
    <t>https://arxiv.org/abs/1511.07122</t>
  </si>
  <si>
    <t>Netflix</t>
  </si>
  <si>
    <t>CA Gomez-Uribe, N Hunt</t>
  </si>
  <si>
    <t>The Netflix Recommender System: Algorithms, Business Value, and Innovation</t>
  </si>
  <si>
    <t>https://dl.acm.org/doi/pdf/10.1145/2843948</t>
  </si>
  <si>
    <t>Inception v3</t>
  </si>
  <si>
    <t>Google, University College London</t>
  </si>
  <si>
    <t>Christian Szegedy, Vincent Vanhoucke, Sergey Ioffe, Jonathon Shlens, Zbigniew Wojna</t>
  </si>
  <si>
    <t>Rethinking the inception architecture for computer vision.</t>
  </si>
  <si>
    <t>https://arxiv.org/abs/1512.00567</t>
  </si>
  <si>
    <t>ResNet-110 (CIFAR-10)</t>
  </si>
  <si>
    <t>BPL</t>
  </si>
  <si>
    <t>NYU, University of Toronto, MIT</t>
  </si>
  <si>
    <t>BM Lake, R Salakhutdinov, JB Tenenbaum</t>
  </si>
  <si>
    <t>Human-level concept learning through probabilistic program induction</t>
  </si>
  <si>
    <t>https://science.sciencemag.org/content/350/6266/1332/</t>
  </si>
  <si>
    <t>Advantage Learning</t>
  </si>
  <si>
    <t>MG Bellemare, G Ostrovski, A Guez</t>
  </si>
  <si>
    <t>Increasing the Action Gap: New Operators for Reinforcement Learning</t>
  </si>
  <si>
    <t>http://arxiv.org/abs/1512.04860v1</t>
  </si>
  <si>
    <t>VGG16</t>
  </si>
  <si>
    <t>Karen Simonyan; Andrew Zisserman</t>
  </si>
  <si>
    <t>Very Deep Convolutional Networks for Large-Scale Image Recognition</t>
  </si>
  <si>
    <t>https://arxiv.org/abs/1409.1556</t>
  </si>
  <si>
    <t>ILSVRC-2012</t>
  </si>
  <si>
    <t>Seq2Seq LSTM</t>
  </si>
  <si>
    <t>I Sutskever, O Vinyals, QV Le</t>
  </si>
  <si>
    <t>Sequence to Sequence Learning with Neural Networks</t>
  </si>
  <si>
    <t>https://arxiv.org/abs/1409.3215</t>
  </si>
  <si>
    <t>WMT'14 dataset</t>
  </si>
  <si>
    <t>SPPNet</t>
  </si>
  <si>
    <t>Microsoft, Xi’an Jiaotong University, University of Science and Technology of China</t>
  </si>
  <si>
    <t>RNNsearch-50*</t>
  </si>
  <si>
    <t>Universite de Montréal, Jacobs University Bremen</t>
  </si>
  <si>
    <t>D Bahdanau, K Cho, Y Bengio</t>
  </si>
  <si>
    <t>Neural Machine Translation by Jointly Learning to Align and Translate</t>
  </si>
  <si>
    <t>https://arxiv.org/abs/1409.0473</t>
  </si>
  <si>
    <t>WMT'14 + selection</t>
  </si>
  <si>
    <t>GANs</t>
  </si>
  <si>
    <t>Universite de Montréal</t>
  </si>
  <si>
    <t>Ian J. Goodfellow, Jean Pouget-Abadie, Mehdi Mirza, Bing Xu, David Warde-Farley, Sherjil Ozair, Aaron Courville, Yoshua Bengio</t>
  </si>
  <si>
    <t>Generative Adversarial Networks</t>
  </si>
  <si>
    <t>https://arxiv.org/abs/1406.2661</t>
  </si>
  <si>
    <t>ADAM (CIFAR-10)</t>
  </si>
  <si>
    <t>University of Amsterdam, OpenAI, University of Toronto</t>
  </si>
  <si>
    <t>DP Kingma, J Ba</t>
  </si>
  <si>
    <t>Adam: A Method for Stochastic Optimization</t>
  </si>
  <si>
    <t>https://arxiv.org/abs/1412.6980</t>
  </si>
  <si>
    <t>GloVe (6B)</t>
  </si>
  <si>
    <t>J Pennington, R Socher, CD Manning</t>
  </si>
  <si>
    <t>GloVe: Global Vectors for Word Representation</t>
  </si>
  <si>
    <t>https://nlp.stanford.edu/projects/glove/</t>
  </si>
  <si>
    <t>Gigaword5 + Wikipedia2014</t>
  </si>
  <si>
    <t>N/A</t>
  </si>
  <si>
    <t>Regression Model</t>
  </si>
  <si>
    <t>GloVe (32B)</t>
  </si>
  <si>
    <t>Common Crawl</t>
  </si>
  <si>
    <t>DBNs</t>
  </si>
  <si>
    <t>Microsoft, University of Toronto</t>
  </si>
  <si>
    <t>R Sarikaya, GE Hinton, A Deoras</t>
  </si>
  <si>
    <t>Application of Deep Belief Networks for Natural Language Understanding</t>
  </si>
  <si>
    <t>https://ieeexplore.ieee.org/document/6737243</t>
  </si>
  <si>
    <t>HyperNEAT</t>
  </si>
  <si>
    <t>University of Texas</t>
  </si>
  <si>
    <t>M Hausknecht, J Lehman</t>
  </si>
  <si>
    <t>A Neuroevolution Approach to General Atari Game Playing</t>
  </si>
  <si>
    <t>https://ieeexplore.ieee.org/abstract/document/6756960</t>
  </si>
  <si>
    <t>Nitish Shrivasta, Geoffrey Hinton, Alex Krizhevsky</t>
  </si>
  <si>
    <t>Dropout: A Simple Way to Prevent Neural Networks from Overfitting</t>
  </si>
  <si>
    <t>https://jmlr.org/papers/v15/srivastava14a.html</t>
  </si>
  <si>
    <t>GRUs</t>
  </si>
  <si>
    <t>University of Montreal, Jacobs University, University du Maine</t>
  </si>
  <si>
    <t>K Cho, B Van Merriënboer, C Gulcehre</t>
  </si>
  <si>
    <t>Learning Phrase Representations using RNN Encoder-Decoder for Statistical Machine Translation</t>
  </si>
  <si>
    <t>https://arxiv.org/abs/1406.1078</t>
  </si>
  <si>
    <t>Video classification</t>
  </si>
  <si>
    <t>Karen Simonyan, Andrew Zisserman</t>
  </si>
  <si>
    <t>Two-Stream Convolutional Networks for Action Recognition in Videos</t>
  </si>
  <si>
    <t>https://arxiv.org/abs/1406.2199</t>
  </si>
  <si>
    <t>Multiresolution CNN</t>
  </si>
  <si>
    <t>Stanford, Google</t>
  </si>
  <si>
    <t>A Karpathy, G Toderici, S Shetty, T Leung</t>
  </si>
  <si>
    <t>Large-Scale Video Classification with Convolutional Neural Networks</t>
  </si>
  <si>
    <t>https://ieeexplore.ieee.org/document/6909619</t>
  </si>
  <si>
    <t>Face verification</t>
  </si>
  <si>
    <t>Tel Aviv University, Facebook</t>
  </si>
  <si>
    <t>Y Taigman, M Yang, MA Ranzato</t>
  </si>
  <si>
    <t>DeepFace: Closing the Gap to Human-Level Performance in Face Verification</t>
  </si>
  <si>
    <t>https://ieeexplore.ieee.org/document/6909616</t>
  </si>
  <si>
    <t>SmooCT</t>
  </si>
  <si>
    <t>University College London</t>
  </si>
  <si>
    <t>Johannes Heinrich, David Silver</t>
  </si>
  <si>
    <t>Self-Play Monte-Carlo Tree Search in Computer Poker</t>
  </si>
  <si>
    <t>https://www.semanticscholar.org/paper/Self-play-Monte-Carlo-tree-search-in-computer-poker-Heinrich-Silver/7b687599b4425aa959036071030e1212a3b359c7</t>
  </si>
  <si>
    <t>X He, J Pan, O Jin, T Xu, B Liu, T Xu, Y Shi</t>
  </si>
  <si>
    <t>Practical Lessons from Predicting Clicks on Ads at Facebook</t>
  </si>
  <si>
    <t>https://dl.acm.org/doi/10.1145/2648584.2648589</t>
  </si>
  <si>
    <t>VGG19</t>
  </si>
  <si>
    <t>K Simonyan, A Zisserman</t>
  </si>
  <si>
    <t>LRCN</t>
  </si>
  <si>
    <t>Video description</t>
  </si>
  <si>
    <t>UT Austin, UMass Lowell, UC Berkeley</t>
  </si>
  <si>
    <t>Jeff Donahue, Lisa Anne Hendricks, Marcus Rohrbach, Subhashini Venugopalan, Sergio Guadarrama, Kate Saenko, Trevor Darrell</t>
  </si>
  <si>
    <t>Long-term Recurrent Convolutional Networks for Visual Recognition and Description</t>
  </si>
  <si>
    <t>https://arxiv.org/abs/1411.4389</t>
  </si>
  <si>
    <t>TaCoS</t>
  </si>
  <si>
    <t>Reinforcement learning</t>
  </si>
  <si>
    <t>University of California, Berkeley</t>
  </si>
  <si>
    <t>J Long, E Shelhamer, T Darrell</t>
  </si>
  <si>
    <t>Fully Convolutional Networks for Semantic Segmentation</t>
  </si>
  <si>
    <t>https://arxiv.org/abs/1411.4038</t>
  </si>
  <si>
    <t>Z Liu, P Luo, X Wang, X Tang</t>
  </si>
  <si>
    <t>Deep Learning Face Attributes in the Wild</t>
  </si>
  <si>
    <t>https://arxiv.org/abs/1411.7766</t>
  </si>
  <si>
    <t>NTM</t>
  </si>
  <si>
    <t>Alex Graves, Greg Wayne, Ivo Danihelka</t>
  </si>
  <si>
    <t>Neural Turing Machines</t>
  </si>
  <si>
    <t>https://arxiv.org/abs/1410.5401</t>
  </si>
  <si>
    <t>DeepLab</t>
  </si>
  <si>
    <t>Google, University of California Los Angeles</t>
  </si>
  <si>
    <t>Semantic Image Segmentation with Deep Convolutional Nets and Fully Connected CRFs</t>
  </si>
  <si>
    <t>https://arxiv.org/abs/1412.7062</t>
  </si>
  <si>
    <t>TransE</t>
  </si>
  <si>
    <t>Entity embedding</t>
  </si>
  <si>
    <t>CNRS, Google</t>
  </si>
  <si>
    <t>Antoine Bordes, Nicolas Usunier, Alberto Garcia- Duran, Jason Weston, and Oksana Yakhnenko</t>
  </si>
  <si>
    <t>Translating Embeddings for Modeling Multi- relational Data</t>
  </si>
  <si>
    <t>https://papers.nips.cc/paper/2013/hash/1cecc7a77928ca8133fa24680a88d2f9-Abstract.html</t>
  </si>
  <si>
    <t>Visualizing CNNs</t>
  </si>
  <si>
    <t>NYU</t>
  </si>
  <si>
    <t>MD Zeiler, R Fergus</t>
  </si>
  <si>
    <t>Visualizing and Understanding Convolutional Networks</t>
  </si>
  <si>
    <t>https://arxiv.org/abs/1311.2901</t>
  </si>
  <si>
    <t>Predict nearby words</t>
  </si>
  <si>
    <t>Mitosis</t>
  </si>
  <si>
    <t>IDSIA</t>
  </si>
  <si>
    <t>Dan C. Cireşan, Alessandro Giusti, Luca M. Gambardella, Jürgen Schmidhuber</t>
  </si>
  <si>
    <t>Mitosis Detection in Breast Cancer Histology Images with Deep Neural Networks</t>
  </si>
  <si>
    <t>https://link.springer.com/chapter/10.1007/978-3-642-40763-5_51</t>
  </si>
  <si>
    <t>ICPR 2012 mitosis detection competition winner</t>
  </si>
  <si>
    <t>Word2Vec (large)</t>
  </si>
  <si>
    <t>T Mikolov, I Sutskever, K Chen, GS Corrado</t>
  </si>
  <si>
    <t>Distributed Representations of Words and Phrases and their Compositionality</t>
  </si>
  <si>
    <t>https://arxiv.org/abs/1310.4546</t>
  </si>
  <si>
    <t>Recurrent Neural Network</t>
  </si>
  <si>
    <t>DQN</t>
  </si>
  <si>
    <t>V Mnih, K Kavukcuoglu, D Silver, A Graves</t>
  </si>
  <si>
    <t>Playing Atari with Deep Reinforcement Learning</t>
  </si>
  <si>
    <t>https://arxiv.org/abs/1312.5602</t>
  </si>
  <si>
    <t>Image clustering</t>
  </si>
  <si>
    <t>Univeristy of Amsterdam</t>
  </si>
  <si>
    <t>DP Kingma, M Welling</t>
  </si>
  <si>
    <t>Auto-Encoding Variational Bayes</t>
  </si>
  <si>
    <t>https://arxiv.org/abs/1312.6114</t>
  </si>
  <si>
    <t>MNIST</t>
  </si>
  <si>
    <t>Image Classification with the Fisher Vector: Theory and Practice</t>
  </si>
  <si>
    <t>Universidad Nacional de Cordoba, Xerox Research Centre Europe, Inteligent Systems Lab Amsterdam, University of Amsterdam, LEAR Team, INRIA Grenoble</t>
  </si>
  <si>
    <t>orge Sanchez, Florent Perronnin, Thomas Mensink, Jakob Verbeek</t>
  </si>
  <si>
    <t>https://hal.inria.fr/hal-00830491v2/document</t>
  </si>
  <si>
    <t>R Socher, M Ganjoo, H Sridhar, O Bastani</t>
  </si>
  <si>
    <t>Zero-Shot Learning Through Cross-Modal Transfer</t>
  </si>
  <si>
    <t>https://arxiv.org/abs/1301.3666</t>
  </si>
  <si>
    <t xml:space="preserve">Maxout Networks </t>
  </si>
  <si>
    <t>University of Montreal</t>
  </si>
  <si>
    <t xml:space="preserve"> Ian J. Goodfellow, David Warde-Farley, Mehdi Mirza, Aaron Courville, Yoshua Bengio</t>
  </si>
  <si>
    <t>https://arxiv.org/abs/1302.4389</t>
  </si>
  <si>
    <t>PreTrans-3L-250H</t>
  </si>
  <si>
    <t>Univeristy of Toronto</t>
  </si>
  <si>
    <t>Alex Graves, Abdel-rahman Mohamed, Geoffrey Hinton</t>
  </si>
  <si>
    <t>Speech Recognition with Deep Recurrent Neural Networks</t>
  </si>
  <si>
    <t>https://arxiv.org/abs/1303.5778</t>
  </si>
  <si>
    <t>Univeristy of Trento, University of Amsterdam</t>
  </si>
  <si>
    <t>JRR Uijlings, KEA Van De Sande, T Gevers</t>
  </si>
  <si>
    <t>Selective search for object recognition</t>
  </si>
  <si>
    <t>https://link.springer.com/article/10.1007/s11263-013-0620-5</t>
  </si>
  <si>
    <t>University of Trento, University of Amsterdam</t>
  </si>
  <si>
    <t>T Mikolov, W Yih, G Zweig</t>
  </si>
  <si>
    <t>Linguistic Regularities in Continuous Space Word Representations</t>
  </si>
  <si>
    <t>https://www.aclweb.org/anthology/N13-1090/</t>
  </si>
  <si>
    <t>Word2Vec (small)</t>
  </si>
  <si>
    <t>R-CNN (T-net)</t>
  </si>
  <si>
    <t>Ross Girshick, Jeff Donahue, Trevor Darrell, Jitendra Malik</t>
  </si>
  <si>
    <t>Rich feature hierarchies for accurate object detection and semantic segmentation</t>
  </si>
  <si>
    <t>https://arxiv.org/abs/1311.2524</t>
  </si>
  <si>
    <t>R Socher, D Chen, CD Manning, A Ng</t>
  </si>
  <si>
    <t>Reasoning With Neural Tensor Networks for Knowledge Base Completion</t>
  </si>
  <si>
    <t>https://papers.nips.cc/paper/2013/hash/b337e84de8752b27eda3a12363109e80-Abstract.html</t>
  </si>
  <si>
    <t>DBLSTM</t>
  </si>
  <si>
    <t>A Graves, N Jaitly, A Mohamed</t>
  </si>
  <si>
    <t>Hybrid speech recognition with Deep Bidirectional LSTM</t>
  </si>
  <si>
    <t>https://ieeexplore.ieee.org/document/6707742</t>
  </si>
  <si>
    <t>Network in Network</t>
  </si>
  <si>
    <t>National University of Singapore</t>
  </si>
  <si>
    <t>M Lin, Q Chen, S Yan</t>
  </si>
  <si>
    <t>Network In Network</t>
  </si>
  <si>
    <t>https://arxiv.org/abs/1312.4400</t>
  </si>
  <si>
    <t>New York University</t>
  </si>
  <si>
    <t>Pierre Sermanet, David Eigen, Xiang Zhang, Michael Mathieu, Rob Fergus, Yann LeCun</t>
  </si>
  <si>
    <t>OverFeat: Integrated Recognition, Localization and Detection using Convolutional Networks</t>
  </si>
  <si>
    <t>https://arxiv.org/abs/1312.6229</t>
  </si>
  <si>
    <t>AlexNet</t>
  </si>
  <si>
    <t>Alex Krizhevsky, Ilya Sutskever, Geoffrey Hinton</t>
  </si>
  <si>
    <t>ImageNet Classification with Deep Convolutional Neural Networks</t>
  </si>
  <si>
    <t>https://proceedings.neurips.cc/paper/2012/hash/c399862d3b9d6b76c8436e924a68c45b-Abstract.html</t>
  </si>
  <si>
    <t>Dropout (MNIST)</t>
  </si>
  <si>
    <t>GE Hinton, N Srivastava, A Krizhevsky</t>
  </si>
  <si>
    <t>Improving neural networks by preventing co-adaptation of feature detectors</t>
  </si>
  <si>
    <t>https://arxiv.org/abs/1207.0580</t>
  </si>
  <si>
    <t>MCDNN (MNIST)</t>
  </si>
  <si>
    <t>D Ciregan, U Meier, J Schmidhuber</t>
  </si>
  <si>
    <t>Multi-column Deep Neural Networks for Image Classification</t>
  </si>
  <si>
    <t>https://arxiv.org/abs/1202.2745v1</t>
  </si>
  <si>
    <t>Dropout (TIMIT)</t>
  </si>
  <si>
    <t>TIMIT</t>
  </si>
  <si>
    <t>Dropout (CIFAR)</t>
  </si>
  <si>
    <t>Dropout (ImageNet)</t>
  </si>
  <si>
    <t>Karlsruhe Institute of Technology, Toyota Technological Institute at Chicago</t>
  </si>
  <si>
    <t>A Geiger, P Lenz, R Urtasun</t>
  </si>
  <si>
    <t>Are we ready for autonomous driving? The KITTI vision benchmark suite</t>
  </si>
  <si>
    <t>http://www.cvlibs.net/publications/Geiger2012CVPR_slides.pdf</t>
  </si>
  <si>
    <r>
      <rPr>
        <sz val="10"/>
        <color rgb="FF000000"/>
        <rFont val="Roboto Condensed"/>
        <charset val="134"/>
      </rPr>
      <t>Yuri Lin, Jean-Baptiste Michel, Erez Lieberman Aiden, Jon Orwant, Will Brockman and Slav Petro</t>
    </r>
    <r>
      <rPr>
        <sz val="10"/>
        <color rgb="FF000000"/>
        <rFont val="Roboto Condensed"/>
        <charset val="134"/>
      </rPr>
      <t>v</t>
    </r>
  </si>
  <si>
    <t>Syntactic Annotations for the Google Books NGram Corpus</t>
  </si>
  <si>
    <t>https://aclanthology.org/P12-3029/</t>
  </si>
  <si>
    <t>MV-RNN</t>
  </si>
  <si>
    <t>R. Socher, B. Huval, C. D. Manning, and A. Y. Ng</t>
  </si>
  <si>
    <t>Semantic compositionality through recursive matrix-vector spaces</t>
  </si>
  <si>
    <t>https://www.aclweb.org/anthology/D12-1110/</t>
  </si>
  <si>
    <t>Matrix-Vector RNN</t>
  </si>
  <si>
    <t>University of Toronto, University of Sherbrooke, Harvard University</t>
  </si>
  <si>
    <t>J Snoek, H Larochelle, RP Adams</t>
  </si>
  <si>
    <t>Practical Bayesian optimization of machine learning algorithms</t>
  </si>
  <si>
    <t>https://arxiv.org/abs/1206.2944</t>
  </si>
  <si>
    <t>University of Michigan, Stanford University</t>
  </si>
  <si>
    <t>A Coates, A Ng, H Lee</t>
  </si>
  <si>
    <t>An analysis of single-layer networks in unsupervised feature learning</t>
  </si>
  <si>
    <t>http://proceedings.mlr.press/v15/coates11a.html</t>
  </si>
  <si>
    <t>X Glorot, A Bordes, Y Bengio</t>
  </si>
  <si>
    <t>Deep sparse rectifier neural networks</t>
  </si>
  <si>
    <t>http://machinelearning.wustl.edu/mlpapers/paper_files/AISTATS2011_GlorotBB11.pdf</t>
  </si>
  <si>
    <t>Brno University of Technology, Johns Hopkins University</t>
  </si>
  <si>
    <t>T. Mikolov, S. Kombrink, L. Burget, J. Cernock ˇ y, and S. Khudanpur</t>
  </si>
  <si>
    <t>Extensions of recurrent neural network language model</t>
  </si>
  <si>
    <t>https://ieeexplore.ieee.org/document/5947611</t>
  </si>
  <si>
    <t>Penn Tree Bank</t>
  </si>
  <si>
    <t>Part-of-speech tagging</t>
  </si>
  <si>
    <t>Carnegie Mellon University, Google Research</t>
  </si>
  <si>
    <t>Dipanjan Das, Slav Petrov</t>
  </si>
  <si>
    <t>Unsupervised Part-of-Speech Tagging with Bilingual Graph-Based Projections</t>
  </si>
  <si>
    <t>https://aclanthology.org/P11-1061/</t>
  </si>
  <si>
    <t>R. Socher, J. Pennington, E. H. Huang, A. Y. Ng, and C. D. Manning</t>
  </si>
  <si>
    <t>Semi-supervised recursive autoencoders for predicting sentiment distributions</t>
  </si>
  <si>
    <t>https://aclanthology.org/D11-1014/</t>
  </si>
  <si>
    <t>Bayesian Starcraft</t>
  </si>
  <si>
    <t>Collège de France</t>
  </si>
  <si>
    <t>G Synnaeve, P Bessiere</t>
  </si>
  <si>
    <t>A Bayesian Model for RTS Units Control applied to StarCraft</t>
  </si>
  <si>
    <t>https://ieeexplore.ieee.org/document/6032006</t>
  </si>
  <si>
    <t>Univeristy of California Berkley, Technion- Israel Institute of Technology, Google</t>
  </si>
  <si>
    <t>J Duchi, E Hazan, Y Singer</t>
  </si>
  <si>
    <t>Adaptive Subgradient Methods for Online Learning and Stochastic Optimization</t>
  </si>
  <si>
    <t>https://dl.acm.org/doi/10.5555/1953048.2021068</t>
  </si>
  <si>
    <t>Domain Adaptation</t>
  </si>
  <si>
    <t>Object Recognition</t>
  </si>
  <si>
    <t>University of Maryland, College Park</t>
  </si>
  <si>
    <t>Raghuraman Gopalan, Ruonan Li, Rama Chellappa</t>
  </si>
  <si>
    <t>Domain Adaptation for Object Recognition: An Unsupervised Approach</t>
  </si>
  <si>
    <t>http://ftp.idiap.ch/pub/courses/EE-700/material/05-12-2012/2011_ICCV_DomainAdaptation.pdf</t>
  </si>
  <si>
    <t>Dataset introduced in 'Adapting Visual Category Models to New Domains'</t>
  </si>
  <si>
    <t>Supervised</t>
  </si>
  <si>
    <t>NLP from scratch</t>
  </si>
  <si>
    <t>NEC Laboratories, Princeton</t>
  </si>
  <si>
    <t>Ronan Collobert, J. Weston, L. Bottou, Michael Karlen, K. Kavukcuoglu, P. Kuksa</t>
  </si>
  <si>
    <t>Natural Language Processing (Almost) from Scratch</t>
  </si>
  <si>
    <t>https://www.jmlr.org/papers/volume12/collobert11a/collobert11a.pdf</t>
  </si>
  <si>
    <t>University of Wisconsin Madison</t>
  </si>
  <si>
    <t>F Niu, B Recht, C Ré, SJ Wright</t>
  </si>
  <si>
    <t>HOGWILD!: A Lock-Free Approach to Parallelizing Stochastic Gradient Descent</t>
  </si>
  <si>
    <t>https://arxiv.org/abs/1106.5730</t>
  </si>
  <si>
    <t>KN5 LM + RNN 400/10 (WSJ)</t>
  </si>
  <si>
    <t>Transcription</t>
  </si>
  <si>
    <t>T. Mikolov, M. Karafiat, L. Burget, J. Cernock ´ y, and S. Khudanpur</t>
  </si>
  <si>
    <t>Recurrent neural network based language model.</t>
  </si>
  <si>
    <t>https://www.researchgate.net/publication/221489926_Recurrent_neural_network_based_language_model</t>
  </si>
  <si>
    <t>WSJ</t>
  </si>
  <si>
    <t>RNN 500/10 + RT09 LM (NIST RT05)</t>
  </si>
  <si>
    <t>NIST RT05</t>
  </si>
  <si>
    <t>Feedforward NN</t>
  </si>
  <si>
    <t>Digit recognition</t>
  </si>
  <si>
    <t>X Glorot, Y Bengio</t>
  </si>
  <si>
    <t>Understanding the difficulty of training deep feedforward neural networks</t>
  </si>
  <si>
    <t>https://proceedings.mlr.press/v9/glorot10a.html</t>
  </si>
  <si>
    <t>6-layer MLP (MNIST)</t>
  </si>
  <si>
    <t>IDSIA ; University of Lugano &amp; SUPSI</t>
  </si>
  <si>
    <t>Dan Claudiu Ciresan, Ueli Meier, Luca Maria Gambardella, Juergen Schmidhuber</t>
  </si>
  <si>
    <t>Deep Big Simple Neural Nets Excel on Handwritten Digit Recognition</t>
  </si>
  <si>
    <t>https://arxiv.org/abs/1003.0358</t>
  </si>
  <si>
    <t>University of Montreal, University of Toronto</t>
  </si>
  <si>
    <t>P Vincent, H Larochelle, I Lajoie, Y Bengio</t>
  </si>
  <si>
    <t>Stacked denoising autoencoders: Learning useful representations in a deep network with a local denoising criterion</t>
  </si>
  <si>
    <t>https://www.jmlr.org/papers/v11/vincent10a.html</t>
  </si>
  <si>
    <t>Word Representations</t>
  </si>
  <si>
    <t>University of Montreal, University of Illinois at Urbana- Champaigne</t>
  </si>
  <si>
    <t>Joseph Turian, Lev-Arie Ratinov, Yoshua Bengio</t>
  </si>
  <si>
    <t>Word Representations: A Simple and General Method for Semi-Supervised Learning</t>
  </si>
  <si>
    <t>https://aclanthology.org/P10-1040.pdf</t>
  </si>
  <si>
    <t>INRIA, Ecole, NYU</t>
  </si>
  <si>
    <t>YL Boureau, F Bach, Y LeCun</t>
  </si>
  <si>
    <t>Learning mid-level features for recognition</t>
  </si>
  <si>
    <t>https://ieeexplore.ieee.org/document/5539963</t>
  </si>
  <si>
    <t>Deconvolutional Network</t>
  </si>
  <si>
    <t>Matthew D. Zeiler, Dilip Krishnan, Graham W. Taylor and Rob Fergus</t>
  </si>
  <si>
    <t>Deconvolutional Networks</t>
  </si>
  <si>
    <t>https://ieeexplore.ieee.org/document/5539957</t>
  </si>
  <si>
    <t>ReLU (NORB)</t>
  </si>
  <si>
    <t>Nair, V., Hinton, G. E.</t>
  </si>
  <si>
    <t>Rectified linear units improve restricted boltzmann machines</t>
  </si>
  <si>
    <t>https://dl.acm.org/doi/10.5555/3104322.3104425</t>
  </si>
  <si>
    <t>ReLU (LFW)</t>
  </si>
  <si>
    <t>Face recognition</t>
  </si>
  <si>
    <t>GE Hinton</t>
  </si>
  <si>
    <t>A practical guide to training restricted boltzmann machines</t>
  </si>
  <si>
    <t>https://link.springer.com/chapter/10.1007/978-3-642-35289-8_32</t>
  </si>
  <si>
    <t>Xerox Research Centre Europe (XRCE)</t>
  </si>
  <si>
    <t>Florent PerronninJorge SánchezThomas Mensink</t>
  </si>
  <si>
    <t>Improving the Fisher Kernel for Large-Scale Image Classification</t>
  </si>
  <si>
    <t>https://link.springer.com/chapter/10.1007/978-3-642-15561-1_11</t>
  </si>
  <si>
    <t>J Davidson, B Liebald, J Liu, P Nandy</t>
  </si>
  <si>
    <t>The YouTube Video Recommendation System</t>
  </si>
  <si>
    <t>https://dl.acm.org/doi/10.1145/1864708.1864770</t>
  </si>
  <si>
    <t>Harvard</t>
  </si>
  <si>
    <t>JB Michel, YK Shen, AP Aiden, A Veres, MK Gray</t>
  </si>
  <si>
    <t>Quantitative Analysis of Culture Using Millions of Digitized Books</t>
  </si>
  <si>
    <t>https://science.sciencemag.org/content/331/6014/176</t>
  </si>
  <si>
    <t>GPU DBNs</t>
  </si>
  <si>
    <t>R Raina, A Madhavan, AY Ng</t>
  </si>
  <si>
    <t>Large-scale Deep Unsupervised Learning using Graphics Processors</t>
  </si>
  <si>
    <t>http://www.machinelearning.org/archive/icml2009/papers/218.pdf</t>
  </si>
  <si>
    <t>Deep Boltzmann Machines</t>
  </si>
  <si>
    <t>Ruslan Salakhutdinov, Geoffrey Hinton</t>
  </si>
  <si>
    <t>https://www.sciencedirect.com/topics/computer-science/deep-boltzmann-machine</t>
  </si>
  <si>
    <t>H Lee, R Grosse, R Ranganath, AY Ng</t>
  </si>
  <si>
    <t>Convolutional deep belief networks for scalable unsupervised learning of hierarchical representations</t>
  </si>
  <si>
    <t>https://dl.acm.org/doi/10.1145/1553374.1553453</t>
  </si>
  <si>
    <t>BellKor 2008</t>
  </si>
  <si>
    <t>Movie ratings</t>
  </si>
  <si>
    <t>AT&amp;T Labs</t>
  </si>
  <si>
    <t>RM Bell, Y Koren, C Volinsky</t>
  </si>
  <si>
    <t>The BellKor 2008 Solution to the Netflix Prize</t>
  </si>
  <si>
    <t>https://www.researchgate.net/publication/228766792_The_BellKor_2008_solution_to_the_Netflix_Prize</t>
  </si>
  <si>
    <t>Netflix Prize</t>
  </si>
  <si>
    <t>RL mapping instructions (games)</t>
  </si>
  <si>
    <t>Reading</t>
  </si>
  <si>
    <t>Instruction interpretation</t>
  </si>
  <si>
    <t>SRK Branavan, H Chen, LS Zettlemoyer, R Barzilay</t>
  </si>
  <si>
    <t>Reinforcement Learning for Mapping Instructions to Actions</t>
  </si>
  <si>
    <t>https://aclanthology.org/P09-1010/</t>
  </si>
  <si>
    <t>Windows Help and Support</t>
  </si>
  <si>
    <t>Log-linear model?</t>
  </si>
  <si>
    <t>Y Koren</t>
  </si>
  <si>
    <t>The BellKor Solution to the Netflix Grand Prize</t>
  </si>
  <si>
    <t>https://www2.seas.gwu.edu/~simhaweb/champalg/cf/papers/KorenBellKor2009.pdf</t>
  </si>
  <si>
    <t>A Töscher, M Jahrer, RM Bell</t>
  </si>
  <si>
    <t>The BigChaos Solution to the Netflix Grand Prize</t>
  </si>
  <si>
    <t>https://www.asc.ohio-state.edu/statistics/statgen/joul_aut2009/BigChaos.pdf</t>
  </si>
  <si>
    <t>Pragmatic Theory Inc.</t>
  </si>
  <si>
    <t>M Piotte, M Chabbert</t>
  </si>
  <si>
    <t>The Pragmatic Theory solution to the Netflix Grand Prize</t>
  </si>
  <si>
    <t>https://www.asc.ohio-state.edu/statistics/statgen/joul_aut2009/PragmaticTheory.pdf</t>
  </si>
  <si>
    <t>RL mapping instructions (troubleshooting)</t>
  </si>
  <si>
    <t>AT&amp;T Labs, Yahoo Research</t>
  </si>
  <si>
    <t>Yehuda Koren, Robert Bell, and Chris Volinsky</t>
  </si>
  <si>
    <t>Matrix factorization techniques for recommender systems</t>
  </si>
  <si>
    <t>https://ieeexplore.ieee.org/document/5197422</t>
  </si>
  <si>
    <t>University of Edinburgh, University of Pittsburgh</t>
  </si>
  <si>
    <t>Theresa Wilson, Janyce Wiebe, Paul Hoffmann.</t>
  </si>
  <si>
    <t>Recognizing Contextual Polarity: An Exploration of Features for Phrase-Level Sentiment Analysis</t>
  </si>
  <si>
    <t>https://aclanthology.org/J09-3003.pdf</t>
  </si>
  <si>
    <t>BellKor 2007</t>
  </si>
  <si>
    <t>The BellKor solution to the Netflix Prize</t>
  </si>
  <si>
    <t>https://www.semanticscholar.org/paper/The-BellKor-solution-to-the-Netflix-Prize-Bell-Koren/f4ebb542c752a0dc423f94fd121e2edb8f6275ba</t>
  </si>
  <si>
    <t>3D reconstruction</t>
  </si>
  <si>
    <t>University of Washington, Cornell, Microsoft Research</t>
  </si>
  <si>
    <t>Sameer Agarwal, Noah Snavely, Ian Simon, Steven M. Seitz and Richard Szeliski</t>
  </si>
  <si>
    <t>Building Rome in a Day</t>
  </si>
  <si>
    <t>https://grail.cs.washington.edu/rome/</t>
  </si>
  <si>
    <t>University of Colorado &amp; New Mexico State University</t>
  </si>
  <si>
    <t>Thomas K Landauer, Peter W. Foltz &amp; Darrell Laham</t>
  </si>
  <si>
    <t>An Introduction to Latent Semantic Analysis</t>
  </si>
  <si>
    <t>https://www.tandfonline.com/doi/abs/10.1080/01638539809545028</t>
  </si>
  <si>
    <t>University of Montreal, Microsoft Research</t>
  </si>
  <si>
    <t>Y Bengio</t>
  </si>
  <si>
    <t>Learning deep architectures for AI</t>
  </si>
  <si>
    <t>https://www.nowpublishers.com/article/Details/MAL-006</t>
  </si>
  <si>
    <t>University of Chicago &amp; Toyota Technological Institute, Chicago &amp; University of California, Irvine</t>
  </si>
  <si>
    <t>Pedro Felzenszwalb, David McAllester, Deva Ramanan</t>
  </si>
  <si>
    <t>A discriminatively trained, multiscale, deformable part model</t>
  </si>
  <si>
    <t>https://ieeexplore.ieee.org/abstract/document/4587597</t>
  </si>
  <si>
    <t>Denoising Autoencoders</t>
  </si>
  <si>
    <t>Pascal Vincent, Hugo Larechelle, Yoshua Bengio, Pierre- Antoine Manzagol</t>
  </si>
  <si>
    <t>Extracting and Composing Robust Features with Denoising Autoencoders</t>
  </si>
  <si>
    <t>https://dl.acm.org/doi/10.1145/1390156.1390294</t>
  </si>
  <si>
    <t>Google, NUANCE Communications, UIUC, IDIAP</t>
  </si>
  <si>
    <t>Jason Weston, Frederick, Ratle, Hossein Mobahi, Ronan Collobert</t>
  </si>
  <si>
    <t>Deep Learning via Semi-Supervised Embedding</t>
  </si>
  <si>
    <t>https://dl.acm.org/doi/10.1145/1390156.1390303</t>
  </si>
  <si>
    <t>NEC Laboratories</t>
  </si>
  <si>
    <t>R Collobert, J Weston</t>
  </si>
  <si>
    <t>A unified architecture for natural language processing: Deep neural networks with multitask learning</t>
  </si>
  <si>
    <t>https://dl.acm.org/doi/10.1145/1390156.1390177</t>
  </si>
  <si>
    <t>Convolutional Neural Network</t>
  </si>
  <si>
    <t>Stacked Semisuperviser Autoencoders</t>
  </si>
  <si>
    <t>Document representation</t>
  </si>
  <si>
    <t>New York University and Microsoft Research Cambridge</t>
  </si>
  <si>
    <t>MA Ranzato, M Szummer</t>
  </si>
  <si>
    <t>Semisupervised learning of compact document representations with deep networks</t>
  </si>
  <si>
    <t>https://dl.acm.org/doi/10.1145/1390156.1390256</t>
  </si>
  <si>
    <t>Boss (DARPA Urban Challenge)</t>
  </si>
  <si>
    <t>Driving</t>
  </si>
  <si>
    <t>Self-driving car</t>
  </si>
  <si>
    <t>Chris Urmson, Joshua Anhalt, Drew Bagnell,Christopher Baker, Robert Bittner,M. N. Clark, John Dolan, Dave Duggins,Tugrul Galatali, Chris Geyer,Michele Gittleman, Sam Harbaugh,Martial Hebert, Thomas M. Howard,Sascha Kolski, Alonzo Kelly,Maxim Likhachev, Matt McNaughton,Nick Miller, Kevin Peterson, Brian Pilnick,Raj Rajkumar, Paul Rybski, Bryan Salesky,Young-Woo Seo, Sanjiv Singh, Jarrod Snider,Anthony Stentz, William “Red” Whittaker,Ziv Wolkowicki, and Jason Ziglar</t>
  </si>
  <si>
    <t>Autonomous Driving in UrbanEnvironments: Boss and theUrban Challenge</t>
  </si>
  <si>
    <t>https://onlinelibrary.wiley.com/doi/abs/10.1002/rob.20255</t>
  </si>
  <si>
    <t>Univeristy of Lubeck, Germany</t>
  </si>
  <si>
    <t>Kai Labusch, Erhadt Barth, Thomas Martinetz</t>
  </si>
  <si>
    <t>Simple method for high-performance digit recognition based on sparse coding</t>
  </si>
  <si>
    <t>https://pubmed.ncbi.nlm.nih.gov/19000969/</t>
  </si>
  <si>
    <t>BigChaos 2008</t>
  </si>
  <si>
    <t>A Töscher, M Jahrer</t>
  </si>
  <si>
    <t>The BigChaos Solution to the Netflix Prize 2008</t>
  </si>
  <si>
    <t>https://www.researchgate.net/publication/228419683_The_bigchaos_solution_to_the_netflix_prize_2008</t>
  </si>
  <si>
    <t>Historical relevance</t>
  </si>
  <si>
    <t>Semantic Hashing</t>
  </si>
  <si>
    <t>R Salakhutdinov, G Hinton</t>
  </si>
  <si>
    <t>https://www.cs.cmu.edu/~rsalakhu/papers/sdarticle.pdf</t>
  </si>
  <si>
    <t>Philipp Koehn, Hieu Hoang, Alexandra Birch, Chris Callison-Burch</t>
  </si>
  <si>
    <t>Moses: Open Source Toolkit for Statistical Machine Translation</t>
  </si>
  <si>
    <t>https://aclanthology.org/P07-2045.pdf</t>
  </si>
  <si>
    <t>λ-WASP</t>
  </si>
  <si>
    <t>UT Austin</t>
  </si>
  <si>
    <t>YW Wong, R Mooney</t>
  </si>
  <si>
    <t>Learning Synchronous Grammars for Semantic Parsing with Lambda Calculus</t>
  </si>
  <si>
    <t>https://www.aclweb.org/anthology/P07-1121/</t>
  </si>
  <si>
    <t>Statistical Alignment Model?</t>
  </si>
  <si>
    <t>Hugo Larechelle, Dumithru Erhan, Aaron C Courville, James Bergsta, Yoshua Bengio</t>
  </si>
  <si>
    <t>An empirical evaluation of deep architectures on problems with many factors of variation</t>
  </si>
  <si>
    <t>https://dl.acm.org/doi/10.1145/1273496.1273556</t>
  </si>
  <si>
    <t>Restricted Bolzmann machines</t>
  </si>
  <si>
    <t>Russ Salukhutdinov, Andriy Mnih, GE Hinton</t>
  </si>
  <si>
    <t>Restricted Boltzmann machines for collaborative filtering</t>
  </si>
  <si>
    <t>https://dl.acm.org/doi/abs/10.1145/1273496.1273596?casa_token=cfdkH2x12MwAAAAA:sEUzfllIGyPcOfzgUoDPHlpC1ukfCAo8ewocBXWBswIIF9eS5HdFo30nOtfmIV8gm-XpBpQJJ5zYVO8</t>
  </si>
  <si>
    <t>Warsaw University</t>
  </si>
  <si>
    <t>A Paterek</t>
  </si>
  <si>
    <t>Improving regularized singular value decomposition for collaborative filtering</t>
  </si>
  <si>
    <t>https://www.semanticscholar.org/paper/Improving-regularized-singular-value-decomposition-Paterek/f732d0f69fe4e84a95c32706b28b9e4ef1753c61</t>
  </si>
  <si>
    <t>University of Bern, IDSIA, TU Munich</t>
  </si>
  <si>
    <t>M Liwicki, A Graves, S Fernàndez</t>
  </si>
  <si>
    <t>A Novel Approach to On-Line Handwriting Recognition Based on Bidirectional Long Short-Term Memory Networks</t>
  </si>
  <si>
    <t>https://people.idsia.ch//~juergen/icdar_2007.pdf</t>
  </si>
  <si>
    <t>RM Bell, Y Koren</t>
  </si>
  <si>
    <t>Scalable Collaborative Filtering with Jointly Derived Neighborhood Interpolation Weights</t>
  </si>
  <si>
    <t>http://brettb.net/project/papers/2007%20Scalable%20collaborative%20filtering%20with%20jointly%20derived%20neighborhood%20interpolation%20weights.pdf</t>
  </si>
  <si>
    <t>NEC Laboratories, Google Zurich</t>
  </si>
  <si>
    <t>L Bottou, O Bousquet</t>
  </si>
  <si>
    <t>The Tradeoffs of Large Scale Learning</t>
  </si>
  <si>
    <t>https://dl.acm.org/doi/10.5555/2981562.2981583</t>
  </si>
  <si>
    <t>BLSTM</t>
  </si>
  <si>
    <t>Alex Graves, Marcus Liwicki, Horst Bunke, Jürgen Schmidhuber, Santiago Fernández</t>
  </si>
  <si>
    <t>Unconstrained online handwriting recognition with recurrent neural networks</t>
  </si>
  <si>
    <t>https://proceedings.neurips.cc/paper/2007/hash/4b0250793549726d5c1ea3906726ebfe-Abstract.html</t>
  </si>
  <si>
    <t>Stanley (DARPA Grand Challenge 2)</t>
  </si>
  <si>
    <t>S Thrun, M Montemerlo, H Dahlkamp</t>
  </si>
  <si>
    <t>Stanley: The Robot that Wonthe DARPA Grand Challenge</t>
  </si>
  <si>
    <t>https://www.researchgate.net/publication/220648006_Stanley_The_robot_that_won_the_DARPA_Grand_Challenge</t>
  </si>
  <si>
    <t>CRAN, CENPARMI</t>
  </si>
  <si>
    <t>Fabian Lauer, Ching Y Suen, Gerard Bloch</t>
  </si>
  <si>
    <t>A trainable feature extractor for handwritten digit recognition</t>
  </si>
  <si>
    <t>https://hal.archives-ouvertes.fr/hal-00018426/en</t>
  </si>
  <si>
    <t>Helicopter driving</t>
  </si>
  <si>
    <t>Stanford and UC Berkeley</t>
  </si>
  <si>
    <t>H. Kim, Michael Jordan, Shankar Sastry, Andrew Ng</t>
  </si>
  <si>
    <t>Autonomous helicopter flight via reinforcement learning</t>
  </si>
  <si>
    <t>https://papers.nips.cc/paper/2003/hash/b427426b8acd2c2e53827970f2c2f526-Abstract.html</t>
  </si>
  <si>
    <t>FAST</t>
  </si>
  <si>
    <t>Corner detection</t>
  </si>
  <si>
    <t>University of Cambridge</t>
  </si>
  <si>
    <t>Edward Rosten and Tom Drummond</t>
  </si>
  <si>
    <t>Machine Learning for High-Speed Corner Detection</t>
  </si>
  <si>
    <t>https://link.springer.com/chapter/10.1007/11744023_34</t>
  </si>
  <si>
    <t>University of Illinois, INRIA, Ecole Normale</t>
  </si>
  <si>
    <t>S Lazebnik, C Schmid, J Ponce</t>
  </si>
  <si>
    <t>Beyond Bags of Features: Spatial Pyramid Matching for Recognizing Natural Scene Categories</t>
  </si>
  <si>
    <t>https://inc.ucsd.edu/mplab/users/marni/Igert/Lazebnik_06.pdf</t>
  </si>
  <si>
    <t>DrLIM</t>
  </si>
  <si>
    <t>Image embedding</t>
  </si>
  <si>
    <t>R. Hadsell; S. Chopra; Y. LeCun</t>
  </si>
  <si>
    <t>Dimensionality Reduction by Learning an Invariant Mapping</t>
  </si>
  <si>
    <t>https://ieeexplore.ieee.org/document/1640964</t>
  </si>
  <si>
    <t>CTC-Trained LSTM</t>
  </si>
  <si>
    <t>IDSIA, TUM</t>
  </si>
  <si>
    <t>Alex Graves, Santiago Fernández, Faustino Gómez, Jürgen Schmidhuber</t>
  </si>
  <si>
    <t>Connectionist Temporal Classification: Labelling Unsegmented Sequence Data with Recurrent Neural Networks</t>
  </si>
  <si>
    <t>https://www.cs.toronto.edu/~graves/icml_2006.pdf</t>
  </si>
  <si>
    <t>Semantic Taxonomy Induction</t>
  </si>
  <si>
    <t>Rion Snow, Dan Jurafsky, and Andrew Y. Ng</t>
  </si>
  <si>
    <t>Semantic Taxonomy Induction from Heterogenous Evidence</t>
  </si>
  <si>
    <t>https://www.aclweb.org/anthology/P06-1101/</t>
  </si>
  <si>
    <t>Mix of statistical and symbolic NLP</t>
  </si>
  <si>
    <t>DImensionality Reduction</t>
  </si>
  <si>
    <t>GE Hinton, RR Salakhutdinov</t>
  </si>
  <si>
    <t>Reducing the dimensionality of data with neural networks.</t>
  </si>
  <si>
    <t>https://www.cs.toronto.edu/~hinton/science.pdf</t>
  </si>
  <si>
    <t>Deep Belief Nets</t>
  </si>
  <si>
    <t>University of Toronto, NUS</t>
  </si>
  <si>
    <t>GE Hinton, S Osindero, YW Teh</t>
  </si>
  <si>
    <t>A fast learning algorithm for deep belief nets</t>
  </si>
  <si>
    <t>https://www.cs.toronto.edu/~hinton/absps/fastnc.pdf</t>
  </si>
  <si>
    <t>Machine Vision group, Finland</t>
  </si>
  <si>
    <t>Timo Ahonen, Abdenour Hadid, and Matti Pietikainen</t>
  </si>
  <si>
    <t>Face Description with Local Binary Patterns: Application to Face Recognition</t>
  </si>
  <si>
    <t>http://citeseerx.ist.psu.edu/viewdoc/download?doi=10.1.1.456.1094&amp;rep=rep1&amp;type=pdf</t>
  </si>
  <si>
    <t>M Ranzato, C Poultney, S Chopra, Y Cun</t>
  </si>
  <si>
    <t>Efficient Learning of Sparse Representations with an Energy-Based Model.</t>
  </si>
  <si>
    <t>https://papers.nips.cc/paper/2006/hash/87f4d79e36d68c3031ccf6c55e9bbd39-Abstract.html</t>
  </si>
  <si>
    <t>Y Bengio, P Lamblin, D Popovici</t>
  </si>
  <si>
    <t>Greedy layer-wise training of deep networks</t>
  </si>
  <si>
    <t>https://dl.acm.org/doi/10.5555/2976456.2976476</t>
  </si>
  <si>
    <t>BiLSTM for Speech</t>
  </si>
  <si>
    <t>IDSIA and TU Munich</t>
  </si>
  <si>
    <t>A Graves, J Schmidhuber</t>
  </si>
  <si>
    <t>Framewise phoneme classification with bidirectional LSTM and other neural network architectures</t>
  </si>
  <si>
    <t>https://www.sciencedirect.com/science/article/abs/pii/S0893608005001206</t>
  </si>
  <si>
    <t>SACHS</t>
  </si>
  <si>
    <t>MIT and Stanford</t>
  </si>
  <si>
    <t>K. Sachs, O. Perez, D. Pe'er, D. A. Lauffenburger and G. P. Nolan</t>
  </si>
  <si>
    <t>Causal Protein-Signaling Networks Derived from Multiparameter Single-Cell Data.</t>
  </si>
  <si>
    <t>https://science.sciencemag.org/content/308/5721/523.long</t>
  </si>
  <si>
    <t>Hiero</t>
  </si>
  <si>
    <t>David Chiang</t>
  </si>
  <si>
    <t>A Hierarchical Phrase-Based Model for Statistical Machine Translation</t>
  </si>
  <si>
    <t>https://aclanthology.org/P05-1033/</t>
  </si>
  <si>
    <t>Statistical Phrase-Based Model</t>
  </si>
  <si>
    <t>University of the Balearic Islands and CMLA</t>
  </si>
  <si>
    <t>A Buades, B Coll, JM Morel</t>
  </si>
  <si>
    <t>A non-local algorithm for image denoising</t>
  </si>
  <si>
    <t>http://www.iro.umontreal.ca/~mignotte/IFT6150/Articles/Buades-NonLocal.pdf</t>
  </si>
  <si>
    <t>S Chopra, R Hadsell, Y LeCun</t>
  </si>
  <si>
    <t>Learning a similarity metric discriminatively, with application to face verification</t>
  </si>
  <si>
    <t>https://ieeexplore.ieee.org/document/1467314</t>
  </si>
  <si>
    <t>Inria Grenoble Rhône-Alpes</t>
  </si>
  <si>
    <t>N Dalal, B Triggs</t>
  </si>
  <si>
    <t>Histograms of oriented gradients for human detection</t>
  </si>
  <si>
    <t>https://ieeexplore.ieee.org/document/1467360</t>
  </si>
  <si>
    <t>B. Taskar, C. Guestrin, and D. Koller</t>
  </si>
  <si>
    <t>Max-margin markov networks</t>
  </si>
  <si>
    <t>https://papers.nips.cc/paper/2003/file/878d5691c824ee2aaf770f7d36c151d6-Paper.pdf</t>
  </si>
  <si>
    <t>Soongsil University</t>
  </si>
  <si>
    <t>KS Oh, K Jung</t>
  </si>
  <si>
    <t>GPU implementation of neural networks</t>
  </si>
  <si>
    <t>https://www.sciencedirect.com/science/article/pii/S0031320304000524</t>
  </si>
  <si>
    <t>Sandstorm (DARPA Grand Challenge I)</t>
  </si>
  <si>
    <t>William Red L. Whittaker</t>
  </si>
  <si>
    <t>DARPA Grand Challenge Technical Paper</t>
  </si>
  <si>
    <t>https://ieeexplore.ieee.org/document/1336386</t>
  </si>
  <si>
    <t>Word sense disambiguation</t>
  </si>
  <si>
    <t>University of Sussex</t>
  </si>
  <si>
    <t>D McCarthy, R Koeling, J Weeds</t>
  </si>
  <si>
    <t>Finding Predominant Word Senses in Untagged Text</t>
  </si>
  <si>
    <t>https://aclanthology.org/P04-1036/</t>
  </si>
  <si>
    <t>LIRA</t>
  </si>
  <si>
    <t>Instituto de Ciencias Aplicadas y Technologia</t>
  </si>
  <si>
    <t>E Kussul, T Baidyk</t>
  </si>
  <si>
    <t>Improved method of handwritten digit recognition tested on MNIST database</t>
  </si>
  <si>
    <t>https://www.sciencedirect.com/science/article/abs/pii/S0262885604000721</t>
  </si>
  <si>
    <t>NPLM</t>
  </si>
  <si>
    <t>Université de Montréal</t>
  </si>
  <si>
    <t>Yoshua Bengio, Réjean Ducharme, Pascal Vincent, Christian Jauvin</t>
  </si>
  <si>
    <t>A Neural Probabilistic Language Model</t>
  </si>
  <si>
    <t>https://dl.acm.org/doi/10.5555/944919.944966</t>
  </si>
  <si>
    <t>Brown corpus</t>
  </si>
  <si>
    <t>G. Linden, B. Smith, and J. York</t>
  </si>
  <si>
    <t>Amazon.com Recommendations: Item-to-Item Collaborative Filtering</t>
  </si>
  <si>
    <t>https://ieeexplore.ieee.org/document/1167344</t>
  </si>
  <si>
    <t>California Institute of Technology</t>
  </si>
  <si>
    <t>M. Weber, M. Welling, and P. Perona</t>
  </si>
  <si>
    <t>Unsupervised Learning of Models for Recognition</t>
  </si>
  <si>
    <t>https://link.springer.com/content/pdf/10.1007/3-540-45054-8_2.pdf</t>
  </si>
  <si>
    <t>LDA</t>
  </si>
  <si>
    <t>Document classification</t>
  </si>
  <si>
    <t>University of California, Stanford University</t>
  </si>
  <si>
    <t>David M. Blei, Andrew Y. Ng, Michael I. Jordan</t>
  </si>
  <si>
    <t>Latent Dirichlet Allocation</t>
  </si>
  <si>
    <t>https://jmlr.org/papers/volume3/blei03a/blei03a.pdf</t>
  </si>
  <si>
    <t>Hierarchial Bayesian Model/Generative Probabilistic Model</t>
  </si>
  <si>
    <t>Phrase-based translation</t>
  </si>
  <si>
    <t>University of Southern California</t>
  </si>
  <si>
    <t>Philipp Koehn, Franz Josef Och, Daniel Marcu</t>
  </si>
  <si>
    <t>Statistical Phrase-Based Translation</t>
  </si>
  <si>
    <t>https://dl.acm.org/doi/10.3115/1073445.1073462</t>
  </si>
  <si>
    <t>Unsupervised Scale-Invariant Learning</t>
  </si>
  <si>
    <t>R Fergus, P Perona, A Zisserman</t>
  </si>
  <si>
    <t>Object Class Recognition by Unsupervised Scale-Invariant Learning</t>
  </si>
  <si>
    <t>https://ieeexplore.ieee.org/document/1211479</t>
  </si>
  <si>
    <t>CNN Best Practices</t>
  </si>
  <si>
    <t>One Microsoft Way</t>
  </si>
  <si>
    <t>PY Simard, D Steinkraus, JC Platt</t>
  </si>
  <si>
    <t>Best practices for convolutional neural networks applied to visual document analysis</t>
  </si>
  <si>
    <t>https://ieeexplore.ieee.org/document/1227801</t>
  </si>
  <si>
    <t>Thumbs Up?</t>
  </si>
  <si>
    <t>Sentiment classification</t>
  </si>
  <si>
    <t>Cornell University and IBM Almaden Research Center</t>
  </si>
  <si>
    <t>Bo Pang, Lillian Lee, Shivakumar Vaithyanathan</t>
  </si>
  <si>
    <t>Thumbs up? Sentiment Classification using Machine Learning Techniques</t>
  </si>
  <si>
    <t>https://arxiv.org/abs/cs/0205070</t>
  </si>
  <si>
    <t>IMDb</t>
  </si>
  <si>
    <t>Michael Collins</t>
  </si>
  <si>
    <t>Discriminative Training Methods for Hidden Markov Models: Theory and Experiments with Perceptron Algorithms</t>
  </si>
  <si>
    <t>https://dl.acm.org/doi/10.3115/1118693.1118694</t>
  </si>
  <si>
    <t>Daniel Marcu and William Wong</t>
  </si>
  <si>
    <t>A Phrase-Based, Joint Probability Model for Statistical Machine Translation</t>
  </si>
  <si>
    <t>https://dl.acm.org/doi/10.3115/1118693.1118711</t>
  </si>
  <si>
    <t>Hansard Corpus</t>
  </si>
  <si>
    <t>Statistical Alignment Model</t>
  </si>
  <si>
    <t>IDSIA Switzerland</t>
  </si>
  <si>
    <t>Justin Bayer, Daan Wierstra, Julian Togelius, Jürgen Schmidhuber</t>
  </si>
  <si>
    <t xml:space="preserve">Evolving Neural Networks through Augmenting Topologies </t>
  </si>
  <si>
    <t>https://direct.mit.edu/evco/article/10/2/99/1123/Evolving-Neural-Networks-through-Augmenting</t>
  </si>
  <si>
    <t>RWTH Aachen and University of Southern California</t>
  </si>
  <si>
    <t>Franz Josef Och and Hermann Ney</t>
  </si>
  <si>
    <t>Discriminative Training and Maximum Entropy Models for Statistical Machine Translation</t>
  </si>
  <si>
    <t>https://aclanthology.org/P02-1038/</t>
  </si>
  <si>
    <t>IBM TJ Watson Research Centre</t>
  </si>
  <si>
    <t>K Papineni, S Roukos, T Ward, WJ Zhu</t>
  </si>
  <si>
    <t>Bleu: a method for automatic evaluation of machine translation</t>
  </si>
  <si>
    <t>https://dl.acm.org/doi/10.3115/1073083.1073135</t>
  </si>
  <si>
    <t>Korea Advanced Institute of Science and Technology</t>
  </si>
  <si>
    <t>YH Cho, JK Kim, SH Kim</t>
  </si>
  <si>
    <t>A personalized recommender system based on web usage mining and decision tree induction</t>
  </si>
  <si>
    <t>https://reader.elsevier.com/reader/sd/pii/S0957417402000520?token=155B6D1937982D7D0271AFD1CFB034DFD7F3D1DE816B66C025EBC9D0A305BA6DA685DD62989DC05246C794CAC74CDAEF&amp;originRegion=us-east-1&amp;originCreation=20220325235441</t>
  </si>
  <si>
    <t>Decision tree (classification)</t>
  </si>
  <si>
    <t>Mitsubishi Electric Research Labs and Compaq CRL</t>
  </si>
  <si>
    <t>P. Viola, M. Jones</t>
  </si>
  <si>
    <t>Rapid object detection using a boosted cascade of simple features</t>
  </si>
  <si>
    <t>https://www.cs.cmu.edu/~efros/courses/LBMV07/Papers/viola-cvpr-01.pdf</t>
  </si>
  <si>
    <t>Immediate trihead</t>
  </si>
  <si>
    <t>Brown University</t>
  </si>
  <si>
    <t>E Charniak</t>
  </si>
  <si>
    <t>Immediate-Head Parsing for Language Models</t>
  </si>
  <si>
    <t>https://dl.acm.org/doi/10.3115/1073012.1073029</t>
  </si>
  <si>
    <t>Jerome H. Friedman</t>
  </si>
  <si>
    <t>Greedy function approximation: A gradient boosting machine</t>
  </si>
  <si>
    <t>https://projecteuclid.org/journals/annals-of-statistics/volume-29/issue-5/Greedy-function-approximation-A-gradient-boostingmachine/10.1214/aos/1013203451.full</t>
  </si>
  <si>
    <t>University of Minnesota</t>
  </si>
  <si>
    <t>B Sarwar, G Karypis, J Konstan, J Riedl</t>
  </si>
  <si>
    <t>Application of Dimensionality Reduction in Recommender System -- A Case Study</t>
  </si>
  <si>
    <t>http://robotics.stanford.edu/~ronnyk/WEBKDD2000/papers/sarwar.pdf</t>
  </si>
  <si>
    <t>Peephole LSTM</t>
  </si>
  <si>
    <t>Periodic function approximation</t>
  </si>
  <si>
    <t>F.A. Gers; J. Schmidhuber</t>
  </si>
  <si>
    <t>Recurrent nets that time and count</t>
  </si>
  <si>
    <t>https://ieeexplore.ieee.org/document/861302</t>
  </si>
  <si>
    <t>University of Rochester</t>
  </si>
  <si>
    <t>Daniel Gildea, Daniel Jurafsky</t>
  </si>
  <si>
    <t>Automatic Labeling of Semantic Roles</t>
  </si>
  <si>
    <t>https://dl.acm.org/doi/10.1162/089120102760275983</t>
  </si>
  <si>
    <t>FrameNet</t>
  </si>
  <si>
    <t>RWTH Aachen - University of Technology</t>
  </si>
  <si>
    <t>Franz Josef Och, Hermann Ney</t>
  </si>
  <si>
    <t>Improved Statistical Alignment Models</t>
  </si>
  <si>
    <t>https://aclanthology.org/P00-1056/</t>
  </si>
  <si>
    <t>LSTM with forget gates</t>
  </si>
  <si>
    <t>F. A. Gers, J. Schmidhuber, and F. Cummins</t>
  </si>
  <si>
    <t>Learning to forget: Continual prediction with LSTM</t>
  </si>
  <si>
    <t>https://ieeexplore.ieee.org/document/818041</t>
  </si>
  <si>
    <t>IBM Model 4</t>
  </si>
  <si>
    <t>University of Southern California &amp; IBM &amp; University of Pennsylvania</t>
  </si>
  <si>
    <t>Yaser Al-Onaizan, Jan Curin, Michael Jahr, Kevin Knight, John Lafferty, Dan Melamed, Franz-Josef Och, David Purdy, Noah A. Smith, and David Yarowsky</t>
  </si>
  <si>
    <t>Statistical machine translation</t>
  </si>
  <si>
    <t>http://www-i6.informatik.rwth-aachen.de/publications/download/266/al-onaizan--1999.pdf</t>
  </si>
  <si>
    <t>University of California San Diego &amp; Shannon Laboratory, AT&amp;T Labs</t>
  </si>
  <si>
    <t>Yoav Freund &amp; Robert E. Schapire</t>
  </si>
  <si>
    <t>Large Margin Classification Using the Perceptron Algorithm</t>
  </si>
  <si>
    <t>https://link.springer.com/article/10.1023/A:1007662407062</t>
  </si>
  <si>
    <t>LeNet-5</t>
  </si>
  <si>
    <t>Yann LeCun, Léon Bottou, Yoshua Bengio, Patrick Haffner</t>
  </si>
  <si>
    <t>Gradient-based Learning Applied to Document Recognition</t>
  </si>
  <si>
    <t>http://vision.stanford.edu/cs598_spring07/papers/Lecun98.pdf</t>
  </si>
  <si>
    <t>RNN for speech</t>
  </si>
  <si>
    <t>Speech synthesis</t>
  </si>
  <si>
    <t>National Chiao Tung University</t>
  </si>
  <si>
    <t>SH Chen, SH Hwang, YR Wang</t>
  </si>
  <si>
    <t>An RNN-based prosodic information synthesizer for Mandarin text-to-speech</t>
  </si>
  <si>
    <t>https://ieeexplore.ieee.org/abstract/document/668817</t>
  </si>
  <si>
    <t>Johns Hopkins University</t>
  </si>
  <si>
    <t>F Jelinek</t>
  </si>
  <si>
    <t>Statistical Methods for Speech Recognition</t>
  </si>
  <si>
    <t>https://mitpress.mit.edu/books/statistical-methods-speech-recognition</t>
  </si>
  <si>
    <t>H Schneiderman, T Kanade</t>
  </si>
  <si>
    <t>Probabilistic modeling of local appearance and spatial relationships for object recognition</t>
  </si>
  <si>
    <t>https://ieeexplore.ieee.org/document/698586</t>
  </si>
  <si>
    <t>Recommender system</t>
  </si>
  <si>
    <t>AT&amp;T Labs and Rutgers University and Bell Communications Research</t>
  </si>
  <si>
    <t>C Basu, H Hirsh, W Cohen</t>
  </si>
  <si>
    <t>Recommendation as Classification : Using Social and Content-based Information in Recommendation</t>
  </si>
  <si>
    <t>https://www.aaai.org/Papers/AAAI/1998/AAAI98-101.pdf</t>
  </si>
  <si>
    <t>LSTM</t>
  </si>
  <si>
    <t>Sequence recognition (?)</t>
  </si>
  <si>
    <t>The Technical University of Munich</t>
  </si>
  <si>
    <t>Sepp Hochreiter ; Jurgen Schmidhuber</t>
  </si>
  <si>
    <t>Long short-term memory</t>
  </si>
  <si>
    <t>https://direct.mit.edu/neco/article-abstract/9/8/1735/6109/Long-Short-Term-Memory?redirectedFrom=fulltext</t>
  </si>
  <si>
    <t>E. Osuna, R. Freund, F. Girosi</t>
  </si>
  <si>
    <t>Training Support Vector Machines: An Application to Face Detection</t>
  </si>
  <si>
    <t>https://ieeexplore.ieee.org/document/609310</t>
  </si>
  <si>
    <t>Cambridge University Engineering &amp; Carnegie Mellon University</t>
  </si>
  <si>
    <t>P Clarkson, R Rosenfeld</t>
  </si>
  <si>
    <t>Statistical language modeling using the CMU-Cambridge toolkit</t>
  </si>
  <si>
    <t>https://www.semanticscholar.org/paper/Statistical-language-modeling-using-the-toolkit-Clarkson-Rosenfeld/fdf4aa623e4d5b5edaeb873ed8e8b1cef0b59c87</t>
  </si>
  <si>
    <t>BRNN</t>
  </si>
  <si>
    <t>ATR Labs, Japan</t>
  </si>
  <si>
    <t>M. Schuster, KK Paliwal</t>
  </si>
  <si>
    <t>Bidirectional recurrent neural networks</t>
  </si>
  <si>
    <t>https://ieeexplore.ieee.org/document/650093</t>
  </si>
  <si>
    <t>UC Davis, Cornell</t>
  </si>
  <si>
    <t>Bruno A. Olshausen, David J. Field</t>
  </si>
  <si>
    <t>Sparse coding with an overcomplete basis set: A strategy employed by V1?</t>
  </si>
  <si>
    <t>https://www.sciencedirect.com/science/article/pii/S0042698997001697</t>
  </si>
  <si>
    <t>System 11</t>
  </si>
  <si>
    <t>HA Rowley, S Baluja, T Kanade</t>
  </si>
  <si>
    <t>Neural Network-Based Face Detection</t>
  </si>
  <si>
    <t>https://ieeexplore.ieee.org/document/655647</t>
  </si>
  <si>
    <t>HMM Word Alignment</t>
  </si>
  <si>
    <t>Word alignment</t>
  </si>
  <si>
    <t>University of Erlangen - Nuremburg</t>
  </si>
  <si>
    <t>Stephan Vogel, Hermann Ney, Christoph Tillmann</t>
  </si>
  <si>
    <t>HMM-Based Word Alignment in Statistical Translation</t>
  </si>
  <si>
    <t>https://dl.acm.org/doi/10.3115/993268.993313</t>
  </si>
  <si>
    <t>Xerox</t>
  </si>
  <si>
    <t>Eric Saund</t>
  </si>
  <si>
    <t>A Multiple Cause Mixture Model for Unsupervised Learning</t>
  </si>
  <si>
    <t>https://ieeexplore.ieee.org/document/6795568</t>
  </si>
  <si>
    <t>Perplexity... sorta</t>
  </si>
  <si>
    <t>University of Pennsylvania</t>
  </si>
  <si>
    <t>D Yarowsky</t>
  </si>
  <si>
    <t>Unsupervised Word Sense Disambiguation Rivaling Supervised Methods</t>
  </si>
  <si>
    <t>https://dl.acm.org/doi/10.3115/981658.981684</t>
  </si>
  <si>
    <t>Bootstrapping classifier</t>
  </si>
  <si>
    <t>Random Decision Forests</t>
  </si>
  <si>
    <t>AT&amp;T Bell Laboratories</t>
  </si>
  <si>
    <t>TK Ho</t>
  </si>
  <si>
    <t>Random decision forests</t>
  </si>
  <si>
    <t>https://ieeexplore.ieee.org/document/598994</t>
  </si>
  <si>
    <t>Support Vector Machines</t>
  </si>
  <si>
    <t>C Cortes, V Vapnik</t>
  </si>
  <si>
    <t>Support-Vector Networks</t>
  </si>
  <si>
    <t>https://link.springer.com/article/10.1007/BF00994018</t>
  </si>
  <si>
    <t>EURECOM</t>
  </si>
  <si>
    <t>Bernard Merialdo</t>
  </si>
  <si>
    <t>Tagging English Text with a Probabilistic Model</t>
  </si>
  <si>
    <t>https://dl.acm.org/doi/10.5555/972525.972526</t>
  </si>
  <si>
    <t>GroupLens</t>
  </si>
  <si>
    <t>Massachusetts Institute of Technology</t>
  </si>
  <si>
    <t>Paul Resnick, Neophytos Iacovou, Mitesh Suchak, Peter Bergstrom, John Riedl</t>
  </si>
  <si>
    <t>GroupLens : an Open Architecture for Collaborative Filtering of Netnews</t>
  </si>
  <si>
    <t>https://dl.acm.org/doi/10.1145/192844.192905</t>
  </si>
  <si>
    <t>IBM-5</t>
  </si>
  <si>
    <t>IBM T.J. Watson Research Center</t>
  </si>
  <si>
    <t>Peter F. Brown, Stephen A. Della Pietra, Vincent J. Della Pietra, Robert L. Mercer</t>
  </si>
  <si>
    <t>The Mathematics of Statistical Machine Translation: Parameter Estimation</t>
  </si>
  <si>
    <t>https://dl.acm.org/doi/10.5555/972470.972474</t>
  </si>
  <si>
    <t>Proceedings of the Canadian parliament</t>
  </si>
  <si>
    <t>TD-Gammon</t>
  </si>
  <si>
    <t>Backgammon</t>
  </si>
  <si>
    <t>IBM</t>
  </si>
  <si>
    <t>G Tesauro</t>
  </si>
  <si>
    <t>Practical Issues in Temporal Difference Learning</t>
  </si>
  <si>
    <t>https://papers.nips.cc/paper/1991/file/68ce199ec2c5517597ce0a4d89620f55-Paper.pdf</t>
  </si>
  <si>
    <t>Fuzzy NN</t>
  </si>
  <si>
    <t>Indian Statistical Institute</t>
  </si>
  <si>
    <t>SK Pal, S Mitra</t>
  </si>
  <si>
    <t>Multilayer perceptron, fuzzy sets, and classification</t>
  </si>
  <si>
    <t>https://ieeexplore.ieee.org/document/159058</t>
  </si>
  <si>
    <t>R. J. Williams</t>
  </si>
  <si>
    <t>Simple statistical gradient-following algorithms for connectionist reinforcement learning</t>
  </si>
  <si>
    <t>https://dl.acm.org/doi/10.1007/BF00992696</t>
  </si>
  <si>
    <t>DIABETES</t>
  </si>
  <si>
    <t>Medical diagnosis</t>
  </si>
  <si>
    <t>Aalborg University</t>
  </si>
  <si>
    <t>S. Andreassen, R. Hovorka, J. Benn, K. G. Olesen, and E. R. Carson</t>
  </si>
  <si>
    <t>A Model-based Approach to Insulin Adjustment</t>
  </si>
  <si>
    <t>https://link.springer.com/chapter/10.1007/978-3-642-48650-0_19</t>
  </si>
  <si>
    <t>University of California, San Diego</t>
  </si>
  <si>
    <t>J. L. Elman</t>
  </si>
  <si>
    <t>Distributed representations, simple recurrent networks, and grammatical structure</t>
  </si>
  <si>
    <t>https://dl.acm.org/doi/10.1007/BF00114844</t>
  </si>
  <si>
    <t>Recurrent Network ("Elman" network?)</t>
  </si>
  <si>
    <t>MADALINE III</t>
  </si>
  <si>
    <t>University of Stanford</t>
  </si>
  <si>
    <t>B Widrow, M. A. Lehr</t>
  </si>
  <si>
    <t>30 years of adaptive neural networks: perceptron, madaline, and backpropagation</t>
  </si>
  <si>
    <t>https://ieeexplore.ieee.org/document/58323</t>
  </si>
  <si>
    <t>Air Force Institute of Technology, OH, USA</t>
  </si>
  <si>
    <t>D.W. Ruck &amp; S.K. Rogers &amp; M. Kabrisky &amp; M.E. Oxley &amp; B.W. Suter</t>
  </si>
  <si>
    <t>The multilayer perceptron as an approximation to a Bayes optimal discriminant function</t>
  </si>
  <si>
    <t>https://ieeexplore.ieee.org/abstract/document/80266</t>
  </si>
  <si>
    <t>ALVINN</t>
  </si>
  <si>
    <t xml:space="preserve">Carnegie Mellon University </t>
  </si>
  <si>
    <t>DA Pomerleau</t>
  </si>
  <si>
    <t>ALVINN: an autonomous land vehicle in a neural network</t>
  </si>
  <si>
    <t>https://proceedings.neurips.cc/paper/1988/hash/812b4ba287f5ee0bc9d43bbf5bbe87fb-Abstract.html</t>
  </si>
  <si>
    <t>Road snapshots</t>
  </si>
  <si>
    <t>Zip CNN</t>
  </si>
  <si>
    <t>Y. LeCun B. Boser J. S. Denker D. Henderson R. E. Howard W. Hubbard L. D. Jackel</t>
  </si>
  <si>
    <t>Backpropagation applied to handwritten zip code recognition</t>
  </si>
  <si>
    <t>https://ieeexplore.ieee.org/document/6795724</t>
  </si>
  <si>
    <t>Buffalo zips</t>
  </si>
  <si>
    <t>Innervator</t>
  </si>
  <si>
    <t>Pattern classification</t>
  </si>
  <si>
    <t>Stanford, CalTech</t>
  </si>
  <si>
    <t>Geoffrey Miller, Peter Todd, and Shailesh Hegde</t>
  </si>
  <si>
    <t>Designing neural networks using genetic algorithms</t>
  </si>
  <si>
    <t>https://www.researchgate.net/publication/220885651_Designing_Neural_Networks_using_Genetic_Algorithms</t>
  </si>
  <si>
    <t>Q-learning</t>
  </si>
  <si>
    <t>University of London</t>
  </si>
  <si>
    <t>Christopher Watkins</t>
  </si>
  <si>
    <t>Learning from delayed rewards</t>
  </si>
  <si>
    <t>http://www.cs.rhul.ac.uk/~chrisw/thesis.html</t>
  </si>
  <si>
    <t>Time-delay neural networks</t>
  </si>
  <si>
    <t xml:space="preserve">Carnegie Mellon University &amp; ATR Interpreting Telephony Research Laboratories &amp; University of Toronto </t>
  </si>
  <si>
    <t>A. Waibel, T. Hanazawa, G. Hinton, K. Shikano, and K. J. Lang</t>
  </si>
  <si>
    <t>Phoneme recognition using time-delay neural networks</t>
  </si>
  <si>
    <t>https://ieeexplore.ieee.org/abstract/document/21701</t>
  </si>
  <si>
    <t>Technische Universität Wien Austria &amp; University of California</t>
  </si>
  <si>
    <t>Kurt Hornik &amp; Maxwell Stinchcombe &amp; Halbert White</t>
  </si>
  <si>
    <t>Multilayer feedforward networks are universal approximators</t>
  </si>
  <si>
    <t>https://www.sciencedirect.com/science/article/abs/pii/0893608089900208</t>
  </si>
  <si>
    <t>Roke Manor Research</t>
  </si>
  <si>
    <t>Harris &amp; Stephens</t>
  </si>
  <si>
    <t>A Combined Corner and Edge Detector</t>
  </si>
  <si>
    <t>http://citeseerx.ist.psu.edu/viewdoc/download?doi=10.1.1.434.4816&amp;rep=rep1&amp;type=pdf</t>
  </si>
  <si>
    <t>MADALINE II</t>
  </si>
  <si>
    <t>Rodney Winter, Bernard Widrow</t>
  </si>
  <si>
    <t>MADALINE RULE II: A Training Algorithm for Neural Networks</t>
  </si>
  <si>
    <t>https://ieeexplore.ieee.org/document/23872</t>
  </si>
  <si>
    <t>Adaptive Broom Balancer</t>
  </si>
  <si>
    <t>Pole balancing</t>
  </si>
  <si>
    <t>VV Tolat, B Widrow</t>
  </si>
  <si>
    <t>An Adaptive “Broom Balancer” with Visual Inputs</t>
  </si>
  <si>
    <t>https://ieeexplore.ieee.org/document/23982</t>
  </si>
  <si>
    <t>NetTalk</t>
  </si>
  <si>
    <t>Princeton University</t>
  </si>
  <si>
    <t>TJ Sejnowski, CR Rosenberg</t>
  </si>
  <si>
    <t>Parallel Networks that Learn to Pronounce English Text</t>
  </si>
  <si>
    <t>http://citeseerx.ist.psu.edu/viewdoc/download;jsessionid=03A3D3EDF0BAF35405ABCF083411B55E?doi=10.1.1.154.7012&amp;rep=rep1&amp;type=pdf</t>
  </si>
  <si>
    <t>University of California, Santa Cruz</t>
  </si>
  <si>
    <t>Biederman, Irving</t>
  </si>
  <si>
    <t>Recognition-by-components: A theory of human image understanding</t>
  </si>
  <si>
    <t>https://psycnet.apa.org/record/1987-20898-001</t>
  </si>
  <si>
    <t>Back-propagation</t>
  </si>
  <si>
    <t>Learning to complete triples</t>
  </si>
  <si>
    <t>University of California</t>
  </si>
  <si>
    <t>Rumelhart, David E.; Hinton, Geoffrey E.; Williams, Ronald J.</t>
  </si>
  <si>
    <t>Learning representations by back-propagating errors</t>
  </si>
  <si>
    <t>https://www.semanticscholar.org/paper/Learning-representations-by-back-propagating-errors-Rumelhart-Hinton/052b1d8ce63b07fec3de9dbb583772d860b7c769</t>
  </si>
  <si>
    <t>Unsupervised</t>
  </si>
  <si>
    <t>University of California and University of Carnegie Mellon</t>
  </si>
  <si>
    <t>D. E. Rumelhart, G. E. Hinton, and R. J. Williams</t>
  </si>
  <si>
    <t>Learning internal representations by error propagation</t>
  </si>
  <si>
    <t>https://dl.acm.org/doi/10.5555/104279.104293</t>
  </si>
  <si>
    <t>Learning past tenses</t>
  </si>
  <si>
    <t>Verb conjugation</t>
  </si>
  <si>
    <t>Rumelhart, D. E., &amp; McClelland, J. L</t>
  </si>
  <si>
    <t>Learning the past tenses of English verbs: Implicit rules or parallel distributed processing?</t>
  </si>
  <si>
    <t>https://www.semanticscholar.org/paper/On-learning-the-past-tenses-of-English-verbs%3A-rules-Rumelhart-McClelland/4fa569625b5ab35e955a8d5be11a4aa9f59ca424</t>
  </si>
  <si>
    <t>Parallel Distributed Processing Model</t>
  </si>
  <si>
    <t>Jordan, M.I.</t>
  </si>
  <si>
    <t>Serial order: A parallel distributed processing approach</t>
  </si>
  <si>
    <t>https://www.osti.gov/biblio/6910294</t>
  </si>
  <si>
    <t>John Canny</t>
  </si>
  <si>
    <t>A Computational Approach To Edge Detection</t>
  </si>
  <si>
    <t>https://ieeexplore.ieee.org/stamp/stamp.jsp?tp=&amp;arnumber=4767851</t>
  </si>
  <si>
    <t>Steven Pinker</t>
  </si>
  <si>
    <t>Language learnability and language development.</t>
  </si>
  <si>
    <t>https://psycnet.apa.org/record/1985-97439-000</t>
  </si>
  <si>
    <t>ASE+ACE</t>
  </si>
  <si>
    <t>Andrew G. Barto, Richard S. Sutton, and Charles W. Anderson</t>
  </si>
  <si>
    <t>Neuronlike adaptive elements that can solve difficult learning control problems</t>
  </si>
  <si>
    <t>https://ieeexplore.ieee.org/stamp/stamp.jsp?tp=&amp;arnumber=6313077</t>
  </si>
  <si>
    <t>Hopfield network</t>
  </si>
  <si>
    <t>Sequence memorization</t>
  </si>
  <si>
    <t>JJ Hopfield</t>
  </si>
  <si>
    <t>Neural networks and physical systems with emergent collective computational abilities</t>
  </si>
  <si>
    <t>https://www.pnas.org/doi/10.1073/pnas.79.8.2554</t>
  </si>
  <si>
    <t>Kohonen network</t>
  </si>
  <si>
    <t>Dimensionality reduction</t>
  </si>
  <si>
    <t>Helsinki University of Technology</t>
  </si>
  <si>
    <t>T Kohonen</t>
  </si>
  <si>
    <t>Self-organized formation of topologically correct feature maps</t>
  </si>
  <si>
    <t>https://link.springer.com/article/10.1007/BF00337288</t>
  </si>
  <si>
    <t>Neocognitron</t>
  </si>
  <si>
    <t>NHK Broadcasting Science Research Laboratories</t>
  </si>
  <si>
    <t>K Fukushima, S Miyake</t>
  </si>
  <si>
    <t>Neocognitron: A self-organizing neural network model for a mechanism of pattern recognition unaffected by shift in position</t>
  </si>
  <si>
    <t>https://link.springer.com/article/10.1007/BF00344251</t>
  </si>
  <si>
    <t>Utrecht University</t>
  </si>
  <si>
    <t>Koenderink &amp; van Doom</t>
  </si>
  <si>
    <t>The internal representation of solid shape with respect to vision</t>
  </si>
  <si>
    <t>https://link.springer.com/article/10.1007/BF00337644</t>
  </si>
  <si>
    <t>TD(0)</t>
  </si>
  <si>
    <t>University of Essex</t>
  </si>
  <si>
    <t>Ian Witten</t>
  </si>
  <si>
    <t>An adaptive optimal controller for discrete-time Markov environments</t>
  </si>
  <si>
    <t>https://www.sciencedirect.com/science/article/pii/S0019995877903540</t>
  </si>
  <si>
    <t>Cognitron</t>
  </si>
  <si>
    <t>Biological Cybernetics</t>
  </si>
  <si>
    <t>Kunihiko Fukushima</t>
  </si>
  <si>
    <t>Cognitron: a self-organizing multilayered neural network</t>
  </si>
  <si>
    <t>https://link.springer.com/article/10.1007%2FBF00342633</t>
  </si>
  <si>
    <t>Naive Bayes</t>
  </si>
  <si>
    <t>Stanford Research Institute</t>
  </si>
  <si>
    <t>Duda and Hart</t>
  </si>
  <si>
    <t>Pattern Classification and Scene Analysis</t>
  </si>
  <si>
    <t>https://www.semanticscholar.org/paper/Pattern-classification-and-scene-analysis-Duda-Hart/b07ce649d6f6eb636872527104b0209d3edc8188</t>
  </si>
  <si>
    <t>Bootstrap Adaptation</t>
  </si>
  <si>
    <t>Blackjack</t>
  </si>
  <si>
    <t>IEEE</t>
  </si>
  <si>
    <t>Widrow, Gupta, and Maitra</t>
  </si>
  <si>
    <t>Punish/Reward: Learning with a Critic in Adaptive Threshold Systems</t>
  </si>
  <si>
    <t>https://ieeexplore.ieee.org/document/4309272</t>
  </si>
  <si>
    <t>Punish/Reward</t>
  </si>
  <si>
    <t>Patrick Winston</t>
  </si>
  <si>
    <t>Learning Structural Definitions from Examples</t>
  </si>
  <si>
    <t>https://dspace.mit.edu/handle/1721.1/6884</t>
  </si>
  <si>
    <t>GLEE</t>
  </si>
  <si>
    <t>Tic Tac Toe</t>
  </si>
  <si>
    <t>Michie and Chambers</t>
  </si>
  <si>
    <t>Boxes: An Experiment in Adaptive Control</t>
  </si>
  <si>
    <t>https://citeseerx.ist.psu.edu/viewdoc/summary?doi=10.1.1.474.2430</t>
  </si>
  <si>
    <t>BOXES</t>
  </si>
  <si>
    <t>Samuel Neural Checkers II</t>
  </si>
  <si>
    <t>Checkers</t>
  </si>
  <si>
    <t>University of Geneva</t>
  </si>
  <si>
    <t>Palmieri, G. and R. Sanna</t>
  </si>
  <si>
    <t>Some studies in machine learning using the game of checkers. Part II</t>
  </si>
  <si>
    <t>https://www.cs.virginia.edu/~evans/greatworks/samuel.pdf</t>
  </si>
  <si>
    <t>STeLLA</t>
  </si>
  <si>
    <t>University of Canterbury</t>
  </si>
  <si>
    <t>J.H. Andreae and Peter L. Joyce</t>
  </si>
  <si>
    <t>STeLLA: A Scheme for a Learning Machine</t>
  </si>
  <si>
    <t>https://www.researchgate.net/publication/252919025_STELLA_A_scheme_for_a_learning_machine</t>
  </si>
  <si>
    <t>MENACE</t>
  </si>
  <si>
    <t>Donald Michie</t>
  </si>
  <si>
    <t>Experiments on the Mechanization of Game-Learning Part I. Characterization of the Model and its parameters</t>
  </si>
  <si>
    <t>https://academic.oup.com/comjnl/article/6/3/232/360077</t>
  </si>
  <si>
    <t>MADALINE I</t>
  </si>
  <si>
    <t>William Combs Ridgway</t>
  </si>
  <si>
    <t>An adaptive logic system with generalizing properties</t>
  </si>
  <si>
    <t>https://www.proquest.com/openview/7898314db50a218b58052ac91e3bde1e/1?</t>
  </si>
  <si>
    <t>Massachusetts Institute of Technology (MIT)</t>
  </si>
  <si>
    <t>Marvin Minsky</t>
  </si>
  <si>
    <t>Steps Toward Artificial Intelligence</t>
  </si>
  <si>
    <t>https://ieeexplore.ieee.org/abstract/document/4066245</t>
  </si>
  <si>
    <t>Marvin Minsky and Oliver G. Selfridge</t>
  </si>
  <si>
    <t>Learning in random nets</t>
  </si>
  <si>
    <t>https://stacks.stanford.edu/file/druid:yr384hg3073/yr384hg3073.pdf</t>
  </si>
  <si>
    <t>Binary classification</t>
  </si>
  <si>
    <t>The University of Genoa</t>
  </si>
  <si>
    <t>A Gamba, L Gamberini, G Palmieri, R Sanna</t>
  </si>
  <si>
    <t>Further experiments with PAPA</t>
  </si>
  <si>
    <t>https://www.semanticscholar.org/paper/Further-experiments-with-PAPA-Gamba-Gamberini/c3a20b9aa86033cec29f08e69f4bc81e8b329ae2</t>
  </si>
  <si>
    <t>ADALINE</t>
  </si>
  <si>
    <t>Pattern recognition</t>
  </si>
  <si>
    <t>Widrow and Hoff</t>
  </si>
  <si>
    <t>Adaptive switching circuits</t>
  </si>
  <si>
    <t>https://isl.stanford.edu/~widrow/papers/c1960adaptiveswitching.pdf</t>
  </si>
  <si>
    <t>LMS</t>
  </si>
  <si>
    <t>Adaptive switching circuits (technical report)</t>
  </si>
  <si>
    <t>https://www.scirp.org/(S(351jmbntvnsjt1aadkposzje))/reference/ReferencesPapers.aspx?ReferenceID=547230</t>
  </si>
  <si>
    <t>Pandemonium (morse)</t>
  </si>
  <si>
    <t>Morse translation</t>
  </si>
  <si>
    <t>OG Selfridge</t>
  </si>
  <si>
    <t>Pandemonium: A Paradigm for Learning</t>
  </si>
  <si>
    <t>https://aitopics.org/doc/classics:504E1BAC/</t>
  </si>
  <si>
    <t>Samuel Neural Checkers</t>
  </si>
  <si>
    <t>Arthur L. Samuel</t>
  </si>
  <si>
    <t>Some studies in machine learning using the game of checkers</t>
  </si>
  <si>
    <t>https://ieeexplore.ieee.org/abstract/document/5392560</t>
  </si>
  <si>
    <t>Pattern recognition and reading by machine</t>
  </si>
  <si>
    <t>Sandia Corporation</t>
  </si>
  <si>
    <t>W. W. Bledsoe, I. Browning</t>
  </si>
  <si>
    <t>https://dl.acm.org/doi/10.1145/1460299.1460326</t>
  </si>
  <si>
    <t>Perceptron Mark I</t>
  </si>
  <si>
    <t>Cornell Aeronautical Laboratory</t>
  </si>
  <si>
    <t>F Rosenblatt</t>
  </si>
  <si>
    <t>The Perceptron—a perceiving and recognizing automaton</t>
  </si>
  <si>
    <t>https://blogs.umass.edu/brain-wars/files/2016/03/rosenblatt-1957.pdf</t>
  </si>
  <si>
    <t>AM Uttley</t>
  </si>
  <si>
    <t>Conditional probability machines</t>
  </si>
  <si>
    <t>https://www.moma.org/collection/works/illustratedbooks/16252?locale=es</t>
  </si>
  <si>
    <t>Self Organizing System</t>
  </si>
  <si>
    <t>W. A. Clark and B. G. Farley</t>
  </si>
  <si>
    <t>Generalization of pattern recognition in a self-organizing system</t>
  </si>
  <si>
    <t>https://dl.acm.org/doi/10.1145/1455292.1455309</t>
  </si>
  <si>
    <t>O. G. Selfridge</t>
  </si>
  <si>
    <t>Pattern recognition and learning</t>
  </si>
  <si>
    <t>https://dl.acm.org/doi/10.1145/1455292.1455310</t>
  </si>
  <si>
    <t>Institute for Advanced Study</t>
  </si>
  <si>
    <t>NA Barricelli</t>
  </si>
  <si>
    <t>Esempi numerici di processi di evoluzione</t>
  </si>
  <si>
    <t>https://link.springer.com/article/10.1007/BF01556771</t>
  </si>
  <si>
    <t>SNARC</t>
  </si>
  <si>
    <t>Maze solving</t>
  </si>
  <si>
    <t>Harvard University Psychological Laboratories</t>
  </si>
  <si>
    <t>A Neural-Analogue Calculator Based upon a Probability Model of Reinforcement</t>
  </si>
  <si>
    <t>https://en.wikipedia.org/wiki/Stochastic_neural_analog_reinforcement_calculator</t>
  </si>
  <si>
    <t>Theseus</t>
  </si>
  <si>
    <t>Bell Laboratories</t>
  </si>
  <si>
    <t>Claude Shannon</t>
  </si>
  <si>
    <t>Mighty Mouse</t>
  </si>
  <si>
    <t>https://www.technologyreview.com/2018/12/19/138508/mighty-mouse/</t>
  </si>
  <si>
    <t>Training compute (FLOPs)</t>
  </si>
  <si>
    <t>Inference compute (FLOPs)</t>
  </si>
  <si>
    <t>Training cost (2020 USD)</t>
  </si>
  <si>
    <t>Domains</t>
  </si>
  <si>
    <t>Tasks</t>
  </si>
  <si>
    <t>Computer Vision</t>
  </si>
  <si>
    <t>Chess</t>
  </si>
  <si>
    <t>Language (Text)</t>
  </si>
  <si>
    <t>Shogi</t>
  </si>
  <si>
    <t>Autonomous Vehicles</t>
  </si>
  <si>
    <t>Pacman</t>
  </si>
  <si>
    <t>Hide and seek</t>
  </si>
  <si>
    <t>Facial detection/verification</t>
  </si>
  <si>
    <t>Facial recognition</t>
  </si>
  <si>
    <t>Person re-identification/retrieval</t>
  </si>
  <si>
    <t>Named entity recognition</t>
  </si>
  <si>
    <t>Sequence memorisation</t>
  </si>
  <si>
    <t>Language modelling/generation</t>
  </si>
  <si>
    <t>Part of speech tagging</t>
  </si>
  <si>
    <t>Text to image</t>
  </si>
  <si>
    <t>Image captioning</t>
  </si>
  <si>
    <t>Self-driving cars</t>
  </si>
  <si>
    <t>Self-flying helicopters</t>
  </si>
  <si>
    <t>Title</t>
  </si>
  <si>
    <t>Date</t>
  </si>
  <si>
    <t>Type</t>
  </si>
  <si>
    <t>Notes</t>
  </si>
  <si>
    <t>Measuring the Algorithmic Efficiency of Neural Networks</t>
  </si>
  <si>
    <t>Discussion of scaling laws</t>
  </si>
  <si>
    <t>https://arxiv.org/ftp/arxiv/papers/2005/2005.04305.pdf</t>
  </si>
  <si>
    <t>Estimates algorithm improvements vs compute improvements. We might be able to reuse some of the data</t>
  </si>
  <si>
    <t>https://arxiv.org/pdf/1712.00409.pdf</t>
  </si>
  <si>
    <t>https://www.gwern.net/docs/ai/2013-grace.pdf#miri</t>
  </si>
  <si>
    <t>https://www.alignmentforum.org/posts/k2SNji3jXaLGhBeYP/extrapolating-gpt-n-performance</t>
  </si>
  <si>
    <t>Ajeya Cotra Report</t>
  </si>
  <si>
    <t>https://www.gwern.net/notes/Scaling</t>
  </si>
  <si>
    <t>AI and compute</t>
  </si>
  <si>
    <t>Metric compilation</t>
  </si>
  <si>
    <t>https://openai.com/blog/ai-and-compute/</t>
  </si>
  <si>
    <t>Training compute of several models</t>
  </si>
  <si>
    <t>Directory of LLMs</t>
  </si>
  <si>
    <t>Stella Biderman</t>
  </si>
  <si>
    <t>https://docs.google.com/spreadsheets/d/1gc6yse74XCwBx028HV_cvdxwXkmXejVjkO-Mz2uwE0k/edit#gid=0</t>
  </si>
  <si>
    <t>Information on parameter counts</t>
  </si>
  <si>
    <t>Akronomicon</t>
  </si>
  <si>
    <t>https://lair.lighton.ai/akronomicon/</t>
  </si>
  <si>
    <t>Information on parameter counts and compute of massive AI systems</t>
  </si>
  <si>
    <t>AI Tracker</t>
  </si>
  <si>
    <t>https://www.aitracker.org/</t>
  </si>
  <si>
    <t>"AI and Compute" trend isn't predictive of what is happening</t>
  </si>
  <si>
    <t>https://www.alignmentforum.org/posts/wfpdejMWog4vEDLDg/ai-and-compute-trend-isn-t-predictive-of-what-is-happening</t>
  </si>
  <si>
    <t>Compute and Energy Consumption Trends in Deep Learning Inference</t>
  </si>
  <si>
    <t>https://arxiv.org/abs/2109.05472</t>
  </si>
  <si>
    <t>Information on inference compute of several image recognition and NLP systems</t>
  </si>
  <si>
    <t>ComputerProgress</t>
  </si>
  <si>
    <t>https://computerprogress.com/</t>
  </si>
  <si>
    <t>NLP progress</t>
  </si>
  <si>
    <t>https://nlpprogress.com/english/language_modeling.html</t>
  </si>
  <si>
    <t>Parameter table</t>
  </si>
  <si>
    <t>https://github.com/albanie/convnet-burden</t>
  </si>
  <si>
    <t>Estimates of parameter memory size and FLOP counts for various convolutional neural networks.</t>
  </si>
  <si>
    <t>AI and efficiency</t>
  </si>
  <si>
    <t>https://openai.com/blog/ai-and-efficiency/</t>
  </si>
  <si>
    <t>The computational limits of deep learning</t>
  </si>
  <si>
    <t>https://arxiv.org/pdf/2007.05558.pdf</t>
  </si>
  <si>
    <t>https://twitter.com/draecomino/status/1362051082273386500?s=20</t>
  </si>
  <si>
    <t>Money costs for training of several models</t>
  </si>
  <si>
    <t>https://arxiv.org/pdf/1910.01108.pdf</t>
  </si>
  <si>
    <t>Figure 1 contains a diagram of parameter counts</t>
  </si>
  <si>
    <t>The tables have parameter counts for CIFAR-10 and other tasks</t>
  </si>
  <si>
    <t>On the Dangers of Stochastic Parrots: Can Language Models Be Too Big?</t>
  </si>
  <si>
    <t>http://faculty.washington.edu/ebender/papers/Stochastic_Parrots.pdf</t>
  </si>
  <si>
    <t>Table 1 contains parameter counts and datset sizes</t>
  </si>
  <si>
    <t>https://paperswithcode.com/paper/simplifying-neural-machine-translation-with/review/</t>
  </si>
  <si>
    <t>Table 6 has parameter counts of some models</t>
  </si>
  <si>
    <t>https://arxiv.org/pdf/1911.09070.pdf</t>
  </si>
  <si>
    <t>Table 2 has parameter counts and inference FLOPs of some object detection models</t>
  </si>
  <si>
    <t>https://towardsdatascience.com/illustrated-10-cnn-architectures-95d78ace614d</t>
  </si>
  <si>
    <t>Illustration of 10 famous architectures, with parameter counts</t>
  </si>
  <si>
    <t>Table 2 has lots of parameter counts for vision models</t>
  </si>
  <si>
    <t>High-performance, Distributed Training of Large-scale Deep Learning Recommendation Models</t>
  </si>
  <si>
    <t>https://arxiv.org/pdf/2104.05158.pdf</t>
  </si>
  <si>
    <t>Fig 1 contains training compute and parameters of several models</t>
  </si>
  <si>
    <t>AN ANALYSIS OF DEEP NEURAL NETWORK MODELS FOR PRACTICAL APPLICATIONS</t>
  </si>
  <si>
    <t>https://openreview.net/pdf?id=Bygq-H9eg</t>
  </si>
  <si>
    <t>Figure 2 has estimations for inference compute of several vision systems</t>
  </si>
  <si>
    <t>https://github.com/kingoflolz/mesh-transformer-jax/</t>
  </si>
  <si>
    <t>A table with parameter counts for different versions of GPT</t>
  </si>
  <si>
    <t>https://arxiv.org/pdf/2103.00020.pdf</t>
  </si>
  <si>
    <t>Figure 10 has information on forward pass cost of various image recogn systems</t>
  </si>
  <si>
    <t>Deep Learning Computational Cost</t>
  </si>
  <si>
    <t>https://spectrum.ieee.org/deep-learning-computational-cost</t>
  </si>
  <si>
    <t>Papers with code</t>
  </si>
  <si>
    <t>AI system compilation</t>
  </si>
  <si>
    <t>We tried automatic extraction of data from papers with code, ask Pablo for details</t>
  </si>
  <si>
    <t>Awesome Deep Learning papers</t>
  </si>
  <si>
    <t>https://github.com/terryum/awesome-deep-learning-papers</t>
  </si>
  <si>
    <t>Most cited publications overall</t>
  </si>
  <si>
    <t>https://scholar.google.com/citations?view_op=top_venues&amp;hl=en&amp;vq=en</t>
  </si>
  <si>
    <t>http://yann.lecun.com/exdb/mnist/</t>
  </si>
  <si>
    <t>https://people.idsia.ch/~juergen/deep-learning-conspiracy.html</t>
  </si>
  <si>
    <t>Deep learning in neural networks: An overview</t>
  </si>
  <si>
    <t>https://www.sciencedirect.com/science/article/pii/S0893608014002135</t>
  </si>
  <si>
    <t>Most cited publications in AI</t>
  </si>
  <si>
    <t>https://scholar.google.com/citations?view_op=top_venues&amp;hl=en&amp;vq=eng_artificialintelligence</t>
  </si>
  <si>
    <t>Most cited publications in CV</t>
  </si>
  <si>
    <t>https://scholar.google.com/citations?view_op=top_venues&amp;hl=en&amp;vq=eng_computervisionpatternrecognition</t>
  </si>
  <si>
    <t>Timeline of Machine Learning - Wikipedia</t>
  </si>
  <si>
    <t>https://en.wikipedia.org/wiki/Timeline_of_machine_learning</t>
  </si>
  <si>
    <t>Timeline of AI - wikipedia</t>
  </si>
  <si>
    <t>https://en.wikipedia.org/wiki/Timeline_of_artificial_intelligence</t>
  </si>
  <si>
    <t>DL History Slides</t>
  </si>
  <si>
    <t>https://sebastianraschka.com/pdf/lecture-notes/stat479ss19/L02_dl-history_slides.pdf</t>
  </si>
  <si>
    <t>RL Classic Results</t>
  </si>
  <si>
    <t>https://www.davidsilver.uk/wp-content/uploads/2020/03/games.pdf</t>
  </si>
  <si>
    <t>Rando answer in Quora</t>
  </si>
  <si>
    <t>https://www.quora.com/Which-are-the-most-famous-and-the-most-cited-machine-learning-papers-in-the-last-five-decades-Which-of-these-papers-lay-down-the-fundamentals-of-machine-learning-itself</t>
  </si>
  <si>
    <t>The talk features a crappy graph with important landmarks in Machine Translation</t>
  </si>
  <si>
    <t>History of backpropagation</t>
  </si>
  <si>
    <t>https://people.idsia.ch//~juergen/who-invented-backpropagation.html</t>
  </si>
  <si>
    <t>https://80000hours.org/podcast/episodes/brian-christian-the-alignment-problem/</t>
  </si>
  <si>
    <t>Discussion of several emblematic AI systems through time</t>
  </si>
  <si>
    <t>History of AI Research</t>
  </si>
  <si>
    <t>https://towardsdatascience.com/history-of-ai-research-90a6cc8adc9c</t>
  </si>
  <si>
    <t>Review from 1973 of the AI field</t>
  </si>
  <si>
    <t>https://www.semanticscholar.org/paper/Artificial-Intelligence-Nilsson/b886f2c097b635ee9550ca29fff7dcbbb7727ff7</t>
  </si>
  <si>
    <t>Electronic Frontier Foundation AI metrics</t>
  </si>
  <si>
    <t>https://www.eff.org/ai/metrics</t>
  </si>
  <si>
    <t>DARPA Grand Challenge Wikipedia Entry</t>
  </si>
  <si>
    <t>https://en.wikipedia.org/wiki/DARPA_Grand_Challenge</t>
  </si>
  <si>
    <t>Contest for self driving systems</t>
  </si>
  <si>
    <t>History of RL</t>
  </si>
  <si>
    <t>http://incompleteideas.net/book/first/ebook/node12.html</t>
  </si>
  <si>
    <t>ACL test-of-time award</t>
  </si>
  <si>
    <t>https://www.aclweb.org/portal/content/announcement-2020-acl-test-time-awards-tot#:~:text=Each%20year%2C%20the%20ACL%20Test,papers%20from%2010%20years%20earlier.&amp;text=The%20winners%20were%20announced%20at%20ACL%202020.</t>
  </si>
  <si>
    <t>Language papers</t>
  </si>
  <si>
    <t>ACL best paper award</t>
  </si>
  <si>
    <t>https://aclweb.org/aclwiki/Best_paper_awards</t>
  </si>
  <si>
    <t>Examining Citations of Natural Language Processing Literature</t>
  </si>
  <si>
    <t>https://www.aclweb.org/anthology/2020.acl-main.464.pdf</t>
  </si>
  <si>
    <t>https://huggingface.co/course/chapter1/4?fw=pt</t>
  </si>
  <si>
    <t>Language models</t>
  </si>
  <si>
    <t>https://www.thecvf.com/?page_id=413</t>
  </si>
  <si>
    <t>Paper awards in computer vision</t>
  </si>
  <si>
    <t>https://www.bnlearn.com/bnrepository/</t>
  </si>
  <si>
    <t>Repository of Bayesian Networks</t>
  </si>
  <si>
    <t>https://arxiv.org/pdf/1708.02709.pdf</t>
  </si>
  <si>
    <t>Trends in NLP</t>
  </si>
  <si>
    <t>Computer Vision: History, the Rise of Deep Networks, and Future Vistas</t>
  </si>
  <si>
    <t>http://www.cis.jhu.edu/~rvidal/talks/Keynotes/AI-Frontiers-APL19.pdf</t>
  </si>
  <si>
    <t>https://ieeexplore.ieee.org/xpl/conhome/6118259/proceeding</t>
  </si>
  <si>
    <t>Vision systems</t>
  </si>
  <si>
    <t>Tamay Besiroglu</t>
  </si>
  <si>
    <t>https://mobile.twitter.com/tamaybes/status/1330506035811987458</t>
  </si>
  <si>
    <t>A Literature Review and Classification of Recommender Systems on Academic Journals</t>
  </si>
  <si>
    <t>https://www.researchgate.net/publication/264023918_A_Literature_Review_and_Classification_of_Recommender_Systems_on_Academic_Journals</t>
  </si>
  <si>
    <t>Recommendation systems</t>
  </si>
  <si>
    <t>https://link.springer.com/article/10.1023/A:1009804230409</t>
  </si>
  <si>
    <t>http://files.grouplens.org/papers/ec00.pdf</t>
  </si>
  <si>
    <t>Netflix Price Leaderboard</t>
  </si>
  <si>
    <t>https://www.netflixprize.com/leaderboard.html</t>
  </si>
  <si>
    <r>
      <rPr>
        <sz val="10"/>
        <rFont val="宋体"/>
        <charset val="134"/>
      </rPr>
      <t xml:space="preserve">Two Decades of Recommender Systems at </t>
    </r>
    <r>
      <rPr>
        <u/>
        <sz val="10"/>
        <color rgb="FF1155CC"/>
        <rFont val="宋体"/>
        <charset val="134"/>
      </rPr>
      <t>Amazon.com</t>
    </r>
  </si>
  <si>
    <t>https://assets.amazon.science/76/9e/7eac89c14a838746e91dde0a5e9f/two-decades-of-recommender-systems-at-amazon.pdf</t>
  </si>
  <si>
    <t>Microsoft implementation of recommender systems</t>
  </si>
  <si>
    <t>https://github.com/microsoft/recommenders</t>
  </si>
  <si>
    <t>Voice Conversion Challenge</t>
  </si>
  <si>
    <t>http://www.vc-challenge.org/</t>
  </si>
  <si>
    <t>Voice conversion</t>
  </si>
  <si>
    <t>https://github.com/jeffalstott/technologytimeseries_forecasting</t>
  </si>
  <si>
    <t>Performance forecasting of different tech. Would be interesting to see what systems they use for their datasets</t>
  </si>
  <si>
    <t>Biological estimate</t>
  </si>
  <si>
    <t>https://www.openphilanthropy.org/brain-computation-report</t>
  </si>
  <si>
    <t>Estimation of FLOPS/s in the human brain</t>
  </si>
  <si>
    <t>https://www.sciencedirect.com/science/article/pii/S0896627321005018</t>
  </si>
  <si>
    <t>Simulates 1 human neuron with ~1000 artificial neurons, arranged in 5 to 8 layers</t>
  </si>
  <si>
    <t>Tools</t>
  </si>
  <si>
    <t>https://github.com/tensorflow/tensorflow/blob/master/tensorflow/core/profiler/g3doc/profile_model_architecture.md</t>
  </si>
  <si>
    <t>Research community dynamics behind popular AI benchmarks</t>
  </si>
  <si>
    <t>https://www.nature.com/articles/s42256-021-00339-6</t>
  </si>
  <si>
    <t>AI100 Report</t>
  </si>
  <si>
    <t>https://ai100.stanford.edu/sites/g/files/sbiybj18871/files/media/file/AI100Report_MT_10.pdf</t>
  </si>
  <si>
    <t>Compute estimates for Recent Trends in China’s Large Language Model Landscape</t>
  </si>
  <si>
    <t>Jeffrey Ding and Jenny Xiao</t>
  </si>
  <si>
    <t>https://docs.google.com/document/d/1WP71tXiLb4oX2Bs5xZ5-rzeobhA7SYQdKtbRwd5FoRI/edit</t>
  </si>
  <si>
    <t>Parameter, Compute and Data Trends in Machine Learning</t>
  </si>
  <si>
    <t>CC-BY Jaime Sevilla, Pablo Villalobos, Juan Felipe Cerón, Matthew Burtell, Lennart Heim, Amogh B. Nanjajjar, Anson Ho, Tamay Besiroglu, Marius Hobbhahn Jean-Stanislas Denain, and Owen Dudney.</t>
  </si>
  <si>
    <t>BibTeX</t>
  </si>
  <si>
    <t xml:space="preserve">
@misc{sevillaProgressMachineLearning2021,
  title = {Parameter, Compute and Data Trends in Machine Learning},
  author = {Sevilla, Jaime and Villalobos, Pablo and Cer{\'o}n, Juan Felipe and Burtell, Matthew and Heim, Lennart and Nanjajjar, Amogh B and Ho, Anson and Besiroglu, Tamay and Hobbhahn, Marius and Denain, Jean-Stanislas and Dudney, Owen},
  year = {2022},
  copyright = {CC-BY},
  howpublished = {https://docs.google.com/spreadsheets/d/1AAIebjNsnJj\_uKALHbXNfn3\_YsT6sHXtCU0q7OIPuc4/},
}
</t>
  </si>
  <si>
    <t>Source</t>
  </si>
  <si>
    <t>NooK AI</t>
  </si>
  <si>
    <t>https://www.theguardian.com/technology/2022/mar/29/artificial-intelligence-beats-eight-world-champions-at-bridge</t>
  </si>
  <si>
    <t>Transformer Memory as a Differentiable Search Index</t>
  </si>
  <si>
    <t>https://arxiv.org/abs/2202.06991</t>
  </si>
  <si>
    <t>University of Reading</t>
  </si>
  <si>
    <t>RJ Hogan</t>
  </si>
  <si>
    <t>1970?</t>
  </si>
  <si>
    <t>Reverse Mode of Automatic Differentiation</t>
  </si>
  <si>
    <t>http://www.jmlr.org/papers/volume18/17-468/17-468.pdf</t>
  </si>
  <si>
    <t>CinematchSM</t>
  </si>
  <si>
    <t>2000?</t>
  </si>
  <si>
    <t>Tesla Autopilot</t>
  </si>
  <si>
    <t>Tesla</t>
  </si>
  <si>
    <t>2019?</t>
  </si>
  <si>
    <t>S4</t>
  </si>
  <si>
    <t>Albert Gu, Karan Goel, Christopher Ré</t>
  </si>
  <si>
    <t>10/31/2021</t>
  </si>
  <si>
    <t>Efficiently Modeling Long Sequences with Structured State Spaces</t>
  </si>
  <si>
    <t>https://arxiv.org/pdf/2111.00396.pdf</t>
  </si>
  <si>
    <t>ruCLIP</t>
  </si>
  <si>
    <t>ruDALL-E</t>
  </si>
  <si>
    <t>Neural RL??? PhD Thesis</t>
  </si>
  <si>
    <t>Anderson</t>
  </si>
  <si>
    <t>Tesla autopilot (?)</t>
  </si>
  <si>
    <t>Logistello</t>
  </si>
  <si>
    <t>Otello</t>
  </si>
  <si>
    <t>Google Ngram</t>
  </si>
  <si>
    <t>MATCHES</t>
  </si>
  <si>
    <t>Hidden Markov Model</t>
  </si>
  <si>
    <t>https://www.nature.com/articles/381607a0</t>
  </si>
  <si>
    <t>https://keg.cs.tsinghua.edu.cn/jietang/publications/PPOPP22-Ma%20et%20al.-BaGuaLu%20Targeting%20Brain%20Scale%20Pretrained%20Models%20w.pdf</t>
  </si>
  <si>
    <t>Anthropic</t>
  </si>
  <si>
    <t>A General Language Assistant as a Laboratory for Alignment</t>
  </si>
  <si>
    <t>https://arxiv.org/abs/2112.00861</t>
  </si>
  <si>
    <t>Efficient Large Scale Language Modeling with Mixtures of Experts</t>
  </si>
  <si>
    <t>https://arxiv.org/abs/2112.10684</t>
  </si>
  <si>
    <t>Eleuther AI</t>
  </si>
  <si>
    <t>GPT-NeoX-20B: An Open-Source Autoregressive Language Model</t>
  </si>
  <si>
    <t>http://eaidata.bmk.sh/data/GPT_NeoX_20B.pdf</t>
  </si>
  <si>
    <t>BigScience LLM</t>
  </si>
  <si>
    <t>Big Science</t>
  </si>
  <si>
    <t>https://bigscience.huggingface.co/blog/model-training-launched</t>
  </si>
  <si>
    <t>mT5</t>
  </si>
  <si>
    <t>mT5: A Massively Multilingual Pre-trained Text-to-Text Transformer</t>
  </si>
  <si>
    <t>https://aclanthology.org/2021.naacl-main.41/</t>
  </si>
  <si>
    <t>ByT5</t>
  </si>
  <si>
    <t>ByT5: Towards a token-free future with pre-trained byte-to-byte models</t>
  </si>
  <si>
    <t>https://arxiv.org/abs/2105.13626</t>
  </si>
  <si>
    <t>T5</t>
  </si>
  <si>
    <t>J-1 Grande</t>
  </si>
  <si>
    <t>AI21</t>
  </si>
  <si>
    <t>https://studio.ai21.com/pricing</t>
  </si>
  <si>
    <t>https://www.reddit.com/r/GPT3/comments/ub7g19/7_new_large_language_models_released_in_the_last/</t>
  </si>
  <si>
    <t>mGPT</t>
  </si>
  <si>
    <t>Sber</t>
  </si>
  <si>
    <t>mGPT: Few-Shot Learners Go Multilingual</t>
  </si>
  <si>
    <t>https://arxiv.org/abs/2204.07580#</t>
  </si>
  <si>
    <t>Luminous</t>
  </si>
  <si>
    <t>Aleph Alpha</t>
  </si>
  <si>
    <t>https://www.aleph-alpha.com/research</t>
  </si>
  <si>
    <t>Noor</t>
  </si>
  <si>
    <t>Technology Innovation Institute</t>
  </si>
  <si>
    <t>https://www.tii.ae/news/technology-innovation-institute-announces-launch-noor-worlds-largest-arabic-nlp-model</t>
  </si>
  <si>
    <t>VLM-4</t>
  </si>
  <si>
    <t>LightOn</t>
  </si>
  <si>
    <t>https://lighton.ai/blog/lighton-publicly-launches-muse-an-api-to-vlm-4-large-language-models-trained-natively-in-five-european-languages/</t>
  </si>
  <si>
    <t>CodeGen</t>
  </si>
  <si>
    <t>https://blog.salesforceairesearch.com/codegen/</t>
  </si>
  <si>
    <t>PAGnol</t>
  </si>
  <si>
    <t>AI Sweden</t>
  </si>
  <si>
    <t>BlenderBot</t>
  </si>
  <si>
    <t>Lyra-fr</t>
  </si>
  <si>
    <t>Megatron 11B</t>
  </si>
  <si>
    <t>CPM-2.1</t>
  </si>
  <si>
    <t>Tsinhua University</t>
  </si>
  <si>
    <t>FairSeq Dense</t>
  </si>
  <si>
    <t>BigScience</t>
  </si>
  <si>
    <t>All the papers referenced in - The Computational Limits of Deep Learning</t>
  </si>
  <si>
    <t>IBM Research</t>
  </si>
  <si>
    <t>Stefano Ambrogio, Pritish Narayanan, Hsinyu Tsai, Robert M Shelby, Irem Boybat, Carmelo di Nolfo, Severin Sidler, Massimo Giordano, Martina Bodini, Nathan CP Farinha,</t>
  </si>
  <si>
    <t>Equivalent-accuracy accelerated neural-network training using analogue memory</t>
  </si>
  <si>
    <t>https://www.nature.com/articles/s41586-018-0180-5</t>
  </si>
  <si>
    <t>The Computational Limits of Deep Learning</t>
  </si>
  <si>
    <t>MIT-IBM Watson AI Lab, Queen's University, Kingston Canada</t>
  </si>
  <si>
    <t>Masataro Asai and Christian Muise</t>
  </si>
  <si>
    <t>Learning Neural-Symbolic Descriptive Planning Models via Cube-Space Priors: The Voyage Home (to STRIPS)</t>
  </si>
  <si>
    <t>https://arxiv.org/pdf/2004.12850.pdf</t>
  </si>
  <si>
    <t>AT&amp;T Labs, UC Berkeley, Northwestern University</t>
  </si>
  <si>
    <t>H. Wallach, H. Larochelle, A. Beygelz- imer, F. Alche ́-Buc, E. Fox, and R. Garnett</t>
  </si>
  <si>
    <t>Advances in Neural Information Processing Systems</t>
  </si>
  <si>
    <t>https://mitpress.mit.edu/books/advances-neural-information-processing-systems</t>
  </si>
  <si>
    <t>OSU, Columbia</t>
  </si>
  <si>
    <t>Mikhail Belkin, Daniel Hsu, Siyuan Ma, and Soumik Mandal</t>
  </si>
  <si>
    <t>Reconciling modern machine-learning practice and the classical bias–variance trade-off</t>
  </si>
  <si>
    <t>https://www.pnas.org/content/116/32/15849</t>
  </si>
  <si>
    <t>OSU</t>
  </si>
  <si>
    <t>Mikhail Belkin, Daniel J Hsu, and Partha Mitra</t>
  </si>
  <si>
    <t>Overfitting or perfect fitting? risk bounds for classification and regression rules that interpolate.</t>
  </si>
  <si>
    <t>https://arxiv.org/pdf/1806.05161.pdf</t>
  </si>
  <si>
    <t>OSU, MIT, CREST</t>
  </si>
  <si>
    <t>Mikhail Belkin, Alexander Rakhlin, and Alexandre B Tsybakov.</t>
  </si>
  <si>
    <t>Does data interpolation contradict statistical optimality?</t>
  </si>
  <si>
    <t>https://arxiv.org/pdf/1806.09471.pdf</t>
  </si>
  <si>
    <t>Parminder Bhatia, Busra Celikkaya, Mohammed Khalilia, and Selvan Senthivel</t>
  </si>
  <si>
    <t>Comprehend Medical: a Named Entity Recognition and Relationship Extraction Web Service</t>
  </si>
  <si>
    <t>https://arxiv.org/pdf/1910.07419.pdf</t>
  </si>
  <si>
    <t>various - Microsoft, Google, University of Edinburgh, etc.</t>
  </si>
  <si>
    <t>Findings of the 2014 Workshop on Statistical Machine Translation</t>
  </si>
  <si>
    <t>https://www.semanticscholar.org/paper/Findings-of-the-2014-Workshop-on-Statistical-Bojar-Buck/5ec85a0d88adcc4344bb5cc81b0d1aef9bcd8dcc</t>
  </si>
  <si>
    <t>FBK, KIT</t>
  </si>
  <si>
    <t>MauroCettolo,JanNiehues,SebastianStu ̈ker,LuisaBentivogli,andMarcelloFederico</t>
  </si>
  <si>
    <t>Report on the 11th iwslt evaluation campaign, iwslt 2014</t>
  </si>
  <si>
    <t>https://aclanthology.org/2014.iwslt-evaluation.1.pdf</t>
  </si>
  <si>
    <t>IBM Watson Research</t>
  </si>
  <si>
    <t>Chun-Fu Chen, Quanfu Fan, Neil Mallinar, Tom Sercu, and Rogerio Feris</t>
  </si>
  <si>
    <t>Big-Little Net: An Efficient Multi-Scale feature representation for Visual and Speech recognition</t>
  </si>
  <si>
    <t>https://arxiv.org/pdf/1807.03848.pdf</t>
  </si>
  <si>
    <t>Yu Cheng, Duo Wang, Pan Zhou, and Tao Zhang</t>
  </si>
  <si>
    <t>A survey of model compression and acceleration for deep neural networks</t>
  </si>
  <si>
    <t>https://arxiv.org/pdf/1710.09282.pdf</t>
  </si>
  <si>
    <t>MARCS&lt; Western Sydney University</t>
  </si>
  <si>
    <t>Gregory Cohen, Saeed Afshar, Jonathan Tapson, and Andre Van Schaik</t>
  </si>
  <si>
    <t>Emnist: Extending mnist to handwritten letters</t>
  </si>
  <si>
    <t>https://arxiv.org/pdf/1702.05373.pdf</t>
  </si>
  <si>
    <t>Linguistic Data Consortium</t>
  </si>
  <si>
    <t>Linguistic Data Consortium.</t>
  </si>
  <si>
    <t>2000 hub5 english evaluation speech ldc2002s09.</t>
  </si>
  <si>
    <t>https://catalog.ldc.upenn.edu/LDC2002T43</t>
  </si>
  <si>
    <t>Tesla P100 Performance Guide - HPC and Deep Learning Applica- tions.</t>
  </si>
  <si>
    <t>https://www.nvidia.com/en-us/data-center/tesla-p100/</t>
  </si>
  <si>
    <t>IBM Watson Research Center</t>
  </si>
  <si>
    <r>
      <rPr>
        <sz val="10"/>
        <color rgb="FF000000"/>
        <rFont val="Arial"/>
        <charset val="134"/>
      </rPr>
      <t>Andrew W Cross, Lev S Bishop, Sarah Sheldon, Paul D Nation, and Jay M Gambet</t>
    </r>
    <r>
      <rPr>
        <sz val="10"/>
        <color rgb="FF000000"/>
        <rFont val="Arial"/>
        <charset val="134"/>
      </rPr>
      <t>ta.</t>
    </r>
  </si>
  <si>
    <t>Validating quantum computers using randomized model circuits</t>
  </si>
  <si>
    <t>https://arxiv.org/pdf/1811.12926.pdf</t>
  </si>
  <si>
    <t>Andrew Danowitz, Kyle Kelley, James Mao, John P. Stevenson, and Mark Horowitz</t>
  </si>
  <si>
    <t>CPU DB: Recording microprocessor history</t>
  </si>
  <si>
    <t>https://dl.acm.org/doi/10.1145/2181796.2181798</t>
  </si>
  <si>
    <t>Univeristy of Edinburgh</t>
  </si>
  <si>
    <t>Luke N Darlow, Elliot J Crowley, Antreas Antoniou, and Amos J Storkey</t>
  </si>
  <si>
    <t>Cinic-10 is not imagenet or cifar-10.</t>
  </si>
  <si>
    <t>https://arxiv.org/pdf/1810.03505.pdf</t>
  </si>
  <si>
    <t>Intel</t>
  </si>
  <si>
    <t>Mike Davies</t>
  </si>
  <si>
    <t>Progress in neuromorphic computing: Drawing inspiration from nature for gains in ai and computing.</t>
  </si>
  <si>
    <t>https://ieeexplore.ieee.org/document/8804672/authors#authors</t>
  </si>
  <si>
    <t>J. Deng, W. Dong, R. Socher, L.-J. Li, K. Li, and L. Fei-Fei</t>
  </si>
  <si>
    <t>ImageNet: A Large-Scale Hierarchical Image Database.</t>
  </si>
  <si>
    <t>https://ieeexplore.ieee.org/document/5206848</t>
  </si>
  <si>
    <t>360 AI Insititute, NUS Singapore, CAI Sydney</t>
  </si>
  <si>
    <t>Xuanyi Dong, Junshi Huang, Yi Yang, and Shuicheng Yan</t>
  </si>
  <si>
    <t>More is less: A more complicated network with less inference complexity.</t>
  </si>
  <si>
    <t>https://arxiv.org/pdf/1703.08651.pdf</t>
  </si>
  <si>
    <t>Google DeepMind, London</t>
  </si>
  <si>
    <t>SM Ali Eslami, Nicolas Heess, Theophane Weber, Yuval Tassa, David Szepesvari, Geof- frey E Hinton, et al</t>
  </si>
  <si>
    <t>Attend, Infer, Repeat:Fast Scene Understanding with Generative Models</t>
  </si>
  <si>
    <t>https://arxiv.org/pdf/1603.08575.pdf</t>
  </si>
  <si>
    <t>Institute for Adaptive and Neural Computation</t>
  </si>
  <si>
    <t>Mark Everingham and John Winn</t>
  </si>
  <si>
    <t>The pascal visual object classes challenge 2012 (voc2012) development kit.</t>
  </si>
  <si>
    <t>https://homepages.inf.ed.ac.uk/ckiw/postscript/ijcv_voc09.pdf</t>
  </si>
  <si>
    <t>CalTech, University of Oxford</t>
  </si>
  <si>
    <t>Li Fei-Fei, R Fergus, and P Perona.</t>
  </si>
  <si>
    <t>A Bayesian Approach to Unsupervised One-Shot Learning of Object Categories</t>
  </si>
  <si>
    <t>http://vision.stanford.edu/documents/Fei-Fei_ICCV03.pdf</t>
  </si>
  <si>
    <t>Berkeley AI Research</t>
  </si>
  <si>
    <t>Chelsea Finn, Pieter Abbeel, and Sergey Levine</t>
  </si>
  <si>
    <t>Model-agnostic meta-learning for fast adaptation of deep networks.</t>
  </si>
  <si>
    <t>https://arxiv.org/pdf/1703.03400.pdf</t>
  </si>
  <si>
    <t>IBM research</t>
  </si>
  <si>
    <t>J Gambetta and S Sheldon</t>
  </si>
  <si>
    <t>Cramming more power into a quantum device.</t>
  </si>
  <si>
    <t>https://www.ibm.com/blogs/research/2019/03/power-quantum-device/</t>
  </si>
  <si>
    <t>Google DeepMind, University of Toronto</t>
  </si>
  <si>
    <t>Alex Graves, Navdeep Jaitly</t>
  </si>
  <si>
    <t>Towards end-to-end speech recognition with recurrent neural networks</t>
  </si>
  <si>
    <t>https://proceedings.mlr.press/v32/graves14.html</t>
  </si>
  <si>
    <t>CalTech</t>
  </si>
  <si>
    <t>Gregory Griffin, Alex Holub, and Pietro Perona</t>
  </si>
  <si>
    <t>Caltech-256 object category dataset</t>
  </si>
  <si>
    <t>https://authors.library.caltech.edu/7694/1/CNS-TR-2007-001.pdf</t>
  </si>
  <si>
    <t>Stanford Univeristy, Tsinghua University</t>
  </si>
  <si>
    <t>Song Han, Huizi Mao, and William J Dally</t>
  </si>
  <si>
    <t>Deep compression: Compressing deep neural networks with pruning, trained quantization and huffman coding.</t>
  </si>
  <si>
    <t>https://arxiv.org/pdf/1510.00149.pdf</t>
  </si>
  <si>
    <t>UCLA</t>
  </si>
  <si>
    <t>Tong He and Stefano Soatto</t>
  </si>
  <si>
    <t>Mono3d+: Monocular 3d vehicle detection with two-scale 3d hypotheses and task priors</t>
  </si>
  <si>
    <t>https://arxiv.org/pdf/1901.03446.pdf</t>
  </si>
  <si>
    <t>Stanford, UC Berkeley</t>
  </si>
  <si>
    <t>JohnL.HennessyandDavidA.Patterson</t>
  </si>
  <si>
    <t>Computer Architecture : A Quantitative Approach</t>
  </si>
  <si>
    <t>http://acs.pub.ro/~cpop/SMPA/Computer%20Architecture%20A%20Quantitative%20Approach%20(5th%20edition).pdf</t>
  </si>
  <si>
    <t>Danny Hernandez and Tom Brown</t>
  </si>
  <si>
    <t>Ai and efficiency</t>
  </si>
  <si>
    <t>Israel Institute of Tech, University of Montreal, Columbia Univeristy, CIFAR Senior Fellow</t>
  </si>
  <si>
    <t>Itay Hubara, Matthieu Courbariaux, Daniel Soudry, Ran El-Yaniv, and Yoshua Bengio</t>
  </si>
  <si>
    <t>Binarized Neural Networks</t>
  </si>
  <si>
    <t>https://papers.nips.cc/paper/2016/file/d8330f857a17c53d217014ee776bfd50-Paper.pdf</t>
  </si>
  <si>
    <t>Frederick Jelenick</t>
  </si>
  <si>
    <t>Continuous speech recognition by statistical methods</t>
  </si>
  <si>
    <t>https://ieeexplore.ieee.org/document/1454428</t>
  </si>
  <si>
    <t>W Kim, RL Bruce, T Masuda, GW Fraczak, N Gong, P Adusumilli, S Ambrogio, H Tsai, J Bruley, J-P Han, et al</t>
  </si>
  <si>
    <t>Confined pcm-based analog synaptic devices offering low resistance- drift and 1000 programmable states for deep learning.</t>
  </si>
  <si>
    <t>https://ieeexplore.ieee.org/document/8776551</t>
  </si>
  <si>
    <t>Stanford, Max Planck Institute of Informatics</t>
  </si>
  <si>
    <t>Jonathan Krause, Jia Deng, Michael Stark, and Li Fei-Fei</t>
  </si>
  <si>
    <t>Collecting a large-scale dataset of fine-grained cars.</t>
  </si>
  <si>
    <t>https://ai.stanford.edu/~jkrause/papers/fgvc13.pdf</t>
  </si>
  <si>
    <t>Alex Krizhevsky and Geoff Hinton.</t>
  </si>
  <si>
    <t>Convolutional deep belief networks on cifar-10.</t>
  </si>
  <si>
    <t>https://www.cs.toronto.edu/~kriz/conv-cifar10-aug2010.pdf</t>
  </si>
  <si>
    <t>Alex Krizhevsky and Geoffrey Hinton</t>
  </si>
  <si>
    <t>Learning multiple layers of features from tiny images.</t>
  </si>
  <si>
    <t>https://www.cs.toronto.edu/~kriz/learning-features-2009-TR.pdf</t>
  </si>
  <si>
    <t>AlexKrizhevsky,VinodNair,andGeoffreyHinton</t>
  </si>
  <si>
    <t>CIFAR- 10 dataset</t>
  </si>
  <si>
    <t>https://www.cs.toronto.edu/~kriz/cifar.html</t>
  </si>
  <si>
    <t>Tallinn University of Technology</t>
  </si>
  <si>
    <t>Karin Kruup</t>
  </si>
  <si>
    <t>Clearing the buzzwords in machine learning</t>
  </si>
  <si>
    <t>https://medium.com/datamob/clearing-the-buzzwords-in-machine-learning-e395ad73178b</t>
  </si>
  <si>
    <t>Centre of Open Data in Humanities, Google Brain, MILA, Royal Grammar School</t>
  </si>
  <si>
    <t>Alex Lamb, Asanobu Kitamoto, David Ha, Kazuaki Yamamoto, Mikel Bober-Irizar, and Tarin Clanuwat.</t>
  </si>
  <si>
    <t>Deep learning for classical japanese literature.</t>
  </si>
  <si>
    <t>https://arxiv.org/pdf/1812.01718.pdf</t>
  </si>
  <si>
    <t>NYU, Google Labs, Microsoft research</t>
  </si>
  <si>
    <t>Yann LeCun, Corinna Cortes, and Christopher JC Burges.</t>
  </si>
  <si>
    <t>The mnist database of handwritten digits, 1998.</t>
  </si>
  <si>
    <t xml:space="preserve">MIT, Microsoft, NVIDIA, </t>
  </si>
  <si>
    <t>Charles E. Leiserson, Neil C. Thompson, Joel Emer, Bradley C. Kuszmaul, Butler W. Lampson, Daniel Sanchez, and Tao B. Schardl</t>
  </si>
  <si>
    <t>Theres plenty of room at the top: What will drive growth in computer performance after moores law ends?</t>
  </si>
  <si>
    <t>https://pubmed.ncbi.nlm.nih.gov/32499413/</t>
  </si>
  <si>
    <t>Microsoft, Cornell, Caltech, UC Irvine</t>
  </si>
  <si>
    <t>Tsung-Yi Lin, Michael Maire, Serge Belongie, James Hays, Pietro Perona, Deva Ramanan, Piotr Dolla ́r, and C Lawrence Zitnick</t>
  </si>
  <si>
    <t>Microsoft coco: Common objects in context.</t>
  </si>
  <si>
    <t>https://arxiv.org/pdf/1405.0312.pdf</t>
  </si>
  <si>
    <t>Xing Lin, Yair Rivenson, Nezih T Yardimci, Muhammed Veli, Yi Luo, Mona Jarrahi, and Aydogan Ozcan</t>
  </si>
  <si>
    <t>All-optical machine learning using diffractive deep neural networks.</t>
  </si>
  <si>
    <t>https://arxiv.org/pdf/1804.08711.pdf</t>
  </si>
  <si>
    <t>IRISA</t>
  </si>
  <si>
    <t>Yuanqing Lin, Fengjun Lv, Shenghuo Zhu, Ming Yang, Timothee Cour, Kai Yu, Liangliang Cao, and Thomas Huang.</t>
  </si>
  <si>
    <t>Large-scale image classification: Fast feature extraction and svm training.</t>
  </si>
  <si>
    <t>https://link.springer.com/chapter/10.1007/978-3-319-02999-3_9</t>
  </si>
  <si>
    <t>Mingsheng Long, Han Zhu, Jianmin Wang, and Michael I Jordan</t>
  </si>
  <si>
    <t>Deep transfer learning with joint adaptation networks.</t>
  </si>
  <si>
    <t>https://arxiv.org/pdf/1605.06636.pdf</t>
  </si>
  <si>
    <t>Univeristy of British Columbia</t>
  </si>
  <si>
    <t>David G Lowe.</t>
  </si>
  <si>
    <t>Distinctive image features from scale-invariant keypoints.</t>
  </si>
  <si>
    <t>https://www.cs.ubc.ca/~lowe/papers/ijcv04.pdf</t>
  </si>
  <si>
    <t xml:space="preserve">DeepMind, MIT, </t>
  </si>
  <si>
    <t>Jiayuan Mao, Chuang Gan, Pushmeet Kohli, Joshua B Tenenbaum, and Jiajun Wu.</t>
  </si>
  <si>
    <t>The neuro-symbolic concept learner: Interpreting scenes, words, and sentences from natural supervision.</t>
  </si>
  <si>
    <t>https://arxiv.org/pdf/1904.12584.pdf</t>
  </si>
  <si>
    <t>Oxford, UC Berkeley</t>
  </si>
  <si>
    <t>Nicolai Meinshausen and Bin Yu.</t>
  </si>
  <si>
    <t>Lasso-type recovery of sparse representations for high- dimensional data.</t>
  </si>
  <si>
    <t>https://arxiv.org/pdf/0806.0145.pdf</t>
  </si>
  <si>
    <t>Marvin Minsky and Seymour Papert</t>
  </si>
  <si>
    <t>Perceptrons: An Introduction to Computational Geometry.</t>
  </si>
  <si>
    <t>https://mitpress.mit.edu/books/perceptrons</t>
  </si>
  <si>
    <t>Yuval Netzer, Tao Wang, Adam Coates, Alessandro Bissacco, Bo Wu, and A Ng</t>
  </si>
  <si>
    <t>The street view house numbers (svhn) dataset</t>
  </si>
  <si>
    <t>http://ufldl.stanford.edu/housenumbers/</t>
  </si>
  <si>
    <t>Google Brain, Microsoft AI Research, University of Cambridge</t>
  </si>
  <si>
    <t>Roman Novak, Lechao Xiao, Jaehoon Lee, Yasaman Bahri, Greg Yang, Jiri Hron, Daniel A. Abolafia, Jeffrey Pennington, and Jascha Sohl-Dickstein.</t>
  </si>
  <si>
    <t>Bayesian deep convolutional networks with many channels are gaussian processes</t>
  </si>
  <si>
    <t>https://arxiv.org/pdf/1810.05148.pdf</t>
  </si>
  <si>
    <t>Xerox Research</t>
  </si>
  <si>
    <t>Florent Perronnin and Christopher Dance</t>
  </si>
  <si>
    <t>Fisher kernels on visual vocabularies for image categorization.</t>
  </si>
  <si>
    <t>https://citeseerx.ist.psu.edu/viewdoc/download?doi=10.1.1.71.7388&amp;rep=rep1&amp;type=pdf</t>
  </si>
  <si>
    <t>CMU, Stanford, Google Brain</t>
  </si>
  <si>
    <t>Hieu Pham, Melody Guan, Barret Zoph, Quoc Le, and Jeff Dean</t>
  </si>
  <si>
    <t>Efficient neural architecture search via parameters sharing</t>
  </si>
  <si>
    <t>https://arxiv.org/pdf/1802.03268.pdf</t>
  </si>
  <si>
    <t>PSL Research University</t>
  </si>
  <si>
    <t xml:space="preserve"> Loucas Pillaud-Vivien, Alessandro Rudi, and Francis Bach</t>
  </si>
  <si>
    <t>Statistical optimality of stochastic gradient descent on hard learning problems through multiple passes</t>
  </si>
  <si>
    <t>https://arxiv.org/pdf/1805.10074.pdf</t>
  </si>
  <si>
    <t>Oak Ridge National Laboratory, USC, University of Tennessee</t>
  </si>
  <si>
    <t>Thomas E Potok, Catherine Schuman, Steven Young, Robert Patton, Federico Spedalieri, Jeremy Liu, Ke-Thia Yao, Garrett Rose, and Gangotree Chakma</t>
  </si>
  <si>
    <t>A study of complex deep learning networks on high-performance, neuromorphic, and quantum computers</t>
  </si>
  <si>
    <t>https://arxiv.org/pdf/1703.05364.pdf</t>
  </si>
  <si>
    <t>Pranav Rajpurkar, Jian Zhang, Konstantin Lopyrev, and Percy Liang</t>
  </si>
  <si>
    <t>Squad: 100,000+ questions for machine comprehension of text.</t>
  </si>
  <si>
    <t>https://arxiv.org/pdf/1606.05250.pdf</t>
  </si>
  <si>
    <t>Benjamin Recht, Rebecca Roelofs, Ludwig Schmidt, and Vaishaal Shankar</t>
  </si>
  <si>
    <t>Do imagenet classifiers generalize to imagenet?</t>
  </si>
  <si>
    <t>https://arxiv.org/pdf/1902.10811.pdf</t>
  </si>
  <si>
    <t>Cornell</t>
  </si>
  <si>
    <t>Frank Rosenblatt</t>
  </si>
  <si>
    <t>Perceptron simulation experiments.</t>
  </si>
  <si>
    <t>https://www.semanticscholar.org/paper/Perceptron-Simulation-Experiments-Rosenblatt/ae76ce1ba27ac29addce4aab93b927e9bc7f7c67</t>
  </si>
  <si>
    <t>Stanford, UMich, UNC, MIT</t>
  </si>
  <si>
    <t>Olga Russakovsky, Jia Deng, Hao Su, Jonathan Krause, Sanjeev Satheesh, Sean Ma, Zhiheng Huang, Andrej Karpathy, Aditya Khosla, Michael Bernstein, Alexander Berg, and Li Fei-Fei</t>
  </si>
  <si>
    <t>Imagenet large scale visual recognition challenge</t>
  </si>
  <si>
    <t>https://arxiv.org/pdf/1409.0575.pdf</t>
  </si>
  <si>
    <t>Yash Sherry and Neil Thompson</t>
  </si>
  <si>
    <t>How fast do algorithms improve?</t>
  </si>
  <si>
    <t>https://ieeexplore.ieee.org/document/9540991</t>
  </si>
  <si>
    <t>Google Brain,</t>
  </si>
  <si>
    <t>David So, Quoc Le, and Chen Liang</t>
  </si>
  <si>
    <t>The evolved transformer</t>
  </si>
  <si>
    <t>https://arxiv.org/pdf/1901.11117.pdf</t>
  </si>
  <si>
    <t>USC, Princeton</t>
  </si>
  <si>
    <t>Mahdi Soltanolkotabi, Adel Javanmard, and Jason D Lee</t>
  </si>
  <si>
    <t>Theoretical insights into the optimization landscape of over-parameterized shallow neural networks.</t>
  </si>
  <si>
    <t>https://arxiv.org/pdf/1707.04926.pdf</t>
  </si>
  <si>
    <t>University of Massachusetts Amherst</t>
  </si>
  <si>
    <t>Emma Strubell, Ananya Ganesh, and Andrew McCallum</t>
  </si>
  <si>
    <t>Energy and policy considerations for deep learning in nlp</t>
  </si>
  <si>
    <t>https://arxiv.org/pdf/1906.02243.pdf</t>
  </si>
  <si>
    <t>Neil Thompson, Shuning Ge, and Gabriel Filipe</t>
  </si>
  <si>
    <t>Neil Thompson and Svenja Spanuth</t>
  </si>
  <si>
    <t>The decline of computers as a general purpose technology: Why deep learning and the end of moores law are fragmenting computing</t>
  </si>
  <si>
    <t>https://papers.ssrn.com/sol3/papers.cfm?abstract_id=3287769</t>
  </si>
  <si>
    <t>Robert Tibshirani</t>
  </si>
  <si>
    <t>Regression shrinkage and selection via the lasso</t>
  </si>
  <si>
    <t>https://www.jstor.org/stable/2346178</t>
  </si>
  <si>
    <t>Vasileios Tzoumas, Pasquale Antonante, and Luca Carlone</t>
  </si>
  <si>
    <t>Outlier-robust spatial percep- tion: Hardness, general-purpose algorithms, and guarantees</t>
  </si>
  <si>
    <t>https://arxiv.org/pdf/1903.11683.pdf</t>
  </si>
  <si>
    <t>MIT, Minds and Machines, Theiss Research</t>
  </si>
  <si>
    <t>Silviu-Marian Udrescu and Max Tegmark</t>
  </si>
  <si>
    <t>Ai feynman: A physics-inspired method for symbolic regression</t>
  </si>
  <si>
    <t>https://arxiv.org/pdf/1905.11481.pdf</t>
  </si>
  <si>
    <t>CalTech, Google, Cornell, iNaturalist</t>
  </si>
  <si>
    <t>Grant Van Horn, Oisin Mac Aodha, Yang Song, Yin Cui, Chen Sun, Alex Shepard, Hartwig Adam, Pietro Perona, and Serge Belongie</t>
  </si>
  <si>
    <t>The inaturalist species classification and detection dataset.</t>
  </si>
  <si>
    <t>https://arxiv.org/pdf/1707.06642.pdf</t>
  </si>
  <si>
    <t>NEC Laboratories, UI Urbana-Champaign, Akiira Media system</t>
  </si>
  <si>
    <t>Jinjun Wang, Jianchao Yang, Kai Yu, Fengjun Lv, Thomas Huang, and Yihong Gong</t>
  </si>
  <si>
    <t>Locality-constrained linear coding for image classification</t>
  </si>
  <si>
    <t>http://people.ee.duke.edu/~lcarin/cvpr2010_0618.pdf</t>
  </si>
  <si>
    <t>J Welser, JW Pitera, and C Goldberg</t>
  </si>
  <si>
    <t>Future computing hardware for ai</t>
  </si>
  <si>
    <t>https://ieeexplore.ieee.org/document/8614482</t>
  </si>
  <si>
    <t>University of Pittsburgh, HP Labs, Duke</t>
  </si>
  <si>
    <t>Wei Wen, Cong Xu, Chunpeng Wu, Yandan Wang, Yiran Chen, and Hai Li</t>
  </si>
  <si>
    <t>Coordinating filters for faster deep neural networks</t>
  </si>
  <si>
    <t>https://arxiv.org/pdf/1703.09746.pdf</t>
  </si>
  <si>
    <t>Shanghai Jiao Tong University, MIT</t>
  </si>
  <si>
    <t>Zhanghao Wu, Zhijian Liu, Ji Lin, Yujun Lin, and Song Han</t>
  </si>
  <si>
    <t>Lite transformer with long- short range attention</t>
  </si>
  <si>
    <t>https://arxiv.org/pdf/2004.11886.pdf</t>
  </si>
  <si>
    <t>Zalondo Research</t>
  </si>
  <si>
    <t>Han Xiao, Kashif Rasul, and Roland Vollgraf</t>
  </si>
  <si>
    <t>Fashion-mnist: a novel image dataset for benchmarking machine learning algorithms</t>
  </si>
  <si>
    <t>https://arxiv.org/pdf/1708.07747.pdf</t>
  </si>
  <si>
    <t>Harvard, MIT, DeepMind</t>
  </si>
  <si>
    <t>KexinYi,JiajunWu,ChuangGan,AntonioTorralba,PushmeetKohli,andJoshTenenbaum</t>
  </si>
  <si>
    <t>Neural-symbolic vqa: Disentangling reasoning from vision and language understanding</t>
  </si>
  <si>
    <t>https://arxiv.org/pdf/1810.02338.pdf</t>
  </si>
  <si>
    <t>UIUC, Rutgers, NEC Laboratories</t>
  </si>
  <si>
    <t>Xi Zhou, Kai Yu, Tong Zhang, and Thomas S Huang</t>
  </si>
  <si>
    <t>Image classification using super- vector coding of local image descriptors.</t>
  </si>
  <si>
    <t>http://tongzhang-ml.org/papers/eccv10_supervect.pdf</t>
  </si>
  <si>
    <t xml:space="preserve">All the papers referenced in Scaling Vision Transformers - </t>
  </si>
  <si>
    <t>https://arxiv.org/pdf/2106.04560v1.pdf</t>
  </si>
  <si>
    <t>Irwan Bello, William Fedus, Xianzhi Du, Ekin D Cubuk, Aravind Srinivas, Tsung-Yi Lin, Jonathon Shlens, and Barret Zoph</t>
  </si>
  <si>
    <t>Revisiting resnets: Improved training and scaling strategies</t>
  </si>
  <si>
    <t>https://arxiv.org/pdf/2103.07579.pdf</t>
  </si>
  <si>
    <t>Google Brain, DeepMind</t>
  </si>
  <si>
    <t>Lucas Beyer, Olivier J. Hénaff, Alexander Kolesnikov, Xiaohua Zhai, and Aäron van den Oord</t>
  </si>
  <si>
    <t>Are we done with imagenet?</t>
  </si>
  <si>
    <t>https://arxiv.org/pdf/2006.07159.pdf</t>
  </si>
  <si>
    <t>Nicolas Carion, Francisco Massa, Gabriel Synnaeve, Nicolas Usunier, Alexander Kirillov, and Sergey Zagoruyko</t>
  </si>
  <si>
    <t>End-to-end object detection with transformers</t>
  </si>
  <si>
    <t>https://arxiv.org/pdf/2005.12872.pdf</t>
  </si>
  <si>
    <t>EPFL</t>
  </si>
  <si>
    <t>Jean-Baptiste Cordonnier, Andreas Loukas, and Martin Jaggi</t>
  </si>
  <si>
    <t>On the relationship between self-attention and convolutional layers</t>
  </si>
  <si>
    <t>https://arxiv.org/pdf/1911.03584.pdf</t>
  </si>
  <si>
    <t>AT&amp;T Bell Labs</t>
  </si>
  <si>
    <t>Corinna Cortes and Vladimir Vapnik.</t>
  </si>
  <si>
    <t>Support vector networks</t>
  </si>
  <si>
    <t>DeepMind, Imperial college</t>
  </si>
  <si>
    <t>Jean-BastienGrill,FlorianStrub,FlorentAltché,CorentinTallec,PierreH.Richemond,ElenaBuchatskaya, Carl Doersch, Bernardo Avila Pires, Zhaohan Daniel Guo, Mohammad Gheshlaghi Azar, Bilal Piot, Koray Kavukcuoglu, Rémi Munos, and Michal Valko</t>
  </si>
  <si>
    <t>Bootstrap your own latent: A new approach to self- supervised learning</t>
  </si>
  <si>
    <t>https://arxiv.org/pdf/2006.07733.pdf</t>
  </si>
  <si>
    <t>Tom Henighan, Jared Kaplan, Mor Katz, Mark Chen, Christopher Hesse, Jacob Jackson, Heewoo Jun, Tom B Brown, Prafulla Dhariwal, Scott Gray, et al</t>
  </si>
  <si>
    <t>Scaling laws for autoregressive generative modeling.</t>
  </si>
  <si>
    <t>https://arxiv.org/pdf/2010.14701.pdf</t>
  </si>
  <si>
    <t>Open AI, Johns Hopkins Univeristy</t>
  </si>
  <si>
    <t>JaredKaplan,SamMcCandlish,TomHenighan,TomBBrown,BenjaminChess,RewonChild,ScottGray, Alec Radford, Jeffrey Wu, and Dario Amodei.</t>
  </si>
  <si>
    <t>Scaling laws for neural language models.</t>
  </si>
  <si>
    <t>https://arxiv.org/pdf/2001.08361.pdf</t>
  </si>
  <si>
    <t>Google research, Brain team</t>
  </si>
  <si>
    <t>AlexanderKolesnikov,LucasBeyer,XiaohuaZhai,J.Puigcerver,JessicaYung,S.Gelly,andN.Houlsby.</t>
  </si>
  <si>
    <t>Big Transfer (BiT): General Visual Representation Learning.</t>
  </si>
  <si>
    <t>https://arxiv.org/pdf/1912.11370.pdf</t>
  </si>
  <si>
    <t>AITrics</t>
  </si>
  <si>
    <t>JuhoLee,YoonhoLee,JungtaekKim,AdamKosiorek,SeungjinChoi,andYeeWhyeTeh</t>
  </si>
  <si>
    <t>Settransformer:A framework for attention-based permutation-invariant neural networks</t>
  </si>
  <si>
    <t>https://arxiv.org/pdf/1810.00825.pdf</t>
  </si>
  <si>
    <t>DmitryLepikhin,HyoukJoongLee,YuanzhongXu,DehaoChen,OrhanFirat,YanpingHuang,Maxim Krikun, Noam Shazeer, and Zhifeng Chen.</t>
  </si>
  <si>
    <t>Gshard: Scaling giant models with conditional computation and automatic sharding.</t>
  </si>
  <si>
    <t>https://arxiv.org/pdf/2006.16668.pdf</t>
  </si>
  <si>
    <t>Univ of Oxford</t>
  </si>
  <si>
    <t>Omkar M. Parkhi, Andrea Vedaldi, Andrew Zisserman, and C. V. Jawahar.</t>
  </si>
  <si>
    <t>Cats and Dogs</t>
  </si>
  <si>
    <t>https://www.robots.ox.ac.uk/~vgg/publications/2012/parkhi12a/</t>
  </si>
  <si>
    <t>Google Scholar</t>
  </si>
  <si>
    <t>B. T. Polyak and A. B. Juditsky</t>
  </si>
  <si>
    <t>Acceleration of stochastic approximation by averaging</t>
  </si>
  <si>
    <t>https://epubs.siam.org/doi/10.1137/0330046</t>
  </si>
  <si>
    <t>Noam Shazeer and Mitchell Stern</t>
  </si>
  <si>
    <t>Adafactor: Adaptive learning rates with sublinear memory cost.</t>
  </si>
  <si>
    <t>https://arxiv.org/pdf/1804.04235.pdf</t>
  </si>
  <si>
    <t>UC Berkeley, Google Research</t>
  </si>
  <si>
    <t>Aravind Srinivas, Tsung-Yi Lin, Niki Parmar, Jonathon Shlens, Pieter Abbeel, and Ashish Vaswani</t>
  </si>
  <si>
    <t>Bottleneck transformers for visual recognition</t>
  </si>
  <si>
    <t>https://arxiv.org/pdf/2101.11605.pdf</t>
  </si>
  <si>
    <t>Facebook AI, Sorbonne University</t>
  </si>
  <si>
    <t>Hugo Touvron, Matthieu Cord, Matthijs Douze, Francisco Massa, Alexandre Sablayrolles, and Hervé Jégou.</t>
  </si>
  <si>
    <t>Training data-efficient image transformers &amp; distillation through attention</t>
  </si>
  <si>
    <t>https://arxiv.org/pdf/2012.12877.pdf</t>
  </si>
  <si>
    <t>Google Research, UC Berkeley</t>
  </si>
  <si>
    <t>Ashish Vaswani, Prajit Ramachandran, Aravind Srinivas, Niki Parmar, Blake Hechtman, and Jonathon Shlens.</t>
  </si>
  <si>
    <t>Scaling local self-attention for parameter efficient visual backbones.</t>
  </si>
  <si>
    <t>https://arxiv.org/pdf/2103.12731.pdf</t>
  </si>
  <si>
    <t>Nanjing Univeristy, Univerisity of Hong Kong, IIAI</t>
  </si>
  <si>
    <t>Wenhai Wang, Enze Xie, Xiang Li, Deng-Ping Fan, Kaitao Song, Ding Liang, Tong Lu, Ping Luo, and Ling Shao.</t>
  </si>
  <si>
    <t>Pyramid vision transformer: A versatile backbone for dense prediction without convolutions.</t>
  </si>
  <si>
    <t>https://arxiv.org/pdf/2102.12122.pdf</t>
  </si>
  <si>
    <t>P. Welinder, S. Branson, T. Mita, C. Wah, F. Schroff, S. Belongie, and P. Perona</t>
  </si>
  <si>
    <t>Caltech-UCSD Birds 200. Technical Report CNS-TR-2010-001</t>
  </si>
  <si>
    <t>http://www.vision.caltech.edu/visipedia/CUB-200.html</t>
  </si>
  <si>
    <t>NUS Singapore, YITU Technology</t>
  </si>
  <si>
    <t>Li Yuan, Yunpeng Chen, Tao Wang, Weihao Yu, Yujun Shi, Zihang Jiang, Francis EH Tay, Jiashi Feng, and Shuicheng Yan.</t>
  </si>
  <si>
    <t>Tokens-to-token vit: Training vision transformers from scratch on imagenet.</t>
  </si>
  <si>
    <t>https://arxiv.org/pdf/2101.11986.pdf</t>
  </si>
  <si>
    <t>Goolge research, Brain team</t>
  </si>
  <si>
    <t>XiaohuaZhai,AvitalOliver,AlexanderKolesnikov,andLucasBeyer</t>
  </si>
  <si>
    <t>S4L: Self- supervised Semi- supervised Learning</t>
  </si>
  <si>
    <t>https://arxiv.org/pdf/1905.03670.pdf</t>
  </si>
  <si>
    <t>Xiaohua Zhai, Joan Puigcerver, Alexander Kolesnikov, Pierre Ruyssen, Carlos Riquelme, Mario Lu- cic, Josip Djolonga, Andre Susano Pinto, Maxim Neumann, Alexey Dosovitskiy, Lucas Beyer, Olivier Bachem, Michael Tschannen, Marcin Michalski, Olivier Bousquet, Sylvain Gelly, and Neil Houlsby.</t>
  </si>
  <si>
    <t>A large-scale study of representation learning with the visual task adaptation benchmark.</t>
  </si>
  <si>
    <t>https://arxiv.org/pdf/1910.04867.pdf</t>
  </si>
  <si>
    <t xml:space="preserve">All the papers references in </t>
  </si>
  <si>
    <t>Very Deep Transformers for Neural Machine Translation</t>
  </si>
  <si>
    <t>https://arxiv.org/pdf/2008.07772v2.pdf</t>
  </si>
  <si>
    <t>Microsoft Research, CMU</t>
  </si>
  <si>
    <t>Zeyuan Allen-Zhu and Yuanzhi Li</t>
  </si>
  <si>
    <t>Backward feature correction: How deep learning performs deep learning.</t>
  </si>
  <si>
    <t>https://arxiv.org/pdf/2001.04413.pdf</t>
  </si>
  <si>
    <t>Ankur Bapna, Mia Xu Chen, Orhan Firat, Yuan Cao, and Yonghui Wu</t>
  </si>
  <si>
    <t>Training deeper neural machine translation models with transparent attention.</t>
  </si>
  <si>
    <t>https://arxiv.org/pdf/1808.07561.pdf</t>
  </si>
  <si>
    <t>Rachel Bawden, Nikolay Bogoychev, Ulrich Germann, Roman Grundkiewicz, Faheem Kirefu, Antonio Va- lerio Miceli Barone, and Alexandra Birch.</t>
  </si>
  <si>
    <t>The university of edinburgh submissions to the wmt19 news translation task</t>
  </si>
  <si>
    <t>https://aclanthology.org/W19-5304.pdf</t>
  </si>
  <si>
    <t>MIT, Harvard</t>
  </si>
  <si>
    <t>Yonatan Belinkov and James Glass</t>
  </si>
  <si>
    <t>Analysis Methods in Neural Language Processing: A Survey</t>
  </si>
  <si>
    <t>https://arxiv.org/pdf/1812.08951.pdf</t>
  </si>
  <si>
    <t>Mia Xu Chen, Orhan Firat, Ankur Bapna, Melvin John- son, George Foster, Llion Jones, Mike Schuster, Noam Shazeer, Niki Parmar, Ashish Vaswani, Jakob Uszkoreit, Lukasz Kaiser, Zhifeng Chen, Yonghui Wu, and Macduff Hughes</t>
  </si>
  <si>
    <t>The best of both worlds: Combining recent advances in neural ma- chine translation</t>
  </si>
  <si>
    <t>https://arxiv.org/pdf/1804.09849.pdf</t>
  </si>
  <si>
    <t>Yong Cheng, Lu Jiang, and Wolfgang Macherey</t>
  </si>
  <si>
    <t>Robust neural machine translation with doubly ad- versarial inputs.</t>
  </si>
  <si>
    <t>https://arxiv.org/pdf/1906.02443.pdf</t>
  </si>
  <si>
    <t>CMU</t>
  </si>
  <si>
    <t>Jonathan H Clark, Chris Dyer, Alon Lavie, and Noah A Smith.</t>
  </si>
  <si>
    <t>Better hypothesis testing for statistical machine translation: Controlling for optimizer insta- bility</t>
  </si>
  <si>
    <t>https://dl.acm.org/doi/pdf/10.5555/2002736.2002774</t>
  </si>
  <si>
    <t>Alexis Conneau, Holger Schwenk, Loïc Barrault, and Yann Lecun</t>
  </si>
  <si>
    <t>Very deep convolutional networks for text classification</t>
  </si>
  <si>
    <t>https://arxiv.org/pdf/1606.01781.pdf</t>
  </si>
  <si>
    <t>Tobias Domhan</t>
  </si>
  <si>
    <t>How much attention do you need? a granular analysis of neural machine translation architectures.</t>
  </si>
  <si>
    <t>https://aclanthology.org/P18-1167.pdf</t>
  </si>
  <si>
    <t>Facebook AI Research, Google Brain</t>
  </si>
  <si>
    <t>Sergey Edunov, Myle Ott, Michael Auli, and David Grangier</t>
  </si>
  <si>
    <t>Understanding back-translation at scale.</t>
  </si>
  <si>
    <t>https://arxiv.org/pdf/1808.09381.pdf</t>
  </si>
  <si>
    <t>Jonas Gehring, Michael Auli, David Grangier, Denis Yarats, and Yann N. Dauphin.</t>
  </si>
  <si>
    <t>Convolutional sequence to sequence learning.</t>
  </si>
  <si>
    <t>https://arxiv.org/pdf/1705.03122.pdf</t>
  </si>
  <si>
    <t>Microsoft Research, CAS Lab</t>
  </si>
  <si>
    <t>Tianyu He, Xu Tan, Yingce Xia, Di He, Tao Qin, Zhibo Chen, and Tie-Yan Liu</t>
  </si>
  <si>
    <t>Layerwise coordination between encoder and decoder for neural machine translation.</t>
  </si>
  <si>
    <t>https://dl.acm.org/doi/pdf/10.5555/3327757.3327891</t>
  </si>
  <si>
    <t>Marcin Junczys-Dowmunt</t>
  </si>
  <si>
    <t>Microsoft translator at wmt 2019: Towards large-scale document-level neural machine translation</t>
  </si>
  <si>
    <t>https://arxiv.org/pdf/1907.06170.pdf</t>
  </si>
  <si>
    <t>Yoon Kim and Alexander M. Rush</t>
  </si>
  <si>
    <t>Sequence-Level Knowledge Distillation</t>
  </si>
  <si>
    <t>https://arxiv.org/pdf/1606.07947.pdf</t>
  </si>
  <si>
    <t>A. Lavie and A. Agarwal.</t>
  </si>
  <si>
    <t>METEOR: An automatic metric for mt evaluation with high levels of correlation with human judgments</t>
  </si>
  <si>
    <t>https://aclanthology.org/W07-0734.pdf</t>
  </si>
  <si>
    <t>UIUC, GTech, Microsoft research</t>
  </si>
  <si>
    <t>Liyuan Liu, Haoming Jiang, Pengcheng He, Weizhu Chen, Xiaodong Liu, Jianfeng Gao, and Jiawei Han.</t>
  </si>
  <si>
    <t>On the variance of the adaptive learning rate and beyond.</t>
  </si>
  <si>
    <t>https://arxiv.org/pdf/1908.03265.pdf</t>
  </si>
  <si>
    <t>UIUC, Microsoft research</t>
  </si>
  <si>
    <t>Liyuan Liu, Xiaodong Liu, Jianfeng Gao, Weizhu Chen, and Jiawei Han.</t>
  </si>
  <si>
    <t>Understanding the difficulty of training transformers</t>
  </si>
  <si>
    <t>https://arxiv.org/pdf/2004.08249.pdf</t>
  </si>
  <si>
    <t>Microsoft Research, Microsoft Dynamic 365 AI</t>
  </si>
  <si>
    <t>Xiaodong Liu, Hao Cheng, Pengcheng He, Weizhu Chen, Yu Wang, Hoifung Poon, and Jianfeng Gao</t>
  </si>
  <si>
    <t>Adversarial training for large neural language models</t>
  </si>
  <si>
    <t>https://arxiv.org/pdf/2004.08994.pdf</t>
  </si>
  <si>
    <t>Snapchat, Google Brain, Nanuyang TU Singapore, Univeristy of Tabriz</t>
  </si>
  <si>
    <t>Shervin Minaee, Nal Kalchbrenner, Erik Cambria, Narjes Nikzad, Meysam Chenaghlu, and Jianfeng Gao.</t>
  </si>
  <si>
    <t>Deep Learning Based Text Classification: A Comprehensive Review</t>
  </si>
  <si>
    <t>https://arxiv.org/pdf/2004.03705.pdf</t>
  </si>
  <si>
    <t>Graham Neubig, Zi-Yi Dou, Junjie Hu, Paul Michel, Danish Pruthi, and Xinyi Wang.</t>
  </si>
  <si>
    <t>A tool for holistic comparison of language genera- tion systems.</t>
  </si>
  <si>
    <t>https://arxiv.org/pdf/1903.07926.pdf</t>
  </si>
  <si>
    <t>NA</t>
  </si>
  <si>
    <t>Nathan Ng, Kyra Yee, Alexei Baevski, Myle Ott, Michael Auli, and Sergey Edunov.</t>
  </si>
  <si>
    <t>Facebook FAIR’s WMT19 News Translation Task Submission</t>
  </si>
  <si>
    <t>https://arxiv.org/pdf/1907.06616.pdf</t>
  </si>
  <si>
    <t>University of Notre Dame, Amazon</t>
  </si>
  <si>
    <t>Toan Q. Nguyen and Julian Salazar</t>
  </si>
  <si>
    <t>Transformers without tears: Improving the normalization of self-attention.</t>
  </si>
  <si>
    <t>https://arxiv.org/pdf/1910.05895.pdf</t>
  </si>
  <si>
    <t>Facebook AI, Google Brain</t>
  </si>
  <si>
    <t>Myle Ott, Sergey Edunov, Alexei Baevski, Angela Fan, Sam Gross, Nathan Ng, David Grangier, and Michael Auli</t>
  </si>
  <si>
    <t>Fairseq: A fast, extensi- ble toolkit for sequence modeling.</t>
  </si>
  <si>
    <t>https://arxiv.org/pdf/1904.01038.pdf</t>
  </si>
  <si>
    <t>Facebook AI, Google brain</t>
  </si>
  <si>
    <t>Myle Ott, Sergey Edunov, David Grangier, and Michael Auli.</t>
  </si>
  <si>
    <t>Scaling neural machine translation.</t>
  </si>
  <si>
    <t>https://arxiv.org/pdf/1806.00187.pdf</t>
  </si>
  <si>
    <t>Amazon research</t>
  </si>
  <si>
    <t>Matt Post.</t>
  </si>
  <si>
    <t>A call for clarity in reporting BLEU scores.</t>
  </si>
  <si>
    <t>https://arxiv.org/pdf/1804.08771.pdf</t>
  </si>
  <si>
    <t>Univeristy of Maryland, College Park, BBN Technologies</t>
  </si>
  <si>
    <t>M. Snover, B. Dorr, R. Schwartz, L. Micciulla, and J. Makhoul.</t>
  </si>
  <si>
    <t>A Study of Translation Edit Rate with Targeted Human Annotation</t>
  </si>
  <si>
    <t>https://www.cs.umd.edu/~snover/pub/amta06/ter_amta.pdf</t>
  </si>
  <si>
    <t>Swiss AI Lab IDSIA</t>
  </si>
  <si>
    <t>Rupesh Kumar Srivastava Klaus Greff Ju ̈rgen Schmidhuber</t>
  </si>
  <si>
    <t>Training Very Deep Networks</t>
  </si>
  <si>
    <t>https://arxiv.org/pdf/1507.06228.pdf</t>
  </si>
  <si>
    <t>NLP Lab, Kingsoft AI Lab, NiuTrans Lab</t>
  </si>
  <si>
    <t>Qiang Wang, Bei Li, Tong Xiao, Jingbo Zhu, Changliang Li, Derek F. Wong, and Lidia S. Chao.</t>
  </si>
  <si>
    <t>Learning deep transformer models for machine translation.</t>
  </si>
  <si>
    <t>https://arxiv.org/pdf/1906.01787.pdf</t>
  </si>
  <si>
    <t>Cornell, Facebook AI Research</t>
  </si>
  <si>
    <t>Felix Wu, Angela Fan, Alexei Baevski, Yann N. Dauphin, and Michael Auli.</t>
  </si>
  <si>
    <t>Pay less attention with Lightweight and Dynamic convolutions</t>
  </si>
  <si>
    <t>https://arxiv.org/pdf/1901.10430.pdf</t>
  </si>
  <si>
    <t>Sun-Yat Sen Univeristy, UIUC, Micrsoft research Asia</t>
  </si>
  <si>
    <t>Lijun Wu, Yiren Wang, Yingce Xia, Fei Tian, Fei Gao, Tao Qin, Jianhuang Lai, and Tie-Yan Liu.</t>
  </si>
  <si>
    <t>Depth growing for neural machine translation.</t>
  </si>
  <si>
    <t>https://arxiv.org/pdf/1907.01968.pdf</t>
  </si>
  <si>
    <t>Peking Univeristy</t>
  </si>
  <si>
    <t>Jingjing Xu, Xu Sun, Zhiyuan Zhang, Guangxiang Zhao, and Junyang Lin.</t>
  </si>
  <si>
    <t>Understanding and improving layer normalization.</t>
  </si>
  <si>
    <t>https://arxiv.org/pdf/1911.07013.pdf</t>
  </si>
  <si>
    <t xml:space="preserve">All the papers referenced in - </t>
  </si>
  <si>
    <t>https://arxiv.org/pdf/2010.05006v4.pdf</t>
  </si>
  <si>
    <t>Humboldt-Universität zu Berlin</t>
  </si>
  <si>
    <t>Alan Akbik, Tanja Bergmann, and Roland Vollgraf.</t>
  </si>
  <si>
    <t>Pooled Contextualized Embeddings for Named Entity Recognition</t>
  </si>
  <si>
    <t>https://aclanthology.org/N19-1078.pdf</t>
  </si>
  <si>
    <t>Automated Concatenation of Embeddings for Structured Prediction</t>
  </si>
  <si>
    <t>Zalando Research</t>
  </si>
  <si>
    <t>Contextual string embeddings for sequence labeling.</t>
  </si>
  <si>
    <t>https://aclanthology.org/C18-1139.pdf</t>
  </si>
  <si>
    <t>Peter J Angeline, Gregory M Saunders, and Jordan B Pollack.</t>
  </si>
  <si>
    <t>An evolutionary algorithm that constructs recurrent neural networks.</t>
  </si>
  <si>
    <t>https://ieeexplore.ieee.org/document/265960/authors#authors</t>
  </si>
  <si>
    <t>Alexei Baevski, Sergey Edunov, Yinhan Liu, Luke Zettlemoyer, and Michael Auli</t>
  </si>
  <si>
    <t>Cloze-driven pretraining of self-attention networks.</t>
  </si>
  <si>
    <t>https://arxiv.org/pdf/1903.07785.pdf</t>
  </si>
  <si>
    <t>Bowen Baker, Otkrist Gupta, Nikhil Naik, and Ramesh Raskar.</t>
  </si>
  <si>
    <t>Designing neural network architectures using reinforcement learning.</t>
  </si>
  <si>
    <t>https://arxiv.org/pdf/1611.02167.pdf</t>
  </si>
  <si>
    <t>Toshiba Research Europe, Tilburg University</t>
  </si>
  <si>
    <t>Sabine Buchholz and Erwin Marsi.</t>
  </si>
  <si>
    <t>CoNLL- X shared task on multilingual dependency parsing.</t>
  </si>
  <si>
    <t>https://dl.acm.org/doi/pdf/10.5555/1596276.1596305</t>
  </si>
  <si>
    <t xml:space="preserve">Amazon Alexa AI </t>
  </si>
  <si>
    <t>Luoxin Chen, Weitong Ruan, Xinyue Liu, and Jianhua Lu.</t>
  </si>
  <si>
    <t>SeqVAT: Virtual Adversarial Training for Semi-Supervised Sequence Labeling</t>
  </si>
  <si>
    <t>https://aclanthology.org/2020.acl-main.777.pdf</t>
  </si>
  <si>
    <t>Kevin Clark, Minh-Thang Luong, Christopher D. Man- ning, and Quoc Le</t>
  </si>
  <si>
    <t>Semi-supervised sequence modeling with cross-view training</t>
  </si>
  <si>
    <t>https://arxiv.org/pdf/1809.08370.pdf</t>
  </si>
  <si>
    <t>Alexis Conneau, Kartikay Khandelwal, Naman Goyal, Vishrav Chaudhary, Guillaume Wenzek, Francisco Guzmán, Edouard Grave, Myle Ott, Luke Zettle- moyer, and Veselin Stoyanov.</t>
  </si>
  <si>
    <t>Unsupervised cross-lingual representation learning at scale</t>
  </si>
  <si>
    <t>https://arxiv.org/pdf/1911.02116.pdf</t>
  </si>
  <si>
    <t>Brown Univeristy</t>
  </si>
  <si>
    <t>Steven J. DeRose.</t>
  </si>
  <si>
    <t>Grammatical category disambiguation by statistical optimization.</t>
  </si>
  <si>
    <t>https://citeseerx.ist.psu.edu/viewdoc/download?doi=10.1.1.13.8915&amp;rep=rep1&amp;type=pdf</t>
  </si>
  <si>
    <t>Timothy Dozat and Christopher D Manning.</t>
  </si>
  <si>
    <t>Deep biaffine attention for neural dependency pars- ing.</t>
  </si>
  <si>
    <t>https://arxiv.org/pdf/1611.01734.pdf</t>
  </si>
  <si>
    <t>Timothy Dozat and Christopher D. Manning.</t>
  </si>
  <si>
    <t>Simpler but more accurate semantic dependency parsing.</t>
  </si>
  <si>
    <t>https://arxiv.org/pdf/1807.01396.pdf</t>
  </si>
  <si>
    <t>Bosch Centre for AI, Univeristy of Freiburg</t>
  </si>
  <si>
    <t>Thomas Elsken, Jan-Hendrik Metzen, and Frank Hut- ter.</t>
  </si>
  <si>
    <t>Simple and efficient architecture search for convolutional neural networks</t>
  </si>
  <si>
    <t>https://arxiv.org/pdf/1711.04528.pdf</t>
  </si>
  <si>
    <t>Thomas Elsken, Jan Hendrik Metzen, and Frank Hutter.</t>
  </si>
  <si>
    <t>Neural architecture search: A survey</t>
  </si>
  <si>
    <t>https://arxiv.org/pdf/1808.05377.pdf</t>
  </si>
  <si>
    <t>Universidade da Corun ̃a, CITIC</t>
  </si>
  <si>
    <t>Daniel Fernández-González and Carlos Gómez- Rodríguez</t>
  </si>
  <si>
    <t>Transition-based semantic dependency parsing with pointer networks</t>
  </si>
  <si>
    <t>https://arxiv.org/pdf/2005.13344.pdf</t>
  </si>
  <si>
    <t>Ecole Polytechnic</t>
  </si>
  <si>
    <t>Dario Floreano, Peter Dürr, and Claudio Mattiussi</t>
  </si>
  <si>
    <t>Neuroevolution: from architectures to learn- ing</t>
  </si>
  <si>
    <t>https://link.springer.com/article/10.1007/s12065-007-0002-4</t>
  </si>
  <si>
    <t>Golnaz Ghiasi, Tsung-Yi Lin, and Quoc V Le</t>
  </si>
  <si>
    <t>Nas-fpn: Learning scalable feature pyramid architec- ture for object detection.</t>
  </si>
  <si>
    <t>https://arxiv.org/pdf/1904.07392.pdf</t>
  </si>
  <si>
    <t>Kevin Gimpel, Nathan Schneider, Brendan O’Connor, Dipanjan Das, Daniel Mills, Jacob Eisenstein, Michael Heilman, Dani Yogatama, Jeffrey Flanigan, and Noah A. Smith.</t>
  </si>
  <si>
    <t>Part-of-speech tagging for Twitter: Annotation, features, and experiments</t>
  </si>
  <si>
    <t>https://aclanthology.org/P11-2008.pdf</t>
  </si>
  <si>
    <t>UIUC</t>
  </si>
  <si>
    <t>David E Goldberg and Kalyanmoy</t>
  </si>
  <si>
    <t>A comparative analysis of selection schemes used in genetic algorithms</t>
  </si>
  <si>
    <t>http://citeseerx.ist.psu.edu/viewdoc/download;jsessionid=23745DCF717C2A230DE9EB643E4C168C?doi=10.1.1.101.9494&amp;rep=rep1&amp;type=pdf</t>
  </si>
  <si>
    <t>Shanghai Key Lab, Fudan University</t>
  </si>
  <si>
    <t>Tao Gui, Qi Zhang, Jingjing Gong, Minlong Peng, Di Liang, Keyu Ding, and Xuanjing Huang.</t>
  </si>
  <si>
    <t>Transferring from formal newswire domain with hy- pernet for Twitter POS tagging</t>
  </si>
  <si>
    <t>https://aclanthology.org/D18-1275.pdf</t>
  </si>
  <si>
    <t>Tao Gui, Qi Zhang, Haoran Huang, Minlong Peng, and Xuanjing Huang</t>
  </si>
  <si>
    <t>Part-of-speech tagging for Twitter with adversarial neural networks.</t>
  </si>
  <si>
    <t>https://aclanthology.org/D17-1256.pdf</t>
  </si>
  <si>
    <t>Emory University</t>
  </si>
  <si>
    <t>Han He and Jinho Choi.</t>
  </si>
  <si>
    <t>Establishing strong baselines for the new decade: Sequence tagging, syntactic and semantic parsing with bert.</t>
  </si>
  <si>
    <t>https://arxiv.org/pdf/1908.04943.pdf</t>
  </si>
  <si>
    <t>Minqing Hu and Bing Liu</t>
  </si>
  <si>
    <t>Mining and summarizing customer reviews</t>
  </si>
  <si>
    <t>https://dl.acm.org/doi/10.1145/1014052.1014073</t>
  </si>
  <si>
    <t>Cornell, Tsinghua University, Facebook AI Research</t>
  </si>
  <si>
    <t>Gao Huang, Zhuang Liu, Laurens Van Der Maaten, and Kilian Q Weinberger.</t>
  </si>
  <si>
    <t>Densely connected convolutional networks.</t>
  </si>
  <si>
    <t>https://arxiv.org/pdf/1608.06993.pdf</t>
  </si>
  <si>
    <t xml:space="preserve">Shanghai Tech University, </t>
  </si>
  <si>
    <t>Zixia Jia, Youmi Ma, Jiong Cai, and Kewei Tu.</t>
  </si>
  <si>
    <t>Semi-supervised semantic dependency parsing using CRF autoencoders.</t>
  </si>
  <si>
    <t>https://aclanthology.org/2020.acl-main.607.pdf</t>
  </si>
  <si>
    <t>Google, NYU</t>
  </si>
  <si>
    <t>Rafal Jozefowicz, Wojciech Zaremba, and Ilya Sutskever.</t>
  </si>
  <si>
    <t>An empirical exploration of recurrent network architectures.</t>
  </si>
  <si>
    <t>http://proceedings.mlr.press/v37/jozefowicz15.pdf</t>
  </si>
  <si>
    <t>Univeristy of Amsterdam, Open AI, University of Toronto</t>
  </si>
  <si>
    <t>Diederik P Kingma and Jimmy Ba</t>
  </si>
  <si>
    <t>Adam: A method for stochastic optimization.</t>
  </si>
  <si>
    <t>https://arxiv.org/pdf/1412.6980.pdf</t>
  </si>
  <si>
    <t>Charles University, Saarland University</t>
  </si>
  <si>
    <t>Dan Kondratyuk and Milan Straka</t>
  </si>
  <si>
    <t>75 languages, 1 model: Parsing Universal Dependencies universally.</t>
  </si>
  <si>
    <t>https://arxiv.org/pdf/1904.02099.pdf</t>
  </si>
  <si>
    <t>CMU, Pompeu Fabra University, Google DeepMind, University of Washington</t>
  </si>
  <si>
    <t>Adhiguna Kuncoro, Miguel Ballesteros, Lingpeng Kong, Chris Dyer, and Noah A. Smith.</t>
  </si>
  <si>
    <t>Distilling an Ensemble of Greedy Dependency Parsers into One MST Parser</t>
  </si>
  <si>
    <t>https://arxiv.org/pdf/1609.07561.pdf</t>
  </si>
  <si>
    <t>CMU, Pompeu Fabra University</t>
  </si>
  <si>
    <t>Guillaume Lample, Miguel Ballesteros, Sandeep Sub- ramanian, Kazuya Kawakami, and Chris Dyer</t>
  </si>
  <si>
    <t>Neural architectures for named entity recognition.</t>
  </si>
  <si>
    <t>https://arxiv.org/pdf/1603.01360.pdf</t>
  </si>
  <si>
    <t>CMU, Determined AI</t>
  </si>
  <si>
    <t>Liam Li and Ameet Talwalkar.</t>
  </si>
  <si>
    <t xml:space="preserve"> Random search and reproducibility for neural architecture search.</t>
  </si>
  <si>
    <t>https://arxiv.org/pdf/1902.07638.pdf</t>
  </si>
  <si>
    <t>Chinese University of Hong Kong, Alibaba DAMO Academy</t>
  </si>
  <si>
    <t>Xin Li, Lidong Bing, Wenxuan Zhang, and Wai Lam</t>
  </si>
  <si>
    <t>Exploiting BERT for end-to-end aspect-based sentiment analysis.</t>
  </si>
  <si>
    <t>https://arxiv.org/pdf/1910.00883.pdf</t>
  </si>
  <si>
    <t xml:space="preserve">Shanghai Jia Tong University, </t>
  </si>
  <si>
    <t>Zuchao Li, Hai Zhao, and Kevin Parnow</t>
  </si>
  <si>
    <t>Global greedy dependency parsing.</t>
  </si>
  <si>
    <t>https://arxiv.org/pdf/1911.08673.pdf</t>
  </si>
  <si>
    <t>Johns Hopkins University, Google, Stanford</t>
  </si>
  <si>
    <t>Chenxi Liu, Liang-Chieh Chen, Florian Schroff, Hartwig Adam, Wei Hua, Alan L Yuille, and Li Fei- Fei.</t>
  </si>
  <si>
    <t>Auto-deeplab: Hierarchical neural architecture search for semantic image segmentation.</t>
  </si>
  <si>
    <t>https://arxiv.org/pdf/1901.02985.pdf</t>
  </si>
  <si>
    <t>CMU, DeepMind</t>
  </si>
  <si>
    <t>Hanxiao Liu, Karen Simonyan, Oriol Vinyals, Chrisan- tha Fernando, and Koray Kavukcuoglu</t>
  </si>
  <si>
    <t>Hierarchical representations for efficient architecture search.</t>
  </si>
  <si>
    <t>https://arxiv.org/pdf/1711.00436.pdf</t>
  </si>
  <si>
    <t>Harbin Institute of Tech, University of Cambridge, Georgetown, University of Washington</t>
  </si>
  <si>
    <t>Yijia Liu, Yi Zhu, Wanxiang Che, Bing Qin, Nathan Schneider, and Noah A. Smith</t>
  </si>
  <si>
    <t>Parsing tweets into Universal Dependencies</t>
  </si>
  <si>
    <t>https://arxiv.org/pdf/1804.08228.pdf</t>
  </si>
  <si>
    <t>Beijing JiaTong University, WeChat AI</t>
  </si>
  <si>
    <t>Yijin Liu, Fandong Meng, Jinchao Zhang, Jinan Xu, Yufeng Chen, and Jie Zhou</t>
  </si>
  <si>
    <t>GCDT: A global context enhanced deep transition architecture for se- quence labeling.</t>
  </si>
  <si>
    <t>https://arxiv.org/pdf/1906.02437.pdf</t>
  </si>
  <si>
    <t>University of Turku</t>
  </si>
  <si>
    <t>Jouni Luoma and Sampo Pyysalo.</t>
  </si>
  <si>
    <t>Exploring cross-sentence contexts for named entity recogni- tion with BERT.</t>
  </si>
  <si>
    <t>https://arxiv.org/pdf/2006.01563.pdf</t>
  </si>
  <si>
    <t>Xuezhe Ma and Eduard Hovy</t>
  </si>
  <si>
    <t>End-to-end sequence labeling via bi-directional LSTM-CNNs- CRF.</t>
  </si>
  <si>
    <t>https://arxiv.org/pdf/1603.01354.pdf</t>
  </si>
  <si>
    <t>Tsinghua university, CMU, USC</t>
  </si>
  <si>
    <t>Xuezhe Ma, Zecong Hu, Jingzhou Liu, Nanyun Peng, Graham Neubig, and Eduard Hovy.</t>
  </si>
  <si>
    <t>Stack- pointer networks for dependency parsing</t>
  </si>
  <si>
    <t>https://arxiv.org/pdf/1805.01087.pdf</t>
  </si>
  <si>
    <t>UPenn, Charles University</t>
  </si>
  <si>
    <t>Ryan McDonald, Fernando Pereira, Kiril Ribarov, and Jan Hajicˇ.</t>
  </si>
  <si>
    <t>Non-projective dependency parsing using spanning tree algorithms.</t>
  </si>
  <si>
    <t>https://www.seas.upenn.edu/~strctlrn/bib/PDF/nonprojectiveHLT-EMNLP2005.pdf</t>
  </si>
  <si>
    <t>UCSD, Adobe</t>
  </si>
  <si>
    <t>Khalil Mrini, Franck Dernoncourt, Quan Hung Tran, Trung Bui, Walter Chang, and Ndapa Nakashole.</t>
  </si>
  <si>
    <t>Rethinking self-attention: Towards inter- pretability in neural parsing.</t>
  </si>
  <si>
    <t>https://arxiv.org/pdf/1911.03875.pdf</t>
  </si>
  <si>
    <t>Vin AI Research, Oracle, NVIDIA</t>
  </si>
  <si>
    <t>Dat Quoc Nguyen, Thanh Vu, and Anh Tuan Nguyen</t>
  </si>
  <si>
    <t>A pre-trained language model for English Tweets.</t>
  </si>
  <si>
    <t>https://arxiv.org/pdf/2005.10200.pdf</t>
  </si>
  <si>
    <t>Univeristy of Oslo, Potsdam University, Linkoping University, National Institute of Informatics, Charles University in Prague, Stanford</t>
  </si>
  <si>
    <t>Stephan Oepen, Marco Kuhlmann, Yusuke Miyao, Daniel Zeman, Silvie Cinková, Dan Flickinger, Jan Hajic, and Zdenka Uresova</t>
  </si>
  <si>
    <t>Semeval 2015 task 18: Broad-coverage semantic dependency parsing.</t>
  </si>
  <si>
    <t>https://aclanthology.org/S15-2153.pdf</t>
  </si>
  <si>
    <t>Univeristy of Oslo, Potsdam University, Linkoping University, National Institute of Informatics, Charles University in Prague, Stanford, Nuance communication</t>
  </si>
  <si>
    <t>Stephan Oepen, Marco Kuhlmann, Yusuke Miyao, Daniel Zeman, Dan Flickinger, Jan Hajic, Angelina Ivanova, and Yi Zhang</t>
  </si>
  <si>
    <t>Semeval 2014 task 8: Broad-coverage semantic dependency parsing.</t>
  </si>
  <si>
    <t>https://aclanthology.org/S14-2008.pdf</t>
  </si>
  <si>
    <t>CMU, Toyota Technological University at Chicago</t>
  </si>
  <si>
    <t>Olutobi Owoputi, Brendan O’Connor, Chris Dyer, Kevin Gimpel, Nathan Schneider, and Noah A. Smith.</t>
  </si>
  <si>
    <t>Improved part-of-speech tagging for online conversational text with word clusters.</t>
  </si>
  <si>
    <t>https://aclanthology.org/N13-1039.pdf</t>
  </si>
  <si>
    <t>Allen Institute for AI, University of Washington</t>
  </si>
  <si>
    <t>Matthew Peters, Mark Neumann, Mohit Iyyer, Matt Gardner, Christopher Clark, Kenton Lee, and Luke Zettlemoyer.</t>
  </si>
  <si>
    <t>Deep contextualized word rep- resentations.</t>
  </si>
  <si>
    <t>https://arxiv.org/pdf/1802.05365.pdf</t>
  </si>
  <si>
    <t>Telmo Pires, Eva Schlinger, and Dan Garrette.</t>
  </si>
  <si>
    <t>How multilingual is multilingual BERT?</t>
  </si>
  <si>
    <t>https://arxiv.org/pdf/1906.01502.pdf</t>
  </si>
  <si>
    <t>Athens University, University of York, Jordan University of Science and Technology, Harbin Institute of Technology, Ghent University, LIMSI, Lomonosov Moscow State University, Vyatka State University, Universitat Pompeu Fabra, Universidad de Jaen, Istanbul Technical University</t>
  </si>
  <si>
    <t>Maria Pontiki, Dimitris Galanis, Haris Papageorgiou, Ion Androutsopoulos, Suresh Manandhar, Moham- mad AL-Smadi, Mahmoud Al-Ayyoub, Yanyan Zhao, Bing Qin, Orphée De Clercq, Véronique Hoste, Marianna Apidianaki, Xavier Tannier, Na- talia Loukachevitch, Evgeniy Kotelnikov, Nuria Bel, Salud María Jiménez-Zafra, and Güls ̧en Eryig ̆it</t>
  </si>
  <si>
    <t>SemEval-2016 task 5: Aspect based senti- ment analysis.</t>
  </si>
  <si>
    <t>https://aclanthology.org/S16-1002.pdf</t>
  </si>
  <si>
    <t>Institute for Language and Speech processing, University of York, Athens University of Economics and Business</t>
  </si>
  <si>
    <t>Maria Pontiki, Dimitris Galanis, Haris Papageorgiou, Suresh Manandhar, and Ion Androutsopoulos</t>
  </si>
  <si>
    <t>SemEval-2015 task 12: Aspect based sentiment analysis.</t>
  </si>
  <si>
    <t>https://aclanthology.org/S15-2082.pdf</t>
  </si>
  <si>
    <t>Institute for Language and Speech processing, Athens University, University of York</t>
  </si>
  <si>
    <t>Maria Pontiki, Dimitris Galanis, John Pavlopoulos, Harris Papageorgiou, Ion Androutsopoulos, and Suresh Manandhar.</t>
  </si>
  <si>
    <t>SemEval-2014 task 4: As- pect based sentiment analysis</t>
  </si>
  <si>
    <t>https://aclanthology.org/S14-2004.pdf</t>
  </si>
  <si>
    <t>Google Brain, Google Research</t>
  </si>
  <si>
    <t>Esteban Real, Sherry Moore, Andrew Selle, Saurabh Saxena, Yutaka Leon Suematsu, Jie Tan, Quoc V Le, and Alexey Kurakin.</t>
  </si>
  <si>
    <t>Large-scale evolution of image classifiers.</t>
  </si>
  <si>
    <t>https://arxiv.org/pdf/1703.01041.pdf</t>
  </si>
  <si>
    <t>Univeristy of Washington</t>
  </si>
  <si>
    <t>Alan Ritter, Sam Clark, Mausam, and Oren Etzioni</t>
  </si>
  <si>
    <t>Named Entity Recognition in Tweets: An Experimental Study</t>
  </si>
  <si>
    <t>https://aclanthology.org/D11-1141.pdf</t>
  </si>
  <si>
    <t>IBM Research- Brazil</t>
  </si>
  <si>
    <t>Cicero D Santos and Bianca Zadrozny</t>
  </si>
  <si>
    <t>Learning character-level representations for part-of-speech tagging.</t>
  </si>
  <si>
    <t>http://proceedings.mlr.press/v32/santos14.pdf</t>
  </si>
  <si>
    <t>Jana Straková, Milan Straka, and Jan Hajic</t>
  </si>
  <si>
    <t>Neural architectures for nested NER through lineariza- tion.</t>
  </si>
  <si>
    <t>https://arxiv.org/pdf/1908.06926.pdf</t>
  </si>
  <si>
    <t>Yokohama National University</t>
  </si>
  <si>
    <t>Masanori Suganuma, Shinichi Shirakawa, and Tomo- haru Nagao</t>
  </si>
  <si>
    <t>A genetic programming approach to designing convolutional neural network ar- chitectures.</t>
  </si>
  <si>
    <t>https://arxiv.org/pdf/1704.00764.pdf</t>
  </si>
  <si>
    <t>Space and Naval Warfare Systems Center San Diego</t>
  </si>
  <si>
    <t>Beth M. Sundheim</t>
  </si>
  <si>
    <t>Named entity task definition, version 2.1.</t>
  </si>
  <si>
    <t>https://www-nlpir.nist.gov/related_projects/muc/proceedings/ne_task.html</t>
  </si>
  <si>
    <t>Andrew Barto and Richard S. Sutton</t>
  </si>
  <si>
    <t>Reinforcement Learning: An Introduction</t>
  </si>
  <si>
    <t>https://web.stanford.edu/class/psych209/Readings/SuttonBartoIPRLBook2ndEd.pdf</t>
  </si>
  <si>
    <t>University of Montpellier</t>
  </si>
  <si>
    <t>Lucien Tesnière</t>
  </si>
  <si>
    <t>éléments de syntaxe structurale</t>
  </si>
  <si>
    <t>https://www.persee.fr/doc/lfr_0023-8368_1969_num_1_1_5395</t>
  </si>
  <si>
    <t>University of Antwerp</t>
  </si>
  <si>
    <t>Erik F. Tjong Kim Sang</t>
  </si>
  <si>
    <t>Introduction to the CoNLL-2002 shared task: Language-independent named entity recognition.</t>
  </si>
  <si>
    <t>https://arxiv.org/pdf/cs/0209010.pdf</t>
  </si>
  <si>
    <t>University of Antwerp, Tilburg University</t>
  </si>
  <si>
    <t>Erik F. Tjong Kim Sang and Sabine Buchholz</t>
  </si>
  <si>
    <t>Introduction to the CoNLL-2000 shared task chunk- ing.</t>
  </si>
  <si>
    <t>https://aclanthology.org/W00-0726.pdf</t>
  </si>
  <si>
    <t>Erik F. Tjong Kim Sang and Fien De Meulder.</t>
  </si>
  <si>
    <t>Introduction to the CoNLL-2003 shared task: Language-independent named entity recognition.</t>
  </si>
  <si>
    <t>https://aclanthology.org/W03-0419.pdf</t>
  </si>
  <si>
    <t>ShanghaiTech University</t>
  </si>
  <si>
    <t>Xinyu Wang, Jingxian Huang, and Kewei Tu</t>
  </si>
  <si>
    <t>Second-order semantic dependency parsing with end-to-end neural networks</t>
  </si>
  <si>
    <t>https://arxiv.org/pdf/1906.07880.pdf</t>
  </si>
  <si>
    <t xml:space="preserve">Shanghai Engineering, University of Chinese Academy of Sciences, Shanghai Institute of Microsystem and Information Technology, , </t>
  </si>
  <si>
    <t>Xinyu Wang, Yong Jiang, Nguyen Bach, Tao Wang, Fei Huang, and Kewei Tu.</t>
  </si>
  <si>
    <t>Structure-level knowledge distillation for multilingual sequence la- beling.</t>
  </si>
  <si>
    <t>https://arxiv.org/pdf/2004.03846.pdf</t>
  </si>
  <si>
    <t xml:space="preserve">Shanghai Tech University, DAMO academy, University of Chinese Academy of Sciences, </t>
  </si>
  <si>
    <t>Xinyu Wang, Yong Jiang, Nguyen Bach, Tao Wang, Zhongqiang Huang, Fei Huang, and Kewei Tu</t>
  </si>
  <si>
    <t>Improving Named Entity Recognition by External Context Retrieving and Cooperative Learning</t>
  </si>
  <si>
    <t>https://arxiv.org/pdf/2105.03654.pdf</t>
  </si>
  <si>
    <t>Xinyu Wang, Yong Jiang, Nguyen Bach, Tao Wang, Huang Zhongqiang, Fei Huang, and Kewei Tu.</t>
  </si>
  <si>
    <t>More Embeddings, Better Sequence Labelers?</t>
  </si>
  <si>
    <t>https://arxiv.org/pdf/2009.08330.pdf</t>
  </si>
  <si>
    <t>Xinyu Wang and Kewei Tu</t>
  </si>
  <si>
    <t>Second-Order Neural Dependency Parsing with Message Passing and End-to-End Training</t>
  </si>
  <si>
    <t>https://arxiv.org/pdf/2010.05003.pdf</t>
  </si>
  <si>
    <t>Xinyu Wang, Yong Jiang, Nguyen Bach, Tao Wang, Zhongqiang Huang, Fei Huang, Kewei Tu</t>
  </si>
  <si>
    <t>Soochow University</t>
  </si>
  <si>
    <t>Zhenkai Wei, Yu Hong, Bowei Zou, Meng Cheng, Jianmin Yao</t>
  </si>
  <si>
    <t>Don’t eclipse your arts due to small discrepancies: Boundary repositioning with a pointer network for aspect extraction</t>
  </si>
  <si>
    <t>https://aclanthology.org/2020.acl-main.339.pdf</t>
  </si>
  <si>
    <t>Martin Wistuba</t>
  </si>
  <si>
    <t>Deep learning architecture search by neuro-cell-based evolution with function- preserving mutations.</t>
  </si>
  <si>
    <t>http://www.ecmlpkdd2018.org/wp-content/uploads/2018/09/108.pdf</t>
  </si>
  <si>
    <t>Shijie Wu and Mark Dredze</t>
  </si>
  <si>
    <t>Beto, bentz, be- cas: The surprising cross-lingual effectiveness of BERT.</t>
  </si>
  <si>
    <t>https://arxiv.org/pdf/1904.09077.pdf</t>
  </si>
  <si>
    <t>L. Xie and A. Yuille</t>
  </si>
  <si>
    <t>Genetic cnn</t>
  </si>
  <si>
    <t>https://arxiv.org/pdf/1703.01513.pdf</t>
  </si>
  <si>
    <t>UIUC, Tsinghua University</t>
  </si>
  <si>
    <t>Hu Xu, Bing Liu, Lei Shu, and Philip Yu</t>
  </si>
  <si>
    <t>BERT post-training for review reading comprehension and aspect-based sentiment analysis.</t>
  </si>
  <si>
    <t>https://arxiv.org/pdf/1904.02232.pdf</t>
  </si>
  <si>
    <t>UIUC, Tsinghua university</t>
  </si>
  <si>
    <t>Hu Xu, Bing Liu, Lei Shu, and Philip S</t>
  </si>
  <si>
    <t>Double embeddings and CNN-based sequence labeling for aspect extraction</t>
  </si>
  <si>
    <t>https://arxiv.org/pdf/1805.04601.pdf</t>
  </si>
  <si>
    <t>Studio Ousia, RIKEN AIP, Univeristy of Washington, Nara Institute of Sciences and Technology, National Institute of Informatics</t>
  </si>
  <si>
    <t>Ikuya Yamada, Akari Asai, Hiroyuki Shindo, Hideaki Takeda, and Yuji Matsumoto</t>
  </si>
  <si>
    <t>LUKE: Deep contextualized entity representations with entity- aware self-attention.</t>
  </si>
  <si>
    <t>https://arxiv.org/pdf/2010.01057.pdf</t>
  </si>
  <si>
    <t>Queen Mary University, Google Research</t>
  </si>
  <si>
    <t>Juntao Yu, Bernd Bohnet, and Massimo Poesio</t>
  </si>
  <si>
    <t>Named entity recognition as dependency parsing.</t>
  </si>
  <si>
    <t>https://arxiv.org/pdf/2005.07150.pdf</t>
  </si>
  <si>
    <t>Yu Zhang, Zhenghua Li, and Min Zhang</t>
  </si>
  <si>
    <t>Efficient second-order TreeCRF for neural dependency parsing.</t>
  </si>
  <si>
    <t>https://arxiv.org/pdf/2005.00975.pdf</t>
  </si>
  <si>
    <t>Chinese academy of Sciences, SenseTime Research, CAS Centre for Excellence</t>
  </si>
  <si>
    <t>Zhao Zhong, Junjie Yan, Wei Wu, Jing Shao, and Cheng-Lin Liu.</t>
  </si>
  <si>
    <t>Practical block-wise neural network architecture generation.</t>
  </si>
  <si>
    <t>https://arxiv.org/pdf/1708.05552.pdf</t>
  </si>
  <si>
    <t>Shanghai Jiao Tong University</t>
  </si>
  <si>
    <t>Junru Zhou and Hai Zhao.</t>
  </si>
  <si>
    <t>Head-Driven Phrase Structure Grammar parsing on Penn Treebank</t>
  </si>
  <si>
    <t>https://arxiv.org/pdf/1907.02684.pdf</t>
  </si>
  <si>
    <t>Rast China normal university, Ping An Healthcare Tech</t>
  </si>
  <si>
    <t>Wei Zhu, Xiaoling Wang, Xipeng Qiu, Yuan Ni, and Guotong Xie</t>
  </si>
  <si>
    <t>Autotrans: Automating trans- former design via reinforced architecture search.</t>
  </si>
  <si>
    <t>https://link.springer.com/chapter/10.1007/978-3-030-88480-2_14</t>
  </si>
  <si>
    <t>References in figure 10 of</t>
  </si>
  <si>
    <t>Chen, X., Fan, H., Girshick, R., and He, K</t>
  </si>
  <si>
    <t>Improved baselines with momentum contrastive learning.</t>
  </si>
  <si>
    <t>https://arxiv.org/pdf/2003.04297.pdf</t>
  </si>
  <si>
    <t>Kornblith, S., Shlens, J., and Le, Q. V.</t>
  </si>
  <si>
    <t>Do better imagenet models transfer better?</t>
  </si>
  <si>
    <t>https://arxiv.org/pdf/1805.08974.pdf</t>
  </si>
  <si>
    <t xml:space="preserve">All the papers referenced in </t>
  </si>
  <si>
    <t>Dynamic Head: Unifying Object Detection Heads with Attentions</t>
  </si>
  <si>
    <t>https://arxiv.org/pdf/2106.08322.pdf</t>
  </si>
  <si>
    <t>UC San Diego</t>
  </si>
  <si>
    <t>Zhaowei Cai and N. Vasconcelos</t>
  </si>
  <si>
    <t>Cascade r-cnn: Delving into high quality object detection.</t>
  </si>
  <si>
    <t>https://arxiv.org/pdf/1712.00726.pdf</t>
  </si>
  <si>
    <t>Microsoft Corporation, Redmond WA</t>
  </si>
  <si>
    <t>Y. Chen, X. Dai, Mengchen Liu, Dongdong Chen, Lu Yuan, and Zicheng Liu</t>
  </si>
  <si>
    <t>Dynamic relu</t>
  </si>
  <si>
    <t>https://arxiv.org/pdf/2003.10027.pdf</t>
  </si>
  <si>
    <t>Microsoft Research Asia, Peking University</t>
  </si>
  <si>
    <t>Y.Chen,ZhengZhang,YueCao,L.Wang,StephenLin,and H. Hu</t>
  </si>
  <si>
    <t>Reppoints v2: Verification meets regression for ob- ject detection.</t>
  </si>
  <si>
    <t>https://arxiv.org/pdf/2007.08508.pdf</t>
  </si>
  <si>
    <t>CAS, Microsoft Research Asia</t>
  </si>
  <si>
    <t>Cheng Chi, Fangyun Wei, and Han Hu</t>
  </si>
  <si>
    <t>Relationnet++: Bridging visual representations for object detection via trans- former decoder</t>
  </si>
  <si>
    <t>https://arxiv.org/pdf/2010.15831.pdf</t>
  </si>
  <si>
    <t>Microsoft research Asia</t>
  </si>
  <si>
    <t>Jifeng Dai, Haozhi Qi, Y. Xiong, Y. Li, Guodong Zhang, H. Hu, and Y. Wei.</t>
  </si>
  <si>
    <t>Deformable convolutional networks</t>
  </si>
  <si>
    <t>https://arxiv.org/pdf/1703.06211.pdf</t>
  </si>
  <si>
    <t>Xianzhi Du, Tsung-Yi Lin, Pengchong Jin, Golnaz Ghiasi, Mingxing Tan, Yin Cui, Quoc V. Le, and Xiaodan Song.</t>
  </si>
  <si>
    <t>Spinenet: Learning scale-permuted backbone for recognition and localization</t>
  </si>
  <si>
    <t>https://arxiv.org/pdf/1912.05027.pdf</t>
  </si>
  <si>
    <t>University of Chinese Academy of Sciences, University of Oxford, Huawei Noah's Ark Lab</t>
  </si>
  <si>
    <t>Kaiwen Duan, S. Bai, Lingxi Xie, H. Qi, Q. Huang, and Q. Tian</t>
  </si>
  <si>
    <t>Centernet: Keypoint triplets for object detection.</t>
  </si>
  <si>
    <t>https://arxiv.org/pdf/1904.08189.pdf</t>
  </si>
  <si>
    <t>Google research, Brain team, UC Berkeley, Cornell University</t>
  </si>
  <si>
    <t>Golnaz Ghiasi, Yin Cui, Aravind Srinivas, Rui Qian, Tsung- Yi Lin, Ekin D. Cubuk, Quoc V. Le, and Barret Zoph</t>
  </si>
  <si>
    <t>Simple copy-paste is a strong data augmentation method for instance segmentation,</t>
  </si>
  <si>
    <t>https://arxiv.org/pdf/2012.07177.pdf</t>
  </si>
  <si>
    <t xml:space="preserve">Facebook AI, Cornell </t>
  </si>
  <si>
    <t>Tsung-Yi Lin, Piotr Dolla ́r, Ross B. Girshick, Kaiming He, Bharath Hariharan, and Serge J. Belongie</t>
  </si>
  <si>
    <t>Feature pyramid networks for object detection</t>
  </si>
  <si>
    <t>https://arxiv.org/pdf/1612.03144.pdf</t>
  </si>
  <si>
    <t>Chinese University of Hong Kong, Peking University, SenseTime research, YouTu Lab Tencent</t>
  </si>
  <si>
    <t>Shu Liu, Lu Qi, Haifang Qin, J. Shi, and J. Jia</t>
  </si>
  <si>
    <t>Path Aggregation Network for Instance Segmentation</t>
  </si>
  <si>
    <t>https://arxiv.org/pdf/1803.01534.pdf</t>
  </si>
  <si>
    <t>Microsoft Research Asia</t>
  </si>
  <si>
    <t>Ze Liu, Yutong Lin, Yue Cao, Han Hu, Yixuan Wei, Zheng Zhang, Stephen Lin, and Baining Guo</t>
  </si>
  <si>
    <t>Swin Transformer: Hierarchical Vision Transformer using Shifted Windows</t>
  </si>
  <si>
    <t>https://arxiv.org/pdf/2103.14030.pdf</t>
  </si>
  <si>
    <t>Zheijiang University, Chinese University of Hong Kong, University of Sydney, SenseTime Research</t>
  </si>
  <si>
    <t>Jiangmiao Pang, K. Chen, J. Shi, H. Feng, Wanli Ouyang, and D. Lin</t>
  </si>
  <si>
    <t>Libra r-cnn: Towards balanced learning for ob- ject detection.</t>
  </si>
  <si>
    <t>https://arxiv.org/pdf/1904.02701.pdf</t>
  </si>
  <si>
    <t>MEGVII Technology, Xi'an Jiatong University</t>
  </si>
  <si>
    <t>Han Qiu, Yuchen Ma, Zeming Li, Songtao Liu, and J. Sun.</t>
  </si>
  <si>
    <t>Borderdet: Border feature for dense object detection.</t>
  </si>
  <si>
    <t>https://arxiv.org/pdf/2007.11056.pdf</t>
  </si>
  <si>
    <t>B. Singh and L. Davis</t>
  </si>
  <si>
    <t>An analysis of scale invariance in ob- ject detection - snip.</t>
  </si>
  <si>
    <t>https://arxiv.org/pdf/1711.08189.pdf</t>
  </si>
  <si>
    <t>B. Singh, Mahyar Najibi, and L. Davis</t>
  </si>
  <si>
    <t>Sniper: Efficient multi-scale training.</t>
  </si>
  <si>
    <t>https://arxiv.org/pdf/1805.09300.pdf</t>
  </si>
  <si>
    <t>The University of Hong Kong, Tongji university, ByteDance AI Lab, University of California, berkley</t>
  </si>
  <si>
    <t>Peize Sun, Rufeng Zhang, Yi Jiang, Tao Kong, Chenfeng Xu, Wei Zhan, Masayoshi Tomizuka, Lei Li, Zehuan Yuan, Changhu Wang, and Ping Luo.</t>
  </si>
  <si>
    <t>SparseR-CNN: End-to-end object detection with learnable proposals.</t>
  </si>
  <si>
    <t>https://arxiv.org/pdf/2011.12450.pdf</t>
  </si>
  <si>
    <t>University of Adelaide, Australia</t>
  </si>
  <si>
    <t>Zhi Tian, Chunhua Shen, Hao Chen, and Tong He</t>
  </si>
  <si>
    <t>Fcos: Fully convolutional one-stage object detection.</t>
  </si>
  <si>
    <t>https://arxiv.org/pdf/1904.01355.pdf</t>
  </si>
  <si>
    <t>CMU, Facebook AI research</t>
  </si>
  <si>
    <t>X. Wang, Ross B. Girshick, A. Gupta, and Kaiming He</t>
  </si>
  <si>
    <t>Non-local neural networks.</t>
  </si>
  <si>
    <t>https://arxiv.org/pdf/1711.07971.pdf</t>
  </si>
  <si>
    <t>SenseTime Research</t>
  </si>
  <si>
    <t>Xinjiang Wang, S. Zhang, Zhuoran Yu, Litong Feng, and Wayne Zhang</t>
  </si>
  <si>
    <t>Scale-equalizing pyramid convolution for ob- ject detection</t>
  </si>
  <si>
    <t>https://arxiv.org/pdf/2005.03101.pdf</t>
  </si>
  <si>
    <t>Peking univeristy, Tsinghua university, Microsoft research Asia</t>
  </si>
  <si>
    <t>Ze Yang, S. Liu, H. Hu, Liwei Wang, and Stephen Lin</t>
  </si>
  <si>
    <t>RepPoints: Point set representation for object detection.</t>
  </si>
  <si>
    <t>https://arxiv.org/pdf/1904.11490.pdf</t>
  </si>
  <si>
    <t>F. Yu and V. Koltun</t>
  </si>
  <si>
    <t>Multi-scale context aggregation by dilated convolutions</t>
  </si>
  <si>
    <t>https://arxiv.org/pdf/1511.07122.pdf</t>
  </si>
  <si>
    <t>CBSR, SAI, AIR, BUPT, Westlake university</t>
  </si>
  <si>
    <t>Shifeng Zhang, Cheng Chi, Yongqiang Yao, Z. Lei, and S. Li</t>
  </si>
  <si>
    <t>Bridging the gap between anchor-based and anchor- free detection via adaptive training sample selection</t>
  </si>
  <si>
    <t>https://arxiv.org/pdf/1912.02424.pdf</t>
  </si>
  <si>
    <t>UT Austin, Intel Labs</t>
  </si>
  <si>
    <t>Xingyi Zhou, Vladlen Koltun, and Philipp Kra ̈henbu ̈hl</t>
  </si>
  <si>
    <t>Probabilistic two-stage detection</t>
  </si>
  <si>
    <t>https://arxiv.org/pdf/2103.07461.pdf</t>
  </si>
  <si>
    <t>University of Science and Technology of China, Microsoft Research Asia</t>
  </si>
  <si>
    <t>X. Zhu, H. Hu, Stephen Lin, and Jifeng Dai</t>
  </si>
  <si>
    <t>Deformable convnets v2: More deformable, better results.</t>
  </si>
  <si>
    <t>https://arxiv.org/pdf/1811.11168.pdf</t>
  </si>
  <si>
    <t>SenseTime Research, University of Science and Technology of China, The Chinese University of Hong Kong</t>
  </si>
  <si>
    <t>X. Zhu, Weijie Su, Lewei Lu, Bin Li, X. Wang, and Jifeng Dai.</t>
  </si>
  <si>
    <t>Deformable detr: Deformable transformers for end-to- end object detection.</t>
  </si>
  <si>
    <t>https://arxiv.org/pdf/2010.04159.pdf</t>
  </si>
  <si>
    <t>C. Lawrence Zitnick and Piotr Doll ́ar</t>
  </si>
  <si>
    <t>Edge boxes: Locating object proposals from edges</t>
  </si>
  <si>
    <t>https://pdollar.github.io/files/papers/ZitnickDollarECCV14edgeBoxes.pdf</t>
  </si>
  <si>
    <t>Barret Zoph, Golnaz Ghiasi, Tsung-Yi Lin, Yin Cui, Hanx- iao Liu, Ekin Dogus Cubuk, and Quoc Le</t>
  </si>
  <si>
    <t>Rethinking pre- training and self-training</t>
  </si>
  <si>
    <t>https://arxiv.org/pdf/2006.06882.pdf</t>
  </si>
  <si>
    <t>University of Michigan, Beihang University, Carleton University, DiDi Chuxing</t>
  </si>
  <si>
    <t>Zhengxia Zou, Z. Shi, Yuhong Guo, and Jieping Ye</t>
  </si>
  <si>
    <t>Object detection in 20 years: A survey.</t>
  </si>
  <si>
    <t>https://arxiv.org/pdf/1905.05055.pdf</t>
  </si>
  <si>
    <t>LUKE: Deep Contextualized Entity Representations with Entity-aware Self-attention</t>
  </si>
  <si>
    <t>https://arxiv.org/pdf/2010.01057v1.pdf</t>
  </si>
  <si>
    <t>Google research</t>
  </si>
  <si>
    <t>Livio Baldini Soares, Nicholas FitzGerald, Jeffrey Ling, and Tom Kwiatkowski.</t>
  </si>
  <si>
    <t>Matching the Blanks: Distributional Similarity for Relation Learn- ing.</t>
  </si>
  <si>
    <t>https://arxiv.org/pdf/1906.03158.pdf</t>
  </si>
  <si>
    <t>Tsinghua University, Rennslelaer Polytechnic Institute</t>
  </si>
  <si>
    <t>Yixin Cao, Lifu Huang, Heng Ji, Xu Chen, and Juanzi Li.</t>
  </si>
  <si>
    <t>Bridge Text and Knowledge by Learning Multi-Prototype Entity Mention Embedding</t>
  </si>
  <si>
    <t>https://aclanthology.org/P17-1149.pdf</t>
  </si>
  <si>
    <t>Eunsol Choi, Omer Levy, Yejin Choi, and Luke Zettle- moyer.</t>
  </si>
  <si>
    <t>Ultra-Fine Entity Typing</t>
  </si>
  <si>
    <t>https://arxiv.org/pdf/1807.04905.pdf</t>
  </si>
  <si>
    <t>Christopher Clark and Matt Gardner</t>
  </si>
  <si>
    <t>Simple and Effective Multi-Paragraph Reading Comprehension.</t>
  </si>
  <si>
    <t>https://arxiv.org/pdf/1710.10723.pdf</t>
  </si>
  <si>
    <t>Stanford, Facebook AI Research</t>
  </si>
  <si>
    <t>Kevin Clark, Urvashi Khandelwal, Omer Levy, and Christopher D Manning</t>
  </si>
  <si>
    <t>What Does BERT Look at? An Analysis of BERT’s Attention.</t>
  </si>
  <si>
    <t>https://arxiv.org/pdf/1906.04341.pdf</t>
  </si>
  <si>
    <t>ETH Zurich</t>
  </si>
  <si>
    <t>Octavian-Eugen Ganea and Thomas Hofmann</t>
  </si>
  <si>
    <t>Deep Joint Entity Disambiguation with Local Neural Attention.</t>
  </si>
  <si>
    <t>https://arxiv.org/pdf/1704.04920.pdf</t>
  </si>
  <si>
    <t>University of California, Berkeley, Toyota Technological Institute at Chicago</t>
  </si>
  <si>
    <t>Gaussian Error linear Units</t>
  </si>
  <si>
    <t>https://arxiv.org/pdf/1606.08415.pdf</t>
  </si>
  <si>
    <t>Allen, Princeton, Facebook AI research</t>
  </si>
  <si>
    <t>Mandar Joshi, Danqi Chen, Yinhan Liu, Daniel S Weld, Luke Zettlemoyer, and Omer Levy</t>
  </si>
  <si>
    <t>Span- BERT: Improving Pre-training by Representing and Predicting Spans.</t>
  </si>
  <si>
    <t>https://arxiv.org/pdf/1907.10529.pdf</t>
  </si>
  <si>
    <t>Pingan HealthTech, Shanghai Jiaoong University</t>
  </si>
  <si>
    <t>Xiepeng Li, Zhexi Zhang, Wei Zhu, Zheng Li, Yuan Ni, Peng Gao, Junchi Yan, and Guotong Xie.</t>
  </si>
  <si>
    <t>Pingan Smart Health and SJTU at COIN - Shared Task: utilizing Pre-trained Language Models and Common-sense Knowledge in Machine Reading Tasks.</t>
  </si>
  <si>
    <t>https://aclanthology.org/D19-6011.pdf</t>
  </si>
  <si>
    <t>Jeffrey Ling, Nicholas FitzGerald, Zifei Shan, Livio Baldini Soares, Thibault Fe ́vry, David Weiss, and Tom Kwiatkowski</t>
  </si>
  <si>
    <t>Learning Cross- Context Entity Representations from Text.</t>
  </si>
  <si>
    <t>https://arxiv.org/pdf/2001.03765.pdf</t>
  </si>
  <si>
    <t>Saarland University, Johns Hopkins University, Stuttgart University, Allen Instiitute for AI</t>
  </si>
  <si>
    <t>Simon Ostermann, Sheng Zhang, Michael Roth, and Peter Clark.</t>
  </si>
  <si>
    <t>Commonsense Inference in Nat- ural Language Processing (COIN) - Shared Task Re- port.</t>
  </si>
  <si>
    <t>https://aclanthology.org/D19-6007.pdf</t>
  </si>
  <si>
    <t xml:space="preserve">Allen Institute for AI, University of California, Irvine, University of Washington, </t>
  </si>
  <si>
    <t>Matthew E. Peters, Mark Neumann, Robert Logan, Roy Schwartz, Vidur Joshi, Sameer Singh, and Noah A. Smith.</t>
  </si>
  <si>
    <t>Knowledge Enhanced Contextual Word Representations</t>
  </si>
  <si>
    <t>https://arxiv.org/pdf/1909.04164.pdf</t>
  </si>
  <si>
    <t>Emily Reif, Ann Yuan, Martin Wattenberg, Fernanda B Viegas, Andy Coenen, Adam Pearce, and Been Kim.</t>
  </si>
  <si>
    <t>Visualizing and Measuring the Geometry of BERT.</t>
  </si>
  <si>
    <t>https://arxiv.org/pdf/1906.02715.pdf</t>
  </si>
  <si>
    <t>Minjoon Seo, Aniruddha Kembhavi, Ali Farhadi, and Hananneh Hajishirzi</t>
  </si>
  <si>
    <t>Bidirectional Attention Flow for Machine Comprehension.</t>
  </si>
  <si>
    <t>https://arxiv.org/pdf/1611.01603.pdf</t>
  </si>
  <si>
    <t xml:space="preserve">Artificial Intelligence Research Center, National Institute of Advanced Industrial Science and Technology, Toyota Technological Instiitute </t>
  </si>
  <si>
    <t>Mohammad Golam Sohrab and Makoto Miwa.</t>
  </si>
  <si>
    <t>Deep Exhaustive Model for Nested Named Entity Recognition.</t>
  </si>
  <si>
    <t>https://aclanthology.org/D18-1309.pdf</t>
  </si>
  <si>
    <t>Xerox research centre, University College London, Univeristy Grenoble Alpes</t>
  </si>
  <si>
    <t>The ́o Trouillon, Johannes Welbl, Sebastian Riedel, Eric Gaussier, and Guillaume Bouchard.</t>
  </si>
  <si>
    <t>Complex Embeddings for Simple Link Prediction</t>
  </si>
  <si>
    <t>https://arxiv.org/pdf/1606.06357.pdf</t>
  </si>
  <si>
    <t>NYU, Facebook AI Research, University of Washington, DeepMind</t>
  </si>
  <si>
    <t>Alex Wang, Yada Pruksachatkun, Nikita Nangia, Amanpreet Singh, Julian Michael, Felix Hill, Omer Levy, and Samuel Bowman</t>
  </si>
  <si>
    <t>SuperGLUE: A Stickier Benchmark for General-Purpose Language Understanding Systems.</t>
  </si>
  <si>
    <t>https://arxiv.org/pdf/1905.00537.pdf</t>
  </si>
  <si>
    <t>Fudan Univeristy, Microsoft Research</t>
  </si>
  <si>
    <t>Ruize Wang, Duyu Tang, Nan Duan, Zhongyu Wei, Xuanjing Huang, Cuihong Cao, Daxin Jiang, Ming Zhou,</t>
  </si>
  <si>
    <t>K-Adapter: Infusing Knowledge into Pre-trained Models with Adapters.</t>
  </si>
  <si>
    <t>https://arxiv.org/pdf/2002.01808.pdf</t>
  </si>
  <si>
    <t xml:space="preserve">University of California, Santa Barbara, Facebook AI </t>
  </si>
  <si>
    <t>Wenhan Xiong, Jingfei Du, William Yang Wang, and Veselin Stoyanov</t>
  </si>
  <si>
    <t>Pretrained Encyclopedia: Weakly Supervised Knowledge-Pretrained Language Model.</t>
  </si>
  <si>
    <t>https://arxiv.org/pdf/1912.09637.pdf</t>
  </si>
  <si>
    <t>Studio Ousia, Nara Institute of Science and Technology, National Institute of Informatics, Keio University</t>
  </si>
  <si>
    <t>Ikuya Yamada, Hiroyuki Shindo, Hideaki Takeda, and Yoshiyasu Takefuji</t>
  </si>
  <si>
    <t>Joint Learning of the Embedding of Words and Entities for Named En- tity Disambiguation.</t>
  </si>
  <si>
    <t>https://arxiv.org/pdf/1601.01343.pdf</t>
  </si>
  <si>
    <t>Learning Distributed Representations of Texts and Entities from Knowl- edge Base.</t>
  </si>
  <si>
    <t>https://arxiv.org/pdf/1705.02494.pdf</t>
  </si>
  <si>
    <t>Cornell University, Microsoft Research</t>
  </si>
  <si>
    <t>Bishan Yang, Scott Wen-tau Yih, Xiaodong He, Jian- feng Gao, and Li Deng</t>
  </si>
  <si>
    <t>Embedding Entities and Relations for Learning and Inference in Knowl- edge Bases.</t>
  </si>
  <si>
    <t>https://arxiv.org/pdf/1412.6575.pdf</t>
  </si>
  <si>
    <t>Johns Hopkins University, Microsoft Research</t>
  </si>
  <si>
    <t>Sheng Zhang, Xiaodong Liu, Jingjing Liu, Jianfeng Gao, Kevin Duh, and Benjamin Van Durme</t>
  </si>
  <si>
    <t>ReCoRD: Bridging the Gap between Human and Machine Commonsense Reading Comprehension</t>
  </si>
  <si>
    <t>https://arxiv.org/pdf/1810.12885.pdf</t>
  </si>
  <si>
    <t>Yuhao Zhang, Peng Qi, and Christopher D Manning</t>
  </si>
  <si>
    <t>Graph Convolution over Pruned Depen- dency Trees Improves Relation Extraction.</t>
  </si>
  <si>
    <t>https://arxiv.org/pdf/1809.10185.pdf</t>
  </si>
  <si>
    <t>Yuhao Zhang, Victor Zhong, Danqi Chen, Gabor An- geli, and Christopher D Manning.</t>
  </si>
  <si>
    <t>Position- aware Attention and Supervised Data Improve Slot Filling</t>
  </si>
  <si>
    <t>https://nlp.stanford.edu/pubs/zhang2017tacred.pdf</t>
  </si>
  <si>
    <t>Tsinghua University, Huawei Noah's Ark Lab</t>
  </si>
  <si>
    <t>ERNIE: Enhanced Language Representation with Informative Entities.</t>
  </si>
  <si>
    <t>https://arxiv.org/pdf/1905.07129.pdf</t>
  </si>
  <si>
    <t>Exclusion criteria</t>
  </si>
  <si>
    <t>M Sahami, M Hearst, E Saund</t>
  </si>
  <si>
    <t>A Multiple Cause Mixture Model to text Categorization</t>
  </si>
  <si>
    <t>https://www.semanticscholar.org/paper/Applying-the-Multiple-Cause-Mixture-Model-to-Text-Sahami-Hearst/b6b3c6425e42bb657785d6515f3975e0c5b6d86f</t>
  </si>
  <si>
    <t>Low influence</t>
  </si>
  <si>
    <t>J Schmidhuber</t>
  </si>
  <si>
    <t>Habilitation thesis: System modeling and optimization</t>
  </si>
  <si>
    <t>https://people.idsia.ch//~juergen/firstdeeplearner.html</t>
  </si>
  <si>
    <t>D Erhan, A Courville, Y Bengio</t>
  </si>
  <si>
    <t>Why does unsupervised pre-training help deep learning</t>
  </si>
  <si>
    <t>https://www.jmlr.org/papers/volume11/erhan10a/erhan10a.pdf</t>
  </si>
  <si>
    <t>BARLEY</t>
  </si>
  <si>
    <t>Danish Institute of Plant and Soil Sciences</t>
  </si>
  <si>
    <t>Kristian Kristensen , Ilse A. Rasmussen and others</t>
  </si>
  <si>
    <t>Production of beer from Danish malting barley grown without the use of pesticides</t>
  </si>
  <si>
    <t>https://citeseerx.ist.psu.edu/viewdoc/download?doi=10.1.1.144.2646&amp;rep=rep1&amp;type=pdf</t>
  </si>
  <si>
    <t>David Chiang, Adam Lopez, Nitin Madnani, Christof Monz, Philip Resnik, Michael Subotin</t>
  </si>
  <si>
    <t>The Hiero Machine Translation System: Extensions, Evaluation, and Analysis</t>
  </si>
  <si>
    <t>https://dl.acm.org/doi/pdf/10.3115/1220575.1220673</t>
  </si>
  <si>
    <t>There exists another paper on the same system with more citations</t>
  </si>
  <si>
    <t>MEHRA</t>
  </si>
  <si>
    <t>Oxford University, Brunel Univeristy London</t>
  </si>
  <si>
    <t>C. Vitolo, M. Scutari, M. Ghalaieny, A. Tucker and A. Russell</t>
  </si>
  <si>
    <t>Modelling Air Pollution, Climate and Health Data Using Bayesian Networks: a Case Study of the English Regions.</t>
  </si>
  <si>
    <t>https://agupubs.onlinelibrary.wiley.com/doi/full/10.1002/2017EA000326</t>
  </si>
  <si>
    <t>Theory</t>
  </si>
  <si>
    <t>University of Chicago</t>
  </si>
  <si>
    <t>Warren S. McCulloch, Walter Pitts</t>
  </si>
  <si>
    <t>A logical calculus of the ideas immanent in nervous activity</t>
  </si>
  <si>
    <t>https://link.springer.com/article/10.1007/BF02478259</t>
  </si>
  <si>
    <t>Theoretical</t>
  </si>
  <si>
    <t>How We Know Universals</t>
  </si>
  <si>
    <t>https://link.springer.com/article/10.1007/BF02478291</t>
  </si>
  <si>
    <t>McGill University</t>
  </si>
  <si>
    <t>D.O. Hebb</t>
  </si>
  <si>
    <t>The Organization of Behavior</t>
  </si>
  <si>
    <t>https://api.semanticscholar.org/CorpusID:144400005</t>
  </si>
  <si>
    <t>Burden Neurological Institute</t>
  </si>
  <si>
    <t>W Ross Ashby</t>
  </si>
  <si>
    <t>Design for a Brain</t>
  </si>
  <si>
    <t>http://rossashby.info/Ashby%20-%20Design%20for%20a%20Brain%20-%20The%20Origin%20of%20Adaptive%20Behavior.pdf</t>
  </si>
  <si>
    <t>University of Cornell</t>
  </si>
  <si>
    <t>Two theorems of statistical separability in the perceptron</t>
  </si>
  <si>
    <t>https://www.worldcat.org/title/two-theorems-of-statistical-separability-in-the-perceptron-project-para/oclc/13465171</t>
  </si>
  <si>
    <t>SR-TSG</t>
  </si>
  <si>
    <t>Syntactic parsing</t>
  </si>
  <si>
    <t>National Institute of Informatics, NTT Communication Science Laboratories</t>
  </si>
  <si>
    <t>Hiroyuki Shindo, Yusuke Miyao, Akinori Fujino, Masaaki Nagata</t>
  </si>
  <si>
    <t>Bayesian Symbol-Refined Tree Substitution Grammars for Syntactic Parsing</t>
  </si>
  <si>
    <t>https://www.aclweb.org/anthology/P12-1046/</t>
  </si>
  <si>
    <t>Distributional Memory</t>
  </si>
  <si>
    <t>University of Trento, University of Piso</t>
  </si>
  <si>
    <t>Marco Baroni, Alessandro Lenci</t>
  </si>
  <si>
    <t>Distributional Memory: A General Framework for Corpus-Based Semantics</t>
  </si>
  <si>
    <t>https://www.aclweb.org/anthology/J10-4006/</t>
  </si>
  <si>
    <t>Unclear influence</t>
  </si>
  <si>
    <t>Preferred Networks Inc.</t>
  </si>
  <si>
    <t>T Akiba, S Suzuki, K Fukuda</t>
  </si>
  <si>
    <t>Extremely Large Minibatch SGD: Training ResNet-50 on ImageNet in 15 Minutes</t>
  </si>
  <si>
    <t>https://arxiv.org/abs/1711.04325</t>
  </si>
  <si>
    <t>Worcester Polytechnic</t>
  </si>
  <si>
    <t>T Miranda, M Claypool, A Gokhale, T Mir</t>
  </si>
  <si>
    <t>Combining Content-based and Collaborative Filters in an Online Newspaper</t>
  </si>
  <si>
    <t>https://web.cs.wpi.edu/~claypool/papers/content-collab/content-collab.pdf</t>
  </si>
  <si>
    <t>MUNIN</t>
  </si>
  <si>
    <t>S Andreassen, A Rosenfalck, B Falck</t>
  </si>
  <si>
    <t>MUNIN - an Expert EMG Assistant</t>
  </si>
  <si>
    <t>https://vbn.aau.dk/en/publications/munin-an-expert-emg-assistant-2</t>
  </si>
  <si>
    <t>Marvin Minsky, Seymour A. Papert</t>
  </si>
  <si>
    <t>Perceptrons: an introduction to computational geometry</t>
  </si>
  <si>
    <t>Learning in neural nets</t>
  </si>
  <si>
    <t>Unpublished?</t>
  </si>
  <si>
    <t>Theory of neural-analog reinforcement systems and its application to the brain model problem</t>
  </si>
  <si>
    <t>https://ebooks.ub.rug.nl/337/</t>
  </si>
  <si>
    <t>Prostrate cancer</t>
  </si>
  <si>
    <t>K Nagpal, D Foote, Y Liu, PHC Chen, E Wulczyn</t>
  </si>
  <si>
    <t>Development and validation of a deep learning algorithm for improving Gleason scoring of prostate cancer</t>
  </si>
  <si>
    <t>https://ai.googleblog.com/2018/11/improved-grading-of-prostate-cancer.html</t>
  </si>
  <si>
    <t>MIDAS</t>
  </si>
  <si>
    <t>Allan Leck Jensen, Finn Verner Jensen</t>
  </si>
  <si>
    <t>MIDAS - An Influence Diagram for Management of Mildew in Winter Wheat</t>
  </si>
  <si>
    <t>https://arxiv.org/abs/1302.3587</t>
  </si>
  <si>
    <t>Evolving LSTMs</t>
  </si>
  <si>
    <t>Sequence learning</t>
  </si>
  <si>
    <t>J Bayer, D Wierstra, J Togelius</t>
  </si>
  <si>
    <t>Evolving Memory Cell Structures for Sequence Learning</t>
  </si>
  <si>
    <t>https://link.springer.com/chapter/10.1007/978-3-642-04277-5_76</t>
  </si>
  <si>
    <t>StructBERT</t>
  </si>
  <si>
    <t>W Wang, B Bi, M Yan, C Wu, Z Bao, J Xia</t>
  </si>
  <si>
    <t>StructBERT: Incorporating Language Structures into Pre-training for Deep Language Understanding</t>
  </si>
  <si>
    <t>https://arxiv.org/abs/1908.04577</t>
  </si>
  <si>
    <t>Shuo Yang, Ping Luo, Chen-Change Loy, Xiaoou Tang</t>
  </si>
  <si>
    <t>WIDER FACE: A Face Detection Benchmark</t>
  </si>
  <si>
    <t>https://ieeexplore.ieee.org/document/7780965</t>
  </si>
  <si>
    <t>Not about learning</t>
  </si>
  <si>
    <t>MLP, CNN</t>
  </si>
  <si>
    <t>UC Irvine, University of Edinburgh, Ecole Polytechnique de Montreal, Universiy of Alberta, University of Washington, Microsoft Research</t>
  </si>
  <si>
    <t>Gregor Urban, Krzysztof J. Geras, Samira Ebrahimi Kahou, Ozlem Aslan, Shengjie Wang, Rich Caruana, Abdelrahman Mohamed, Matthai Philipose, Matt Richardson</t>
  </si>
  <si>
    <t>Do Deep Convolutional Nets Really Need to be Deep and Convolutional?</t>
  </si>
  <si>
    <t>https://arxiv.org/pdf/1603.05691.pdf</t>
  </si>
  <si>
    <t>DS2</t>
  </si>
  <si>
    <t>Baidu Research</t>
  </si>
  <si>
    <t>Joel Hestness, Sharan Narang, Newsha Ardalani, Gregory Diamos, Heewoo Jun, Hassan Kianinejad, Md. Mostofa Ali Patwary, Yang Yang, Yanqi Zhou</t>
  </si>
  <si>
    <t>Deep Learning Scaling is Predictable, Empirically</t>
  </si>
  <si>
    <t>https://arxiv.org/pdf/1712.00409</t>
  </si>
  <si>
    <t>ETH Zurich, Carnegie Mellon University, Google Research</t>
  </si>
  <si>
    <t>Wen Li, Limin Wang, Wei Li, Eirikur Agustsson, Jesse Berent, Abhinav Gupta, Rahul Sukthankar, Luc Van Gool</t>
  </si>
  <si>
    <t>WebVision Challenge: Visual Learning and Understanding With Web Data</t>
  </si>
  <si>
    <t>https://arxiv.org/pdf/1705.05640.pdf</t>
  </si>
  <si>
    <t>ETH Zurich, Google Research</t>
  </si>
  <si>
    <t>Wen Li, Limin Wang, Wei Li, Eirikur Agustsson, Luc Van Gool</t>
  </si>
  <si>
    <t>WebVision Database: Visual Learning and Understanding from Web Data</t>
  </si>
  <si>
    <t>https://arxiv.org/pdf/1708.02862.pdf</t>
  </si>
  <si>
    <t>CurriculumNet, Inception V2</t>
  </si>
  <si>
    <t>Malong Technologies</t>
  </si>
  <si>
    <t>Sheng Guo, Weilin Huang, Haozhi Zhang, Chenfan Zhuang, Dengke Dong, Matthew R. Scott, Dinglong Huang</t>
  </si>
  <si>
    <t>CurriculumNet: Weakly Supervised Learning from Large-Scale Web Images</t>
  </si>
  <si>
    <t>https://arxiv.org/pdf/1808.01097.pdf</t>
  </si>
  <si>
    <t>WebVision</t>
  </si>
  <si>
    <t>Christopher J. Shallue, Jaehoon Lee, Joseph Antognini, Jascha Sohl-Dickstein, Roy Frostig, George E. Dahl</t>
  </si>
  <si>
    <t>Measuring the Effects of Data Parallelism on Neural Network Training</t>
  </si>
  <si>
    <t>https://arxiv.org/pdf/1811.03600.pdf</t>
  </si>
  <si>
    <t>OpenAI, Johns Hopkins University</t>
  </si>
  <si>
    <t>Sam McCandlish, Jared Kaplan, Dario Amodei, OpenAI Dota Team</t>
  </si>
  <si>
    <t>An Empirical Model of Large-Batch Training</t>
  </si>
  <si>
    <t>https://arxiv.org/pdf/1812.06162.pdf</t>
  </si>
  <si>
    <t>Transformer-XL</t>
  </si>
  <si>
    <t>Language modeling</t>
  </si>
  <si>
    <t>MIT, York University, Harvard University, Neural Magic Inc, Tel Aviv University</t>
  </si>
  <si>
    <t>Jonathan S. Rosenfeld, Amir Rosenfeld, Yonatan Belinkov, Nir Shavit</t>
  </si>
  <si>
    <t>A Constructive Prediction of the Generalization Error Across Scales</t>
  </si>
  <si>
    <t>https://arxiv.org/pdf/1909.12673.pdf</t>
  </si>
  <si>
    <t>WikiText-103</t>
  </si>
  <si>
    <t>Georgia Insitute of Technology</t>
  </si>
  <si>
    <t>One Epoch Is All You Need</t>
  </si>
  <si>
    <t>https://arxiv.org/pdf/1906.06669.pdf</t>
  </si>
  <si>
    <t>LM1B</t>
  </si>
  <si>
    <t>Zhuohan Li, Eric Wallace, Sheng Shen, Kevin Lin, Kurt Keutzer, Dan Klein, Joseph E. Gonzalez</t>
  </si>
  <si>
    <t>Train Large, Then Compress: Rethinking Model Size for Efficient Training and Inference of Transformers</t>
  </si>
  <si>
    <t>https://arxiv.org/pdf/2002.11794.pdf</t>
  </si>
  <si>
    <t>Jorg Bornschein, Francesco Visin, Simon Osindero</t>
  </si>
  <si>
    <t>Small Data, Big Decisions: Model Selection in the Small-Data Regime</t>
  </si>
  <si>
    <t>https://arxiv.org/pdf/2009.12583.pdf</t>
  </si>
  <si>
    <t>Utkarsh Sharma, Jared Kaplan</t>
  </si>
  <si>
    <t>A Neural Scaling Law from the Dimension of the Data Manifold</t>
  </si>
  <si>
    <t>https://arxiv.org/pdf/2004.10802.pdf</t>
  </si>
  <si>
    <t>GPT-3 175B (Davinci)</t>
  </si>
  <si>
    <t>UC Berkeley, Columbia University, UChicago, UIUC</t>
  </si>
  <si>
    <t>Dan Hendrycks, Collin Burns, Steven Basart, Andy Zou, Mantas Mazeika, Dawn Song, Jacob Steinhardt</t>
  </si>
  <si>
    <t>Measuring Massive Multitask Language Understanding</t>
  </si>
  <si>
    <t>https://arxiv.org/pdf/2009.03300.pdf</t>
  </si>
  <si>
    <t>UC Berkeley, UChicago</t>
  </si>
  <si>
    <t>Dan Hendrycks, Collin Burns, Saurav Kadavath, Akul Arora, Steven Basart, Eric Tang, Dawn Song, Jacob Steinhardt</t>
  </si>
  <si>
    <t>Measuring Mathematical Problem Solving With the MATH Dataset</t>
  </si>
  <si>
    <t>https://arxiv.org/pdf/2103.03874.pdf</t>
  </si>
  <si>
    <t>MMT</t>
  </si>
  <si>
    <t>Lisa Anne Hendricks, John Mellor, Rosalia Schneider, Jean-Baptiste Alayrac, Aida Nematzadeh</t>
  </si>
  <si>
    <t>Decoupling the Role of Data, Attention, and Losses in Multimodal Transformers</t>
  </si>
  <si>
    <t>https://arxiv.org/pdf/2102.00529.pdf</t>
  </si>
  <si>
    <t>Danny Hernandez, Jared Kaplan, Tom Henighan, Sam McCandlish</t>
  </si>
  <si>
    <t>Scaling Laws for Transfer</t>
  </si>
  <si>
    <t>https://arxiv.org/pdf/2102.01293.pdf</t>
  </si>
  <si>
    <t>Behrooz Ghorbani, Orhan Firat, Markus Freitag, Ankur Bapna, Maxim Krikun, Xavier Garcia, Ciprian Chelba, Colin Cherry</t>
  </si>
  <si>
    <t>Scaling Laws for Neural Machine Translation</t>
  </si>
  <si>
    <t>https://arxiv.org/pdf/2109.07740.pdf</t>
  </si>
  <si>
    <t>Mitchell A Gordon, Kevin Duh, Jared Kaplan</t>
  </si>
  <si>
    <t>Data and Parameter Scaling Laws for Neural Machine Translation</t>
  </si>
  <si>
    <t>https://openreview.net/pdf?id=IKA7MLxsLSu</t>
  </si>
  <si>
    <t>GPT-3 1.3B (x1)</t>
  </si>
  <si>
    <t>OpenAi</t>
  </si>
  <si>
    <t>Jesse Michael Han, Igor Babuschkin, Harrison Edwards, Arvind Neelakantan, Tao Xu, Stanislas Polu, Alex Ray, Pranav Shyam, Aditya Ramesh, Alec Radford, Ilya Sutskever</t>
  </si>
  <si>
    <t>Unsupervised Neural Machine Translation with Generative Language Models Only</t>
  </si>
  <si>
    <t>https://arxiv.org/pdf/2110.05448.pdf</t>
  </si>
  <si>
    <t>Repeat</t>
  </si>
  <si>
    <t>RoBERTa (roberta-large)</t>
  </si>
  <si>
    <t>Hugging Face</t>
  </si>
  <si>
    <t>Teven Le Scao, Alexander M. Rush</t>
  </si>
  <si>
    <t>How Many Data Points is a Prompt Worth?</t>
  </si>
  <si>
    <t>https://arxiv.org/pdf/2103.08493.pdf</t>
  </si>
  <si>
    <t>Jacob Austin, Augustus Odena, Maxwell Nye, Maarten Bosma, Henryk Michalewski, David Dohan, Ellen Jiang, Carrie Cai, Michael Terry, Quoc Le, Charles Sutton</t>
  </si>
  <si>
    <t>Program Synthesis with Large Language Models</t>
  </si>
  <si>
    <t>https://arxiv.org/pdf/2108.07732.pdf</t>
  </si>
  <si>
    <t>Yao Dou, Maxwell Forbes, Rik Koncel-Kedziorski, Noah A. Smith, Yejin Choi</t>
  </si>
  <si>
    <t>Scarecrow: A Framework for Scrutinizing Machine Text</t>
  </si>
  <si>
    <t>https://arxiv.org/pdf/2107.01294.pdf</t>
  </si>
  <si>
    <t>Google Research, University of Pennsylvania</t>
  </si>
  <si>
    <t>Emily Reif, Daphne Ippolito, Ann Yuan, Andy Coenen, Chris Callison-Burch, Jason Wei</t>
  </si>
  <si>
    <t>A Recipe For Arbitrary Text Style Transfer with Large Language Models</t>
  </si>
  <si>
    <t>https://arxiv.org/pdf/2109.03910.pdf</t>
  </si>
  <si>
    <t>GPT-3 175B</t>
  </si>
  <si>
    <t>Karl Cobbe, Vineet Kosaraju, Mohammad Bavarian, Jacob Hilton, Reiichiro Nakano, Christopher Hesse, John Schulman</t>
  </si>
  <si>
    <t>Training Verifiers to Solve Math Word Problems</t>
  </si>
  <si>
    <t>https://arxiv.org/pdf/2110.14168.pdf</t>
  </si>
  <si>
    <t>Peter West, Chandra Bhagavatula, Jack Hessel, Jena D. Hwang, Liwei Jiang, Ronan Le Bras, Ximing Lu, Sean Welleck, Yejin Choi</t>
  </si>
  <si>
    <t>Symbolic Knowledge Distillation: from General Language Models to Commonsense Models</t>
  </si>
  <si>
    <t>https://arxiv.org/pdf/2110.07178.pdf</t>
  </si>
  <si>
    <t>ResNet</t>
  </si>
  <si>
    <t>MIT CSAIL</t>
  </si>
  <si>
    <t>Jonathan S. Rosenfeld, Jonathan Frankle, Michael Carbin, Nir Shavit</t>
  </si>
  <si>
    <t>On the Predictability of Pruning Across Scales</t>
  </si>
  <si>
    <t>https://arxiv.org/pdf/2006.10621.pdf</t>
  </si>
  <si>
    <t>Alex Warstadt, Yian Zhang, Haau-Sing Li, Haokun Liu, Samuel R. Bowman</t>
  </si>
  <si>
    <t>Learning Which Features Matter: RoBERTa Acquires a Preference for Linguistic Generalizations (Eventually)</t>
  </si>
  <si>
    <t>https://arxiv.org/pdf/2010.05358.pdf</t>
  </si>
  <si>
    <t>Leo Z. Liu, Yizhong Wang, Jungo Kasai, Hannaneh Hajishirzi, Noah A. Smith</t>
  </si>
  <si>
    <t>Probing Across Time: What Does RoBERTa Know and When?</t>
  </si>
  <si>
    <t>https://arxiv.org/pdf/2104.07885.pdf</t>
  </si>
  <si>
    <t>Soravit Changpinyo, Piyush Sharma, Nan Ding, Radu Soricut</t>
  </si>
  <si>
    <t>Conceptual 12M: Pushing Web-Scale Image-Text Pre-Training To Recognize Long-Tail Visual Concepts</t>
  </si>
  <si>
    <t>https://arxiv.org/pdf/2102.08981.pdf</t>
  </si>
  <si>
    <t>GrokNet (ResNeXt-101)</t>
  </si>
  <si>
    <t>Sean Bell, Yiqun Liu, Sami Alsheikh, Yina Tang, Ed Pizzi, M. Henning, Karun Singh, Omkar Parkhi, Fedor Borisyuk</t>
  </si>
  <si>
    <t>GrokNet: Unified Computer Vision Model Trunk and Embeddings For Commerce</t>
  </si>
  <si>
    <t>https://www.gwern.net/docs/ai/2020-bell.pdf#facebook</t>
  </si>
  <si>
    <t>Maria Tsimpoukelli, Jacob Menick, Serkan Cabi, S. M. Ali Eslami, Oriol Vinyals, Felix Hill</t>
  </si>
  <si>
    <t>Multimodal Few-Shot Learning with Frozen Language Models</t>
  </si>
  <si>
    <t>https://arxiv.org/pdf/2106.13884.pdf</t>
  </si>
  <si>
    <t>ViT-Base</t>
  </si>
  <si>
    <t>Pinterest</t>
  </si>
  <si>
    <t>Josh Beal, Hao-Yu Wu, Dong Huk Park, Andrew Zhai, Dmitry Kislyuk</t>
  </si>
  <si>
    <t>Billion-Scale Pretraining with Vision Transformers for Multi-Task Visual Representations</t>
  </si>
  <si>
    <t>https://arxiv.org/pdf/2108.05887.pdf</t>
  </si>
  <si>
    <t>ViT_L/16</t>
  </si>
  <si>
    <t>Stanislav Fort, Jie Ren, Balaji Lakshminarayanan</t>
  </si>
  <si>
    <t>Exploring the Limits of Out-of-Distribution Detection</t>
  </si>
  <si>
    <t>https://arxiv.org/pdf/2106.03004.pdf</t>
  </si>
  <si>
    <t>Vit_L</t>
  </si>
  <si>
    <t>University of Tübingen, International Max Planck Research School for Intelligent Systems</t>
  </si>
  <si>
    <t>Robert Geirhos, Kantharaju Narayanappa, Benjamin Mitzkus, Tizian Thieringer, Matthias Bethge, Felix A. Wichmann, Wieland Brendel</t>
  </si>
  <si>
    <t>Partial success in closing the gap between human and machine vision</t>
  </si>
  <si>
    <t>https://arxiv.org/pdf/2106.07411.pdf</t>
  </si>
  <si>
    <t>ViT</t>
  </si>
  <si>
    <t>Anonymous</t>
  </si>
  <si>
    <t>Effect of scale on catastrophic forgetting in neural networks</t>
  </si>
  <si>
    <t>https://openreview.net/pdf?id=GhVS8_yPeEa</t>
  </si>
  <si>
    <t>ViT-B/32</t>
  </si>
  <si>
    <t>Samira Abnar, Mostafa Dehghani, Behnam Neyshabur, Hanie Sedghi</t>
  </si>
  <si>
    <t>Exploring the Limits of Large Scale Pre-training</t>
  </si>
  <si>
    <t>https://arxiv.org/pdf/2110.02095.pdf</t>
  </si>
  <si>
    <t>Rishi Bommasani, Drew A. Hudson, Ehsan Adeli, Russ Altman, Simran Arora, Sydney von Arx, Michael S. Bernstein, Jeannette Bohg, Antoine Bosselut, Emma Brunskill, Erik Brynjolfsson, Shyamal Buch, Dallas Card, Rodrigo Castellon, Niladri Chatterji, Annie Chen, Kathleen Creel, Jared Quincy Davis, Dora Demszky, Chris Donahue, Moussa Doumbouya, Esin Durmus, Stefano Ermon, John Etchemendy, Kawin Ethayarajh, Li Fei-Fei, Chelsea Finn, Trevor Gale, Lauren Gillespie, Karan Goel, Noah Goodman, Shelby Grossman, Neel Guha, Tatsunori Hashimoto, Peter Henderson, John Hewitt, Daniel E. Ho, Jenny Hong, Kyle Hsu, Jing Huang, Thomas Icard, Saahil Jain, Dan Jurafsky, Pratyusha Kalluri, Siddharth Karamcheti, Geoff Keeling, Fereshte Khani, Omar Khattab, Pang Wei Koh, Mark Krass, Ranjay Krishna, Rohith Kuditipudi, Ananya Kumar, Faisal Ladhak, Mina Lee, Tony Lee, Jure Leskovec, Isabelle Levent, Xiang Lisa Li, Xuechen Li, Tengyu Ma, Ali Malik, Christopher D. Manning, Suvir Mirchandani, Eric Mitchell, Zanele Munyikwa, Suraj Nair, Avanika Narayan, Deepak Narayanan, Ben Newman, Allen Nie, Juan Carlos Niebles, Hamed Nilforoshan, Julian Nyarko, Giray Ogut, Laurel Orr, Isabel Papadimitriou, Joon Sung Park, Chris Piech, Eva Portelance, Christopher Potts, Aditi Raghunathan, Rob Reich, Hongyu Ren, Frieda Rong, Yusuf Roohani, Camilo Ruiz, Jack Ryan, Christopher Ré, Dorsa Sadigh, Shiori Sagawa, Keshav Santhanam, Andy Shih, Krishnan Srinivasan, Alex Tamkin, Rohan Taori, Armin W. Thomas, Florian Tramèr, Rose E. Wang, William Wang et al. (14 additional authors not shown)</t>
  </si>
  <si>
    <t>On the Opportunities and Risks of Foundation Models</t>
  </si>
  <si>
    <t>https://arxiv.org/pdf/2108.07258.pdf</t>
  </si>
  <si>
    <t>Microsoft Research, Stanford University</t>
  </si>
  <si>
    <t>Sébastien Bubeck, Mark Sellke</t>
  </si>
  <si>
    <t>A Universal Law of Robustness via Isoperimetry</t>
  </si>
  <si>
    <t>https://arxiv.org/pdf/2105.12806.pdf</t>
  </si>
  <si>
    <t>ResNet-50</t>
  </si>
  <si>
    <t>Seoul National University, NVIDIA Research, Microsoft Research</t>
  </si>
  <si>
    <t>Sangho Lee, Jiwan Chung, Youngjae Yu, Gunhee Kim, Thomas Breuel, Gal Chechik, Yale Song</t>
  </si>
  <si>
    <t>ACAV100M: Automatic Curation of Large-Scale Datasets for Audio-Visual Video Representation Learning</t>
  </si>
  <si>
    <t>https://arxiv.org/pdf/2101.10803.pdf</t>
  </si>
  <si>
    <t>APC Model</t>
  </si>
  <si>
    <t>Jasha Droppo, Oguz Elibol</t>
  </si>
  <si>
    <t>Scaling Laws for Acoustic Models</t>
  </si>
  <si>
    <t>https://arxiv.org/pdf/2106.09488.pdf</t>
  </si>
  <si>
    <t>Andy L. Jones</t>
  </si>
  <si>
    <t>Scaling Scaling Laws with Board Games</t>
  </si>
  <si>
    <t>https://arxiv.org/pdf/2104.03113.pdf</t>
  </si>
  <si>
    <t>DeepMind, UCL</t>
  </si>
  <si>
    <t>David Silver, Thomas Hubert, Julian Schrittwieser, Ioannis Antonoglou, Matthew Lai, Arthur Guez, MArc Lanctot, Laurent Sifre, Dharshan Kumaran, Thore Graepel, Timothy Lillicrap, KarenSimonyan, Demis Hassabis</t>
  </si>
  <si>
    <t>A general reinforcement learning, algorithm that masters chess, shogi, and Go through self-play</t>
  </si>
  <si>
    <t>https://www.gwern.net/docs/reinforcement-learning/alphago/2018-silver.pdf#deepmind</t>
  </si>
  <si>
    <t>Julian Schrittwieser, Thomas Hubert, Amol Mandhane, Mohammadamin Barekatain, Ioannis Antonoglou, David Silver</t>
  </si>
  <si>
    <t>Online and Offline Reinforcement Learning by Planning with a Learned Model</t>
  </si>
  <si>
    <t>https://arxiv.org/pdf/2104.06294.pdf</t>
  </si>
  <si>
    <t>Daniel M. Ziegler, Nisan Stiennon, Jeffrey Wu, Tom B. Brown, Alec Radford, Dario Amodei, Paul Christiano, Geoffrey Irving</t>
  </si>
  <si>
    <t>Fine-Tuning Language Models from Human Preferences</t>
  </si>
  <si>
    <t>https://arxiv.org/pdf/1909.08593.pdf</t>
  </si>
  <si>
    <t>XLMR</t>
  </si>
  <si>
    <t>Alexis Conneau, Kartikay Khandelwal, Naman Goyal, Vishrav Chaudhary, Guillaume Wenzek, Francisco Guzmán, Edouard Grave, Myle Ott, Luke Zettlemoyer, Veselin Stoyanov</t>
  </si>
  <si>
    <t>Unsupervised Cross-lingual Representation Learning at Scale</t>
  </si>
  <si>
    <t>RegNetY-500MF --&gt; 16GF</t>
  </si>
  <si>
    <t>Piotr Dollár, Mannat Singh, Ross Girshick</t>
  </si>
  <si>
    <t>Fast and Accurate Model Scaling</t>
  </si>
  <si>
    <t>https://arxiv.org/pdf/2103.06877.pdf</t>
  </si>
  <si>
    <t>MLP-Mixer</t>
  </si>
  <si>
    <t>Ilya Tolstikhin, Neil Houlsby, Alexander Kolesnikov, Lucas Beyer, Xiaohua Zhai, Thomas Unterthiner, Jessica Yung, Andreas Steiner, Daniel Keysers, Jakob Uszkoreit, Mario Lucic, Alexey Dosovitskiy</t>
  </si>
  <si>
    <t>MLP-Mixer: An all-MLP Architecture for Vision</t>
  </si>
  <si>
    <t>https://arxiv.org/pdf/2105.01601.pdf</t>
  </si>
  <si>
    <t>gMLP</t>
  </si>
  <si>
    <t>Hanxiao Liu, Zihang Dai, David R. So, Quoc V. Le</t>
  </si>
  <si>
    <t>Pay Attention to MLPs</t>
  </si>
  <si>
    <t>https://arxiv.org/pdf/2105.08050.pdf</t>
  </si>
  <si>
    <t>OBSO</t>
  </si>
  <si>
    <t>Siqi Liu, Guy Lever, Zhe Wang, Josh Merel, S. M. Ali Eslami, Daniel Hennes, Wojciech M. Czarnecki, Yuval Tassa, Shayegan Omidshafiei, Abbas Abdolmaleki, Noah Y. Siegel, Leonard Hasenclever, Luke Marris, Saran Tunyasuvunakool, H. Francis Song, Markus Wulfmeier, Paul Muller, Tuomas Haarnoja, Brendan D. Tracey, Karl Tuyls, Thore Graepel, Nicolas Heess</t>
  </si>
  <si>
    <t>16 Aug 2021]</t>
  </si>
  <si>
    <t>From Motor Control to Team Play in Simulated Humanoid Football</t>
  </si>
  <si>
    <t>https://arxiv.org/pdf/2105.12196.pdf</t>
  </si>
  <si>
    <t>GPT-3</t>
  </si>
  <si>
    <t>Nisan Stiennon, Long Ouyang, Jeff Wu, Daniel M. Ziegler, Ryan Lowe, Chelsea Voss, Alec Radford, Dario Amodei, Paul Christiano</t>
  </si>
  <si>
    <t>Learning to summarize from human feedback</t>
  </si>
  <si>
    <t>https://arxiv.org/pdf/2009.01325.pdf</t>
  </si>
  <si>
    <t>BriVL</t>
  </si>
  <si>
    <t>Renmin Univeristy of China, Chinese Academy of Sciences</t>
  </si>
  <si>
    <t>Yuqi Huo, Manli Zhang, Guangzhen Liu, Haoyu Lu, Yizhao Gao, Guoxing Yang, Jingyuan Wen, Heng Zhang, Baogui Xu, Weihao Zheng, Zongzheng Xi, Yueqian Yang, Anwen Hu, Jinming Zhao, Ruichen Li, Yida Zhao, Liang Zhang, Yuqing Song, Xin Hong, Wanqing Cui, Danyang Hou, Yingyan Li, Junyi Li, Peiyu Liu, Zheng Gong, Chuhao Jin, Yuchong Sun, Shizhe Chen, Zhiwu Lu, Zhicheng Dou, Qin Jin, Yanyan Lan, Wayne Xin Zhao, Ruihua Song, Ji-Rong Wen</t>
  </si>
  <si>
    <t>WenLan: Bridging Vision and Language by Large-Scale Multi-Modal Pre-Training</t>
  </si>
  <si>
    <t>https://arxiv.org/pdf/2103.06561.pdf</t>
  </si>
  <si>
    <t>wav2vec 2.0</t>
  </si>
  <si>
    <t>Changhan Wang, Morgane Rivière, Ann Lee, Anne Wu, Chaitanya Talnikar, Daniel Haziza, Mary Williamson, Juan Pino, Emmanuel Dupoux</t>
  </si>
  <si>
    <t>VoxPopuli: A Large-Scale Multilingual Speech Corpus for Representation Learning, Semi-Supervised Learning and Interpretation</t>
  </si>
  <si>
    <t>https://arxiv.org/pdf/2101.00390.pdf</t>
  </si>
  <si>
    <t>XLSR (wav2vec 2.0)</t>
  </si>
  <si>
    <t>Alexis Conneau, Alexei Baevski, Ronan Collobert, Abdelrahman Mohamed, Michael Auli</t>
  </si>
  <si>
    <t>Unsupervised Cross-lingual Representation Learning for Speech Recognition</t>
  </si>
  <si>
    <t>https://arxiv.org/pdf/2006.13979.pdf</t>
  </si>
  <si>
    <t>GShard</t>
  </si>
  <si>
    <t>Bo Li, Ruoming Pang, Tara N. Sainath, Anmol Gulati, Yu Zhang, James Qin, Parisa Haghani, W. Ronny Huang, Min Ma, Junwen Bai</t>
  </si>
  <si>
    <t>Scaling End-to-End Models for Large-Scale Multilingual ASR</t>
  </si>
  <si>
    <t>https://arxiv.org/pdf/2104.14830.pdf</t>
  </si>
  <si>
    <t>BigGAN-deep</t>
  </si>
  <si>
    <t>Alex Nichol, Prafulla Dhariwal</t>
  </si>
  <si>
    <t>Improved Denoising Diffusion Probabilistic Models</t>
  </si>
  <si>
    <t>https://arxiv.org/pdf/2102.09672.pdf</t>
  </si>
  <si>
    <t>ResNet-18</t>
  </si>
  <si>
    <t>Non primary model</t>
  </si>
  <si>
    <t>ILSVRC 2010</t>
  </si>
  <si>
    <t>ResNet-34</t>
  </si>
  <si>
    <t>ILSVRC 2011</t>
  </si>
  <si>
    <t>ResNet-50 (ImageNet)</t>
  </si>
  <si>
    <t>ResNet-101 (ImageNet)</t>
  </si>
  <si>
    <t>Microsoft Reserch</t>
  </si>
  <si>
    <t>Lockheed Palo Alto Research Laboratory</t>
  </si>
  <si>
    <t>Fischler &amp; Elschlager</t>
  </si>
  <si>
    <t>The Representation and Matching of Pictorial Structures</t>
  </si>
  <si>
    <t>https://ieeexplore.ieee.org/abstract/document/1672195/</t>
  </si>
  <si>
    <t>3D Solid Perceptron</t>
  </si>
  <si>
    <t>Lawrence Gilman Roberts</t>
  </si>
  <si>
    <t>Machine Perception of Three-Dimensional Solids</t>
  </si>
  <si>
    <t>https://dspace.mit.edu/bitstream/handle/1721.1/11589/33959125-MIT.pdf</t>
  </si>
  <si>
    <t>NEO</t>
  </si>
  <si>
    <t>Dheevatsa Mudigere, Yuchen Hao, Jianyu Huang, Zhihao Jia, Andrew Tulloch, Srinivas Sridharan, Xing Liu, Mustafa Ozdal, Jade Nie, Jongsoo Park, Liang Luo, Jie Amy Yang, Leon Gao, Dmytro Ivchenko, Aarti Basant, Yuxi Hu, Jiyan Yang, Ehsan K. Ardestani, Xiaodong Wang, Rakesh Komuravelli, Ching-Hsiang Chu, Serhat Yilmaz, Huayu Li, Jiyuan Qian, Zhuobo Feng, Yinbin Ma, Junjie Yang, Ellie Wen, Hong Li, Lin Yang, Chonglin Sun, Whitney Zhao, Dimitry Melts, Krishna Dhulipala, KR Kishore, Tyler Graf, Assaf Eisenman, Kiran Kumar Matam, Adi Gangidi, Guoqiang Jerry Chen, Manoj Krishnan, Avinash Nayak, Krishnakumar Nair, Bharath Muthiah, Mahmoud khorashadi, Pallab Bhattacharya, Petr Lapukhov, Maxim Naumov, Ajit Mathews, Lin Qiao, Mikhail Smelyanskiy, Bill Jia, Vijay Rao</t>
  </si>
  <si>
    <t>HICOR</t>
  </si>
  <si>
    <t>University der Sherbrooke</t>
  </si>
  <si>
    <t>F Kabanza, P Bellefeuille, F Bisson</t>
  </si>
  <si>
    <t>Opponent Behaviour Recognition for Real-Time Strategy Games</t>
  </si>
  <si>
    <t>https://www.aaai.org/ocs/index.php/WS/AAAIW10/paper/view/2024/2444</t>
  </si>
  <si>
    <t>Not influential</t>
  </si>
  <si>
    <t>MLP-based NN breaks MNIST record</t>
  </si>
  <si>
    <t>IDSIA, Univeristy of Lugano and SUPSI</t>
  </si>
  <si>
    <t>Dan Claudiu Ciresan, Ueli Meier, Luca Maria Gambardella, and Jürgen Schmidhuber</t>
  </si>
  <si>
    <t>Deep Big Multilayer Perceptrons For Digit Recognition</t>
  </si>
  <si>
    <t>https://people.idsia.ch//~ciresan/data/NNtricks.pdf</t>
  </si>
  <si>
    <t>Previous work has more citations</t>
  </si>
  <si>
    <t>Main project milestones</t>
  </si>
  <si>
    <t>Status</t>
  </si>
  <si>
    <t>Side projects</t>
  </si>
  <si>
    <t>Owner</t>
  </si>
  <si>
    <t>PHASE 0</t>
  </si>
  <si>
    <t>System curation</t>
  </si>
  <si>
    <t>Notability guidelines</t>
  </si>
  <si>
    <t>Jaime</t>
  </si>
  <si>
    <t>PHASE 0.1</t>
  </si>
  <si>
    <t>Write notability criteria</t>
  </si>
  <si>
    <t>DONE</t>
  </si>
  <si>
    <t>Project to ask researchers</t>
  </si>
  <si>
    <t>Lennart</t>
  </si>
  <si>
    <t>PHASE 0.2</t>
  </si>
  <si>
    <t>Compile one representative paper for each year in the period 1990-2021 and each main domain (vision, language, games)</t>
  </si>
  <si>
    <t>PARTIALLY DONE</t>
  </si>
  <si>
    <t>Post on training compute vs parameter counts</t>
  </si>
  <si>
    <t>PHASE 1</t>
  </si>
  <si>
    <t>PHASE 1.0</t>
  </si>
  <si>
    <t>Write a guideline on counting parameters</t>
  </si>
  <si>
    <t>POSTPONED</t>
  </si>
  <si>
    <t>Post on performance vs citations</t>
  </si>
  <si>
    <t>Pablo</t>
  </si>
  <si>
    <t>CANCELLED</t>
  </si>
  <si>
    <t>PHASE 1.1</t>
  </si>
  <si>
    <t>Compile previous work on parameters</t>
  </si>
  <si>
    <t>PHASE 1.2</t>
  </si>
  <si>
    <t>Add remaining information until we have &gt;100 datapoints</t>
  </si>
  <si>
    <t>PHASE 1.3</t>
  </si>
  <si>
    <t>Write up</t>
  </si>
  <si>
    <t>PHASE 2</t>
  </si>
  <si>
    <t>Training + inference compute</t>
  </si>
  <si>
    <t>PHASE 2.0</t>
  </si>
  <si>
    <t>Write a guideline on estimating compute</t>
  </si>
  <si>
    <t>IN PROGRESS</t>
  </si>
  <si>
    <t>PHASE 2.1</t>
  </si>
  <si>
    <t>Compile previous work</t>
  </si>
  <si>
    <t>PHASE 2.2</t>
  </si>
  <si>
    <t>PHASE 2.3</t>
  </si>
  <si>
    <t>Write up trend analysis</t>
  </si>
  <si>
    <t>PHASE 3</t>
  </si>
  <si>
    <t>Datasets + dataset size</t>
  </si>
  <si>
    <t>PHASE 3.0</t>
  </si>
  <si>
    <t>Write a guideline on estimating dataset size</t>
  </si>
  <si>
    <t>PHASE 3.1</t>
  </si>
  <si>
    <t>PHASE 3.2</t>
  </si>
  <si>
    <t>PHASE 3.3</t>
  </si>
  <si>
    <t>Write up trends in dataset size</t>
  </si>
  <si>
    <t>PHASE 4</t>
  </si>
  <si>
    <t>Final report</t>
  </si>
  <si>
    <t>Annotate pink papers</t>
  </si>
  <si>
    <t>Add papers from MNIST</t>
  </si>
  <si>
    <r>
      <rPr>
        <sz val="10"/>
        <rFont val="宋体"/>
        <charset val="134"/>
      </rPr>
      <t xml:space="preserve">Add papers from </t>
    </r>
    <r>
      <rPr>
        <u/>
        <sz val="10"/>
        <color rgb="FF1155CC"/>
        <rFont val="宋体"/>
        <charset val="134"/>
      </rPr>
      <t>https://scholar.google.com/citations?hl=en&amp;user=gLnCTgIAAAAJ&amp;view_op=list_works</t>
    </r>
  </si>
  <si>
    <r>
      <rPr>
        <sz val="10"/>
        <rFont val="宋体"/>
        <charset val="134"/>
      </rPr>
      <t xml:space="preserve">Add papers from </t>
    </r>
    <r>
      <rPr>
        <u/>
        <sz val="10"/>
        <color rgb="FF1155CC"/>
        <rFont val="宋体"/>
        <charset val="134"/>
      </rPr>
      <t>https://old.reddit.com/r/mlscaling/</t>
    </r>
  </si>
  <si>
    <r>
      <rPr>
        <sz val="10"/>
        <rFont val="宋体"/>
        <charset val="134"/>
      </rPr>
      <t xml:space="preserve">Add papers from </t>
    </r>
    <r>
      <rPr>
        <u/>
        <sz val="10"/>
        <color rgb="FF1155CC"/>
        <rFont val="宋体"/>
        <charset val="134"/>
      </rPr>
      <t>https://www.sciencedirect.com/science/article/pii/S0893608014002135</t>
    </r>
  </si>
  <si>
    <t xml:space="preserve">Add training compute of main CV systems (AlexNet, R-CNN, LRCN, YOLO, inception, resnet) </t>
  </si>
  <si>
    <t>Add highly relevant citation data using Semantic Scholar API</t>
  </si>
  <si>
    <t>Annotate papers with the type of information they have (GPU-days? Forward compute? etc)</t>
  </si>
  <si>
    <t>Write summary for Ajeya Cotra's report, focusing on explaining horizon length</t>
  </si>
  <si>
    <r>
      <rPr>
        <sz val="10"/>
        <rFont val="宋体"/>
        <charset val="134"/>
      </rPr>
      <t xml:space="preserve">Double check our data against </t>
    </r>
    <r>
      <rPr>
        <u/>
        <sz val="10"/>
        <color rgb="FF1155CC"/>
        <rFont val="宋体"/>
        <charset val="134"/>
      </rPr>
      <t>https://github.com/kingoflolz/mesh-transformer-jax/</t>
    </r>
  </si>
  <si>
    <r>
      <rPr>
        <sz val="10"/>
        <rFont val="宋体"/>
        <charset val="134"/>
      </rPr>
      <t xml:space="preserve">Add papers from </t>
    </r>
    <r>
      <rPr>
        <u/>
        <sz val="10"/>
        <color rgb="FF1155CC"/>
        <rFont val="宋体"/>
        <charset val="134"/>
      </rPr>
      <t>https://www.davidsilver.uk/wp-content/uploads/2020/03/games.pdf</t>
    </r>
  </si>
  <si>
    <t>Add voice conversion winners to the dataset</t>
  </si>
  <si>
    <t>Add information on neural graph processing</t>
  </si>
  <si>
    <r>
      <rPr>
        <sz val="10"/>
        <rFont val="宋体"/>
        <charset val="134"/>
      </rPr>
      <t xml:space="preserve">Add forward pass compute info in figure 10 of </t>
    </r>
    <r>
      <rPr>
        <u/>
        <sz val="10"/>
        <color rgb="FF1155CC"/>
        <rFont val="宋体"/>
        <charset val="134"/>
      </rPr>
      <t>https://arxiv.org/pdf/2103.00020.pdf</t>
    </r>
  </si>
  <si>
    <t>Build a tool to compute parameters and inference compute for a TF model</t>
  </si>
  <si>
    <r>
      <rPr>
        <sz val="10"/>
        <rFont val="宋体"/>
        <charset val="134"/>
      </rPr>
      <t xml:space="preserve">Add data from </t>
    </r>
    <r>
      <rPr>
        <u/>
        <sz val="10"/>
        <color rgb="FF1155CC"/>
        <rFont val="宋体"/>
        <charset val="134"/>
      </rPr>
      <t>https://arxiv.org/pdf/2007.05558.pdf</t>
    </r>
  </si>
  <si>
    <r>
      <rPr>
        <sz val="10"/>
        <rFont val="宋体"/>
        <charset val="134"/>
      </rPr>
      <t xml:space="preserve">Add data from </t>
    </r>
    <r>
      <rPr>
        <u/>
        <sz val="10"/>
        <color rgb="FF1155CC"/>
        <rFont val="宋体"/>
        <charset val="134"/>
      </rPr>
      <t>https://arxiv.org/pdf/1701.06538.pdf</t>
    </r>
  </si>
  <si>
    <t>Add papers from NIPS with &gt;1000 citations</t>
  </si>
  <si>
    <t>Make a list of deepmind's most cited papers</t>
  </si>
  <si>
    <t>Make a list of open AI most cited papers</t>
  </si>
  <si>
    <t>Make a list of FAIR most cited papers</t>
  </si>
  <si>
    <t>Fix formatting of the table</t>
  </si>
  <si>
    <t>Archive references</t>
  </si>
  <si>
    <r>
      <rPr>
        <sz val="10"/>
        <rFont val="宋体"/>
        <charset val="134"/>
      </rPr>
      <t xml:space="preserve">See Microsoft systems in </t>
    </r>
    <r>
      <rPr>
        <u/>
        <sz val="10"/>
        <color rgb="FF1155CC"/>
        <rFont val="宋体"/>
        <charset val="134"/>
      </rPr>
      <t>https://www.microsoft.com/en-us/research/blog/</t>
    </r>
  </si>
  <si>
    <r>
      <rPr>
        <sz val="10"/>
        <rFont val="宋体"/>
        <charset val="134"/>
      </rPr>
      <t xml:space="preserve">Make this work with our visualization </t>
    </r>
    <r>
      <rPr>
        <u/>
        <sz val="10"/>
        <color rgb="FF1155CC"/>
        <rFont val="宋体"/>
        <charset val="134"/>
      </rPr>
      <t>https://colab.research.google.com/notebooks/data_table.ipynb#scrollTo=jcQEX_3vHOUz</t>
    </r>
  </si>
  <si>
    <t>Add capability to plot compute vs parameters to visualization</t>
  </si>
  <si>
    <t>FInd more reliable references for the Wu Dao data</t>
  </si>
  <si>
    <t>Extract all Elsevier articles with &gt;1000 citations</t>
  </si>
  <si>
    <t>Add &gt;1000 citations papers from Papers With Code to our dataset</t>
  </si>
  <si>
    <t>Scale up survey / send it to more authors</t>
  </si>
  <si>
    <t>prototype finished</t>
  </si>
  <si>
    <r>
      <rPr>
        <sz val="10"/>
        <rFont val="宋体"/>
        <charset val="134"/>
      </rPr>
      <t xml:space="preserve">Add papers from </t>
    </r>
    <r>
      <rPr>
        <u/>
        <sz val="10"/>
        <color rgb="FF1155CC"/>
        <rFont val="宋体"/>
        <charset val="134"/>
      </rPr>
      <t>https://resources.wolframcloud.com/NeuralNetRepository/</t>
    </r>
  </si>
  <si>
    <t>JS</t>
  </si>
  <si>
    <t>Add more GPUs and clarify confusion around some specs</t>
  </si>
  <si>
    <t>Amogh</t>
  </si>
  <si>
    <r>
      <rPr>
        <sz val="10"/>
        <rFont val="宋体"/>
        <charset val="134"/>
      </rPr>
      <t xml:space="preserve">Add bibliographic data from </t>
    </r>
    <r>
      <rPr>
        <u/>
        <sz val="10"/>
        <color rgb="FF1155CC"/>
        <rFont val="宋体"/>
        <charset val="134"/>
      </rPr>
      <t>computerprogress.com</t>
    </r>
  </si>
  <si>
    <t>Tamay</t>
  </si>
  <si>
    <t>Note impressions on information reported on a dozen papers</t>
  </si>
  <si>
    <t xml:space="preserve">Add data on a couple papers </t>
  </si>
  <si>
    <t>Annotate papers with company vs university</t>
  </si>
  <si>
    <t>Marius</t>
  </si>
  <si>
    <t xml:space="preserve">Write in article recommendations on utilization rate to use </t>
  </si>
  <si>
    <t>Write recommendation on profilers to use</t>
  </si>
  <si>
    <t>Write method 3 to estimate compute using a profiler</t>
  </si>
  <si>
    <t>Anson</t>
  </si>
  <si>
    <t>Write notability criteria weaknesses</t>
  </si>
  <si>
    <t>Write uncertainties about trends in compute</t>
  </si>
  <si>
    <t>Add R2 and other metrics for linear fit in visualization</t>
  </si>
  <si>
    <t>Add era shade visualization</t>
  </si>
  <si>
    <t>Investigate relation between performance and citations</t>
  </si>
  <si>
    <t>ON HOLD</t>
  </si>
  <si>
    <t>Create guidelines to compute inference + training compute</t>
  </si>
  <si>
    <t>DRAFTED</t>
  </si>
  <si>
    <t>Complete parameters and training compute for main DM papers (QLearning, AlphaGo, AlphaZero, MuZero, AlphaStar)</t>
  </si>
  <si>
    <r>
      <rPr>
        <sz val="10"/>
        <rFont val="宋体"/>
        <charset val="134"/>
      </rPr>
      <t xml:space="preserve">Add data from </t>
    </r>
    <r>
      <rPr>
        <u/>
        <sz val="10"/>
        <color rgb="FF1155CC"/>
        <rFont val="宋体"/>
        <charset val="134"/>
      </rPr>
      <t>https://computerprogress.com/tasks/image-classification/imagenet</t>
    </r>
  </si>
  <si>
    <t>Experiments on GPU utilization rate</t>
  </si>
  <si>
    <t>Write blogpost on how to estimate the utilization rate</t>
  </si>
  <si>
    <t>Table on GPU in "Estimate Compute" blogpost</t>
  </si>
  <si>
    <t>Write down inclusion guidelines</t>
  </si>
  <si>
    <t>Learn more about dropout rate and the effect of compute data (does it matter?)</t>
  </si>
  <si>
    <r>
      <rPr>
        <sz val="10"/>
        <rFont val="宋体"/>
        <charset val="134"/>
      </rPr>
      <t xml:space="preserve">Add all papers from </t>
    </r>
    <r>
      <rPr>
        <u/>
        <sz val="10"/>
        <color rgb="FF1155CC"/>
        <rFont val="宋体"/>
        <charset val="134"/>
      </rPr>
      <t>https://www.gwern.net/notes/Scaling</t>
    </r>
  </si>
  <si>
    <t>Create G drive with all project documentation</t>
  </si>
  <si>
    <r>
      <rPr>
        <sz val="10"/>
        <rFont val="宋体"/>
        <charset val="134"/>
      </rPr>
      <t xml:space="preserve">Add data from update to </t>
    </r>
    <r>
      <rPr>
        <u/>
        <sz val="10"/>
        <color rgb="FF1155CC"/>
        <rFont val="宋体"/>
        <charset val="134"/>
      </rPr>
      <t>https://github.com/lightonai/akronomicon/pull/6</t>
    </r>
  </si>
  <si>
    <r>
      <rPr>
        <sz val="10"/>
        <rFont val="宋体"/>
        <charset val="134"/>
      </rPr>
      <t xml:space="preserve">Send email to Gabriel from </t>
    </r>
    <r>
      <rPr>
        <u/>
        <sz val="10"/>
        <color rgb="FF1155CC"/>
        <rFont val="宋体"/>
        <charset val="134"/>
      </rPr>
      <t>computerprogress.com</t>
    </r>
    <r>
      <rPr>
        <sz val="10"/>
        <rFont val="宋体"/>
        <charset val="134"/>
      </rPr>
      <t xml:space="preserve"> to clarify the metrics and references used</t>
    </r>
  </si>
  <si>
    <t>Fix the visualization to match domain colors and trend color</t>
  </si>
  <si>
    <t>DONE (?)</t>
  </si>
  <si>
    <t>Add compute data from Open AI's AI and Compute appendix on efficient models</t>
  </si>
  <si>
    <t>Add references from comment in Lennarts post</t>
  </si>
  <si>
    <t>Identify papers in Tamay's data with more than 1k citations</t>
  </si>
  <si>
    <r>
      <rPr>
        <sz val="10"/>
        <rFont val="宋体"/>
        <charset val="134"/>
      </rPr>
      <t xml:space="preserve">Add parameters from </t>
    </r>
    <r>
      <rPr>
        <u/>
        <sz val="10"/>
        <color rgb="FF1155CC"/>
        <rFont val="宋体"/>
        <charset val="134"/>
      </rPr>
      <t>https://openai.com/blog/image-gpt/</t>
    </r>
  </si>
  <si>
    <t>Add NLP papers from Rados Dataset</t>
  </si>
  <si>
    <t>Figure out multadds vs flops in Rados data</t>
  </si>
  <si>
    <t>Send survey to 10 people</t>
  </si>
  <si>
    <t>Prepare survey to ask people</t>
  </si>
  <si>
    <t>Add author names, dates and links to references where missing</t>
  </si>
  <si>
    <t>Send email to AI and compute about compute estimate</t>
  </si>
  <si>
    <r>
      <rPr>
        <sz val="10"/>
        <rFont val="宋体"/>
        <charset val="134"/>
      </rPr>
      <t xml:space="preserve">Add data from </t>
    </r>
    <r>
      <rPr>
        <u/>
        <sz val="10"/>
        <color rgb="FF1155CC"/>
        <rFont val="宋体"/>
        <charset val="134"/>
      </rPr>
      <t>https://docs.google.com/spreadsheets/d/1Kj4Q5WADcDXtUJLIOfGTCE3tGvxNczEMwyy8QtgSkHk/edit#gid=54587040&amp;fvid=1361937389</t>
    </r>
  </si>
  <si>
    <t>Add information on citation numbers</t>
  </si>
  <si>
    <r>
      <rPr>
        <sz val="10"/>
        <rFont val="宋体"/>
        <charset val="134"/>
      </rPr>
      <t xml:space="preserve">Add papers from </t>
    </r>
    <r>
      <rPr>
        <u/>
        <sz val="10"/>
        <color rgb="FF1155CC"/>
        <rFont val="宋体"/>
        <charset val="134"/>
      </rPr>
      <t>https://github.com/terryum/awesome-deep-learning-papers</t>
    </r>
  </si>
  <si>
    <t>Add data from Akronomicon</t>
  </si>
  <si>
    <t>Matthew</t>
  </si>
  <si>
    <t>Add information from Rados dataset</t>
  </si>
  <si>
    <t>Add information for games in 2010-2012</t>
  </si>
  <si>
    <t>Add information from OpenAI's AI and compute post</t>
  </si>
  <si>
    <t>Classify "Previous Work"</t>
  </si>
  <si>
    <t>Highly influential citations</t>
  </si>
  <si>
    <t>Milestone</t>
  </si>
  <si>
    <t>Median</t>
  </si>
  <si>
    <t>https://www.sciencedirect.com/science/article/pii/S0019995859900580</t>
  </si>
  <si>
    <t>Possibly first theoretical suggestion of NNs</t>
  </si>
  <si>
    <t>https://www.computer.org/csdl/proceedings-article/afips/1959/50550225/12OmNqN6R43</t>
  </si>
  <si>
    <t>Standford University</t>
  </si>
  <si>
    <t>https://apps.dtic.mil/sti/pdfs/AD0241531.pdf</t>
  </si>
  <si>
    <t>https://link.springer.com/content/pdf/10.1007/BF02822639.pdf</t>
  </si>
  <si>
    <t>http://citeseerx.ist.psu.edu/viewdoc/download?doi=10.1.1.474.2430&amp;rep=rep1&amp;type=pdf</t>
  </si>
  <si>
    <t>http://www.svms.org/classification/DuHS95.pdf</t>
  </si>
  <si>
    <t>https://bi.snu.ac.kr/Courses/g-ai09-2/hopfield82.pdf</t>
  </si>
  <si>
    <t>https://ieeexplore.ieee.org/document/6313077</t>
  </si>
  <si>
    <t>https://apps.dtic.mil/sti/citations/ADA164453</t>
  </si>
  <si>
    <t>https://ieeexplore.ieee.org/abstract/document/4767851</t>
  </si>
  <si>
    <t>https://www.nature.com/articles/323533a0</t>
  </si>
  <si>
    <t>http://stanford.edu/~jlmcc/papers/PDP/Chapter18.pdf</t>
  </si>
  <si>
    <t>https://www-isl.stanford.edu/~widrow/papers/c1988madalinerule.pdf</t>
  </si>
  <si>
    <t>https://www-isl.stanford.edu/people/widrow/papers/c1988anadaptive.pdf</t>
  </si>
  <si>
    <t>https://link.springer.com/article/10.1007/BF00114844</t>
  </si>
  <si>
    <t>https://link.springer.com/article/10.1007/BF00992696</t>
  </si>
  <si>
    <t>https://www.aclweb.org/anthology/J93-2003/</t>
  </si>
  <si>
    <t>https://www.aclweb.org/anthology/J94-2001/</t>
  </si>
  <si>
    <t>http://ccs.mit.edu/papers/CCSWP165.html</t>
  </si>
  <si>
    <t>http://image.diku.dk/imagecanon/material/cortes_vapnik95.pdf</t>
  </si>
  <si>
    <t>https://www.aclweb.org/anthology/P95-1026/</t>
  </si>
  <si>
    <t>&gt;5000 citations</t>
  </si>
  <si>
    <t>https://www.aclweb.org/anthology/C96-2141/</t>
  </si>
  <si>
    <t>https://www.ri.cmu.edu/pub_files/pub1/rowley_henry_1996_3/rowley_henry_1996_3.pdf</t>
  </si>
  <si>
    <t>LessWrong</t>
  </si>
  <si>
    <t>Philip Clarkson &amp; Ronald Rosenfeld</t>
  </si>
  <si>
    <t>https://www.isca-speech.org/archive/eurospeech_1997/e97_2707.html</t>
  </si>
  <si>
    <t>http://www.bioinf.jku.at/publications/older/2604.pdf</t>
  </si>
  <si>
    <t>Cambridge</t>
  </si>
  <si>
    <t>Historial relevance</t>
  </si>
  <si>
    <t xml:space="preserve">Cornell University </t>
  </si>
  <si>
    <t>https://aclanthology.org/J99-2009.pdf</t>
  </si>
  <si>
    <t>NIST</t>
  </si>
  <si>
    <t>https://www.aclweb.org/anthology/P00-1065/</t>
  </si>
  <si>
    <t>https://www.aclweb.org/anthology/P00-1056/</t>
  </si>
  <si>
    <t>https://www.jstor.org/stable/2699986</t>
  </si>
  <si>
    <t>https://www.aclweb.org/anthology/P01-1017/</t>
  </si>
  <si>
    <t>https://www.aclweb.org/anthology/P02-1038/</t>
  </si>
  <si>
    <t>https://aclanthology.org/P02-1040.pdf</t>
  </si>
  <si>
    <t>https://www.sciencedirect.com/science/article/pii/S0957417402000520</t>
  </si>
  <si>
    <t>https://www.aclweb.org/anthology/W02-1001/</t>
  </si>
  <si>
    <t>https://www.aclweb.org/anthology/W02-1018.pdf</t>
  </si>
  <si>
    <t>https://www.aclweb.org/anthology/W02-1011/</t>
  </si>
  <si>
    <t>http://www.cs.umd.edu/~samir/498/Amazon-Recommendations.pdf</t>
  </si>
  <si>
    <t>https://www.jmlr.org/papers/volume3/bengio03a/bengio03a.pdf</t>
  </si>
  <si>
    <t>https://www.aclweb.org/anthology/N03-1017/</t>
  </si>
  <si>
    <t>https://www.aclweb.org/anthology/P04-1036/</t>
  </si>
  <si>
    <t>https://web.archive.org/web/20050909192933/http://www.darpa.mil/grandchallenge04/TeamTechPapers/RedTeamFinalTP.pdf</t>
  </si>
  <si>
    <t>https://www.aclweb.org/anthology/P05-1033.pdf</t>
  </si>
  <si>
    <t>Stanley /DARPA Grand Challenge 2)</t>
  </si>
  <si>
    <t>http://robots.stanford.edu/papers/thrun.stanley05.pdf</t>
  </si>
  <si>
    <t>http://yann.lecun.com/exdb/publis/pdf/chopra-05.pdf</t>
  </si>
  <si>
    <t>http://machinelearning.wustl.edu/mlpapers/paper_files/NIPS2006_739.pdf</t>
  </si>
  <si>
    <t>https://proceedings.neurips.cc/paper/2007/file/0d3180d672e08b4c5312dcdafdf6ef36-Paper.pdf</t>
  </si>
  <si>
    <t>https://www.ri.cmu.edu/pub_files/pub4/urmson_christopher_2008_1/urmson_christopher_2008_1.pdf</t>
  </si>
  <si>
    <t>https://citeseerx.ist.psu.edu/viewdoc/download?doi=10.1.1.142.9009&amp;rep=rep1&amp;type=pdf</t>
  </si>
  <si>
    <t>https://www.cs.uic.edu/~liub/KDD-cup-2007/proceedings/Regular-Paterek.pdf</t>
  </si>
  <si>
    <t>https://www.cs.toronto.edu/~ranzato/publications/ranzato-icml08.pdf</t>
  </si>
  <si>
    <t>https://www2.seas.gwu.edu/~simhaweb/champalg/cf/papers/ProgressPrize2008_BigChaos.pdf</t>
  </si>
  <si>
    <t>University of Pittsburgh</t>
  </si>
  <si>
    <t>https://www.aclweb.org/anthology/J09-3003/</t>
  </si>
  <si>
    <t>https://datajobs.com/data-science-repo/Recommender-Systems-[Netflix].pdf</t>
  </si>
  <si>
    <t>https://grail.cs.washington.edu/rome/rome_paper.pdf</t>
  </si>
  <si>
    <t>http://citeseerx.ist.psu.edu/viewdoc/download?doi=10.1.1.149.802&amp;rep=rep1&amp;type=pdf</t>
  </si>
  <si>
    <t>http://sanghv.com/download/soft/machine%20learning,%20artificial%20intelligence,%20mathematics%20ebooks/ML/learning%20deep%20architectures%20for%20AI%20(2009).pdf</t>
  </si>
  <si>
    <t>http://proceedings.mlr.press/v5/salakhutdinov09a</t>
  </si>
  <si>
    <t>https://www.netflixprize.com/assets/ProgressPrize2008_BellKor.pdf</t>
  </si>
  <si>
    <t>https://www.aclweb.org/anthology/P09-1010/</t>
  </si>
  <si>
    <t>https://www.netflixprize.com/assets/GrandPrize2009_BPC_BellKor.pdf</t>
  </si>
  <si>
    <t>https://www.netflixprize.com/assets/GrandPrize2009_BPC_BigChaos.pdf</t>
  </si>
  <si>
    <t>https://www.netflixprize.com/assets/GrandPrize2009_BPC_PragmaticTheory.pdf</t>
  </si>
  <si>
    <t>http://machinelearning.wustl.edu/mlpapers/paper_files/AISTATS2010_ErhanCBV10.pdf</t>
  </si>
  <si>
    <t>https://web.archive.org/web/20211123180817/http://proceedings.mlr.press/v9/glorot10a/glorot10a.pdf</t>
  </si>
  <si>
    <t>http://www.csri.utoronto.ca/~hinton/absps/guideTR.pdf</t>
  </si>
  <si>
    <t>http://ece.duke.edu/~lcarin/boureau-cvpr-10.pdf</t>
  </si>
  <si>
    <t>http://citeseerx.ist.psu.edu/viewdoc/download?doi=10.1.1.297.3484&amp;rep=rep1&amp;type=pdf</t>
  </si>
  <si>
    <t>https://www.fit.vutbr.cz/research/groups/speech/publi/2010/mikolov_interspeech2010_IS100722.pdf</t>
  </si>
  <si>
    <t>Univeristy of Montreal, University of Illinois at Urbana- Champaigne</t>
  </si>
  <si>
    <t>https://www.aclweb.org/anthology/P10-1040/</t>
  </si>
  <si>
    <t>https://web.archive.org/web/20210819175548/https://www.matthewzeiler.com/mattzeiler/deconvolutionalnetworks.pdf</t>
  </si>
  <si>
    <t>Google Incc</t>
  </si>
  <si>
    <t>Univeristy of Michigan, Stanford University</t>
  </si>
  <si>
    <t>http://machinelearning.wustl.edu/mlpapers/paper_files/AISTATS2011_CoatesNL11.pdf</t>
  </si>
  <si>
    <t>https://www.aclweb.org/anthology/P11-1061/</t>
  </si>
  <si>
    <t>First backprop-trained CNN?</t>
  </si>
  <si>
    <t>Univeristy of Maryland, College Park</t>
  </si>
  <si>
    <t>https://www.aclweb.org/anthology/D11-1014/</t>
  </si>
  <si>
    <t>https://jmlr.org/papers/volume12/duchi11a/duchi11a.pdf</t>
  </si>
  <si>
    <t>x% improvement over SOTA in MNIST</t>
  </si>
  <si>
    <t>http://emotion.inrialpes.fr/people/synnaeve/index_files/BayesianUnit.pdf</t>
  </si>
  <si>
    <t>Googlw</t>
  </si>
  <si>
    <r>
      <rPr>
        <sz val="10"/>
        <color rgb="FF000000"/>
        <rFont val="Roboto Condensed"/>
        <charset val="134"/>
      </rPr>
      <t>Yuri Lin, Jean-Baptiste Michel, Erez Lieberman Aiden, Jon Orwant, Will Brockman and Slav Petro</t>
    </r>
    <r>
      <rPr>
        <sz val="12"/>
        <color rgb="FF000000"/>
        <rFont val="Arial"/>
        <charset val="134"/>
      </rPr>
      <t>v</t>
    </r>
  </si>
  <si>
    <t>Karlsrhue Institute of Technology, Toyota Technological Institute at Chicago</t>
  </si>
  <si>
    <t>&gt;78000 citations</t>
  </si>
  <si>
    <t>https://dl.acm.org/doi/10.5555/2999325.2999464</t>
  </si>
  <si>
    <t>PwC</t>
  </si>
  <si>
    <t>http://www.huppelen.nl/publications/selectiveSearchDraft.pdf</t>
  </si>
  <si>
    <t>https://papers.nips.cc/paper/2013/file/b337e84de8752b27eda3a12363109e80-Paper.pdf</t>
  </si>
  <si>
    <t>&gt;11k citations</t>
  </si>
  <si>
    <t>https://arxiv.org/pdf/1312.5602.pdf</t>
  </si>
  <si>
    <t>http://proceedings.mlr.press/v28/goodfellow13</t>
  </si>
  <si>
    <t>Variational Autoencoders</t>
  </si>
  <si>
    <t>&gt;17000 citations</t>
  </si>
  <si>
    <t>https://www.aaai.org/ocs/index.php/WS/AAAIW14/paper/viewFile/8811/8351</t>
  </si>
  <si>
    <t>https://static.googleusercontent.com/media/research.google.com/en//pubs/archive/42455.pdf</t>
  </si>
  <si>
    <t>GloVe</t>
  </si>
  <si>
    <t>Wikipedia 2014 + Gigaword 5</t>
  </si>
  <si>
    <t>&gt;3000 citations</t>
  </si>
  <si>
    <t>http://www.cs.utoronto.ca/~hinton/absps/ruhijournal.pdf</t>
  </si>
  <si>
    <t>&gt;16000 citations</t>
  </si>
  <si>
    <t>IT University of Copenhagen, Microsoft</t>
  </si>
  <si>
    <t>&gt;1000 citations</t>
  </si>
  <si>
    <t>https://research.fb.com/wp-content/uploads/2016/11/practical-lessons-from-predicting-clicks-on-ads-at-facebook.pdf</t>
  </si>
  <si>
    <t>Seq2Seq</t>
  </si>
  <si>
    <t>&gt;10000 citations</t>
  </si>
  <si>
    <t>Univeristy of Amsterdam, University of Toronto</t>
  </si>
  <si>
    <t>https://ieeexplore.ieee.org/abstract/document/7005506?casa_token=dV-WbgBHQkcAAAAA:8-qRXcSaQBA2nVYJ-fP6W9c1BeB1fUY0bEChAGa2rWsCv4oXtUSiG9hklfBb6jV4cFRbyZcpMtj0</t>
  </si>
  <si>
    <t>&gt;22000 citations</t>
  </si>
  <si>
    <t>&gt;9000 citations</t>
  </si>
  <si>
    <t>https://ieeexplore.ieee.org/document/7298594</t>
  </si>
  <si>
    <t>&gt;49000 citations</t>
  </si>
  <si>
    <t xml:space="preserve">Is this supposed to be in this row? </t>
  </si>
  <si>
    <t>More than &gt;1000 citations in the 2015-2019 period according to Google Scholar</t>
  </si>
  <si>
    <t>https://static.googleusercontent.com/media/research.google.com/en//pubs/archive/45530.pdf</t>
  </si>
  <si>
    <t>&gt;2000 citations</t>
  </si>
  <si>
    <t>Carnagie Mellon University</t>
  </si>
  <si>
    <t>https://www.nature.com/articles/nature24270</t>
  </si>
  <si>
    <t>https://arxiv.org/pdf/1707.02968.pdf</t>
  </si>
  <si>
    <t>https://ieeexplore.ieee.org/document/8237667/citations#citations</t>
  </si>
  <si>
    <t>https://allennlp.org/elmo</t>
  </si>
  <si>
    <t>AmoebaNet-A</t>
  </si>
  <si>
    <t>https://paperswithcode.com/paper/exploring-the-limits-of-weakly-supervised</t>
  </si>
  <si>
    <t>https://arxiv.org/pdf/1812.00332.pdf</t>
  </si>
  <si>
    <t>Google, Stanford</t>
  </si>
  <si>
    <t>https://arxiv.org/pdf/1807.11626.pdf</t>
  </si>
  <si>
    <t>19M utterences</t>
  </si>
  <si>
    <t>Megatron-LM</t>
  </si>
  <si>
    <t>https://arxiv.org/pdf/1903.11059.pdf</t>
  </si>
  <si>
    <t>https://openai.com/blog/solving-rubiks-cube/</t>
  </si>
  <si>
    <t>https://www.nature.com/articles/s41586-019-1724-z.epdf</t>
  </si>
  <si>
    <t>Univeersity of Oxford</t>
  </si>
  <si>
    <t xml:space="preserve">NAVER AI Lab &amp; Yonsei University &amp; Swiss Federal Institute of Technology &amp; </t>
  </si>
  <si>
    <t>DOTA 5v5</t>
  </si>
  <si>
    <t>DotA</t>
  </si>
  <si>
    <t>Daniel Adiwardana, Minh-Thang Luong, David R. So, Jamie Hall, Noah Fiedel, Romal Thoppilan, Zi Yang, Apoorv Kulshreshtha, Gaurav Nemade, Yifeng Lu, Quoc V. Le</t>
  </si>
  <si>
    <t>https://ai.googleblog.com/2020/01/towards-conversational-agent-that-can.html</t>
  </si>
  <si>
    <t>https://arxiv.org/pdf/2002.02925.pdf</t>
  </si>
  <si>
    <t>https://ojs.aaai.org/index.php/AAAI/article/view/7000</t>
  </si>
  <si>
    <t>Carnegie Mellon, Google Brain</t>
  </si>
  <si>
    <t>Open AI, UC Berkeley</t>
  </si>
  <si>
    <t>Uber AI, Open AI</t>
  </si>
  <si>
    <t>Language Models are Few-Shot Learners</t>
  </si>
  <si>
    <t xml:space="preserve">MIT-IBM Watson AI Lab, </t>
  </si>
  <si>
    <t>https://arxiv.org/pdf/1908.09791.pdf</t>
  </si>
  <si>
    <t>wave2vec 2.0</t>
  </si>
  <si>
    <t>https://arxiv.org/pdf/2006.11477.pdf</t>
  </si>
  <si>
    <t>https://arxiv.org/pdf/2010.11929.pdf</t>
  </si>
  <si>
    <t>Atari, Go, Chess, Shogi</t>
  </si>
  <si>
    <t>Julian Schrittwieser, Ioannis Antonoglou, Thomas Hubert, Karen Simonyan, Laurent Sifre, Simon Schmitt, Arthur Guez, Edward Lockhart, Demis Hassabis, Thore Graepel, Timothy Lillicrap &amp; David Silver</t>
  </si>
  <si>
    <t>Mastering Atari, Go, chess and shogi by planning with a learned model</t>
  </si>
  <si>
    <t>https://deepmind.com/blog/article/muzero-mastering-go-chess-shogi-and-atari-without-rules</t>
  </si>
  <si>
    <t>https://arxiv.org/abs/2012.15520v1</t>
  </si>
  <si>
    <t>https://arxiv.org/pdf/2006.03654.pdf</t>
  </si>
  <si>
    <t>http://arxiv.org/abs/2109.08668</t>
  </si>
  <si>
    <t>https://arxiv.org/pdf/2109.13226.pdf</t>
  </si>
  <si>
    <t>https://arxiv.org/pdf/2109.05217.pdf</t>
  </si>
  <si>
    <t>https://arxiv.org/abs/2102.09407v1</t>
  </si>
  <si>
    <t>https://arxiv.org/pdf/2004.13637.pdf</t>
  </si>
  <si>
    <t>https://arxiv.org/pdf/2105.15082.pdf</t>
  </si>
  <si>
    <t>Technical Univeristy of Munich, Med AI Technology, Google AI, NVIDIA, Oak Ridge National Laboratory</t>
  </si>
  <si>
    <t>https://blog.google/technology/ai/lamda/</t>
  </si>
  <si>
    <t>LSUN Bedroom model</t>
  </si>
  <si>
    <t>https://arxiv.org/pdf/2006.11239.pdf</t>
  </si>
  <si>
    <t>https://arxiv.org/pdf/2106.07447.pdf</t>
  </si>
  <si>
    <t>https://arxiv.org/pdf/2103.01988.pdf</t>
  </si>
  <si>
    <t>Important context</t>
  </si>
  <si>
    <t>https://arxiv.org/pdf/2105.00572.pdf</t>
  </si>
  <si>
    <t>Fine-tuned Language Models Are Zero-Shot Learners</t>
  </si>
  <si>
    <r>
      <rPr>
        <sz val="10"/>
        <color rgb="FF333333"/>
        <rFont val="Roboto Condensed"/>
        <charset val="134"/>
      </rPr>
      <t>Victor Sanh</t>
    </r>
    <r>
      <rPr>
        <sz val="10"/>
        <color rgb="FF333333"/>
        <rFont val="Roboto Condensed"/>
        <charset val="134"/>
      </rPr>
      <t xml:space="preserve">, </t>
    </r>
    <r>
      <rPr>
        <sz val="10"/>
        <color rgb="FF333333"/>
        <rFont val="Roboto Condensed"/>
        <charset val="134"/>
      </rPr>
      <t>Albert Webson</t>
    </r>
    <r>
      <rPr>
        <sz val="10"/>
        <color rgb="FF333333"/>
        <rFont val="Roboto Condensed"/>
        <charset val="134"/>
      </rPr>
      <t xml:space="preserve">, </t>
    </r>
    <r>
      <rPr>
        <sz val="10"/>
        <color rgb="FF333333"/>
        <rFont val="Roboto Condensed"/>
        <charset val="134"/>
      </rPr>
      <t>Colin Raffel</t>
    </r>
    <r>
      <rPr>
        <sz val="10"/>
        <color rgb="FF333333"/>
        <rFont val="Roboto Condensed"/>
        <charset val="134"/>
      </rPr>
      <t xml:space="preserve">, </t>
    </r>
    <r>
      <rPr>
        <sz val="10"/>
        <color rgb="FF333333"/>
        <rFont val="Roboto Condensed"/>
        <charset val="134"/>
      </rPr>
      <t>Stephen H. Bach</t>
    </r>
    <r>
      <rPr>
        <sz val="10"/>
        <color rgb="FF333333"/>
        <rFont val="Roboto Condensed"/>
        <charset val="134"/>
      </rPr>
      <t xml:space="preserve">, </t>
    </r>
    <r>
      <rPr>
        <sz val="10"/>
        <color rgb="FF333333"/>
        <rFont val="Roboto Condensed"/>
        <charset val="134"/>
      </rPr>
      <t>Lintang Sutawika</t>
    </r>
    <r>
      <rPr>
        <sz val="10"/>
        <color rgb="FF333333"/>
        <rFont val="Roboto Condensed"/>
        <charset val="134"/>
      </rPr>
      <t xml:space="preserve">, </t>
    </r>
    <r>
      <rPr>
        <sz val="10"/>
        <color rgb="FF333333"/>
        <rFont val="Roboto Condensed"/>
        <charset val="134"/>
      </rPr>
      <t>Zaid Alyafeai</t>
    </r>
    <r>
      <rPr>
        <sz val="10"/>
        <color rgb="FF333333"/>
        <rFont val="Roboto Condensed"/>
        <charset val="134"/>
      </rPr>
      <t xml:space="preserve">, </t>
    </r>
    <r>
      <rPr>
        <sz val="10"/>
        <color rgb="FF333333"/>
        <rFont val="Roboto Condensed"/>
        <charset val="134"/>
      </rPr>
      <t>Antoine Chaffin</t>
    </r>
    <r>
      <rPr>
        <sz val="10"/>
        <color rgb="FF333333"/>
        <rFont val="Roboto Condensed"/>
        <charset val="134"/>
      </rPr>
      <t xml:space="preserve">, </t>
    </r>
    <r>
      <rPr>
        <sz val="10"/>
        <color rgb="FF333333"/>
        <rFont val="Roboto Condensed"/>
        <charset val="134"/>
      </rPr>
      <t>Arnaud Stiegler</t>
    </r>
    <r>
      <rPr>
        <sz val="10"/>
        <color rgb="FF333333"/>
        <rFont val="Roboto Condensed"/>
        <charset val="134"/>
      </rPr>
      <t xml:space="preserve">, </t>
    </r>
    <r>
      <rPr>
        <sz val="10"/>
        <color rgb="FF333333"/>
        <rFont val="Roboto Condensed"/>
        <charset val="134"/>
      </rPr>
      <t>Teven Le Scao</t>
    </r>
    <r>
      <rPr>
        <sz val="10"/>
        <color rgb="FF333333"/>
        <rFont val="Roboto Condensed"/>
        <charset val="134"/>
      </rPr>
      <t xml:space="preserve">, </t>
    </r>
    <r>
      <rPr>
        <sz val="10"/>
        <color rgb="FF333333"/>
        <rFont val="Roboto Condensed"/>
        <charset val="134"/>
      </rPr>
      <t>Arun Raja</t>
    </r>
    <r>
      <rPr>
        <sz val="10"/>
        <color rgb="FF333333"/>
        <rFont val="Roboto Condensed"/>
        <charset val="134"/>
      </rPr>
      <t xml:space="preserve">, </t>
    </r>
    <r>
      <rPr>
        <sz val="10"/>
        <color rgb="FF333333"/>
        <rFont val="Roboto Condensed"/>
        <charset val="134"/>
      </rPr>
      <t>Manan Dey</t>
    </r>
    <r>
      <rPr>
        <sz val="10"/>
        <color rgb="FF333333"/>
        <rFont val="Roboto Condensed"/>
        <charset val="134"/>
      </rPr>
      <t xml:space="preserve">, </t>
    </r>
    <r>
      <rPr>
        <sz val="10"/>
        <color rgb="FF333333"/>
        <rFont val="Roboto Condensed"/>
        <charset val="134"/>
      </rPr>
      <t>M Saiful Bari</t>
    </r>
    <r>
      <rPr>
        <sz val="10"/>
        <color rgb="FF333333"/>
        <rFont val="Roboto Condensed"/>
        <charset val="134"/>
      </rPr>
      <t xml:space="preserve">, </t>
    </r>
    <r>
      <rPr>
        <sz val="10"/>
        <color rgb="FF333333"/>
        <rFont val="Roboto Condensed"/>
        <charset val="134"/>
      </rPr>
      <t>Canwen Xu</t>
    </r>
    <r>
      <rPr>
        <sz val="10"/>
        <color rgb="FF333333"/>
        <rFont val="Roboto Condensed"/>
        <charset val="134"/>
      </rPr>
      <t xml:space="preserve">, </t>
    </r>
    <r>
      <rPr>
        <sz val="10"/>
        <color rgb="FF333333"/>
        <rFont val="Roboto Condensed"/>
        <charset val="134"/>
      </rPr>
      <t>Urmish Thakker</t>
    </r>
    <r>
      <rPr>
        <sz val="10"/>
        <color rgb="FF333333"/>
        <rFont val="Roboto Condensed"/>
        <charset val="134"/>
      </rPr>
      <t xml:space="preserve">, </t>
    </r>
    <r>
      <rPr>
        <sz val="10"/>
        <color rgb="FF333333"/>
        <rFont val="Roboto Condensed"/>
        <charset val="134"/>
      </rPr>
      <t>Shanya Sharma Sharma</t>
    </r>
    <r>
      <rPr>
        <sz val="10"/>
        <color rgb="FF333333"/>
        <rFont val="Roboto Condensed"/>
        <charset val="134"/>
      </rPr>
      <t xml:space="preserve">, </t>
    </r>
    <r>
      <rPr>
        <sz val="10"/>
        <color rgb="FF333333"/>
        <rFont val="Roboto Condensed"/>
        <charset val="134"/>
      </rPr>
      <t>Eliza Szczechla</t>
    </r>
    <r>
      <rPr>
        <sz val="10"/>
        <color rgb="FF333333"/>
        <rFont val="Roboto Condensed"/>
        <charset val="134"/>
      </rPr>
      <t xml:space="preserve">, </t>
    </r>
    <r>
      <rPr>
        <sz val="10"/>
        <color rgb="FF333333"/>
        <rFont val="Roboto Condensed"/>
        <charset val="134"/>
      </rPr>
      <t>Taewoon Kim</t>
    </r>
    <r>
      <rPr>
        <sz val="10"/>
        <color rgb="FF333333"/>
        <rFont val="Roboto Condensed"/>
        <charset val="134"/>
      </rPr>
      <t xml:space="preserve">, </t>
    </r>
    <r>
      <rPr>
        <sz val="10"/>
        <color rgb="FF333333"/>
        <rFont val="Roboto Condensed"/>
        <charset val="134"/>
      </rPr>
      <t>Gunjan Chhablani</t>
    </r>
    <r>
      <rPr>
        <sz val="10"/>
        <color rgb="FF333333"/>
        <rFont val="Roboto Condensed"/>
        <charset val="134"/>
      </rPr>
      <t xml:space="preserve">, </t>
    </r>
    <r>
      <rPr>
        <sz val="10"/>
        <color rgb="FF333333"/>
        <rFont val="Roboto Condensed"/>
        <charset val="134"/>
      </rPr>
      <t>Nihal Nayak</t>
    </r>
    <r>
      <rPr>
        <sz val="10"/>
        <color rgb="FF333333"/>
        <rFont val="Roboto Condensed"/>
        <charset val="134"/>
      </rPr>
      <t xml:space="preserve">, </t>
    </r>
    <r>
      <rPr>
        <sz val="10"/>
        <color rgb="FF333333"/>
        <rFont val="Roboto Condensed"/>
        <charset val="134"/>
      </rPr>
      <t>Debajyoti Datta</t>
    </r>
    <r>
      <rPr>
        <sz val="10"/>
        <color rgb="FF333333"/>
        <rFont val="Roboto Condensed"/>
        <charset val="134"/>
      </rPr>
      <t xml:space="preserve">, </t>
    </r>
    <r>
      <rPr>
        <sz val="10"/>
        <color rgb="FF333333"/>
        <rFont val="Roboto Condensed"/>
        <charset val="134"/>
      </rPr>
      <t>Jonathan Chang</t>
    </r>
    <r>
      <rPr>
        <sz val="10"/>
        <color rgb="FF333333"/>
        <rFont val="Roboto Condensed"/>
        <charset val="134"/>
      </rPr>
      <t xml:space="preserve">, </t>
    </r>
    <r>
      <rPr>
        <sz val="10"/>
        <color rgb="FF333333"/>
        <rFont val="Roboto Condensed"/>
        <charset val="134"/>
      </rPr>
      <t>Mike Tian-Jian Jiang</t>
    </r>
    <r>
      <rPr>
        <sz val="10"/>
        <color rgb="FF333333"/>
        <rFont val="Roboto Condensed"/>
        <charset val="134"/>
      </rPr>
      <t xml:space="preserve">, </t>
    </r>
    <r>
      <rPr>
        <sz val="10"/>
        <color rgb="FF333333"/>
        <rFont val="Roboto Condensed"/>
        <charset val="134"/>
      </rPr>
      <t>Han Wang</t>
    </r>
    <r>
      <rPr>
        <sz val="10"/>
        <color rgb="FF333333"/>
        <rFont val="Roboto Condensed"/>
        <charset val="134"/>
      </rPr>
      <t xml:space="preserve">, </t>
    </r>
    <r>
      <rPr>
        <sz val="10"/>
        <color rgb="FF333333"/>
        <rFont val="Roboto Condensed"/>
        <charset val="134"/>
      </rPr>
      <t>Matteo Manica</t>
    </r>
    <r>
      <rPr>
        <sz val="10"/>
        <color rgb="FF333333"/>
        <rFont val="Roboto Condensed"/>
        <charset val="134"/>
      </rPr>
      <t xml:space="preserve">, </t>
    </r>
    <r>
      <rPr>
        <sz val="10"/>
        <color rgb="FF333333"/>
        <rFont val="Roboto Condensed"/>
        <charset val="134"/>
      </rPr>
      <t>Sheng Shen</t>
    </r>
    <r>
      <rPr>
        <sz val="10"/>
        <color rgb="FF333333"/>
        <rFont val="Roboto Condensed"/>
        <charset val="134"/>
      </rPr>
      <t xml:space="preserve">, </t>
    </r>
    <r>
      <rPr>
        <sz val="10"/>
        <color rgb="FF333333"/>
        <rFont val="Roboto Condensed"/>
        <charset val="134"/>
      </rPr>
      <t>Zheng Xin Yong</t>
    </r>
    <r>
      <rPr>
        <sz val="10"/>
        <color rgb="FF333333"/>
        <rFont val="Roboto Condensed"/>
        <charset val="134"/>
      </rPr>
      <t xml:space="preserve">, </t>
    </r>
    <r>
      <rPr>
        <sz val="10"/>
        <color rgb="FF333333"/>
        <rFont val="Roboto Condensed"/>
        <charset val="134"/>
      </rPr>
      <t>Harshit Pandey</t>
    </r>
    <r>
      <rPr>
        <sz val="10"/>
        <color rgb="FF333333"/>
        <rFont val="Roboto Condensed"/>
        <charset val="134"/>
      </rPr>
      <t xml:space="preserve">, </t>
    </r>
    <r>
      <rPr>
        <sz val="10"/>
        <color rgb="FF333333"/>
        <rFont val="Roboto Condensed"/>
        <charset val="134"/>
      </rPr>
      <t>Rachel Bawden</t>
    </r>
    <r>
      <rPr>
        <sz val="10"/>
        <color rgb="FF333333"/>
        <rFont val="Roboto Condensed"/>
        <charset val="134"/>
      </rPr>
      <t xml:space="preserve">, </t>
    </r>
    <r>
      <rPr>
        <sz val="10"/>
        <color rgb="FF333333"/>
        <rFont val="Roboto Condensed"/>
        <charset val="134"/>
      </rPr>
      <t>Thomas Wang</t>
    </r>
    <r>
      <rPr>
        <sz val="10"/>
        <color rgb="FF333333"/>
        <rFont val="Roboto Condensed"/>
        <charset val="134"/>
      </rPr>
      <t xml:space="preserve">, </t>
    </r>
    <r>
      <rPr>
        <sz val="10"/>
        <color rgb="FF333333"/>
        <rFont val="Roboto Condensed"/>
        <charset val="134"/>
      </rPr>
      <t>Trishala Neeraj</t>
    </r>
    <r>
      <rPr>
        <sz val="10"/>
        <color rgb="FF333333"/>
        <rFont val="Roboto Condensed"/>
        <charset val="134"/>
      </rPr>
      <t xml:space="preserve">, </t>
    </r>
    <r>
      <rPr>
        <sz val="10"/>
        <color rgb="FF333333"/>
        <rFont val="Roboto Condensed"/>
        <charset val="134"/>
      </rPr>
      <t>Jos Rozen</t>
    </r>
    <r>
      <rPr>
        <sz val="10"/>
        <color rgb="FF333333"/>
        <rFont val="Roboto Condensed"/>
        <charset val="134"/>
      </rPr>
      <t xml:space="preserve">, </t>
    </r>
    <r>
      <rPr>
        <sz val="10"/>
        <color rgb="FF333333"/>
        <rFont val="Roboto Condensed"/>
        <charset val="134"/>
      </rPr>
      <t>Abheesht Sharma</t>
    </r>
    <r>
      <rPr>
        <sz val="10"/>
        <color rgb="FF333333"/>
        <rFont val="Roboto Condensed"/>
        <charset val="134"/>
      </rPr>
      <t xml:space="preserve">, </t>
    </r>
    <r>
      <rPr>
        <sz val="10"/>
        <color rgb="FF333333"/>
        <rFont val="Roboto Condensed"/>
        <charset val="134"/>
      </rPr>
      <t>Andrea Santilli</t>
    </r>
    <r>
      <rPr>
        <sz val="10"/>
        <color rgb="FF333333"/>
        <rFont val="Roboto Condensed"/>
        <charset val="134"/>
      </rPr>
      <t xml:space="preserve">, </t>
    </r>
    <r>
      <rPr>
        <sz val="10"/>
        <color rgb="FF333333"/>
        <rFont val="Roboto Condensed"/>
        <charset val="134"/>
      </rPr>
      <t>Thibault Fevry</t>
    </r>
    <r>
      <rPr>
        <sz val="10"/>
        <color rgb="FF333333"/>
        <rFont val="Roboto Condensed"/>
        <charset val="134"/>
      </rPr>
      <t xml:space="preserve">, </t>
    </r>
    <r>
      <rPr>
        <sz val="10"/>
        <color rgb="FF333333"/>
        <rFont val="Roboto Condensed"/>
        <charset val="134"/>
      </rPr>
      <t>Jason Alan Fries</t>
    </r>
    <r>
      <rPr>
        <sz val="10"/>
        <color rgb="FF333333"/>
        <rFont val="Roboto Condensed"/>
        <charset val="134"/>
      </rPr>
      <t xml:space="preserve">, </t>
    </r>
    <r>
      <rPr>
        <sz val="10"/>
        <color rgb="FF333333"/>
        <rFont val="Roboto Condensed"/>
        <charset val="134"/>
      </rPr>
      <t>Ryan Teehan</t>
    </r>
    <r>
      <rPr>
        <sz val="10"/>
        <color rgb="FF333333"/>
        <rFont val="Roboto Condensed"/>
        <charset val="134"/>
      </rPr>
      <t xml:space="preserve">, </t>
    </r>
    <r>
      <rPr>
        <sz val="10"/>
        <color rgb="FF333333"/>
        <rFont val="Roboto Condensed"/>
        <charset val="134"/>
      </rPr>
      <t>Stella Biderman</t>
    </r>
    <r>
      <rPr>
        <sz val="10"/>
        <color rgb="FF333333"/>
        <rFont val="Roboto Condensed"/>
        <charset val="134"/>
      </rPr>
      <t xml:space="preserve">, </t>
    </r>
    <r>
      <rPr>
        <sz val="10"/>
        <color rgb="FF333333"/>
        <rFont val="Roboto Condensed"/>
        <charset val="134"/>
      </rPr>
      <t>Leo Gao</t>
    </r>
    <r>
      <rPr>
        <sz val="10"/>
        <color rgb="FF333333"/>
        <rFont val="Roboto Condensed"/>
        <charset val="134"/>
      </rPr>
      <t xml:space="preserve">, </t>
    </r>
    <r>
      <rPr>
        <sz val="10"/>
        <color rgb="FF333333"/>
        <rFont val="Roboto Condensed"/>
        <charset val="134"/>
      </rPr>
      <t>Tali Bers</t>
    </r>
    <r>
      <rPr>
        <sz val="10"/>
        <color rgb="FF333333"/>
        <rFont val="Roboto Condensed"/>
        <charset val="134"/>
      </rPr>
      <t xml:space="preserve">, </t>
    </r>
    <r>
      <rPr>
        <sz val="10"/>
        <color rgb="FF333333"/>
        <rFont val="Roboto Condensed"/>
        <charset val="134"/>
      </rPr>
      <t>Thomas Wolf</t>
    </r>
    <r>
      <rPr>
        <sz val="10"/>
        <color rgb="FF333333"/>
        <rFont val="Roboto Condensed"/>
        <charset val="134"/>
      </rPr>
      <t xml:space="preserve">, </t>
    </r>
    <r>
      <rPr>
        <sz val="10"/>
        <color rgb="FF333333"/>
        <rFont val="Roboto Condensed"/>
        <charset val="134"/>
      </rPr>
      <t>Alexander M. Rush</t>
    </r>
  </si>
  <si>
    <t>Delving Deep into Rectifiers: Surpassing Human-Level Performance on ImageNet Classification</t>
  </si>
  <si>
    <t>https://arxiv.org/pdf/1502.01852v1.pdf</t>
  </si>
  <si>
    <t>https://arxiv.org/pdf/1406.4729v4.pdf</t>
  </si>
  <si>
    <t>Aggregating Nested Transformers</t>
  </si>
  <si>
    <t>https://arxiv.org/abs/2105.12723v2</t>
  </si>
  <si>
    <t>SOTA on Long-Range Arena (a benchmark for transformers, that evaluate how they model long-range dependencies)</t>
  </si>
  <si>
    <t xml:space="preserve">
Mitosis Detection in Breast Cancer Histology Images with Deep Neural Networks</t>
  </si>
  <si>
    <t>https://arxiv.org/pdf/1508.01211.pdf</t>
  </si>
  <si>
    <t>More is less: A more compli- cated network with less inference complexity.</t>
  </si>
  <si>
    <t>https://arxiv.org/pdf/2006.10029.pdf</t>
  </si>
  <si>
    <t>https://arxiv.org/pdf/2102.05918.pdf</t>
  </si>
  <si>
    <t>https://arxiv.org/pdf/2003.10580.pdf</t>
  </si>
  <si>
    <t>https://dl.acm.org/doi/10.5555/2002736.2002774</t>
  </si>
  <si>
    <t>https://aclanthology.org/P18-1167/</t>
  </si>
  <si>
    <t>https://aclanthology.org/W07-0734/</t>
  </si>
  <si>
    <t>https://aclanthology.org/N19-1078/</t>
  </si>
  <si>
    <t>https://dl.acm.org/doi/10.5555/1596276.1596305</t>
  </si>
  <si>
    <t xml:space="preserve">Amaazon Alexa AI </t>
  </si>
  <si>
    <t>https://aclanthology.org/2020.acl-main.777/</t>
  </si>
  <si>
    <t>http://citeseerx.ist.psu.edu/viewdoc/summary;jsessionid=A8E23CB33342F46ABB289D5648895ED4?doi=10.1.1.101.9494</t>
  </si>
  <si>
    <t>https://aclanthology.org/D18-1275/</t>
  </si>
  <si>
    <t>https://aclanthology.org/D17-1256/</t>
  </si>
  <si>
    <t>https://aclanthology.org/2020.acl-main.607</t>
  </si>
  <si>
    <t>https://arxiv.org/pdf/1711.05101.pdf</t>
  </si>
  <si>
    <t>https://arxiv.org/pdf/1902.09492.pdf</t>
  </si>
  <si>
    <t>https://arxiv.org/pdf/1605.06409.pdf</t>
  </si>
  <si>
    <t>https://papers.nips.cc/paper/2013/file/1cecc7a77928ca8133fa24680a88d2f9-Paper.pdf</t>
  </si>
  <si>
    <t>https://arxiv.org/pdf/1909.11942.pdf</t>
  </si>
  <si>
    <t>https://arxiv.org/pdf/1607.06450.pdf</t>
  </si>
  <si>
    <t>https://aclanthology.org/D19-6011/</t>
  </si>
  <si>
    <t>https://arxiv.org/pdf/1911.06136.pdf</t>
  </si>
  <si>
    <t>Autodetected models</t>
  </si>
  <si>
    <t>Deviation wrt to trend</t>
  </si>
  <si>
    <t>MHA_JAM</t>
  </si>
  <si>
    <t>Trajectory Prediction</t>
  </si>
  <si>
    <t>MissRateTopK_2_10</t>
  </si>
  <si>
    <t>nuScenes</t>
  </si>
  <si>
    <t>None</t>
  </si>
  <si>
    <t>QuatE</t>
  </si>
  <si>
    <t>Link Prediction</t>
  </si>
  <si>
    <t>MR</t>
  </si>
  <si>
    <t>WN18</t>
  </si>
  <si>
    <t>Quaternion Knowledge Graph Embeddings</t>
  </si>
  <si>
    <t>https://arxiv.org/abs/1904.10281v3</t>
  </si>
  <si>
    <t>MDE</t>
  </si>
  <si>
    <t>MDE: Multiple Distance Embeddings for Link Prediction in Knowledge Graphs</t>
  </si>
  <si>
    <t>https://arxiv.org/abs/1905.10702v8</t>
  </si>
  <si>
    <t>GAAT</t>
  </si>
  <si>
    <t>WN18RR</t>
  </si>
  <si>
    <t>Knowledge Graph Embedding via Graph Attenuated Attention Networks</t>
  </si>
  <si>
    <t>https://ieeexplore.ieee.org/abstract/document/8946600</t>
  </si>
  <si>
    <t>CapsE</t>
  </si>
  <si>
    <t>A Capsule Network-based Embedding Model for Knowledge Graph Completion and Search Personalization</t>
  </si>
  <si>
    <t>http://arxiv.org/abs/1808.04122v3</t>
  </si>
  <si>
    <t>KG-BERTa</t>
  </si>
  <si>
    <t>KG-BERT: BERT for Knowledge Graph Completion</t>
  </si>
  <si>
    <t>https://arxiv.org/abs/1909.03193v2</t>
  </si>
  <si>
    <t>FB15k-237</t>
  </si>
  <si>
    <t>jwlhs104</t>
  </si>
  <si>
    <t>Motion Forecasting</t>
  </si>
  <si>
    <t>DAC K=1</t>
  </si>
  <si>
    <t>Argoverse CVPR 2020</t>
  </si>
  <si>
    <t>DAC K=6</t>
  </si>
  <si>
    <t>ussm v2</t>
  </si>
  <si>
    <t>p-minADE K=6</t>
  </si>
  <si>
    <t>ACSP + EuroCity Persons</t>
  </si>
  <si>
    <t>Pedestrian Detection</t>
  </si>
  <si>
    <t>Bare MR^-2</t>
  </si>
  <si>
    <t>CityPersons</t>
  </si>
  <si>
    <t>Adapted Center and Scale Prediction: More Stable and More Accurate</t>
  </si>
  <si>
    <t>https://arxiv.org/abs/2002.09053v2</t>
  </si>
  <si>
    <t>CNN over RAW speech wav</t>
  </si>
  <si>
    <t>Speech Recognition</t>
  </si>
  <si>
    <t>Word Error Rate WER</t>
  </si>
  <si>
    <t>WSJ eval92</t>
  </si>
  <si>
    <t>Jasper 10x3</t>
  </si>
  <si>
    <t>Jasper: An End-to-End Convolutional Neural Acoustic Model</t>
  </si>
  <si>
    <t>https://arxiv.org/abs/1904.03288v3</t>
  </si>
  <si>
    <t>HACAN</t>
  </si>
  <si>
    <t>Visual Dialog</t>
  </si>
  <si>
    <t>MRR</t>
  </si>
  <si>
    <t>VisDial v0.9 val</t>
  </si>
  <si>
    <t>Making History Matter: History-Advantage Sequence Training for Visual Dialog</t>
  </si>
  <si>
    <t>http://arxiv.org/abs/1902.09326v3</t>
  </si>
  <si>
    <t>bert-double-stream-finetuning</t>
  </si>
  <si>
    <t>R@1</t>
  </si>
  <si>
    <t>Visual Dialog v1.0 test-std</t>
  </si>
  <si>
    <t>2 Step: Factor Graph Attention + VD-Bert</t>
  </si>
  <si>
    <t>Mean</t>
  </si>
  <si>
    <t>StyleGAN2-ADA</t>
  </si>
  <si>
    <t>Conditional Image Generation</t>
  </si>
  <si>
    <t>FID</t>
  </si>
  <si>
    <t>Training Generative Adversarial Networks with Limited Data</t>
  </si>
  <si>
    <t>https://arxiv.org/abs/2006.06676v2</t>
  </si>
  <si>
    <t>ProdPoly no activation functions</t>
  </si>
  <si>
    <t>Deep Polynomial Neural Networks</t>
  </si>
  <si>
    <t>https://arxiv.org/abs/2006.13026v2</t>
  </si>
  <si>
    <t>Omni-GAN</t>
  </si>
  <si>
    <t>Inception score</t>
  </si>
  <si>
    <t>ImageNet 128x128</t>
  </si>
  <si>
    <t>Omni-GAN: On the Secrets of cGANs and Beyond</t>
  </si>
  <si>
    <t>https://arxiv.org/abs/2011.13074v2</t>
  </si>
  <si>
    <t>CPGAN</t>
  </si>
  <si>
    <t>Text-to-Image Generation</t>
  </si>
  <si>
    <t>CPGAN: Full-Spectrum Content-Parsing Generative Adversarial Networks for Text-to-Image Synthesis</t>
  </si>
  <si>
    <t>https://arxiv.org/abs/1912.08562v2</t>
  </si>
  <si>
    <t>k-reciprocal 46</t>
  </si>
  <si>
    <t>Person Re-Identification</t>
  </si>
  <si>
    <t>Rank-1</t>
  </si>
  <si>
    <t>CUHK03</t>
  </si>
  <si>
    <t>Re-ranking Person Re-identification with k-reciprocal Encoding</t>
  </si>
  <si>
    <t>http://arxiv.org/abs/1701.08398v4</t>
  </si>
  <si>
    <t>HA-CNN</t>
  </si>
  <si>
    <t>Harmonious Attention Network for Person Re-Identification</t>
  </si>
  <si>
    <t>http://arxiv.org/abs/1802.08122v1</t>
  </si>
  <si>
    <t>LaSAFT+GPoCM</t>
  </si>
  <si>
    <t>Music Source Separation</t>
  </si>
  <si>
    <t>SDR other</t>
  </si>
  <si>
    <t>MUSDB18</t>
  </si>
  <si>
    <t>LaSAFT: Latent Source Attentive Frequency Transformation for Conditioned Source Separation</t>
  </si>
  <si>
    <t>https://arxiv.org/abs/2010.11631v1</t>
  </si>
  <si>
    <t>NCTU-A Happy Group</t>
  </si>
  <si>
    <t>3D Multi-Object Tracking</t>
  </si>
  <si>
    <t>amota</t>
  </si>
  <si>
    <t>QD-3DT</t>
  </si>
  <si>
    <t>DB-Net</t>
  </si>
  <si>
    <t>gdlg</t>
  </si>
  <si>
    <t>PReMVOS</t>
  </si>
  <si>
    <t>Semi-Supervised Video Object Segmentation</t>
  </si>
  <si>
    <t>Jaccard Decay</t>
  </si>
  <si>
    <t>DAVIS 2017 test-dev</t>
  </si>
  <si>
    <t>PReMVOS: Proposal-generation Refinement and Merging for Video Object Segmentation</t>
  </si>
  <si>
    <t>http://arxiv.org/abs/1807.09190v2</t>
  </si>
  <si>
    <t>FEELVOS</t>
  </si>
  <si>
    <t>FEELVOS: Fast End-to-End Embedding Learning for Video Object Segmentation</t>
  </si>
  <si>
    <t>http://arxiv.org/abs/1902.09513v2</t>
  </si>
  <si>
    <t>SSM-VOS</t>
  </si>
  <si>
    <t>F-measure Decay</t>
  </si>
  <si>
    <t>Separable Structure Modeling for Semi-supervised Video Object Segmentation</t>
  </si>
  <si>
    <t>https://ieeexplore.ieee.org/document/9356697</t>
  </si>
  <si>
    <t>Siam R-CNN</t>
  </si>
  <si>
    <t>DAVIS 2016</t>
  </si>
  <si>
    <t>Siam R-CNN: Visual Tracking by Re-Detection</t>
  </si>
  <si>
    <t>https://arxiv.org/abs/1911.12836v2</t>
  </si>
  <si>
    <t>SiamMask</t>
  </si>
  <si>
    <t>Fast Online Object Tracking and Segmentation: A Unifying Approach</t>
  </si>
  <si>
    <t>https://arxiv.org/abs/1812.05050v2</t>
  </si>
  <si>
    <t>FCP</t>
  </si>
  <si>
    <t>Fully Connected Object Proposals for Video Segmentation</t>
  </si>
  <si>
    <t>http://openaccess.thecvf.com/content_iccv_2015/html/Perazzi_Fully_Connected_Object_ICCV_2015_paper.html</t>
  </si>
  <si>
    <t>LVO</t>
  </si>
  <si>
    <t>Unsupervised Video Object Segmentation</t>
  </si>
  <si>
    <t>Learning Video Object Segmentation with Visual Memory</t>
  </si>
  <si>
    <t>http://arxiv.org/abs/1704.05737v2</t>
  </si>
  <si>
    <t>BART + DPR</t>
  </si>
  <si>
    <t>Open-Domain Question Answering</t>
  </si>
  <si>
    <t>ROUGE-L</t>
  </si>
  <si>
    <t>KILT: ELI5</t>
  </si>
  <si>
    <t>F1</t>
  </si>
  <si>
    <t>Time Series Classification</t>
  </si>
  <si>
    <t>AUC Stdev</t>
  </si>
  <si>
    <t>PhysioNet Challenge 2012</t>
  </si>
  <si>
    <t>Set Functions for Time Series</t>
  </si>
  <si>
    <t>https://arxiv.org/abs/1909.12064v3</t>
  </si>
  <si>
    <t>ODE-RNN</t>
  </si>
  <si>
    <t>Latent ODEs for Irregularly-Sampled Time Series</t>
  </si>
  <si>
    <t>https://arxiv.org/abs/1907.03907v1</t>
  </si>
  <si>
    <t>Phased-LSTM</t>
  </si>
  <si>
    <t>Language Modelling</t>
  </si>
  <si>
    <t>Validation perplexity</t>
  </si>
  <si>
    <t>How much complexity does an RNN architecture need to learn syntax-sensitive dependencies?</t>
  </si>
  <si>
    <t>https://arxiv.org/abs/2005.08199v2</t>
  </si>
  <si>
    <t>Decay RNN</t>
  </si>
  <si>
    <t>MalConv</t>
  </si>
  <si>
    <t>Malware Classification</t>
  </si>
  <si>
    <t>Accuracy 10-fold</t>
  </si>
  <si>
    <t>Microsoft Malware Classification Challenge</t>
  </si>
  <si>
    <t>A Hierarchical Convolutional Neural Network for Malware Classification</t>
  </si>
  <si>
    <t>https://ieeexplore.ieee.org/abstract/document/8852469</t>
  </si>
  <si>
    <t>Hierarchical Convolutional Network</t>
  </si>
  <si>
    <t>LogLoss</t>
  </si>
  <si>
    <t>Dynamic Time Wrapping + K-NN</t>
  </si>
  <si>
    <t>Classification of Malware by Using Structural Entropy on Convolutional Neural Networks</t>
  </si>
  <si>
    <t>https://www.aaai.org/ocs/index.php/AAAI/AAAI18/paper/view/16133</t>
  </si>
  <si>
    <t>BiSeNet V2Cityscapes-Pretrained</t>
  </si>
  <si>
    <t>Real-Time Semantic Segmentation</t>
  </si>
  <si>
    <t>Time ms</t>
  </si>
  <si>
    <t>CamVid</t>
  </si>
  <si>
    <t>BiSeNet V2: Bilateral Network with Guided Aggregation for Real-time Semantic Segmentation</t>
  </si>
  <si>
    <t>https://arxiv.org/abs/2004.02147v1</t>
  </si>
  <si>
    <t>DDRNet-23-slim</t>
  </si>
  <si>
    <t>Deep Dual-resolution Networks for Real-time and Accurate Semantic Segmentation of Road Scenes</t>
  </si>
  <si>
    <t>https://arxiv.org/abs/2101.06085v1</t>
  </si>
  <si>
    <t>IkshanaNet-M 4M</t>
  </si>
  <si>
    <t>Semantic Segmentation</t>
  </si>
  <si>
    <t>mIoU</t>
  </si>
  <si>
    <t>Cityscapes val</t>
  </si>
  <si>
    <t>Ikshana: A Theory of Human Scene Understanding Mechanism</t>
  </si>
  <si>
    <t>https://arxiv.org/abs/2101.10837v1</t>
  </si>
  <si>
    <t>Neural Baby Talk + CBS</t>
  </si>
  <si>
    <t>Image Captioning</t>
  </si>
  <si>
    <t>B4</t>
  </si>
  <si>
    <t>nocaps in-domain</t>
  </si>
  <si>
    <t>nocaps entire</t>
  </si>
  <si>
    <t>nocaps near-domain</t>
  </si>
  <si>
    <t>Check</t>
  </si>
  <si>
    <t>B1</t>
  </si>
  <si>
    <t>nocaps out-of-domain</t>
  </si>
  <si>
    <t>B2</t>
  </si>
  <si>
    <t>B3</t>
  </si>
  <si>
    <t>SLAM-net + D*</t>
  </si>
  <si>
    <t>Robot Navigation</t>
  </si>
  <si>
    <t>SPL</t>
  </si>
  <si>
    <t>Habitat 2020 Point Nav test-std</t>
  </si>
  <si>
    <t>OccupancyAnticipation</t>
  </si>
  <si>
    <t>Occupancy Anticipation for Efficient Exploration and Navigation</t>
  </si>
  <si>
    <t>https://arxiv.org/abs/2008.09285v2</t>
  </si>
  <si>
    <t>Information Bottleneck</t>
  </si>
  <si>
    <t>cso</t>
  </si>
  <si>
    <t>UCULab</t>
  </si>
  <si>
    <t>Habitat Team RGBD+DD-PPO</t>
  </si>
  <si>
    <t>SUCCESS</t>
  </si>
  <si>
    <t>Forward_Only</t>
  </si>
  <si>
    <t>SOFT_SPL</t>
  </si>
  <si>
    <t>Habitat 2020 Object Nav test-std</t>
  </si>
  <si>
    <t>Black Sheep</t>
  </si>
  <si>
    <t>RandomAgent</t>
  </si>
  <si>
    <t>SemExp</t>
  </si>
  <si>
    <t>Object Goal Navigation using Goal-Oriented Semantic Exploration</t>
  </si>
  <si>
    <t>https://arxiv.org/abs/2007.00643v2</t>
  </si>
  <si>
    <t>EPE-NAS N=10</t>
  </si>
  <si>
    <t>Neural Architecture Search</t>
  </si>
  <si>
    <t>Search time s</t>
  </si>
  <si>
    <t>NAS-Bench-201 CIFAR-100</t>
  </si>
  <si>
    <t>EPE-NAS: Efficient Performance Estimation Without Training for Neural Architecture Search</t>
  </si>
  <si>
    <t>https://arxiv.org/abs/2102.08099v1</t>
  </si>
  <si>
    <t>NASBOT</t>
  </si>
  <si>
    <t>NAS-Bench-201 ImageNet-16-120</t>
  </si>
  <si>
    <t>Neural Architecture Search with Bayesian Optimisation and Optimal Transport</t>
  </si>
  <si>
    <t>http://arxiv.org/abs/1802.07191v3</t>
  </si>
  <si>
    <t>REA</t>
  </si>
  <si>
    <t>http://arxiv.org/abs/1802.01548v7</t>
  </si>
  <si>
    <t>EPE-NAS N=500</t>
  </si>
  <si>
    <t>NAS without training N=10</t>
  </si>
  <si>
    <t>Neural Architecture Search without Training</t>
  </si>
  <si>
    <t>https://arxiv.org/abs/2006.04647v2</t>
  </si>
  <si>
    <t>SGAS</t>
  </si>
  <si>
    <t>Search Time GPU days</t>
  </si>
  <si>
    <t>SGAS: Sequential Greedy Architecture Search</t>
  </si>
  <si>
    <t>https://arxiv.org/abs/1912.00195v2</t>
  </si>
  <si>
    <t>GDAS FRC</t>
  </si>
  <si>
    <t>Searching for A Robust Neural Architecture in Four GPU Hours</t>
  </si>
  <si>
    <t>https://arxiv.org/abs/1910.04465v2</t>
  </si>
  <si>
    <t>NAS-Bench-201 CIFAR-10</t>
  </si>
  <si>
    <t>Atari 2600 Skiing</t>
  </si>
  <si>
    <t>A3C FF 1 day hs</t>
  </si>
  <si>
    <t>Atari 2600 Pong</t>
  </si>
  <si>
    <t>Reconfig PP</t>
  </si>
  <si>
    <t>3D Object Detection</t>
  </si>
  <si>
    <t>mAP</t>
  </si>
  <si>
    <t>DLLA-search</t>
  </si>
  <si>
    <t>YZ_2019</t>
  </si>
  <si>
    <t>YZ2019</t>
  </si>
  <si>
    <t>RCF360</t>
  </si>
  <si>
    <t>mATE</t>
  </si>
  <si>
    <t>CenterFusion</t>
  </si>
  <si>
    <t>LRCF360</t>
  </si>
  <si>
    <t>mAOE</t>
  </si>
  <si>
    <t>llstm</t>
  </si>
  <si>
    <t>InfoFocus</t>
  </si>
  <si>
    <t>SparsePoint</t>
  </si>
  <si>
    <t>SJTU AI Institute and Noah CV Lab</t>
  </si>
  <si>
    <t>mAVE</t>
  </si>
  <si>
    <t>MMDet3D Camera</t>
  </si>
  <si>
    <t>Reconfig PP v3</t>
  </si>
  <si>
    <t>mAAE</t>
  </si>
  <si>
    <t>Cylinder3D: An Effective 3D Framework for Driving-scene LiDAR Semantic Segmentation</t>
  </si>
  <si>
    <t>https://arxiv.org/abs/2008.01550v1</t>
  </si>
  <si>
    <t>SSN-v1</t>
  </si>
  <si>
    <t>HZ</t>
  </si>
  <si>
    <t>camera_car</t>
  </si>
  <si>
    <t>YOLOv4-CSP CD53s 640</t>
  </si>
  <si>
    <t>Real-Time Object Detection</t>
  </si>
  <si>
    <t>FPS</t>
  </si>
  <si>
    <t>Scaled-YOLOv4: Scaling Cross Stage Partial Network</t>
  </si>
  <si>
    <t>https://arxiv.org/abs/2011.08036v2</t>
  </si>
  <si>
    <t>YOLOv4-tiny 416</t>
  </si>
  <si>
    <t>CenterNet HarDNet-85</t>
  </si>
  <si>
    <t>inference time ms</t>
  </si>
  <si>
    <t>HarDNet: A Low Memory Traffic Network</t>
  </si>
  <si>
    <t>https://arxiv.org/abs/1909.00948v1</t>
  </si>
  <si>
    <t>YOLOv4-608</t>
  </si>
  <si>
    <t>YOLOv4: Optimal Speed and Accuracy of Object Detection</t>
  </si>
  <si>
    <t>https://arxiv.org/abs/2004.10934v1</t>
  </si>
  <si>
    <t>YOLOv4-512</t>
  </si>
  <si>
    <t>BERT-ITPT-FiT</t>
  </si>
  <si>
    <t>Text Classification</t>
  </si>
  <si>
    <t>Error</t>
  </si>
  <si>
    <t>TREC-6</t>
  </si>
  <si>
    <t>How to Fine-Tune BERT for Text Classification?</t>
  </si>
  <si>
    <t>https://arxiv.org/abs/1905.05583v3</t>
  </si>
  <si>
    <t>C-LSTM</t>
  </si>
  <si>
    <t>A C-LSTM Neural Network for Text Classification</t>
  </si>
  <si>
    <t>http://arxiv.org/abs/1511.08630v2</t>
  </si>
  <si>
    <t>byte mLSTM7</t>
  </si>
  <si>
    <t>A La Carte Embedding: Cheap but Effective Induction of Semantic Feature Vectors</t>
  </si>
  <si>
    <t>http://arxiv.org/abs/1805.05388v1</t>
  </si>
  <si>
    <t>NLSPN</t>
  </si>
  <si>
    <t>Depth Completion</t>
  </si>
  <si>
    <t>Runtime [ms]</t>
  </si>
  <si>
    <t>KITTI Depth Completion</t>
  </si>
  <si>
    <t>Non-Local Spatial Propagation Network for Depth Completion</t>
  </si>
  <si>
    <t>https://arxiv.org/abs/2007.10042v1</t>
  </si>
  <si>
    <t>EmbedMaskR-101-FPN</t>
  </si>
  <si>
    <t>Instance Segmentation</t>
  </si>
  <si>
    <t>mask AP</t>
  </si>
  <si>
    <t>COCO test-dev</t>
  </si>
  <si>
    <t>EmbedMask: Embedding Coupling for One-stage Instance Segmentation</t>
  </si>
  <si>
    <t>https://arxiv.org/abs/1912.01954v2</t>
  </si>
  <si>
    <t>SN-Net</t>
  </si>
  <si>
    <t>Speech Enhancement</t>
  </si>
  <si>
    <t>PESQ-WB</t>
  </si>
  <si>
    <t>Deep Noise Suppression DNS Challenge</t>
  </si>
  <si>
    <t>Interactive Speech and Noise Modeling for Speech Enhancement</t>
  </si>
  <si>
    <t>https://arxiv.org/abs/2012.09408v1</t>
  </si>
  <si>
    <t>GIN-0</t>
  </si>
  <si>
    <t>Graph Classification</t>
  </si>
  <si>
    <t>Accuracy</t>
  </si>
  <si>
    <t>PROTEINS</t>
  </si>
  <si>
    <t>How Powerful are Graph Neural Networks?</t>
  </si>
  <si>
    <t>http://arxiv.org/abs/1810.00826v3</t>
  </si>
  <si>
    <t>FGCNN+IPNN</t>
  </si>
  <si>
    <t>Click-Through Rate Prediction</t>
  </si>
  <si>
    <t>Log Loss</t>
  </si>
  <si>
    <t>Criteo</t>
  </si>
  <si>
    <t>Feature Generation by Convolutional Neural Network for Click-Through Rate Prediction</t>
  </si>
  <si>
    <t>http://arxiv.org/abs/1904.04447v1</t>
  </si>
  <si>
    <t>Global Normalization</t>
  </si>
  <si>
    <t>Vision and Language Navigation</t>
  </si>
  <si>
    <t>length</t>
  </si>
  <si>
    <t>VLN Challenge</t>
  </si>
  <si>
    <t>null</t>
  </si>
  <si>
    <t>spl</t>
  </si>
  <si>
    <t>Multitask DPR + BART</t>
  </si>
  <si>
    <t>Open-Domain Dialog</t>
  </si>
  <si>
    <t>KILT-RL</t>
  </si>
  <si>
    <t>KILT: Wizard of Wikipedia</t>
  </si>
  <si>
    <t>Routing Transformer c-REALM</t>
  </si>
  <si>
    <t>TransMemNet</t>
  </si>
  <si>
    <t>R-Prec</t>
  </si>
  <si>
    <t>Recall@5</t>
  </si>
  <si>
    <t>KILT-F1</t>
  </si>
  <si>
    <t>Camera-LiDAR Fusion + HTC + Map</t>
  </si>
  <si>
    <t>LIDAR Semantic Segmentation</t>
  </si>
  <si>
    <t>mIOU</t>
  </si>
  <si>
    <t>Training compute (FLOPS)</t>
  </si>
  <si>
    <t>Inference compute (FLOPS)</t>
  </si>
  <si>
    <t>Traning dataset</t>
  </si>
  <si>
    <t>Minmax</t>
  </si>
  <si>
    <t>Programming a Computer for Playing Chess</t>
  </si>
  <si>
    <t>https://link.springer.com/chapter/10.1007/978-1-4757-1968-0_1</t>
  </si>
  <si>
    <t>Alpha-beta pruning</t>
  </si>
  <si>
    <t>Metropolis Monte Carlo</t>
  </si>
  <si>
    <t>Equation of State Calculations by Fast Computing Machines</t>
  </si>
  <si>
    <t>https://aip.scitation.org/doi/10.1063/1.1699114</t>
  </si>
  <si>
    <t>Georgetown IBM</t>
  </si>
  <si>
    <t>"public demonstration of what is believed to be the first successful use of a
machine to translate meaningful texts from one language to another"</t>
  </si>
  <si>
    <t>The Georgetown-IBM Experiment Demonstrated in January 1954</t>
  </si>
  <si>
    <t>https://link.springer.com/chapter/10.1007/978-3-540-30194-3_12</t>
  </si>
  <si>
    <t>Logic theorist</t>
  </si>
  <si>
    <t>General Problem Solver</t>
  </si>
  <si>
    <t>Report on a General Problem-Solving Program</t>
  </si>
  <si>
    <t>https://exhibits.stanford.edu/feigenbaum/catalog/sy501xd1313</t>
  </si>
  <si>
    <t>Soar</t>
  </si>
  <si>
    <t>Machines which learn</t>
  </si>
  <si>
    <t>http://cyberneticzoo.com/wp-content/uploads/2009/12/Andrew-NewScientist-1958-.pdf</t>
  </si>
  <si>
    <t>Nonparametric estimation from incomplete observations.</t>
  </si>
  <si>
    <t>ALPEC</t>
  </si>
  <si>
    <t>1960?</t>
  </si>
  <si>
    <t>An Algorithm for Least-Squares Estimation of Nonlinear Parameters</t>
  </si>
  <si>
    <t>https://www.jstor.org/stable/2098941?seq=1</t>
  </si>
  <si>
    <t>Fuzzy Sets</t>
  </si>
  <si>
    <t>https://www.sciencedirect.com/science/article/pii/S001999586590241X?via%3Dihub</t>
  </si>
  <si>
    <t>SHRDLU</t>
  </si>
  <si>
    <t>http://hci.stanford.edu/~winograd/shrdlu/</t>
  </si>
  <si>
    <t>Regression models and life-tables.</t>
  </si>
  <si>
    <t>MAICE</t>
  </si>
  <si>
    <t>A new look at the statistical model identification</t>
  </si>
  <si>
    <t>https://ieeexplore.ieee.org/document/1100705</t>
  </si>
  <si>
    <t>38923 citations</t>
  </si>
  <si>
    <t>Maximum Likelihood from Incomplete Data via the EM Algorithm</t>
  </si>
  <si>
    <t>https://www.jstor.org/stable/2984875?seq=1</t>
  </si>
  <si>
    <t>Politics</t>
  </si>
  <si>
    <t>Q&amp;A (Symantec)</t>
  </si>
  <si>
    <t>METEO</t>
  </si>
  <si>
    <t>https://en.wikipedia.org/wiki/METEO_System</t>
  </si>
  <si>
    <t>Natural Language Input for a Computer Problem Solving System</t>
  </si>
  <si>
    <t>https://dspace.mit.edu/handle/1721.1/6903</t>
  </si>
  <si>
    <t>Sentence Generation by Semantic Concordance</t>
  </si>
  <si>
    <t>https://www.aclweb.org/anthology/C65-1022/</t>
  </si>
  <si>
    <t>ELIZA</t>
  </si>
  <si>
    <t>WABOT</t>
  </si>
  <si>
    <t>WABOT-2</t>
  </si>
  <si>
    <t>EM algorithm</t>
  </si>
  <si>
    <t>Baum</t>
  </si>
  <si>
    <t>QUALM</t>
  </si>
  <si>
    <t>The Process of Question Answering</t>
  </si>
  <si>
    <t>https://files.eric.ed.gov/fulltext/ED150955.pdf</t>
  </si>
  <si>
    <t>Dynamic memory</t>
  </si>
  <si>
    <t>Schank and Abelson (1977)</t>
  </si>
  <si>
    <t>Two types of planning in language generation</t>
  </si>
  <si>
    <t>https://dl.acm.org/doi/10.3115/982023.982045</t>
  </si>
  <si>
    <t>32284 citations</t>
  </si>
  <si>
    <t>Optimization by Simulated Annealing</t>
  </si>
  <si>
    <t>https://science.sciencemag.org/content/220/4598/671</t>
  </si>
  <si>
    <t>FoG</t>
  </si>
  <si>
    <t>First commercially deployed NLG system</t>
  </si>
  <si>
    <t>http://www.nlg-wiki.org/systems/FoG</t>
  </si>
  <si>
    <t>Discovering governing equations from data by sparse identification of nonlinear dynamical systems</t>
  </si>
  <si>
    <t>Computational interpretations of the Gricean maxims in the generation of referring expressions</t>
  </si>
  <si>
    <t>DeepBlue</t>
  </si>
  <si>
    <t>Deep Blue</t>
  </si>
  <si>
    <t>Chinook</t>
  </si>
  <si>
    <t>Checkers Is Solved</t>
  </si>
  <si>
    <t>https://science.sciencemag.org/content/317/5844/1518?hwshib2=authn%3A1615369438%3A20210309%253A963811d2-0be0-4d5d-a0b6-959e5a4ccbda%3A0%3A0%3A0%3ABx%2FWhEJ9lTsSmDEr4ukjMQ%3D%3D</t>
  </si>
  <si>
    <t>ABC</t>
  </si>
  <si>
    <t>A powerful and efficient algorithm for numerical function optimization: artificial bee colony (ABC) algorithm</t>
  </si>
  <si>
    <t>https://link.springer.com/article/10.1007%2Fs10898-007-9149-x</t>
  </si>
  <si>
    <t>Watson</t>
  </si>
  <si>
    <t>Journal / conference</t>
  </si>
  <si>
    <t>h5 index</t>
  </si>
  <si>
    <t>Category</t>
  </si>
  <si>
    <t>International Conference on Learning Representations</t>
  </si>
  <si>
    <t>Artificial intelligence</t>
  </si>
  <si>
    <t>Neural Information Processing Systems</t>
  </si>
  <si>
    <t>International Conference on Machine Learning (ICML)</t>
  </si>
  <si>
    <t>AAAI Conference on Artificial Intelligence</t>
  </si>
  <si>
    <t>Expert Systems with Applications</t>
  </si>
  <si>
    <t>IEEE Transactions On Systems, Man And Cybernetics Part B, Cybernetics</t>
  </si>
  <si>
    <t>IEEE Transactions on Neural Networks and Learning Systems</t>
  </si>
  <si>
    <t>Neurocomputing</t>
  </si>
  <si>
    <t>Applied Soft Computing</t>
  </si>
  <si>
    <t>International Joint Conference on Artificial Intelligence (IJCAI)</t>
  </si>
  <si>
    <t>IEEE Transactions on Fuzzy Systems</t>
  </si>
  <si>
    <t>Knowledge-Based Systems</t>
  </si>
  <si>
    <t>The Journal of Machine Learning Research</t>
  </si>
  <si>
    <t>Neural Computing and Applications</t>
  </si>
  <si>
    <t>Neural Networks</t>
  </si>
  <si>
    <t>International Conference on Artificial Intelligence and Statistics</t>
  </si>
  <si>
    <t>Engineering Applications of Artificial Intelligence</t>
  </si>
  <si>
    <t>Robotics and Autonomous Systems</t>
  </si>
  <si>
    <t>Conference on Learning Theory (COLT)</t>
  </si>
  <si>
    <t>Journal of Intelligent &amp; Fuzzy Systems</t>
  </si>
  <si>
    <t>Meeting of the Association for Computational Linguistics (ACL)</t>
  </si>
  <si>
    <t>Computational linguistics</t>
  </si>
  <si>
    <t>Conference on Empirical Methods in Natural Language Processing (EMNLP)</t>
  </si>
  <si>
    <t>Conference of the North American Chapter of the Association for Computational Linguistics: Human Language Technologies (HLT-NAACL)</t>
  </si>
  <si>
    <t>Transactions of the Association for Computational Linguistics</t>
  </si>
  <si>
    <t>International Workshop on Semantic Evaluation</t>
  </si>
  <si>
    <t>International Conference on Computational Linguistics (COLING)</t>
  </si>
  <si>
    <t>Conference of the European Chapter of the Association for Computational Linguistics (EACL)</t>
  </si>
  <si>
    <t>Conference on Computational Natural Language Learning (CoNLL)</t>
  </si>
  <si>
    <t>International Conference on Language Resources and Evaluation (LREC)</t>
  </si>
  <si>
    <t>Workshop on Machine Translation</t>
  </si>
  <si>
    <t>Computer Speech &amp; Language</t>
  </si>
  <si>
    <t>Annual Meeting of the Special Interest Group on Discourse and Dialogue (SIGDIAL)</t>
  </si>
  <si>
    <t>Computational Linguistics</t>
  </si>
  <si>
    <t>IEEE Spoken Language Technology Workshop (SLT)</t>
  </si>
  <si>
    <t>International Joint Conference on Natural Language Processing (IJCNLP)</t>
  </si>
  <si>
    <t>Natural Language Engineering</t>
  </si>
  <si>
    <t>IEEE International Conference on Semantic Computing</t>
  </si>
  <si>
    <t>Language Resources and Evaluation</t>
  </si>
  <si>
    <t>Biomedical Natural Language Processing</t>
  </si>
  <si>
    <t>Workshop on Representation Learning for NLP</t>
  </si>
  <si>
    <t>ACM Transactions on Graphics (TOG)</t>
  </si>
  <si>
    <t>Computer graphics</t>
  </si>
  <si>
    <t>IEEE Transactions on Visualization and Computer Graphics</t>
  </si>
  <si>
    <t>Computer Graphics Forum</t>
  </si>
  <si>
    <t>Computers &amp; Graphics</t>
  </si>
  <si>
    <t>IEEE Computer Graphics and Applications</t>
  </si>
  <si>
    <t>The Visual Computer</t>
  </si>
  <si>
    <t>Computer Aided Geometric Design</t>
  </si>
  <si>
    <t>ACM Symposium on Virtual Reality Software and Technology</t>
  </si>
  <si>
    <t>ACM SIGGRAPH/Eurographics Symposium on Computer Animation</t>
  </si>
  <si>
    <t>IEEE Pacific Visualization Symposium</t>
  </si>
  <si>
    <t>IEEE Symposium on Visual Analytics Science and Technology</t>
  </si>
  <si>
    <t>Computer Animation and Virtual Worlds</t>
  </si>
  <si>
    <t>Symposium on Interactive 3D Graphics (SI3D)</t>
  </si>
  <si>
    <t>International Conference on 3D Web Technology</t>
  </si>
  <si>
    <t>Eurographics/IEEE VGTC Conference on Visualization: Short Papers</t>
  </si>
  <si>
    <t>Graphical Models</t>
  </si>
  <si>
    <t>Graphics Interface Conference</t>
  </si>
  <si>
    <t>Visual Informatics</t>
  </si>
  <si>
    <t>Computer Graphics International Conference</t>
  </si>
  <si>
    <t>International Conference on Computer Graphics Theory and Applications (GRAPP)</t>
  </si>
  <si>
    <t>IEEE/CVF Conference on Computer Vision and Pattern Recognition</t>
  </si>
  <si>
    <t>Computer vision and pattern recognition</t>
  </si>
  <si>
    <t>IEEE/CVF International Conference on Computer Vision</t>
  </si>
  <si>
    <t>European Conference on Computer Vision</t>
  </si>
  <si>
    <t>IEEE Transactions on Pattern Analysis and Machine Intelligence</t>
  </si>
  <si>
    <t>IEEE Transactions on Image Processing</t>
  </si>
  <si>
    <t>Pattern Recognition</t>
  </si>
  <si>
    <t>IEEE Computer Society Conference on Computer Vision and Pattern Recognition Workshops</t>
  </si>
  <si>
    <t>International Journal of Computer Vision</t>
  </si>
  <si>
    <t>Medical Image Analysis</t>
  </si>
  <si>
    <t>Pattern Recognition Letters</t>
  </si>
  <si>
    <t>British Machine Vision Conference (BMVC)</t>
  </si>
  <si>
    <t>Workshop on Applications of Computer Vision (WACV)</t>
  </si>
  <si>
    <t>IEEE International Conference on Image Processing (ICIP)</t>
  </si>
  <si>
    <t>IEEE/CVF International Conference on Computer Vision Workshops (ICCVW)</t>
  </si>
  <si>
    <t>Computer Vision and Image Understanding</t>
  </si>
  <si>
    <t>Journal of Visual Communication and Image Representation</t>
  </si>
  <si>
    <t>IEEE International Conference on Automatic Face &amp; Gesture Recognition</t>
  </si>
  <si>
    <t>International Conference on 3D Vision</t>
  </si>
  <si>
    <t>Image and Vision Computing</t>
  </si>
  <si>
    <t>International Conference on Pattern Recognition</t>
  </si>
  <si>
    <t>&gt;10% improvement, &gt;1k citations, sort by citations</t>
  </si>
  <si>
    <t>any improvement, &gt;1k citations, sort by % improvement</t>
  </si>
  <si>
    <t>paper_title</t>
  </si>
  <si>
    <t>authors</t>
  </si>
  <si>
    <t>pub_date</t>
  </si>
  <si>
    <t>citations</t>
  </si>
  <si>
    <t>task</t>
  </si>
  <si>
    <t>pct_improvement</t>
  </si>
  <si>
    <t>group</t>
  </si>
  <si>
    <t>pct</t>
  </si>
  <si>
    <t>K He, X Zhang, S Ren, J Sun</t>
  </si>
  <si>
    <t>Image Classification_ImageNet_top 5 accuracy</t>
  </si>
  <si>
    <t>Semantic Segmentation_PASCAL VOC 2012 test_mean iou</t>
  </si>
  <si>
    <t>H Zhao, J Shi, X Qi, X Wang</t>
  </si>
  <si>
    <t>Semantic Segmentation_ADE20K val_miou</t>
  </si>
  <si>
    <t>Machine Translation_WMT2014 English-French_bleu score</t>
  </si>
  <si>
    <t>Image Classification_CIFAR-10_percentage correct</t>
  </si>
  <si>
    <t>Image Classification_ImageNet_top 1 accuracy</t>
  </si>
  <si>
    <t>Rethinking the Inception Architecture for Computer Vision</t>
  </si>
  <si>
    <t>C Szegedy, V Vanhoucke, S Ioffe</t>
  </si>
  <si>
    <t>K He, G Gkioxari, P Dollár</t>
  </si>
  <si>
    <t>Object Detection_COCO test-dev_ap75</t>
  </si>
  <si>
    <t>Maxout Networks</t>
  </si>
  <si>
    <t>I Goodfellow, D Warde-Farley, M Mirza</t>
  </si>
  <si>
    <t>Model-Agnostic Meta-Learning for Fast Adaptation of Deep Networks</t>
  </si>
  <si>
    <t>C Finn, P Abbeel, S Levine</t>
  </si>
  <si>
    <t>Few-Shot Image Classification_Mini-Imagenet 5-way (1-shot)_accuracy</t>
  </si>
  <si>
    <t>J Hu, L Shen, G Sun</t>
  </si>
  <si>
    <t>Image Classification_CIFAR-100_percentage correct</t>
  </si>
  <si>
    <t>F Yu, V Koltun</t>
  </si>
  <si>
    <t>Semantic Segmentation_ADE20K_validation miou</t>
  </si>
  <si>
    <t>Action Recognition_UCF101_3-fold accuracy</t>
  </si>
  <si>
    <t>T Salimans, I Goodfellow, W Zaremba</t>
  </si>
  <si>
    <t>Image Generation_CIFAR-10_inception score</t>
  </si>
  <si>
    <t>Deformable Convolutional Networks</t>
  </si>
  <si>
    <t>J Dai, H Qi, Y Xiong, Y Li, G Zhang</t>
  </si>
  <si>
    <t>Object Detection_COCO test-dev_ap50</t>
  </si>
  <si>
    <t>CR Qi, L Yi, H Su, LJ Guibas</t>
  </si>
  <si>
    <t>3D Semantic Segmentation_SemanticKITTI_miou</t>
  </si>
  <si>
    <t>Practical Bayesian Optimization of Machine Learning Algorithms</t>
  </si>
  <si>
    <t>S Xie, R Girshick, P Dollár, Z Tu</t>
  </si>
  <si>
    <t>M Heusel, H Ramsauer, T Unterthiner</t>
  </si>
  <si>
    <t>Image Generation_CIFAR-10_fid</t>
  </si>
  <si>
    <t>S Yang, P Luo, CC Loy, X Tang</t>
  </si>
  <si>
    <t>Face Detection_WIDER Face (Hard)_ap</t>
  </si>
  <si>
    <t>S Zagoruyko, N Komodakis</t>
  </si>
  <si>
    <t>S Zheng, S Jayasumana</t>
  </si>
  <si>
    <t>Semantic Segmentation_PASCAL Context_miou</t>
  </si>
  <si>
    <t>Cascade R-CNN: Delving into High Quality Object Detection</t>
  </si>
  <si>
    <t>Z Cai, N Vasconcelos</t>
  </si>
  <si>
    <t>Object Detection_COCO minival_apl</t>
  </si>
  <si>
    <t>T Karras, T Aila, S Laine, J Lehtinen</t>
  </si>
  <si>
    <t>LC Chen, G Papandreou, I Kokkinos, K Murphy</t>
  </si>
  <si>
    <t>J Carreira, A Zisserman</t>
  </si>
  <si>
    <t>G Lin, A Milan, C Shen, I Reid</t>
  </si>
  <si>
    <t>L Wang, Y Qiao, X Tang</t>
  </si>
  <si>
    <t>Joint Face Detection and Alignment using Multi-task Cascaded Convolutional Networks</t>
  </si>
  <si>
    <t>K Zhang, Z Zhang, Z Li, Y Qiao</t>
  </si>
  <si>
    <t>I Gulrajani, F Ahmed, M Arjovsky, V Dumoulin</t>
  </si>
  <si>
    <t>SE Wei, V Ramakrishna, T Kanade</t>
  </si>
  <si>
    <t>Pose Estimation_MPII Human Pose_pckh-0.5</t>
  </si>
  <si>
    <t>T Miyato, T Kataoka, M Koyama, Y Yoshida</t>
  </si>
  <si>
    <t>Z Zheng, L Zheng, Y Yang</t>
  </si>
  <si>
    <t>Person Re-Identification_Market-1501_rank-1</t>
  </si>
  <si>
    <t>L Wang, Y Xiong, Z Wang, Y Qiao, D Lin</t>
  </si>
  <si>
    <t>Question Answering_SQuAD1.1 dev_f1</t>
  </si>
  <si>
    <t>Y Sun, L Zheng, Y Yang, Q Tian</t>
  </si>
  <si>
    <t>Person Re-Identification_DukeMTMC-reID_rank-1</t>
  </si>
  <si>
    <t>Random Erasing Data Augmentation</t>
  </si>
  <si>
    <t>Z Zhong, L Zheng, G Kang, S Li, Y Yang</t>
  </si>
  <si>
    <t>Z Cai, Q Fan, RS Feris, N Vasconcelos</t>
  </si>
  <si>
    <t>A Hermans, L Beyer, B Leibe</t>
  </si>
  <si>
    <t>T DeVries, GW Taylor</t>
  </si>
  <si>
    <t>Image Classification_STL-10_percentage correct</t>
  </si>
  <si>
    <t>Bidirectional Attention Flow for Machine Comprehension</t>
  </si>
  <si>
    <t>M Seo, A Kembhavi, A Farhadi, H Hajishirzi</t>
  </si>
  <si>
    <t>DS Park, W Chan, Y Zhang, CC Chiu, B Zoph</t>
  </si>
  <si>
    <t>Speech Recognition_LibriSpeech test-clean_word error rate (wer)</t>
  </si>
  <si>
    <t>LC Chen, G Papandreou, I Kokkinos</t>
  </si>
  <si>
    <t>A Newell, K Yang, J Deng</t>
  </si>
  <si>
    <t>LC Chen, Y Zhu, G Papandreou</t>
  </si>
  <si>
    <t>Convolutional Sequence to Sequence Learning</t>
  </si>
  <si>
    <t>J Gehring, M Auli, D Grangier</t>
  </si>
  <si>
    <t>Y Wu, M Schuster, Z Chen, QV Le, M Norouzi</t>
  </si>
  <si>
    <t>LC Chen, G Papandreou, F Schroff, H Adam</t>
  </si>
  <si>
    <t>J Fu, J Liu, H Tian, Y Li, Y Bao</t>
  </si>
  <si>
    <t>C Ledig, L Theis, F Huszár</t>
  </si>
  <si>
    <t>Image Super-Resolution_Set5 - 4x upscaling_psnr</t>
  </si>
  <si>
    <t>M Lewis, Y Liu, N Goyal, M Ghazvininejad</t>
  </si>
  <si>
    <t>Abstractive Text Summarization_CNN / Daily Mail_rouge-1</t>
  </si>
  <si>
    <t>J Kim, JK Lee, KM Lee</t>
  </si>
  <si>
    <t>C Raffel, N Shazeer, A Roberts, K Lee, S Narang</t>
  </si>
  <si>
    <t>B Lim, S Son, H Kim, S Nah</t>
  </si>
  <si>
    <t>X Mao, C Shen, YB Yang</t>
  </si>
  <si>
    <t>Image Super-Resolution_BSD100 - 4x upscaling_psnr</t>
  </si>
  <si>
    <t>Y Zhang, K Li, K Li, L Wang</t>
  </si>
  <si>
    <t>Reading Wikipedia to Answer Open-Domain Questions</t>
  </si>
  <si>
    <t>D Chen, A Fisch, J Weston, A Bordes</t>
  </si>
  <si>
    <t>X Wang, K Yu, S Wu, J Gu, Y Liu</t>
  </si>
  <si>
    <t>K Zhang, W Zuo, Y Chen, D Meng</t>
  </si>
  <si>
    <t>Image Super-Resolution_Set14 - 4x upscaling_psnr</t>
  </si>
  <si>
    <t>Y Zhang, Y Tian, Y Kong</t>
  </si>
  <si>
    <t>S Liu, L Qi, H Qin, J Shi, J Jia</t>
  </si>
  <si>
    <t>Object Detection_COCO test-dev_aps</t>
  </si>
  <si>
    <t>Focal Loss for Dense Object Detection</t>
  </si>
  <si>
    <t>J Snell, K Swersky, RS Zemel</t>
  </si>
  <si>
    <t>Feature Pyramid Networks for Object Detection</t>
  </si>
  <si>
    <t>TY Lin, P Dollár, R Girshick, K He</t>
  </si>
  <si>
    <t>Object Detection_COCO test-dev_box ap</t>
  </si>
  <si>
    <t>CY Lee, S Xie, P Gallagher</t>
  </si>
  <si>
    <t>P Sermanet, D Eigen, X Zhang, M Mathieu</t>
  </si>
  <si>
    <t>A Kumar, O Irsoy, P Ondruska, M Iyyer</t>
  </si>
  <si>
    <t>Sentiment Analysis_SST-2 Binary classification_accuracy</t>
  </si>
  <si>
    <t>J Yue-Hei Ng, M Hausknecht</t>
  </si>
  <si>
    <t>C Szegedy, S Ioffe, V Vanhoucke, AA Alemi</t>
  </si>
  <si>
    <t>C Feichtenhofer, A Pinz</t>
  </si>
  <si>
    <t>Name of the hardware</t>
  </si>
  <si>
    <t>Manufacturer</t>
  </si>
  <si>
    <t>FP64 (double precision) Performance (FLOP/s)</t>
  </si>
  <si>
    <t>FP32 (single precision) Performance (FLOP/s)</t>
  </si>
  <si>
    <t>FP16 (half precision) Performance (FLOP/s)</t>
  </si>
  <si>
    <t>FP/TF32 Tensor Core (FLOP/s)</t>
  </si>
  <si>
    <t>FP/TF16 Tensor Core (FLOP/s)</t>
  </si>
  <si>
    <t>FP/TF8 Tensor Core (FLOP/s)</t>
  </si>
  <si>
    <t>INT16 Performance (OP/s)</t>
  </si>
  <si>
    <t>INT8 Tensor Performance (OP/s)</t>
  </si>
  <si>
    <t>INT4 Tensor Performance (OP/s)</t>
  </si>
  <si>
    <t>Memory size per board (Byte)</t>
  </si>
  <si>
    <t>Memory Bandwidth (Byte/s)</t>
  </si>
  <si>
    <t>Type of interconnect (Bus Interface)</t>
  </si>
  <si>
    <t>interconnect speed (in GB/s, bidirectional)</t>
  </si>
  <si>
    <t>Type of specialized point-to-point interconnect</t>
  </si>
  <si>
    <t>Specialized point-to-point interconnect speed (in GB/s, bidirectional)</t>
  </si>
  <si>
    <r>
      <rPr>
        <b/>
        <u/>
        <sz val="10"/>
        <rFont val="Roboto"/>
        <charset val="134"/>
      </rPr>
      <t>LambdaLabs</t>
    </r>
    <r>
      <rPr>
        <b/>
        <u/>
        <sz val="10"/>
        <rFont val="Roboto"/>
        <charset val="134"/>
      </rPr>
      <t xml:space="preserve"> FP32 ResNet-50 Pytorch Throughput (samples/s)</t>
    </r>
  </si>
  <si>
    <t>Release date</t>
  </si>
  <si>
    <t>Release year</t>
  </si>
  <si>
    <t>Release price (USD)</t>
  </si>
  <si>
    <t>Google Cloud pricing ($ per hour) data from 17 dec 2022</t>
  </si>
  <si>
    <t>Manufacturing Process (Technology Node)</t>
  </si>
  <si>
    <t>Number of transistors in million</t>
  </si>
  <si>
    <t>Die Size in mm^2</t>
  </si>
  <si>
    <t>TDP in W</t>
  </si>
  <si>
    <t>Base Clock in MHz</t>
  </si>
  <si>
    <t>Boost Clock in MHz</t>
  </si>
  <si>
    <t>Memory Clock in MHz</t>
  </si>
  <si>
    <t>Memory bus in bit</t>
  </si>
  <si>
    <t>Shading units</t>
  </si>
  <si>
    <t>TMUs</t>
  </si>
  <si>
    <t>ROPs</t>
  </si>
  <si>
    <t>SM count</t>
  </si>
  <si>
    <t>Tensor cores</t>
  </si>
  <si>
    <t>RT cores</t>
  </si>
  <si>
    <t>Prominent Years of usage</t>
  </si>
  <si>
    <t>Link to datasheet</t>
  </si>
  <si>
    <t>Secondary datasheet</t>
  </si>
  <si>
    <t>Source for the Price</t>
  </si>
  <si>
    <t>NVIDIA GeForce RTX 4070</t>
  </si>
  <si>
    <t>PCIe 4.0 x16</t>
  </si>
  <si>
    <t>$799</t>
  </si>
  <si>
    <t>AMD Radeon RX 7900 XTX</t>
  </si>
  <si>
    <t>AMD</t>
  </si>
  <si>
    <t>$999</t>
  </si>
  <si>
    <t>https://www.techpowerup.com/gpu-specs/radeon-rx-7900-xtx.c3941</t>
  </si>
  <si>
    <t>https://www.pcgamer.com/amd-radeon-rx-7900-xtx-xt-price-release-date-specs/</t>
  </si>
  <si>
    <t>NVIDIA L40</t>
  </si>
  <si>
    <t>https://www.techpowerup.com/gpu-specs/l40.c3959; https://www.nvidia.com/content/dam/en-zz/Solutions/design-visualization/support-guide/NVIDIA-L40-Datasheet-January-2023.pdf</t>
  </si>
  <si>
    <t>NVIDIA GeForce RTX 4090</t>
  </si>
  <si>
    <t>$1599</t>
  </si>
  <si>
    <t>TSMC 4N NVIDIA Custom Process</t>
  </si>
  <si>
    <t>https://www.techpowerup.com/gpu-specs/geforce-rtx-4090.c3889</t>
  </si>
  <si>
    <t>https://images.nvidia.com/aem-dam/Solutions/geforce/ada/nvidia-ada-gpu-architecture.pdf</t>
  </si>
  <si>
    <t>https://www.pcgamesn.com/nvidia/rtx-4090-release-date-price-spec-and-benchmarks</t>
  </si>
  <si>
    <t>NVIDIA GeForce RTX 4080</t>
  </si>
  <si>
    <t>$1199</t>
  </si>
  <si>
    <t>https://www.techpowerup.com/gpu-specs/geforce-rtx-4080.c3888;</t>
  </si>
  <si>
    <t>NVIDIA H100 SXM</t>
  </si>
  <si>
    <t>PCIe 5.0 x16</t>
  </si>
  <si>
    <t>NVLink 4.0</t>
  </si>
  <si>
    <t>https://www.techpowerup.com/gpu-specs/h100-sxm5.c3900</t>
  </si>
  <si>
    <t>https://resources.nvidia.com/en-us-tensor-core/nvidia-tensor-core-gpu-datasheet</t>
  </si>
  <si>
    <t>seems to be sold between 20k and 40k USD</t>
  </si>
  <si>
    <t>NVIDIA GeForce RTX 3090 Ti</t>
  </si>
  <si>
    <t>Samsung 8 nm 8N NVIDIA Custom Process</t>
  </si>
  <si>
    <t>https://www.techpowerup.com/gpu-specs/geforce-rtx-3090-ti.c3829</t>
  </si>
  <si>
    <t>https://www.wikiwand.com/en/GeForce_30_series</t>
  </si>
  <si>
    <t>AMD Radeon Instinct MI250X</t>
  </si>
  <si>
    <t>AMD Infinity Fabric</t>
  </si>
  <si>
    <t>TSMC 6nm</t>
  </si>
  <si>
    <t>https://www.amd.com/system/files/documents/amd-instinct-mi200-datasheet.pdf</t>
  </si>
  <si>
    <t>https://www.wikiwand.com/en/AMD_Instinct</t>
  </si>
  <si>
    <t>Google TPU v4</t>
  </si>
  <si>
    <t>TPU ICI Links</t>
  </si>
  <si>
    <t>$1.77</t>
  </si>
  <si>
    <t>https://cloud.google.com/tpu/docs/system-architecture-tpu-vm</t>
  </si>
  <si>
    <t>https://dl.acm.org/doi/pdf/10.1145/3360307</t>
  </si>
  <si>
    <t>NVIDIA RTX A5000</t>
  </si>
  <si>
    <t>$2250</t>
  </si>
  <si>
    <t>2021-21</t>
  </si>
  <si>
    <t>https://www.techpowerup.com/gpu-specs/rtx-a5000.c3748</t>
  </si>
  <si>
    <t>https://develop3d.com/hardware/nvidia-rtx-a4000-and-rtx-a5000-gpus-launch/</t>
  </si>
  <si>
    <t>NVIDIA RTX A4000</t>
  </si>
  <si>
    <t>$1000</t>
  </si>
  <si>
    <t>techpowerup.com/gpu-specs/rtx-a4000.c3756</t>
  </si>
  <si>
    <t>NVIDIA A10G</t>
  </si>
  <si>
    <t>https://www.techpowerup.com/gpu-specs/a10g.c3798</t>
  </si>
  <si>
    <t>NVIDIA A40 PCIe</t>
  </si>
  <si>
    <t>https://www.techpowerup.com/gpu-specs/a40-pcie.c3700; https://images.nvidia.com/content/Solutions/data-center/a40/nvidia-a40-datasheet.pdf</t>
  </si>
  <si>
    <t>NVIDIA A100</t>
  </si>
  <si>
    <t>NVLink</t>
  </si>
  <si>
    <t>$2.475</t>
  </si>
  <si>
    <t>2020-21</t>
  </si>
  <si>
    <t>https://www.techpowerup.com/gpu-specs/a100-sxm4-80-gb.c3746</t>
  </si>
  <si>
    <t>https://www.nvidia.com/content/dam/en-zz/Solutions/Data-Center/a100/pdf/nvidia-a100-datasheet-us-nvidia-1758950-r4-web.pdf</t>
  </si>
  <si>
    <t>NVIDIA GeForce RTX 3090</t>
  </si>
  <si>
    <t>NVLink 3.0</t>
  </si>
  <si>
    <t>$1499</t>
  </si>
  <si>
    <t>https://www.techpowerup.com/gpu-specs/geforce-rtx-3090.c3622</t>
  </si>
  <si>
    <t>https://images.nvidia.com/aem-dam/en-zz/Solutions/geforce/ampere/pdf/NVIDIA-ampere-GA102-GPU-Architecture-Whitepaper-V1.pdf#page=38</t>
  </si>
  <si>
    <t>https://www.tomsguide.com/news/nvidia-geforce-rtx-3090</t>
  </si>
  <si>
    <t>NVIDIA RTX A6000</t>
  </si>
  <si>
    <t>$4650</t>
  </si>
  <si>
    <t>https://www.techpowerup.com/gpu-specs/rtx-a6000.c3686</t>
  </si>
  <si>
    <t>https://wccftech.com/nvidia-rtx-a6000-48-gb-workstation-graphics-card-full-ga102-gpu-4650-us/</t>
  </si>
  <si>
    <t>NVIDIA GeForce RTX 3080</t>
  </si>
  <si>
    <t>https://www.techpowerup.com/gpu-specs/geforce-rtx-3080.c3621</t>
  </si>
  <si>
    <t>https://www.tomsguide.com/news/nvidia-geforce-rtx-3080-ti</t>
  </si>
  <si>
    <t>Google TPU V3</t>
  </si>
  <si>
    <t>$0.62</t>
  </si>
  <si>
    <t>2018-21</t>
  </si>
  <si>
    <t>A Domain-Specific Supercomputer for Training</t>
  </si>
  <si>
    <t>NVIDIA GeForce RTX 2080 Ti</t>
  </si>
  <si>
    <t>PCIe 3.0 x16</t>
  </si>
  <si>
    <t>NVLink 2.0</t>
  </si>
  <si>
    <t>TSMC 12 nm FFN (FinFET NVIDIA)</t>
  </si>
  <si>
    <t>https://www.techpowerup.com/gpu-specs/geforce-rtx-2080-ti.c3305</t>
  </si>
  <si>
    <t>NVIDIA Quadro RTX 8000</t>
  </si>
  <si>
    <t>$9999</t>
  </si>
  <si>
    <t>https://www.techpowerup.com/gpu-specs/quadro-rtx-8000.c3306</t>
  </si>
  <si>
    <t>NVIDIA T4</t>
  </si>
  <si>
    <t>$0.22</t>
  </si>
  <si>
    <t>https://www.techpowerup.com/gpu-specs/tesla-t4.c3316</t>
  </si>
  <si>
    <t>NVIDIA Quadro RTX 4000</t>
  </si>
  <si>
    <t>https://www.techpowerup.com/gpu-specs/quadro-rtx-4000.c3336</t>
  </si>
  <si>
    <t>NVIDIA Quadro RTX 5000</t>
  </si>
  <si>
    <t>$2299</t>
  </si>
  <si>
    <t>https://www.techpowerup.com/gpu-specs/quadro-rtx-5000.c3308</t>
  </si>
  <si>
    <t>NVIDIA Quadro RTX 6000</t>
  </si>
  <si>
    <t>$6299</t>
  </si>
  <si>
    <t>https://www.techpowerup.com/gpu-specs/quadro-rtx-6000.c3307</t>
  </si>
  <si>
    <t>https://woolypooly.com/en/device/gpu/nvidia-quadro-rtx-6000</t>
  </si>
  <si>
    <t>NVIDIA Titan Xp</t>
  </si>
  <si>
    <t>https://www.techpowerup.com/gpu-specs/titan-xp.c2948</t>
  </si>
  <si>
    <t>NVIDIA Titan V</t>
  </si>
  <si>
    <t>$2,999</t>
  </si>
  <si>
    <t>https://www.techpowerup.com/gpu-specs/titan-v.c3051</t>
  </si>
  <si>
    <t>NVIDIA Tesla V100 SMX2</t>
  </si>
  <si>
    <t>$1.562</t>
  </si>
  <si>
    <t>2017-21 (though discontinued in 2020)</t>
  </si>
  <si>
    <t>https://images.nvidia.com/content/technologies/volta/pdf/volta-v100-datasheet-update-us-1165301-r5.pdf</t>
  </si>
  <si>
    <t>https://www.techpowerup.com/gpu-specs/tesla-v100-sxm2-16-gb.c3018</t>
  </si>
  <si>
    <t>Google TPU V2</t>
  </si>
  <si>
    <t>$0.46</t>
  </si>
  <si>
    <t>2017-21</t>
  </si>
  <si>
    <t>NVIDIA Geforce GTX 1080 Ti</t>
  </si>
  <si>
    <t>$699</t>
  </si>
  <si>
    <t>https://www.techpowerup.com/gpu-specs/geforce-gtx-1080-ti.c2877</t>
  </si>
  <si>
    <t>NVIDIA Quadro P4000</t>
  </si>
  <si>
    <t>$815</t>
  </si>
  <si>
    <t>https://www.techpowerup.com/gpu-specs/quadro-p4000.c2930</t>
  </si>
  <si>
    <t>NVIDIA P100</t>
  </si>
  <si>
    <t>NVLink 1.0</t>
  </si>
  <si>
    <t>$5699</t>
  </si>
  <si>
    <t>$0.919</t>
  </si>
  <si>
    <t>https://images.nvidia.com/content/tesla/pdf/nvidia-tesla-p100-PCIe-datasheet.pdf</t>
  </si>
  <si>
    <t>NVIDIA Tesla P4</t>
  </si>
  <si>
    <t>$0.378</t>
  </si>
  <si>
    <t>https://www.techpowerup.com/gpu-specs/tesla-p4.c2879</t>
  </si>
  <si>
    <t>https://images.nvidia.com/content/pdf/tesla/184457-Tesla-P4-Datasheet-NV-Final-Letter-Web.pdf</t>
  </si>
  <si>
    <t>NVIDIA Quadro P5000</t>
  </si>
  <si>
    <t>$2499</t>
  </si>
  <si>
    <t>https://www.techpowerup.com/gpu-specs/quadro-p5000.c2864</t>
  </si>
  <si>
    <t>NVIDIA Quadro P6000</t>
  </si>
  <si>
    <t>$5999</t>
  </si>
  <si>
    <t>https://www.techpowerup.com/gpu-specs/quadro-p6000.c2865</t>
  </si>
  <si>
    <t>NVIDIA P40</t>
  </si>
  <si>
    <t>https://www.techpowerup.com/gpu-specs/tesla-p40.c2878</t>
  </si>
  <si>
    <t>NVIDIA GTX Titan X</t>
  </si>
  <si>
    <t>https://www.techpowerup.com/gpu-specs/geforce-gtx-titan-x.c2632</t>
  </si>
  <si>
    <t>NVIDIA M40</t>
  </si>
  <si>
    <t>https://www.techpowerup.com/gpu-specs/tesla-m40.c2771</t>
  </si>
  <si>
    <t>NVIDIA Quadro K1200</t>
  </si>
  <si>
    <t>PCIe 2.0 x16</t>
  </si>
  <si>
    <t>https://www.techpowerup.com/gpu-specs/quadro-k1200.c2641</t>
  </si>
  <si>
    <t>NVIDIA Quadro M4000</t>
  </si>
  <si>
    <t>https://www.techpowerup.com/gpu-specs/quadro-m4000.c2757</t>
  </si>
  <si>
    <t>NVIDIA TESLA M60</t>
  </si>
  <si>
    <t>https://www.techpowerup.com/gpu-specs/tesla-m60.c2760</t>
  </si>
  <si>
    <t>NVIDIA GTX Titan Black</t>
  </si>
  <si>
    <t>https://www.techpowerup.com/gpu-specs/geforce-gtx-titan-black.c2549</t>
  </si>
  <si>
    <t>NVIDIA Tesla K80</t>
  </si>
  <si>
    <t>$5000</t>
  </si>
  <si>
    <t>$0.283</t>
  </si>
  <si>
    <t>2015-2017</t>
  </si>
  <si>
    <t>https://www.techpowerup.com/gpu-specs/tesla-k80.c2616</t>
  </si>
  <si>
    <t>https://www.nvidia.com/content/dam/en-zz/Solutions/Data-Center/tesla-product-literature/TeslaK80-datasheet.pdf</t>
  </si>
  <si>
    <t>https://www.anandtech.com/show/8729/nvidia-launches-tesla-k80-gk210-gpu</t>
  </si>
  <si>
    <t>NVIDIA Tesla K40s</t>
  </si>
  <si>
    <t>$7699</t>
  </si>
  <si>
    <t>https://www.techpowerup.com/gpu-specs/tesla-k40s.c2528</t>
  </si>
  <si>
    <t>NVIDIA Quadro K6000</t>
  </si>
  <si>
    <t>$5265</t>
  </si>
  <si>
    <t>https://www.techpowerup.com/gpu-specs/quadro-k6000.c2426</t>
  </si>
  <si>
    <t>NVIDIA Tesla K20c</t>
  </si>
  <si>
    <t>$3199</t>
  </si>
  <si>
    <t>https://www.techpowerup.com/gpu-specs/tesla-k20c.c564</t>
  </si>
  <si>
    <t>NVIDIA GeForce GTX 580</t>
  </si>
  <si>
    <t>$499</t>
  </si>
  <si>
    <t>https://www.techpowerup.com/gpu-specs/geforce-gtx-580.c270</t>
  </si>
  <si>
    <t>NVIDIA GeForce GTX 280</t>
  </si>
  <si>
    <t>$649</t>
  </si>
  <si>
    <t>https://www.techpowerup.com/gpu-specs/geforce-gtx-280.c216</t>
  </si>
  <si>
    <t>NVIDIA P100 PCIe 16GB</t>
  </si>
  <si>
    <t>https://www.techpowerup.com/gpu-specs/tesla-p100-pcie-16-gb.c2888</t>
  </si>
  <si>
    <t>Url</t>
  </si>
  <si>
    <t>Publicationdate</t>
  </si>
  <si>
    <t>Hardware</t>
  </si>
  <si>
    <t>FP64</t>
  </si>
  <si>
    <t>FP32</t>
  </si>
  <si>
    <t>FP16</t>
  </si>
  <si>
    <t>Average FP64 Performance</t>
  </si>
  <si>
    <t>Average FP32 Performance</t>
  </si>
  <si>
    <t>Average FP16 Performance</t>
  </si>
  <si>
    <t>NVIDIA GTX 580</t>
  </si>
  <si>
    <t>na</t>
  </si>
  <si>
    <t>https://papers.nips.cc/paper/4824-imagenet-classification-with-deep-convolutional-neural-networks.pdf</t>
  </si>
  <si>
    <t>https://arxiv.org/pdf/1409.1556.pdf</t>
  </si>
  <si>
    <t>NVIDIA Tesla K20</t>
  </si>
  <si>
    <t>NVIDIA Titan X</t>
  </si>
  <si>
    <t>https://arxiv.org/pdf/1512.02595.pdf</t>
  </si>
  <si>
    <t>https://arxiv.org/abs/1609.08144</t>
  </si>
  <si>
    <t>NVIDIA K80</t>
  </si>
  <si>
    <t>https://arxiv.org/pdf/1609.08144.pdf</t>
  </si>
  <si>
    <t>NVIDIA K40</t>
  </si>
  <si>
    <t>https://arxiv.org/pdf/1610.02357.pdf</t>
  </si>
  <si>
    <t>Nvidia P100</t>
  </si>
  <si>
    <t>NVIDIA V100</t>
  </si>
  <si>
    <t>NVIDIA GTX1080 Ti</t>
  </si>
  <si>
    <t>NVIDIA V100 (NVLink)</t>
  </si>
  <si>
    <t>https://arxiv.org/pdf/2104.00298v3.pdf</t>
  </si>
  <si>
    <t>AI Alignment Newsletter #154</t>
  </si>
  <si>
    <t>https://mailchi.mp/79ac4ef6d9da/an-154what-economic-growth-theory-has-to-say-about-transformative-ai</t>
  </si>
  <si>
    <t>ImportAI</t>
  </si>
  <si>
    <t>https://us13.campaign-archive.com/?u=67bd06787e84d73db24fb0aa5&amp;id=c6b2399af9</t>
  </si>
  <si>
    <t>Towards Data Science</t>
  </si>
  <si>
    <t>https://towardsdatascience.com/parameter-counts-in-machine-learning-a312dc4753d0</t>
  </si>
  <si>
    <t>Neurons.ai</t>
  </si>
  <si>
    <t>https://neurons.ai/blog/news-stories/parameter-counts-in-machine-learning-by-jaime-sevilla-jul-2021-towards-data-science/</t>
  </si>
  <si>
    <t>What is Compute? - Transformative AI and Compute [1/4]</t>
  </si>
  <si>
    <t>https://forum.effectivealtruism.org/posts/BHPxe8YuuJ4SZWAF3/compute-transformative-ai-and-compute-1-4</t>
  </si>
  <si>
    <t>Alexander Berger Twitter</t>
  </si>
  <si>
    <t>https://twitter.com/albrgr/status/1441068221231026188</t>
  </si>
  <si>
    <t>Anson Ho</t>
  </si>
  <si>
    <t>https://forum.effectivealtruism.org/posts/aSDnzAm85a3Pi87rm/what-role-should-evolutionary-analogies-play-in</t>
  </si>
  <si>
    <t>Entry counts across years and subfields</t>
  </si>
  <si>
    <t>Before 1961</t>
  </si>
  <si>
    <t>1960-1970</t>
  </si>
  <si>
    <t>1970-1980</t>
  </si>
  <si>
    <t>1980-1990</t>
  </si>
  <si>
    <t>1990-2000</t>
  </si>
  <si>
    <t>2000-2005</t>
  </si>
  <si>
    <t>2005-2010</t>
  </si>
  <si>
    <t>2010-2015</t>
  </si>
  <si>
    <t>2015 onwards</t>
  </si>
  <si>
    <t>Sum</t>
  </si>
  <si>
    <t>Dataset</t>
  </si>
  <si>
    <t>Number of instances</t>
  </si>
  <si>
    <t>NORB</t>
  </si>
  <si>
    <t>LFW</t>
  </si>
  <si>
    <t>Labeled Faces in the Wild: A Database for Studying Face Recognition in Unconstrained Environments</t>
  </si>
  <si>
    <t>http://vis-www.cs.umass.edu/lfw/#reference</t>
  </si>
  <si>
    <t>Construction and Analysis of a Large Scale Image Ontology</t>
  </si>
  <si>
    <t>http://image-net.org/static_files/papers/ImageNet_VSS2009.pdf</t>
  </si>
  <si>
    <t>IJB-A</t>
  </si>
  <si>
    <t>PASCAL</t>
  </si>
</sst>
</file>

<file path=xl/styles.xml><?xml version="1.0" encoding="utf-8"?>
<styleSheet xmlns="http://schemas.openxmlformats.org/spreadsheetml/2006/main">
  <numFmts count="16">
    <numFmt numFmtId="42" formatCode="_(&quot;$&quot;* #,##0_);_(&quot;$&quot;* \(#,##0\);_(&quot;$&quot;* &quot;-&quot;_);_(@_)"/>
    <numFmt numFmtId="44" formatCode="_(&quot;$&quot;* #,##0.00_);_(&quot;$&quot;* \(#,##0.00\);_(&quot;$&quot;* &quot;-&quot;??_);_(@_)"/>
    <numFmt numFmtId="176" formatCode="dd/mm/yyyy"/>
    <numFmt numFmtId="177" formatCode="_ * #,##0.00_ ;_ * \-#,##0.00_ ;_ * &quot;-&quot;??_ ;_ @_ "/>
    <numFmt numFmtId="178" formatCode="_ * #,##0_ ;_ * \-#,##0_ ;_ * &quot;-&quot;_ ;_ @_ "/>
    <numFmt numFmtId="179" formatCode="d/m/yyyy"/>
    <numFmt numFmtId="180" formatCode="[$$]#,##0"/>
    <numFmt numFmtId="181" formatCode="0.00000E+00"/>
    <numFmt numFmtId="182" formatCode="yyyy\-mm\-dd"/>
    <numFmt numFmtId="183" formatCode="d\ mmmm\ yyyy"/>
    <numFmt numFmtId="184" formatCode="mm/yyyy"/>
    <numFmt numFmtId="185" formatCode="m/yyyy"/>
    <numFmt numFmtId="186" formatCode="0.0E+00"/>
    <numFmt numFmtId="187" formatCode="mmmm\ yyyy"/>
    <numFmt numFmtId="188" formatCode="d\ mmm\ yyyy"/>
    <numFmt numFmtId="189" formatCode="mm/dd/yyyy"/>
  </numFmts>
  <fonts count="104">
    <font>
      <sz val="10"/>
      <color rgb="FF000000"/>
      <name val="Arial"/>
      <charset val="134"/>
      <scheme val="minor"/>
    </font>
    <font>
      <b/>
      <sz val="10"/>
      <color theme="1"/>
      <name val="Arial"/>
      <charset val="134"/>
      <scheme val="minor"/>
    </font>
    <font>
      <sz val="10"/>
      <color rgb="FF333333"/>
      <name val="&quot;Roboto Condensed&quot;"/>
      <charset val="134"/>
    </font>
    <font>
      <u/>
      <sz val="10"/>
      <color rgb="FF333333"/>
      <name val="&quot;Roboto Condensed&quot;"/>
      <charset val="134"/>
    </font>
    <font>
      <b/>
      <sz val="10"/>
      <color theme="1"/>
      <name val="Arial"/>
      <charset val="134"/>
    </font>
    <font>
      <sz val="10"/>
      <name val="Arial"/>
      <charset val="134"/>
      <scheme val="minor"/>
    </font>
    <font>
      <b/>
      <sz val="10"/>
      <color rgb="FF333333"/>
      <name val="&quot;Roboto Condensed&quot;"/>
      <charset val="134"/>
    </font>
    <font>
      <sz val="10"/>
      <color theme="1"/>
      <name val="Arial"/>
      <charset val="134"/>
    </font>
    <font>
      <i/>
      <sz val="10"/>
      <color rgb="FF333333"/>
      <name val="Roboto Condensed"/>
      <charset val="134"/>
    </font>
    <font>
      <i/>
      <sz val="10"/>
      <color theme="1"/>
      <name val="Arial"/>
      <charset val="134"/>
      <scheme val="minor"/>
    </font>
    <font>
      <sz val="10"/>
      <color theme="1"/>
      <name val="Arial"/>
      <charset val="134"/>
      <scheme val="minor"/>
    </font>
    <font>
      <u/>
      <sz val="10"/>
      <color rgb="FF0000FF"/>
      <name val="Arial"/>
      <charset val="134"/>
      <scheme val="minor"/>
    </font>
    <font>
      <u/>
      <sz val="10"/>
      <color rgb="FF1155CC"/>
      <name val="Arial"/>
      <charset val="134"/>
      <scheme val="minor"/>
    </font>
    <font>
      <b/>
      <sz val="12"/>
      <color rgb="FF000000"/>
      <name val="Calibri"/>
      <charset val="134"/>
    </font>
    <font>
      <u/>
      <sz val="12"/>
      <color rgb="FF000000"/>
      <name val="Calibri"/>
      <charset val="134"/>
    </font>
    <font>
      <sz val="12"/>
      <color rgb="FF000000"/>
      <name val="Calibri"/>
      <charset val="134"/>
    </font>
    <font>
      <sz val="11"/>
      <color rgb="FF000000"/>
      <name val="Inconsolata"/>
      <charset val="134"/>
    </font>
    <font>
      <b/>
      <sz val="10"/>
      <color theme="1"/>
      <name val="Roboto"/>
      <charset val="134"/>
    </font>
    <font>
      <sz val="10"/>
      <color theme="1"/>
      <name val="Roboto"/>
      <charset val="134"/>
    </font>
    <font>
      <sz val="10"/>
      <color rgb="FF333333"/>
      <name val="Roboto"/>
      <charset val="134"/>
    </font>
    <font>
      <b/>
      <u/>
      <sz val="10"/>
      <color rgb="FF0000FF"/>
      <name val="Roboto"/>
      <charset val="134"/>
    </font>
    <font>
      <u/>
      <sz val="10"/>
      <color theme="1"/>
      <name val="Roboto"/>
      <charset val="134"/>
    </font>
    <font>
      <u/>
      <sz val="10"/>
      <color rgb="FF1155CC"/>
      <name val="Roboto"/>
      <charset val="134"/>
    </font>
    <font>
      <u/>
      <sz val="10"/>
      <color rgb="FF0000FF"/>
      <name val="Roboto"/>
      <charset val="134"/>
    </font>
    <font>
      <u/>
      <sz val="10"/>
      <color rgb="FF1F1F1F"/>
      <name val="Roboto"/>
      <charset val="134"/>
    </font>
    <font>
      <u/>
      <sz val="9"/>
      <color rgb="FF1F1F1F"/>
      <name val="Roboto"/>
      <charset val="134"/>
    </font>
    <font>
      <b/>
      <sz val="10"/>
      <color rgb="FF222222"/>
      <name val="Arial"/>
      <charset val="134"/>
    </font>
    <font>
      <b/>
      <u/>
      <sz val="10"/>
      <color rgb="FF222222"/>
      <name val="Arial"/>
      <charset val="134"/>
    </font>
    <font>
      <sz val="10"/>
      <color rgb="FF222222"/>
      <name val="Arial"/>
      <charset val="134"/>
    </font>
    <font>
      <u/>
      <sz val="10"/>
      <color rgb="FF222222"/>
      <name val="Arial"/>
      <charset val="134"/>
    </font>
    <font>
      <sz val="10"/>
      <color rgb="FF333333"/>
      <name val="Roboto Condensed"/>
      <charset val="134"/>
    </font>
    <font>
      <u/>
      <sz val="10"/>
      <color rgb="FF333333"/>
      <name val="Roboto Condensed"/>
      <charset val="134"/>
    </font>
    <font>
      <sz val="9"/>
      <color rgb="FF000000"/>
      <name val="&quot;Open Sans&quot;"/>
      <charset val="134"/>
    </font>
    <font>
      <sz val="11"/>
      <color rgb="FF333333"/>
      <name val="Sans-serif"/>
      <charset val="134"/>
    </font>
    <font>
      <sz val="10"/>
      <color rgb="FF333333"/>
      <name val="&quot;Source Sans Pro&quot;"/>
      <charset val="134"/>
    </font>
    <font>
      <b/>
      <sz val="10"/>
      <color rgb="FF333333"/>
      <name val="Roboto Condensed"/>
      <charset val="134"/>
    </font>
    <font>
      <sz val="10"/>
      <color theme="1"/>
      <name val="Roboto Condensed"/>
      <charset val="134"/>
    </font>
    <font>
      <b/>
      <sz val="10"/>
      <color rgb="FF333333"/>
      <name val="&quot;docs-Roboto Condensed&quot;"/>
      <charset val="134"/>
    </font>
    <font>
      <sz val="10"/>
      <color rgb="FF333333"/>
      <name val="&quot;docs-Roboto Condensed&quot;"/>
      <charset val="134"/>
    </font>
    <font>
      <u/>
      <sz val="10"/>
      <color rgb="FF1155CC"/>
      <name val="Roboto Condensed"/>
      <charset val="134"/>
    </font>
    <font>
      <u/>
      <sz val="10"/>
      <color rgb="FF333333"/>
      <name val="&quot;docs-Roboto Condensed&quot;"/>
      <charset val="134"/>
    </font>
    <font>
      <sz val="10"/>
      <color rgb="FF000000"/>
      <name val="Roboto Condensed"/>
      <charset val="134"/>
    </font>
    <font>
      <sz val="10"/>
      <color rgb="FF202124"/>
      <name val="Roboto Condensed"/>
      <charset val="134"/>
    </font>
    <font>
      <sz val="11"/>
      <color rgb="FF333333"/>
      <name val="Roboto Condensed"/>
      <charset val="134"/>
    </font>
    <font>
      <sz val="10"/>
      <color rgb="FF2E2E2E"/>
      <name val="Roboto Condensed"/>
      <charset val="134"/>
    </font>
    <font>
      <b/>
      <sz val="10"/>
      <color rgb="FF000000"/>
      <name val="&quot;Lucida Grande&quot;"/>
      <charset val="134"/>
    </font>
    <font>
      <sz val="12"/>
      <color rgb="FF000000"/>
      <name val="Arial"/>
      <charset val="134"/>
    </font>
    <font>
      <b/>
      <sz val="10"/>
      <color rgb="FF000000"/>
      <name val="Roboto Condensed"/>
      <charset val="134"/>
    </font>
    <font>
      <b/>
      <sz val="18"/>
      <color rgb="FF000000"/>
      <name val="&quot;Times New Roman&quot;"/>
      <charset val="134"/>
    </font>
    <font>
      <sz val="10"/>
      <color rgb="FF000000"/>
      <name val="NimbusRomNo9L"/>
      <charset val="134"/>
    </font>
    <font>
      <sz val="10"/>
      <color rgb="FF000000"/>
      <name val="Arial"/>
      <charset val="134"/>
    </font>
    <font>
      <u/>
      <sz val="12"/>
      <color rgb="FF000000"/>
      <name val="&quot;Lucida Grande&quot;"/>
      <charset val="134"/>
    </font>
    <font>
      <sz val="9"/>
      <color rgb="FF000000"/>
      <name val="NimbusRomNo9L"/>
      <charset val="134"/>
    </font>
    <font>
      <sz val="9"/>
      <color rgb="FF000000"/>
      <name val="Arial"/>
      <charset val="134"/>
    </font>
    <font>
      <sz val="9"/>
      <color rgb="FF212529"/>
      <name val="Roboto Condensed"/>
      <charset val="134"/>
    </font>
    <font>
      <b/>
      <sz val="2"/>
      <color rgb="FF000000"/>
      <name val="Roboto Condensed"/>
      <charset val="134"/>
    </font>
    <font>
      <b/>
      <sz val="2"/>
      <color rgb="FF000000"/>
      <name val="&quot;Lucida Grande&quot;"/>
      <charset val="134"/>
    </font>
    <font>
      <u/>
      <sz val="10"/>
      <color rgb="FF0563C1"/>
      <name val="Roboto Condensed"/>
      <charset val="134"/>
    </font>
    <font>
      <sz val="10"/>
      <color rgb="FF333333"/>
      <name val="Sans-serif"/>
      <charset val="134"/>
    </font>
    <font>
      <sz val="10"/>
      <color rgb="FF303030"/>
      <name val="Roboto Condensed"/>
      <charset val="134"/>
    </font>
    <font>
      <sz val="10"/>
      <color rgb="FF000000"/>
      <name val="Roboto"/>
      <charset val="134"/>
    </font>
    <font>
      <u/>
      <sz val="10"/>
      <color rgb="FF000000"/>
      <name val="Roboto"/>
      <charset val="134"/>
    </font>
    <font>
      <sz val="10"/>
      <color rgb="FF000080"/>
      <name val="NimbusRomNo9L"/>
      <charset val="134"/>
    </font>
    <font>
      <u/>
      <sz val="10"/>
      <color rgb="FF000000"/>
      <name val="NimbusRomNo9L"/>
      <charset val="134"/>
    </font>
    <font>
      <sz val="10"/>
      <color rgb="FF000080"/>
      <name val="Arial"/>
      <charset val="134"/>
    </font>
    <font>
      <sz val="10"/>
      <color rgb="FF000000"/>
      <name val="LinBiolinumTB"/>
      <charset val="134"/>
    </font>
    <font>
      <u/>
      <sz val="10"/>
      <color rgb="FF000000"/>
      <name val="Roboto Condensed"/>
      <charset val="134"/>
    </font>
    <font>
      <u/>
      <sz val="10"/>
      <color rgb="FF446E9B"/>
      <name val="Roboto Condensed"/>
      <charset val="134"/>
    </font>
    <font>
      <sz val="10"/>
      <color rgb="FF000080"/>
      <name val="Roboto Condensed"/>
      <charset val="134"/>
    </font>
    <font>
      <u/>
      <sz val="10"/>
      <color rgb="FF0000FF"/>
      <name val="Roboto Condensed"/>
      <charset val="134"/>
    </font>
    <font>
      <sz val="10"/>
      <color rgb="FF70757A"/>
      <name val="Roboto Condensed"/>
      <charset val="134"/>
    </font>
    <font>
      <sz val="10"/>
      <color rgb="FF202122"/>
      <name val="Roboto Condensed"/>
      <charset val="134"/>
    </font>
    <font>
      <sz val="10"/>
      <color rgb="FFEAD1DC"/>
      <name val="Roboto Condensed"/>
      <charset val="134"/>
    </font>
    <font>
      <sz val="9"/>
      <color theme="1"/>
      <name val="NimbusRomNo9L"/>
      <charset val="134"/>
    </font>
    <font>
      <sz val="9"/>
      <color theme="1"/>
      <name val="Arial"/>
      <charset val="134"/>
    </font>
    <font>
      <sz val="10"/>
      <color rgb="FF2E2D29"/>
      <name val="Dejavu_sansextralight"/>
      <charset val="134"/>
    </font>
    <font>
      <u/>
      <sz val="10"/>
      <color rgb="FF1155CC"/>
      <name val="&quot;Roboto Condensed&quot;"/>
      <charset val="134"/>
    </font>
    <font>
      <b/>
      <sz val="14"/>
      <color theme="1"/>
      <name val="Arial"/>
      <charset val="134"/>
      <scheme val="minor"/>
    </font>
    <font>
      <sz val="10"/>
      <color rgb="FF505050"/>
      <name val="NexusSerif"/>
      <charset val="134"/>
    </font>
    <font>
      <sz val="10"/>
      <color rgb="FF111111"/>
      <name val="Roboto"/>
      <charset val="134"/>
    </font>
    <font>
      <sz val="11"/>
      <color theme="1"/>
      <name val="Arial"/>
      <charset val="134"/>
      <scheme val="minor"/>
    </font>
    <font>
      <sz val="11"/>
      <color theme="1"/>
      <name val="Arial"/>
      <charset val="0"/>
      <scheme val="minor"/>
    </font>
    <font>
      <sz val="11"/>
      <color rgb="FF3F3F76"/>
      <name val="Arial"/>
      <charset val="0"/>
      <scheme val="minor"/>
    </font>
    <font>
      <sz val="11"/>
      <color rgb="FF9C0006"/>
      <name val="Arial"/>
      <charset val="0"/>
      <scheme val="minor"/>
    </font>
    <font>
      <sz val="11"/>
      <color theme="0"/>
      <name val="Arial"/>
      <charset val="0"/>
      <scheme val="minor"/>
    </font>
    <font>
      <u/>
      <sz val="11"/>
      <color rgb="FF0000FF"/>
      <name val="Arial"/>
      <charset val="0"/>
      <scheme val="minor"/>
    </font>
    <font>
      <u/>
      <sz val="11"/>
      <color rgb="FF800080"/>
      <name val="Arial"/>
      <charset val="0"/>
      <scheme val="minor"/>
    </font>
    <font>
      <b/>
      <sz val="11"/>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6500"/>
      <name val="Arial"/>
      <charset val="0"/>
      <scheme val="minor"/>
    </font>
    <font>
      <b/>
      <u/>
      <sz val="10"/>
      <name val="Roboto"/>
      <charset val="134"/>
    </font>
    <font>
      <sz val="10"/>
      <name val="宋体"/>
      <charset val="134"/>
    </font>
    <font>
      <u/>
      <sz val="10"/>
      <color rgb="FF1155CC"/>
      <name val="宋体"/>
      <charset val="134"/>
    </font>
    <font>
      <sz val="10"/>
      <name val="SimSun"/>
      <charset val="134"/>
    </font>
  </fonts>
  <fills count="54">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FBFBF9"/>
        <bgColor rgb="FFFBFBF9"/>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BDBDBD"/>
        <bgColor rgb="FFBDBDBD"/>
      </patternFill>
    </fill>
    <fill>
      <patternFill patternType="solid">
        <fgColor rgb="FFFCE8B2"/>
        <bgColor rgb="FFFCE8B2"/>
      </patternFill>
    </fill>
    <fill>
      <patternFill patternType="solid">
        <fgColor rgb="FFFCFCFC"/>
        <bgColor rgb="FFFCFCFC"/>
      </patternFill>
    </fill>
    <fill>
      <patternFill patternType="solid">
        <fgColor rgb="FFD9EAD3"/>
        <bgColor rgb="FFD9EAD3"/>
      </patternFill>
    </fill>
    <fill>
      <patternFill patternType="solid">
        <fgColor rgb="FFFF00FF"/>
        <bgColor rgb="FFFF00FF"/>
      </patternFill>
    </fill>
    <fill>
      <patternFill patternType="solid">
        <fgColor rgb="FFF3F3F3"/>
        <bgColor rgb="FFF3F3F3"/>
      </patternFill>
    </fill>
    <fill>
      <patternFill patternType="solid">
        <fgColor rgb="FF9900FF"/>
        <bgColor rgb="FF9900FF"/>
      </patternFill>
    </fill>
    <fill>
      <patternFill patternType="solid">
        <fgColor rgb="FFEAD1DC"/>
        <bgColor rgb="FFEAD1DC"/>
      </patternFill>
    </fill>
    <fill>
      <patternFill patternType="solid">
        <fgColor rgb="FFF4C7C3"/>
        <bgColor rgb="FFF4C7C3"/>
      </patternFill>
    </fill>
    <fill>
      <patternFill patternType="solid">
        <fgColor rgb="FFFFF2CC"/>
        <bgColor rgb="FFFFF2CC"/>
      </patternFill>
    </fill>
    <fill>
      <patternFill patternType="solid">
        <fgColor rgb="FFD9D2E9"/>
        <bgColor rgb="FFD9D2E9"/>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ck">
        <color rgb="FF000000"/>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80" fillId="0" borderId="0" applyFont="0" applyFill="0" applyBorder="0" applyAlignment="0" applyProtection="0">
      <alignment vertical="center"/>
    </xf>
    <xf numFmtId="0" fontId="81" fillId="23" borderId="0" applyNumberFormat="0" applyBorder="0" applyAlignment="0" applyProtection="0">
      <alignment vertical="center"/>
    </xf>
    <xf numFmtId="0" fontId="82" fillId="24" borderId="14" applyNumberFormat="0" applyAlignment="0" applyProtection="0">
      <alignment vertical="center"/>
    </xf>
    <xf numFmtId="44" fontId="80" fillId="0" borderId="0" applyFont="0" applyFill="0" applyBorder="0" applyAlignment="0" applyProtection="0">
      <alignment vertical="center"/>
    </xf>
    <xf numFmtId="178" fontId="80" fillId="0" borderId="0" applyFont="0" applyFill="0" applyBorder="0" applyAlignment="0" applyProtection="0">
      <alignment vertical="center"/>
    </xf>
    <xf numFmtId="0" fontId="81" fillId="25" borderId="0" applyNumberFormat="0" applyBorder="0" applyAlignment="0" applyProtection="0">
      <alignment vertical="center"/>
    </xf>
    <xf numFmtId="0" fontId="83" fillId="26" borderId="0" applyNumberFormat="0" applyBorder="0" applyAlignment="0" applyProtection="0">
      <alignment vertical="center"/>
    </xf>
    <xf numFmtId="177" fontId="80" fillId="0" borderId="0" applyFont="0" applyFill="0" applyBorder="0" applyAlignment="0" applyProtection="0">
      <alignment vertical="center"/>
    </xf>
    <xf numFmtId="0" fontId="84" fillId="27" borderId="0" applyNumberFormat="0" applyBorder="0" applyAlignment="0" applyProtection="0">
      <alignment vertical="center"/>
    </xf>
    <xf numFmtId="0" fontId="85" fillId="0" borderId="0" applyNumberFormat="0" applyFill="0" applyBorder="0" applyAlignment="0" applyProtection="0">
      <alignment vertical="center"/>
    </xf>
    <xf numFmtId="9" fontId="80" fillId="0" borderId="0" applyFont="0" applyFill="0" applyBorder="0" applyAlignment="0" applyProtection="0">
      <alignment vertical="center"/>
    </xf>
    <xf numFmtId="0" fontId="86" fillId="0" borderId="0" applyNumberFormat="0" applyFill="0" applyBorder="0" applyAlignment="0" applyProtection="0">
      <alignment vertical="center"/>
    </xf>
    <xf numFmtId="0" fontId="80" fillId="28" borderId="15" applyNumberFormat="0" applyFont="0" applyAlignment="0" applyProtection="0">
      <alignment vertical="center"/>
    </xf>
    <xf numFmtId="0" fontId="84" fillId="29" borderId="0" applyNumberFormat="0" applyBorder="0" applyAlignment="0" applyProtection="0">
      <alignment vertical="center"/>
    </xf>
    <xf numFmtId="0" fontId="87"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90" fillId="0" borderId="0" applyNumberFormat="0" applyFill="0" applyBorder="0" applyAlignment="0" applyProtection="0">
      <alignment vertical="center"/>
    </xf>
    <xf numFmtId="0" fontId="91" fillId="0" borderId="16" applyNumberFormat="0" applyFill="0" applyAlignment="0" applyProtection="0">
      <alignment vertical="center"/>
    </xf>
    <xf numFmtId="0" fontId="92" fillId="0" borderId="16" applyNumberFormat="0" applyFill="0" applyAlignment="0" applyProtection="0">
      <alignment vertical="center"/>
    </xf>
    <xf numFmtId="0" fontId="84" fillId="30" borderId="0" applyNumberFormat="0" applyBorder="0" applyAlignment="0" applyProtection="0">
      <alignment vertical="center"/>
    </xf>
    <xf numFmtId="0" fontId="87" fillId="0" borderId="17" applyNumberFormat="0" applyFill="0" applyAlignment="0" applyProtection="0">
      <alignment vertical="center"/>
    </xf>
    <xf numFmtId="0" fontId="84" fillId="31" borderId="0" applyNumberFormat="0" applyBorder="0" applyAlignment="0" applyProtection="0">
      <alignment vertical="center"/>
    </xf>
    <xf numFmtId="0" fontId="93" fillId="32" borderId="18" applyNumberFormat="0" applyAlignment="0" applyProtection="0">
      <alignment vertical="center"/>
    </xf>
    <xf numFmtId="0" fontId="94" fillId="32" borderId="14" applyNumberFormat="0" applyAlignment="0" applyProtection="0">
      <alignment vertical="center"/>
    </xf>
    <xf numFmtId="0" fontId="95" fillId="33" borderId="19" applyNumberFormat="0" applyAlignment="0" applyProtection="0">
      <alignment vertical="center"/>
    </xf>
    <xf numFmtId="0" fontId="81" fillId="34" borderId="0" applyNumberFormat="0" applyBorder="0" applyAlignment="0" applyProtection="0">
      <alignment vertical="center"/>
    </xf>
    <xf numFmtId="0" fontId="84" fillId="35" borderId="0" applyNumberFormat="0" applyBorder="0" applyAlignment="0" applyProtection="0">
      <alignment vertical="center"/>
    </xf>
    <xf numFmtId="0" fontId="96" fillId="0" borderId="20" applyNumberFormat="0" applyFill="0" applyAlignment="0" applyProtection="0">
      <alignment vertical="center"/>
    </xf>
    <xf numFmtId="0" fontId="97" fillId="0" borderId="21" applyNumberFormat="0" applyFill="0" applyAlignment="0" applyProtection="0">
      <alignment vertical="center"/>
    </xf>
    <xf numFmtId="0" fontId="98" fillId="36" borderId="0" applyNumberFormat="0" applyBorder="0" applyAlignment="0" applyProtection="0">
      <alignment vertical="center"/>
    </xf>
    <xf numFmtId="0" fontId="99" fillId="37" borderId="0" applyNumberFormat="0" applyBorder="0" applyAlignment="0" applyProtection="0">
      <alignment vertical="center"/>
    </xf>
    <xf numFmtId="0" fontId="81" fillId="38" borderId="0" applyNumberFormat="0" applyBorder="0" applyAlignment="0" applyProtection="0">
      <alignment vertical="center"/>
    </xf>
    <xf numFmtId="0" fontId="84" fillId="39" borderId="0" applyNumberFormat="0" applyBorder="0" applyAlignment="0" applyProtection="0">
      <alignment vertical="center"/>
    </xf>
    <xf numFmtId="0" fontId="81" fillId="40" borderId="0" applyNumberFormat="0" applyBorder="0" applyAlignment="0" applyProtection="0">
      <alignment vertical="center"/>
    </xf>
    <xf numFmtId="0" fontId="81" fillId="41" borderId="0" applyNumberFormat="0" applyBorder="0" applyAlignment="0" applyProtection="0">
      <alignment vertical="center"/>
    </xf>
    <xf numFmtId="0" fontId="81" fillId="42" borderId="0" applyNumberFormat="0" applyBorder="0" applyAlignment="0" applyProtection="0">
      <alignment vertical="center"/>
    </xf>
    <xf numFmtId="0" fontId="81" fillId="43" borderId="0" applyNumberFormat="0" applyBorder="0" applyAlignment="0" applyProtection="0">
      <alignment vertical="center"/>
    </xf>
    <xf numFmtId="0" fontId="84" fillId="44" borderId="0" applyNumberFormat="0" applyBorder="0" applyAlignment="0" applyProtection="0">
      <alignment vertical="center"/>
    </xf>
    <xf numFmtId="0" fontId="84" fillId="45" borderId="0" applyNumberFormat="0" applyBorder="0" applyAlignment="0" applyProtection="0">
      <alignment vertical="center"/>
    </xf>
    <xf numFmtId="0" fontId="81" fillId="46" borderId="0" applyNumberFormat="0" applyBorder="0" applyAlignment="0" applyProtection="0">
      <alignment vertical="center"/>
    </xf>
    <xf numFmtId="0" fontId="81" fillId="47" borderId="0" applyNumberFormat="0" applyBorder="0" applyAlignment="0" applyProtection="0">
      <alignment vertical="center"/>
    </xf>
    <xf numFmtId="0" fontId="84" fillId="48" borderId="0" applyNumberFormat="0" applyBorder="0" applyAlignment="0" applyProtection="0">
      <alignment vertical="center"/>
    </xf>
    <xf numFmtId="0" fontId="81" fillId="49" borderId="0" applyNumberFormat="0" applyBorder="0" applyAlignment="0" applyProtection="0">
      <alignment vertical="center"/>
    </xf>
    <xf numFmtId="0" fontId="84" fillId="50" borderId="0" applyNumberFormat="0" applyBorder="0" applyAlignment="0" applyProtection="0">
      <alignment vertical="center"/>
    </xf>
    <xf numFmtId="0" fontId="84" fillId="51" borderId="0" applyNumberFormat="0" applyBorder="0" applyAlignment="0" applyProtection="0">
      <alignment vertical="center"/>
    </xf>
    <xf numFmtId="0" fontId="81" fillId="52" borderId="0" applyNumberFormat="0" applyBorder="0" applyAlignment="0" applyProtection="0">
      <alignment vertical="center"/>
    </xf>
    <xf numFmtId="0" fontId="84" fillId="53" borderId="0" applyNumberFormat="0" applyBorder="0" applyAlignment="0" applyProtection="0">
      <alignment vertical="center"/>
    </xf>
  </cellStyleXfs>
  <cellXfs count="420">
    <xf numFmtId="0" fontId="0" fillId="0" borderId="0" xfId="0" applyFont="1" applyAlignment="1"/>
    <xf numFmtId="0" fontId="1" fillId="0" borderId="0" xfId="0" applyFont="1" applyAlignment="1">
      <alignment horizontal="center"/>
    </xf>
    <xf numFmtId="0" fontId="1" fillId="0" borderId="0" xfId="0" applyFont="1" applyAlignment="1"/>
    <xf numFmtId="0" fontId="2" fillId="2" borderId="0" xfId="0" applyFont="1" applyFill="1" applyAlignment="1"/>
    <xf numFmtId="0" fontId="2" fillId="0" borderId="0" xfId="0" applyFont="1" applyAlignment="1"/>
    <xf numFmtId="179" fontId="2" fillId="0" borderId="0" xfId="0" applyNumberFormat="1" applyFont="1" applyAlignment="1"/>
    <xf numFmtId="0" fontId="3" fillId="0" borderId="0" xfId="0" applyFont="1" applyAlignment="1"/>
    <xf numFmtId="0" fontId="4" fillId="0" borderId="1" xfId="0" applyFont="1" applyBorder="1" applyAlignment="1">
      <alignment horizontal="center"/>
    </xf>
    <xf numFmtId="0" fontId="5" fillId="0" borderId="2" xfId="0" applyFont="1" applyBorder="1"/>
    <xf numFmtId="0" fontId="1" fillId="0" borderId="3" xfId="0" applyFont="1" applyBorder="1" applyAlignment="1"/>
    <xf numFmtId="0" fontId="4" fillId="0" borderId="4" xfId="0" applyFont="1" applyBorder="1" applyAlignment="1"/>
    <xf numFmtId="0" fontId="6" fillId="0" borderId="5" xfId="0" applyFont="1" applyBorder="1" applyAlignment="1"/>
    <xf numFmtId="0" fontId="7" fillId="0" borderId="0" xfId="0" applyFont="1" applyAlignment="1">
      <alignment horizontal="right"/>
    </xf>
    <xf numFmtId="0" fontId="6" fillId="0" borderId="6" xfId="0" applyFont="1" applyBorder="1" applyAlignment="1"/>
    <xf numFmtId="0" fontId="7" fillId="0" borderId="7" xfId="0" applyFont="1" applyBorder="1" applyAlignment="1">
      <alignment horizontal="right"/>
    </xf>
    <xf numFmtId="0" fontId="8" fillId="0" borderId="0" xfId="0" applyFont="1" applyAlignment="1"/>
    <xf numFmtId="0" fontId="9" fillId="0" borderId="0" xfId="0" applyFont="1"/>
    <xf numFmtId="0" fontId="5" fillId="0" borderId="8" xfId="0" applyFont="1" applyBorder="1"/>
    <xf numFmtId="0" fontId="4" fillId="0" borderId="9" xfId="0" applyFont="1" applyBorder="1" applyAlignment="1"/>
    <xf numFmtId="0" fontId="9" fillId="0" borderId="0" xfId="0" applyFont="1" applyAlignment="1"/>
    <xf numFmtId="0" fontId="7" fillId="0" borderId="10" xfId="0" applyFont="1" applyBorder="1" applyAlignment="1">
      <alignment horizontal="right"/>
    </xf>
    <xf numFmtId="0" fontId="7" fillId="0" borderId="11" xfId="0" applyFont="1" applyBorder="1" applyAlignment="1">
      <alignment horizontal="right"/>
    </xf>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14" fillId="0" borderId="0" xfId="0" applyFont="1" applyAlignment="1"/>
    <xf numFmtId="176" fontId="15" fillId="0" borderId="0" xfId="0" applyNumberFormat="1" applyFont="1" applyAlignment="1">
      <alignment horizontal="right"/>
    </xf>
    <xf numFmtId="0" fontId="15" fillId="0" borderId="0" xfId="0" applyFont="1" applyAlignment="1">
      <alignment horizontal="right"/>
    </xf>
    <xf numFmtId="0" fontId="15" fillId="0" borderId="0" xfId="0" applyFont="1" applyAlignment="1"/>
    <xf numFmtId="11" fontId="15" fillId="0" borderId="0" xfId="0" applyNumberFormat="1" applyFont="1" applyAlignment="1">
      <alignment horizontal="right"/>
    </xf>
    <xf numFmtId="179" fontId="15" fillId="0" borderId="0" xfId="0" applyNumberFormat="1" applyFont="1" applyAlignment="1">
      <alignment horizontal="right"/>
    </xf>
    <xf numFmtId="11" fontId="10" fillId="0" borderId="0" xfId="0" applyNumberFormat="1" applyFont="1"/>
    <xf numFmtId="11" fontId="16" fillId="2" borderId="0" xfId="0" applyNumberFormat="1" applyFont="1" applyFill="1"/>
    <xf numFmtId="11" fontId="10" fillId="0" borderId="0" xfId="0" applyNumberFormat="1" applyFont="1" applyAlignment="1"/>
    <xf numFmtId="0" fontId="17" fillId="3" borderId="0" xfId="0" applyFont="1" applyFill="1" applyAlignment="1">
      <alignment wrapText="1"/>
    </xf>
    <xf numFmtId="11" fontId="17" fillId="3" borderId="0" xfId="0" applyNumberFormat="1" applyFont="1" applyFill="1" applyAlignment="1">
      <alignment wrapText="1"/>
    </xf>
    <xf numFmtId="0" fontId="18" fillId="4" borderId="0" xfId="0" applyFont="1" applyFill="1" applyAlignment="1">
      <alignment wrapText="1"/>
    </xf>
    <xf numFmtId="0" fontId="18" fillId="5" borderId="0" xfId="0" applyFont="1" applyFill="1" applyAlignment="1">
      <alignment wrapText="1"/>
    </xf>
    <xf numFmtId="11" fontId="18" fillId="5" borderId="0" xfId="0" applyNumberFormat="1" applyFont="1" applyFill="1" applyAlignment="1"/>
    <xf numFmtId="11" fontId="18" fillId="5" borderId="0" xfId="0" applyNumberFormat="1" applyFont="1" applyFill="1" applyAlignment="1">
      <alignment horizontal="right" wrapText="1"/>
    </xf>
    <xf numFmtId="0" fontId="18" fillId="2" borderId="0" xfId="0" applyFont="1" applyFill="1" applyAlignment="1">
      <alignment wrapText="1"/>
    </xf>
    <xf numFmtId="11" fontId="18" fillId="2" borderId="0" xfId="0" applyNumberFormat="1" applyFont="1" applyFill="1" applyAlignment="1">
      <alignment horizontal="right"/>
    </xf>
    <xf numFmtId="11" fontId="18" fillId="2" borderId="0" xfId="0" applyNumberFormat="1" applyFont="1" applyFill="1" applyAlignment="1">
      <alignment horizontal="right" wrapText="1"/>
    </xf>
    <xf numFmtId="11" fontId="18" fillId="2" borderId="0" xfId="0" applyNumberFormat="1" applyFont="1" applyFill="1" applyAlignment="1"/>
    <xf numFmtId="0" fontId="18" fillId="4" borderId="0" xfId="0" applyFont="1" applyFill="1" applyAlignment="1"/>
    <xf numFmtId="0" fontId="18" fillId="2" borderId="0" xfId="0" applyFont="1" applyFill="1" applyAlignment="1"/>
    <xf numFmtId="11" fontId="18" fillId="0" borderId="0" xfId="0" applyNumberFormat="1" applyFont="1" applyAlignment="1">
      <alignment horizontal="right"/>
    </xf>
    <xf numFmtId="11" fontId="18" fillId="0" borderId="0" xfId="0" applyNumberFormat="1" applyFont="1" applyAlignment="1">
      <alignment horizontal="right" wrapText="1"/>
    </xf>
    <xf numFmtId="11" fontId="18" fillId="0" borderId="0" xfId="0" applyNumberFormat="1" applyFont="1" applyAlignment="1"/>
    <xf numFmtId="0" fontId="18" fillId="5" borderId="0" xfId="0" applyFont="1" applyFill="1" applyAlignment="1"/>
    <xf numFmtId="11" fontId="18" fillId="5" borderId="0" xfId="0" applyNumberFormat="1" applyFont="1" applyFill="1" applyAlignment="1">
      <alignment horizontal="right"/>
    </xf>
    <xf numFmtId="11" fontId="19" fillId="0" borderId="0" xfId="0" applyNumberFormat="1" applyFont="1" applyAlignment="1">
      <alignment horizontal="left"/>
    </xf>
    <xf numFmtId="4" fontId="18" fillId="5" borderId="0" xfId="0" applyNumberFormat="1" applyFont="1" applyFill="1" applyAlignment="1"/>
    <xf numFmtId="11" fontId="18" fillId="5" borderId="0" xfId="0" applyNumberFormat="1" applyFont="1" applyFill="1" applyAlignment="1">
      <alignment horizontal="left"/>
    </xf>
    <xf numFmtId="11" fontId="19" fillId="0" borderId="0" xfId="0" applyNumberFormat="1" applyFont="1" applyAlignment="1"/>
    <xf numFmtId="4" fontId="18" fillId="2" borderId="0" xfId="0" applyNumberFormat="1" applyFont="1" applyFill="1" applyAlignment="1">
      <alignment horizontal="right"/>
    </xf>
    <xf numFmtId="4" fontId="18" fillId="2" borderId="0" xfId="0" applyNumberFormat="1" applyFont="1" applyFill="1" applyAlignment="1"/>
    <xf numFmtId="0" fontId="18" fillId="5" borderId="0" xfId="0" applyFont="1" applyFill="1" applyAlignment="1">
      <alignment horizontal="left"/>
    </xf>
    <xf numFmtId="11" fontId="18" fillId="5" borderId="0" xfId="0" applyNumberFormat="1" applyFont="1" applyFill="1" applyAlignment="1">
      <alignment horizontal="left" wrapText="1"/>
    </xf>
    <xf numFmtId="11" fontId="18" fillId="2" borderId="0" xfId="0" applyNumberFormat="1" applyFont="1" applyFill="1" applyAlignment="1">
      <alignment wrapText="1"/>
    </xf>
    <xf numFmtId="4" fontId="18" fillId="5" borderId="0" xfId="0" applyNumberFormat="1" applyFont="1" applyFill="1" applyAlignment="1">
      <alignment horizontal="right"/>
    </xf>
    <xf numFmtId="0" fontId="20" fillId="3" borderId="0" xfId="0" applyFont="1" applyFill="1" applyAlignment="1">
      <alignment wrapText="1"/>
    </xf>
    <xf numFmtId="176" fontId="17" fillId="3" borderId="0" xfId="0" applyNumberFormat="1" applyFont="1" applyFill="1" applyAlignment="1">
      <alignment wrapText="1"/>
    </xf>
    <xf numFmtId="180" fontId="17" fillId="3" borderId="0" xfId="0" applyNumberFormat="1" applyFont="1" applyFill="1" applyAlignment="1">
      <alignment wrapText="1"/>
    </xf>
    <xf numFmtId="176" fontId="18" fillId="5" borderId="0" xfId="0" applyNumberFormat="1" applyFont="1" applyFill="1" applyAlignment="1">
      <alignment horizontal="right"/>
    </xf>
    <xf numFmtId="0" fontId="18" fillId="5" borderId="0" xfId="0" applyFont="1" applyFill="1" applyAlignment="1">
      <alignment horizontal="right"/>
    </xf>
    <xf numFmtId="180" fontId="18" fillId="5" borderId="0" xfId="0" applyNumberFormat="1" applyFont="1" applyFill="1" applyAlignment="1">
      <alignment horizontal="right"/>
    </xf>
    <xf numFmtId="49" fontId="18" fillId="5" borderId="0" xfId="0" applyNumberFormat="1" applyFont="1" applyFill="1" applyAlignment="1">
      <alignment horizontal="right"/>
    </xf>
    <xf numFmtId="176" fontId="18" fillId="2" borderId="0" xfId="0" applyNumberFormat="1" applyFont="1" applyFill="1" applyAlignment="1">
      <alignment horizontal="right"/>
    </xf>
    <xf numFmtId="0" fontId="18" fillId="2" borderId="0" xfId="0" applyFont="1" applyFill="1" applyAlignment="1">
      <alignment horizontal="right"/>
    </xf>
    <xf numFmtId="180" fontId="18" fillId="2" borderId="0" xfId="0" applyNumberFormat="1" applyFont="1" applyFill="1" applyAlignment="1">
      <alignment horizontal="right"/>
    </xf>
    <xf numFmtId="49" fontId="18" fillId="2" borderId="0" xfId="0" applyNumberFormat="1" applyFont="1" applyFill="1" applyAlignment="1"/>
    <xf numFmtId="180" fontId="18" fillId="2" borderId="0" xfId="0" applyNumberFormat="1" applyFont="1" applyFill="1" applyAlignment="1"/>
    <xf numFmtId="11" fontId="18" fillId="4" borderId="0" xfId="0" applyNumberFormat="1" applyFont="1" applyFill="1" applyAlignment="1">
      <alignment horizontal="right"/>
    </xf>
    <xf numFmtId="49" fontId="18" fillId="2" borderId="0" xfId="0" applyNumberFormat="1" applyFont="1" applyFill="1" applyAlignment="1">
      <alignment horizontal="right"/>
    </xf>
    <xf numFmtId="176" fontId="18" fillId="5" borderId="0" xfId="0" applyNumberFormat="1" applyFont="1" applyFill="1" applyAlignment="1">
      <alignment horizontal="right" wrapText="1"/>
    </xf>
    <xf numFmtId="176" fontId="18" fillId="2" borderId="0" xfId="0" applyNumberFormat="1" applyFont="1" applyFill="1" applyAlignment="1">
      <alignment horizontal="right" wrapText="1"/>
    </xf>
    <xf numFmtId="176" fontId="18" fillId="5" borderId="0" xfId="0" applyNumberFormat="1" applyFont="1" applyFill="1" applyAlignment="1"/>
    <xf numFmtId="176" fontId="18" fillId="2" borderId="0" xfId="0" applyNumberFormat="1" applyFont="1" applyFill="1" applyAlignment="1"/>
    <xf numFmtId="176" fontId="10" fillId="0" borderId="0" xfId="0" applyNumberFormat="1" applyFont="1"/>
    <xf numFmtId="180" fontId="10" fillId="0" borderId="0" xfId="0" applyNumberFormat="1" applyFont="1"/>
    <xf numFmtId="11" fontId="21" fillId="5" borderId="0" xfId="0" applyNumberFormat="1" applyFont="1" applyFill="1" applyAlignment="1">
      <alignment wrapText="1"/>
    </xf>
    <xf numFmtId="0" fontId="21" fillId="0" borderId="0" xfId="0" applyFont="1" applyAlignment="1"/>
    <xf numFmtId="11" fontId="22" fillId="2" borderId="0" xfId="0" applyNumberFormat="1" applyFont="1" applyFill="1" applyAlignment="1">
      <alignment wrapText="1"/>
    </xf>
    <xf numFmtId="0" fontId="22" fillId="0" borderId="0" xfId="0" applyFont="1" applyAlignment="1"/>
    <xf numFmtId="11" fontId="23" fillId="5" borderId="0" xfId="0" applyNumberFormat="1" applyFont="1" applyFill="1" applyAlignment="1">
      <alignment wrapText="1"/>
    </xf>
    <xf numFmtId="11" fontId="23" fillId="2" borderId="0" xfId="0" applyNumberFormat="1" applyFont="1" applyFill="1" applyAlignment="1"/>
    <xf numFmtId="0" fontId="22" fillId="2" borderId="0" xfId="0" applyFont="1" applyFill="1" applyAlignment="1"/>
    <xf numFmtId="11" fontId="22" fillId="2" borderId="0" xfId="0" applyNumberFormat="1" applyFont="1" applyFill="1" applyAlignment="1"/>
    <xf numFmtId="0" fontId="18" fillId="0" borderId="0" xfId="0" applyFont="1" applyAlignment="1"/>
    <xf numFmtId="11" fontId="23" fillId="0" borderId="0" xfId="0" applyNumberFormat="1" applyFont="1" applyAlignment="1"/>
    <xf numFmtId="11" fontId="22" fillId="5" borderId="0" xfId="0" applyNumberFormat="1" applyFont="1" applyFill="1" applyAlignment="1">
      <alignment wrapText="1"/>
    </xf>
    <xf numFmtId="0" fontId="21" fillId="5" borderId="0" xfId="0" applyFont="1" applyFill="1" applyAlignment="1"/>
    <xf numFmtId="11" fontId="22" fillId="0" borderId="0" xfId="0" applyNumberFormat="1" applyFont="1" applyAlignment="1"/>
    <xf numFmtId="0" fontId="24" fillId="2" borderId="0" xfId="0" applyFont="1" applyFill="1" applyAlignment="1"/>
    <xf numFmtId="0" fontId="23" fillId="5" borderId="0" xfId="0" applyFont="1" applyFill="1" applyAlignment="1"/>
    <xf numFmtId="0" fontId="25" fillId="2" borderId="0" xfId="0" applyFont="1" applyFill="1" applyAlignment="1"/>
    <xf numFmtId="0" fontId="5" fillId="0" borderId="12" xfId="0" applyFont="1" applyBorder="1"/>
    <xf numFmtId="0" fontId="10" fillId="0" borderId="12" xfId="0" applyFont="1" applyBorder="1" applyAlignment="1"/>
    <xf numFmtId="0" fontId="10" fillId="6" borderId="0" xfId="0" applyFont="1" applyFill="1" applyAlignment="1"/>
    <xf numFmtId="0" fontId="10" fillId="6" borderId="12" xfId="0" applyFont="1" applyFill="1" applyBorder="1" applyAlignment="1"/>
    <xf numFmtId="0" fontId="10" fillId="7" borderId="0" xfId="0" applyFont="1" applyFill="1" applyAlignment="1"/>
    <xf numFmtId="0" fontId="10" fillId="7" borderId="12" xfId="0" applyFont="1" applyFill="1" applyBorder="1" applyAlignment="1"/>
    <xf numFmtId="0" fontId="10" fillId="8" borderId="0" xfId="0" applyFont="1" applyFill="1" applyAlignment="1"/>
    <xf numFmtId="0" fontId="10" fillId="8" borderId="12" xfId="0" applyFont="1" applyFill="1" applyBorder="1" applyAlignment="1"/>
    <xf numFmtId="0" fontId="10" fillId="0" borderId="12" xfId="0" applyFont="1" applyBorder="1"/>
    <xf numFmtId="0" fontId="10" fillId="9" borderId="0" xfId="0" applyFont="1" applyFill="1" applyAlignment="1"/>
    <xf numFmtId="0" fontId="10" fillId="9" borderId="12" xfId="0" applyFont="1" applyFill="1" applyBorder="1" applyAlignment="1"/>
    <xf numFmtId="0" fontId="26" fillId="2" borderId="0" xfId="0" applyFont="1" applyFill="1" applyAlignment="1">
      <alignment horizontal="center" wrapText="1"/>
    </xf>
    <xf numFmtId="0" fontId="27" fillId="2" borderId="0" xfId="0" applyFont="1" applyFill="1" applyAlignment="1">
      <alignment horizontal="center"/>
    </xf>
    <xf numFmtId="0" fontId="28" fillId="2" borderId="0" xfId="0" applyFont="1" applyFill="1" applyAlignment="1">
      <alignment horizontal="left" wrapText="1"/>
    </xf>
    <xf numFmtId="0" fontId="29" fillId="2" borderId="0" xfId="0" applyFont="1" applyFill="1" applyAlignment="1">
      <alignment horizontal="center"/>
    </xf>
    <xf numFmtId="0" fontId="6" fillId="0" borderId="0" xfId="0" applyFont="1" applyAlignment="1">
      <alignment horizontal="center"/>
    </xf>
    <xf numFmtId="0" fontId="30" fillId="0" borderId="0" xfId="0" applyFont="1" applyAlignment="1"/>
    <xf numFmtId="0" fontId="7" fillId="0" borderId="0" xfId="0" applyFont="1" applyAlignment="1"/>
    <xf numFmtId="11" fontId="6" fillId="0" borderId="0" xfId="0" applyNumberFormat="1" applyFont="1" applyAlignment="1">
      <alignment horizontal="center"/>
    </xf>
    <xf numFmtId="176" fontId="30" fillId="0" borderId="0" xfId="0" applyNumberFormat="1" applyFont="1" applyAlignment="1">
      <alignment horizontal="right"/>
    </xf>
    <xf numFmtId="0" fontId="31" fillId="0" borderId="0" xfId="0" applyFont="1" applyBorder="1" applyAlignment="1"/>
    <xf numFmtId="11" fontId="7" fillId="0" borderId="0" xfId="0" applyNumberFormat="1" applyFont="1" applyBorder="1" applyAlignment="1"/>
    <xf numFmtId="176" fontId="7" fillId="0" borderId="0" xfId="0" applyNumberFormat="1" applyFont="1" applyAlignment="1"/>
    <xf numFmtId="11" fontId="7" fillId="0" borderId="0" xfId="0" applyNumberFormat="1" applyFont="1" applyAlignment="1"/>
    <xf numFmtId="0" fontId="30" fillId="0" borderId="0" xfId="0" applyFont="1" applyAlignment="1">
      <alignment horizontal="right"/>
    </xf>
    <xf numFmtId="0" fontId="31" fillId="0" borderId="0" xfId="0" applyFont="1" applyAlignment="1"/>
    <xf numFmtId="11" fontId="30" fillId="0" borderId="0" xfId="0" applyNumberFormat="1" applyFont="1" applyAlignment="1"/>
    <xf numFmtId="0" fontId="30" fillId="0" borderId="0" xfId="0" applyFont="1" applyBorder="1" applyAlignment="1"/>
    <xf numFmtId="11" fontId="30" fillId="0" borderId="0" xfId="0" applyNumberFormat="1" applyFont="1" applyBorder="1" applyAlignment="1"/>
    <xf numFmtId="11" fontId="2" fillId="0" borderId="0" xfId="0" applyNumberFormat="1" applyFont="1" applyAlignment="1"/>
    <xf numFmtId="176" fontId="2" fillId="0" borderId="0" xfId="0" applyNumberFormat="1" applyFont="1" applyAlignment="1"/>
    <xf numFmtId="0" fontId="32" fillId="0" borderId="0" xfId="0" applyFont="1" applyAlignment="1">
      <alignment wrapText="1"/>
    </xf>
    <xf numFmtId="176" fontId="2" fillId="2" borderId="0" xfId="0" applyNumberFormat="1" applyFont="1" applyFill="1" applyAlignment="1"/>
    <xf numFmtId="0" fontId="3" fillId="2" borderId="0" xfId="0" applyFont="1" applyFill="1" applyAlignment="1"/>
    <xf numFmtId="11" fontId="2" fillId="2" borderId="0" xfId="0" applyNumberFormat="1" applyFont="1" applyFill="1" applyAlignment="1"/>
    <xf numFmtId="0" fontId="33" fillId="0" borderId="0" xfId="0" applyFont="1"/>
    <xf numFmtId="0" fontId="34" fillId="10" borderId="0" xfId="0" applyFont="1" applyFill="1" applyAlignment="1">
      <alignment wrapText="1"/>
    </xf>
    <xf numFmtId="181" fontId="6" fillId="0" borderId="0" xfId="0" applyNumberFormat="1" applyFont="1" applyAlignment="1">
      <alignment horizontal="center"/>
    </xf>
    <xf numFmtId="181" fontId="7" fillId="0" borderId="0" xfId="0" applyNumberFormat="1" applyFont="1" applyAlignment="1"/>
    <xf numFmtId="181" fontId="2" fillId="0" borderId="0" xfId="0" applyNumberFormat="1" applyFont="1" applyAlignment="1"/>
    <xf numFmtId="181" fontId="2" fillId="2" borderId="0" xfId="0" applyNumberFormat="1" applyFont="1" applyFill="1" applyAlignment="1"/>
    <xf numFmtId="0" fontId="6" fillId="2" borderId="0" xfId="0" applyFont="1" applyFill="1" applyAlignment="1"/>
    <xf numFmtId="182" fontId="2" fillId="2" borderId="0" xfId="0" applyNumberFormat="1" applyFont="1" applyFill="1" applyAlignment="1"/>
    <xf numFmtId="10" fontId="10" fillId="0" borderId="0" xfId="0" applyNumberFormat="1" applyFont="1" applyAlignment="1"/>
    <xf numFmtId="182" fontId="10" fillId="0" borderId="0" xfId="0" applyNumberFormat="1" applyFont="1" applyAlignment="1"/>
    <xf numFmtId="0" fontId="10" fillId="11" borderId="0" xfId="0" applyFont="1" applyFill="1" applyAlignment="1"/>
    <xf numFmtId="0" fontId="2" fillId="11" borderId="0" xfId="0" applyFont="1" applyFill="1" applyAlignment="1"/>
    <xf numFmtId="10" fontId="10" fillId="11" borderId="0" xfId="0" applyNumberFormat="1" applyFont="1" applyFill="1" applyAlignment="1"/>
    <xf numFmtId="182" fontId="10" fillId="11" borderId="0" xfId="0" applyNumberFormat="1" applyFont="1" applyFill="1" applyAlignment="1"/>
    <xf numFmtId="0" fontId="11" fillId="11" borderId="0" xfId="0" applyFont="1" applyFill="1" applyAlignment="1"/>
    <xf numFmtId="0" fontId="10" fillId="11" borderId="0" xfId="0" applyFont="1" applyFill="1"/>
    <xf numFmtId="9" fontId="10" fillId="0" borderId="0" xfId="0" applyNumberFormat="1" applyFont="1" applyAlignment="1"/>
    <xf numFmtId="0" fontId="35" fillId="0" borderId="0" xfId="0" applyFont="1" applyAlignment="1">
      <alignment horizontal="center"/>
    </xf>
    <xf numFmtId="1" fontId="35" fillId="0" borderId="0" xfId="0" applyNumberFormat="1" applyFont="1" applyAlignment="1">
      <alignment horizontal="center"/>
    </xf>
    <xf numFmtId="1" fontId="30" fillId="0" borderId="0" xfId="0" applyNumberFormat="1" applyFont="1" applyAlignment="1"/>
    <xf numFmtId="176" fontId="30" fillId="0" borderId="0" xfId="0" applyNumberFormat="1" applyFont="1" applyAlignment="1"/>
    <xf numFmtId="184" fontId="30" fillId="0" borderId="0" xfId="0" applyNumberFormat="1" applyFont="1" applyAlignment="1"/>
    <xf numFmtId="0" fontId="30" fillId="12" borderId="0" xfId="0" applyFont="1" applyFill="1" applyAlignment="1"/>
    <xf numFmtId="0" fontId="36" fillId="0" borderId="0" xfId="0" applyFont="1" applyAlignment="1"/>
    <xf numFmtId="11" fontId="35" fillId="0" borderId="0" xfId="0" applyNumberFormat="1" applyFont="1" applyAlignment="1">
      <alignment horizontal="center"/>
    </xf>
    <xf numFmtId="11" fontId="30" fillId="0" borderId="0" xfId="0" applyNumberFormat="1" applyFont="1"/>
    <xf numFmtId="0" fontId="36" fillId="0" borderId="0" xfId="0" applyFont="1"/>
    <xf numFmtId="11" fontId="36" fillId="0" borderId="0" xfId="0" applyNumberFormat="1" applyFont="1" applyAlignment="1"/>
    <xf numFmtId="3" fontId="36" fillId="0" borderId="0" xfId="0" applyNumberFormat="1" applyFont="1" applyAlignment="1"/>
    <xf numFmtId="0" fontId="37" fillId="2" borderId="0" xfId="0" applyFont="1" applyFill="1" applyAlignment="1">
      <alignment horizontal="center"/>
    </xf>
    <xf numFmtId="0" fontId="30" fillId="0" borderId="0" xfId="0" applyFont="1" applyAlignment="1">
      <alignment horizontal="left"/>
    </xf>
    <xf numFmtId="0" fontId="38" fillId="2" borderId="0" xfId="0" applyFont="1" applyFill="1" applyAlignment="1">
      <alignment horizontal="left"/>
    </xf>
    <xf numFmtId="0" fontId="39" fillId="2" borderId="0" xfId="0" applyFont="1" applyFill="1" applyAlignment="1">
      <alignment horizontal="left"/>
    </xf>
    <xf numFmtId="0" fontId="40" fillId="2" borderId="0" xfId="0" applyFont="1" applyFill="1" applyAlignment="1">
      <alignment horizontal="left"/>
    </xf>
    <xf numFmtId="185" fontId="30" fillId="0" borderId="0" xfId="0" applyNumberFormat="1" applyFont="1" applyAlignment="1"/>
    <xf numFmtId="0" fontId="10" fillId="12" borderId="0" xfId="0" applyFont="1" applyFill="1" applyAlignment="1"/>
    <xf numFmtId="179" fontId="30" fillId="0" borderId="0" xfId="0" applyNumberFormat="1" applyFont="1" applyAlignment="1"/>
    <xf numFmtId="0" fontId="41" fillId="0" borderId="0" xfId="0" applyFont="1" applyAlignment="1"/>
    <xf numFmtId="0" fontId="42" fillId="2" borderId="0" xfId="0" applyFont="1" applyFill="1" applyAlignment="1">
      <alignment horizontal="left"/>
    </xf>
    <xf numFmtId="11" fontId="16" fillId="2" borderId="0" xfId="0" applyNumberFormat="1" applyFont="1" applyFill="1" applyAlignment="1"/>
    <xf numFmtId="11" fontId="36" fillId="0" borderId="0" xfId="0" applyNumberFormat="1" applyFont="1"/>
    <xf numFmtId="0" fontId="39" fillId="0" borderId="0" xfId="0" applyFont="1" applyAlignment="1"/>
    <xf numFmtId="0" fontId="43" fillId="0" borderId="0" xfId="0" applyFont="1"/>
    <xf numFmtId="181" fontId="30" fillId="0" borderId="0" xfId="0" applyNumberFormat="1" applyFont="1" applyAlignment="1"/>
    <xf numFmtId="0" fontId="44" fillId="0" borderId="0" xfId="0" applyFont="1"/>
    <xf numFmtId="0" fontId="30" fillId="2" borderId="0" xfId="0" applyFont="1" applyFill="1" applyAlignment="1">
      <alignment horizontal="left"/>
    </xf>
    <xf numFmtId="0" fontId="30" fillId="8" borderId="0" xfId="0" applyFont="1" applyFill="1" applyAlignment="1"/>
    <xf numFmtId="184" fontId="30" fillId="8" borderId="0" xfId="0" applyNumberFormat="1" applyFont="1" applyFill="1" applyAlignment="1"/>
    <xf numFmtId="1" fontId="30" fillId="8" borderId="0" xfId="0" applyNumberFormat="1" applyFont="1" applyFill="1" applyAlignment="1"/>
    <xf numFmtId="0" fontId="30" fillId="2" borderId="0" xfId="0" applyFont="1" applyFill="1" applyAlignment="1"/>
    <xf numFmtId="1" fontId="30" fillId="2" borderId="0" xfId="0" applyNumberFormat="1" applyFont="1" applyFill="1" applyAlignment="1"/>
    <xf numFmtId="0" fontId="30" fillId="13" borderId="0" xfId="0" applyFont="1" applyFill="1" applyAlignment="1"/>
    <xf numFmtId="1" fontId="30" fillId="13" borderId="0" xfId="0" applyNumberFormat="1" applyFont="1" applyFill="1" applyAlignment="1"/>
    <xf numFmtId="0" fontId="10" fillId="13" borderId="0" xfId="0" applyFont="1" applyFill="1" applyAlignment="1"/>
    <xf numFmtId="176" fontId="30" fillId="13" borderId="0" xfId="0" applyNumberFormat="1" applyFont="1" applyFill="1" applyAlignment="1"/>
    <xf numFmtId="176" fontId="30" fillId="2" borderId="0" xfId="0" applyNumberFormat="1" applyFont="1" applyFill="1" applyAlignment="1"/>
    <xf numFmtId="0" fontId="45" fillId="2" borderId="0" xfId="0" applyFont="1" applyFill="1"/>
    <xf numFmtId="0" fontId="30" fillId="13" borderId="0" xfId="0" applyFont="1" applyFill="1" applyAlignment="1">
      <alignment horizontal="left"/>
    </xf>
    <xf numFmtId="0" fontId="46" fillId="2" borderId="0" xfId="0" applyFont="1" applyFill="1" applyAlignment="1"/>
    <xf numFmtId="0" fontId="41" fillId="2" borderId="0" xfId="0" applyFont="1" applyFill="1" applyAlignment="1"/>
    <xf numFmtId="11" fontId="45" fillId="0" borderId="0" xfId="0" applyNumberFormat="1" applyFont="1"/>
    <xf numFmtId="0" fontId="31" fillId="8" borderId="0" xfId="0" applyFont="1" applyFill="1" applyAlignment="1"/>
    <xf numFmtId="11" fontId="30" fillId="8" borderId="0" xfId="0" applyNumberFormat="1" applyFont="1" applyFill="1" applyAlignment="1"/>
    <xf numFmtId="0" fontId="31" fillId="2" borderId="0" xfId="0" applyFont="1" applyFill="1" applyAlignment="1"/>
    <xf numFmtId="11" fontId="30" fillId="2" borderId="0" xfId="0" applyNumberFormat="1" applyFont="1" applyFill="1" applyAlignment="1"/>
    <xf numFmtId="0" fontId="31" fillId="13" borderId="0" xfId="0" applyFont="1" applyFill="1" applyAlignment="1"/>
    <xf numFmtId="11" fontId="30" fillId="13" borderId="0" xfId="0" applyNumberFormat="1" applyFont="1" applyFill="1" applyAlignment="1"/>
    <xf numFmtId="11" fontId="36" fillId="2" borderId="0" xfId="0" applyNumberFormat="1" applyFont="1" applyFill="1"/>
    <xf numFmtId="11" fontId="45" fillId="13" borderId="0" xfId="0" applyNumberFormat="1" applyFont="1" applyFill="1"/>
    <xf numFmtId="11" fontId="45" fillId="2" borderId="0" xfId="0" applyNumberFormat="1" applyFont="1" applyFill="1"/>
    <xf numFmtId="11" fontId="36" fillId="13" borderId="0" xfId="0" applyNumberFormat="1" applyFont="1" applyFill="1"/>
    <xf numFmtId="0" fontId="36" fillId="2" borderId="0" xfId="0" applyFont="1" applyFill="1"/>
    <xf numFmtId="0" fontId="36" fillId="13" borderId="0" xfId="0" applyFont="1" applyFill="1"/>
    <xf numFmtId="0" fontId="47" fillId="2" borderId="0" xfId="0" applyFont="1" applyFill="1"/>
    <xf numFmtId="0" fontId="47" fillId="13" borderId="0" xfId="0" applyFont="1" applyFill="1"/>
    <xf numFmtId="0" fontId="40" fillId="13" borderId="0" xfId="0" applyFont="1" applyFill="1" applyAlignment="1"/>
    <xf numFmtId="0" fontId="30" fillId="14" borderId="0" xfId="0" applyFont="1" applyFill="1" applyAlignment="1"/>
    <xf numFmtId="0" fontId="48" fillId="13" borderId="0" xfId="0" applyFont="1" applyFill="1"/>
    <xf numFmtId="0" fontId="30" fillId="5" borderId="0" xfId="0" applyFont="1" applyFill="1" applyAlignment="1"/>
    <xf numFmtId="181" fontId="30" fillId="2" borderId="0" xfId="0" applyNumberFormat="1" applyFont="1" applyFill="1" applyAlignment="1"/>
    <xf numFmtId="11" fontId="10" fillId="2" borderId="0" xfId="0" applyNumberFormat="1" applyFont="1" applyFill="1"/>
    <xf numFmtId="11" fontId="10" fillId="2" borderId="0" xfId="0" applyNumberFormat="1" applyFont="1" applyFill="1" applyAlignment="1"/>
    <xf numFmtId="0" fontId="41" fillId="13" borderId="0" xfId="0" applyFont="1" applyFill="1" applyAlignment="1"/>
    <xf numFmtId="11" fontId="7" fillId="0" borderId="0" xfId="0" applyNumberFormat="1" applyFont="1" applyAlignment="1">
      <alignment horizontal="right"/>
    </xf>
    <xf numFmtId="10" fontId="36" fillId="0" borderId="0" xfId="0" applyNumberFormat="1" applyFont="1" applyAlignment="1"/>
    <xf numFmtId="0" fontId="40" fillId="2" borderId="0" xfId="0" applyFont="1" applyFill="1" applyAlignment="1"/>
    <xf numFmtId="0" fontId="40" fillId="0" borderId="0" xfId="0" applyFont="1" applyAlignment="1"/>
    <xf numFmtId="0" fontId="47" fillId="0" borderId="0" xfId="0" applyFont="1"/>
    <xf numFmtId="0" fontId="49" fillId="0" borderId="0" xfId="0" applyFont="1" applyAlignment="1"/>
    <xf numFmtId="0" fontId="50" fillId="0" borderId="0" xfId="0" applyFont="1" applyAlignment="1"/>
    <xf numFmtId="0" fontId="10" fillId="12" borderId="0" xfId="0" applyFont="1" applyFill="1" applyAlignment="1">
      <alignment horizontal="center"/>
    </xf>
    <xf numFmtId="0" fontId="51" fillId="2" borderId="0" xfId="0" applyFont="1" applyFill="1" applyAlignment="1"/>
    <xf numFmtId="186" fontId="30" fillId="0" borderId="0" xfId="0" applyNumberFormat="1" applyFont="1" applyAlignment="1"/>
    <xf numFmtId="0" fontId="52" fillId="0" borderId="0" xfId="0" applyFont="1" applyAlignment="1"/>
    <xf numFmtId="0" fontId="53" fillId="0" borderId="0" xfId="0" applyFont="1" applyAlignment="1"/>
    <xf numFmtId="0" fontId="54" fillId="0" borderId="0" xfId="0" applyFont="1" applyAlignment="1">
      <alignment horizontal="left"/>
    </xf>
    <xf numFmtId="179" fontId="36" fillId="0" borderId="0" xfId="0" applyNumberFormat="1" applyFont="1" applyAlignment="1"/>
    <xf numFmtId="0" fontId="55" fillId="0" borderId="0" xfId="0" applyFont="1" applyAlignment="1"/>
    <xf numFmtId="0" fontId="56" fillId="0" borderId="0" xfId="0" applyFont="1" applyAlignment="1"/>
    <xf numFmtId="0" fontId="45" fillId="0" borderId="0" xfId="0" applyFont="1"/>
    <xf numFmtId="0" fontId="36" fillId="12" borderId="0" xfId="0" applyFont="1" applyFill="1" applyAlignment="1"/>
    <xf numFmtId="11" fontId="41" fillId="0" borderId="0" xfId="0" applyNumberFormat="1" applyFont="1" applyAlignment="1"/>
    <xf numFmtId="11" fontId="35" fillId="0" borderId="0" xfId="0" applyNumberFormat="1" applyFont="1" applyAlignment="1"/>
    <xf numFmtId="11" fontId="41" fillId="2" borderId="0" xfId="0" applyNumberFormat="1" applyFont="1" applyFill="1"/>
    <xf numFmtId="11" fontId="57" fillId="0" borderId="0" xfId="0" applyNumberFormat="1" applyFont="1" applyAlignment="1"/>
    <xf numFmtId="11" fontId="41" fillId="2" borderId="0" xfId="0" applyNumberFormat="1" applyFont="1" applyFill="1" applyAlignment="1"/>
    <xf numFmtId="0" fontId="30" fillId="15" borderId="0" xfId="0" applyFont="1" applyFill="1" applyAlignment="1"/>
    <xf numFmtId="0" fontId="58" fillId="0" borderId="0" xfId="0" applyFont="1" applyAlignment="1"/>
    <xf numFmtId="0" fontId="59" fillId="2" borderId="0" xfId="0" applyFont="1" applyFill="1" applyAlignment="1"/>
    <xf numFmtId="11" fontId="36" fillId="2" borderId="0" xfId="0" applyNumberFormat="1" applyFont="1" applyFill="1" applyAlignment="1">
      <alignment horizontal="right"/>
    </xf>
    <xf numFmtId="11" fontId="36" fillId="0" borderId="0" xfId="0" applyNumberFormat="1" applyFont="1" applyAlignment="1">
      <alignment horizontal="right"/>
    </xf>
    <xf numFmtId="176" fontId="10" fillId="0" borderId="0" xfId="0" applyNumberFormat="1" applyFont="1" applyAlignment="1"/>
    <xf numFmtId="0" fontId="36" fillId="0" borderId="0" xfId="0" applyFont="1" applyAlignment="1">
      <alignment horizontal="center"/>
    </xf>
    <xf numFmtId="0" fontId="60" fillId="2" borderId="0" xfId="0" applyFont="1" applyFill="1" applyAlignment="1"/>
    <xf numFmtId="0" fontId="61" fillId="2" borderId="0" xfId="0" applyFont="1" applyFill="1" applyAlignment="1"/>
    <xf numFmtId="176" fontId="30" fillId="15" borderId="0" xfId="0" applyNumberFormat="1" applyFont="1" applyFill="1" applyAlignment="1"/>
    <xf numFmtId="0" fontId="10" fillId="0" borderId="0" xfId="0" applyFont="1"/>
    <xf numFmtId="0" fontId="62" fillId="0" borderId="0" xfId="0" applyFont="1" applyAlignment="1"/>
    <xf numFmtId="0" fontId="63" fillId="0" borderId="0" xfId="0" applyFont="1" applyAlignment="1"/>
    <xf numFmtId="0" fontId="64" fillId="0" borderId="0" xfId="0" applyFont="1" applyAlignment="1"/>
    <xf numFmtId="0" fontId="65" fillId="0" borderId="0" xfId="0" applyFont="1" applyAlignment="1"/>
    <xf numFmtId="1" fontId="30" fillId="15" borderId="0" xfId="0" applyNumberFormat="1" applyFont="1" applyFill="1" applyAlignment="1"/>
    <xf numFmtId="0" fontId="66" fillId="0" borderId="0" xfId="0" applyFont="1" applyAlignment="1"/>
    <xf numFmtId="0" fontId="42" fillId="0" borderId="0" xfId="0" applyFont="1" applyAlignment="1"/>
    <xf numFmtId="0" fontId="67" fillId="0" borderId="0" xfId="0" applyFont="1" applyAlignment="1">
      <alignment horizontal="left"/>
    </xf>
    <xf numFmtId="0" fontId="68" fillId="0" borderId="0" xfId="0" applyFont="1" applyAlignment="1"/>
    <xf numFmtId="0" fontId="69" fillId="0" borderId="0" xfId="0" applyFont="1" applyAlignment="1"/>
    <xf numFmtId="0" fontId="70" fillId="2" borderId="0" xfId="0" applyFont="1" applyFill="1" applyAlignment="1">
      <alignment horizontal="left"/>
    </xf>
    <xf numFmtId="0" fontId="71" fillId="2" borderId="0" xfId="0" applyFont="1" applyFill="1" applyAlignment="1"/>
    <xf numFmtId="0" fontId="72" fillId="16" borderId="0" xfId="0" applyFont="1" applyFill="1" applyAlignment="1"/>
    <xf numFmtId="0" fontId="30" fillId="16" borderId="0" xfId="0" applyFont="1" applyFill="1" applyAlignment="1"/>
    <xf numFmtId="0" fontId="30" fillId="4" borderId="0" xfId="0" applyFont="1" applyFill="1" applyAlignment="1"/>
    <xf numFmtId="1" fontId="30" fillId="16" borderId="0" xfId="0" applyNumberFormat="1" applyFont="1" applyFill="1" applyAlignment="1"/>
    <xf numFmtId="176" fontId="30" fillId="2" borderId="0" xfId="0" applyNumberFormat="1" applyFont="1" applyFill="1" applyAlignment="1">
      <alignment horizontal="right"/>
    </xf>
    <xf numFmtId="0" fontId="1" fillId="0" borderId="0" xfId="0" applyFont="1" applyAlignment="1">
      <alignment horizontal="center" wrapText="1"/>
    </xf>
    <xf numFmtId="0" fontId="10" fillId="0" borderId="0" xfId="0" applyFont="1" applyAlignment="1">
      <alignment wrapText="1"/>
    </xf>
    <xf numFmtId="0" fontId="10" fillId="11" borderId="0" xfId="0" applyFont="1" applyFill="1" applyAlignment="1">
      <alignment wrapText="1"/>
    </xf>
    <xf numFmtId="0" fontId="10" fillId="0" borderId="0" xfId="0" applyFont="1" applyAlignment="1">
      <alignment horizontal="center" wrapText="1"/>
    </xf>
    <xf numFmtId="0" fontId="10" fillId="0" borderId="0" xfId="0" applyFont="1" applyAlignment="1">
      <alignment horizontal="center"/>
    </xf>
    <xf numFmtId="0" fontId="10" fillId="17" borderId="0" xfId="0" applyFont="1" applyFill="1" applyAlignment="1">
      <alignment wrapText="1"/>
    </xf>
    <xf numFmtId="0" fontId="10" fillId="18" borderId="0" xfId="0" applyFont="1" applyFill="1" applyAlignment="1">
      <alignment wrapText="1"/>
    </xf>
    <xf numFmtId="0" fontId="11" fillId="0" borderId="0" xfId="0" applyFont="1" applyAlignment="1">
      <alignment wrapText="1"/>
    </xf>
    <xf numFmtId="0" fontId="10" fillId="19" borderId="0" xfId="0" applyFont="1" applyFill="1" applyAlignment="1">
      <alignment horizontal="center"/>
    </xf>
    <xf numFmtId="0" fontId="10" fillId="20" borderId="0" xfId="0" applyFont="1" applyFill="1" applyAlignment="1">
      <alignment horizontal="center"/>
    </xf>
    <xf numFmtId="0" fontId="10" fillId="21" borderId="0" xfId="0" applyFont="1" applyFill="1" applyAlignment="1">
      <alignment horizontal="center"/>
    </xf>
    <xf numFmtId="0" fontId="10" fillId="14" borderId="0" xfId="0" applyFont="1" applyFill="1" applyAlignment="1">
      <alignment horizontal="center"/>
    </xf>
    <xf numFmtId="0" fontId="10" fillId="22" borderId="0" xfId="0" applyFont="1" applyFill="1" applyAlignment="1">
      <alignment horizontal="center"/>
    </xf>
    <xf numFmtId="0" fontId="35" fillId="0" borderId="0" xfId="0" applyFont="1" applyAlignment="1">
      <alignment horizontal="left"/>
    </xf>
    <xf numFmtId="1" fontId="35" fillId="0" borderId="0" xfId="0" applyNumberFormat="1" applyFont="1" applyAlignment="1">
      <alignment horizontal="left"/>
    </xf>
    <xf numFmtId="187" fontId="30" fillId="0" borderId="0" xfId="0" applyNumberFormat="1" applyFont="1" applyAlignment="1"/>
    <xf numFmtId="0" fontId="73" fillId="0" borderId="0" xfId="0" applyFont="1" applyAlignment="1"/>
    <xf numFmtId="188" fontId="2" fillId="0" borderId="0" xfId="0" applyNumberFormat="1" applyFont="1" applyAlignment="1">
      <alignment horizontal="right"/>
    </xf>
    <xf numFmtId="1" fontId="2" fillId="0" borderId="0" xfId="0" applyNumberFormat="1" applyFont="1" applyAlignment="1">
      <alignment horizontal="right"/>
    </xf>
    <xf numFmtId="183" fontId="2" fillId="0" borderId="0" xfId="0" applyNumberFormat="1" applyFont="1" applyAlignment="1">
      <alignment horizontal="right"/>
    </xf>
    <xf numFmtId="0" fontId="2" fillId="0" borderId="13" xfId="0" applyFont="1" applyBorder="1" applyAlignment="1"/>
    <xf numFmtId="0" fontId="74" fillId="0" borderId="0" xfId="0" applyFont="1" applyAlignment="1"/>
    <xf numFmtId="11" fontId="35" fillId="0" borderId="0" xfId="0" applyNumberFormat="1" applyFont="1" applyAlignment="1">
      <alignment horizontal="left"/>
    </xf>
    <xf numFmtId="11" fontId="41" fillId="0" borderId="0" xfId="0" applyNumberFormat="1" applyFont="1"/>
    <xf numFmtId="4" fontId="30" fillId="0" borderId="0" xfId="0" applyNumberFormat="1" applyFont="1" applyAlignment="1"/>
    <xf numFmtId="0" fontId="75" fillId="4" borderId="0" xfId="0" applyFont="1" applyFill="1" applyAlignment="1">
      <alignment horizontal="left"/>
    </xf>
    <xf numFmtId="0" fontId="2" fillId="9" borderId="0" xfId="0" applyFont="1" applyFill="1" applyAlignment="1">
      <alignment horizontal="right"/>
    </xf>
    <xf numFmtId="11" fontId="2" fillId="0" borderId="0" xfId="0" applyNumberFormat="1" applyFont="1" applyAlignment="1">
      <alignment horizontal="right"/>
    </xf>
    <xf numFmtId="0" fontId="3" fillId="0" borderId="13" xfId="0" applyFont="1" applyBorder="1" applyAlignment="1"/>
    <xf numFmtId="0" fontId="2" fillId="9" borderId="13" xfId="0" applyFont="1" applyFill="1" applyBorder="1" applyAlignment="1">
      <alignment horizontal="right"/>
    </xf>
    <xf numFmtId="0" fontId="2" fillId="13" borderId="13" xfId="0" applyFont="1" applyFill="1" applyBorder="1" applyAlignment="1"/>
    <xf numFmtId="0" fontId="7" fillId="0" borderId="13" xfId="0" applyFont="1" applyBorder="1" applyAlignment="1"/>
    <xf numFmtId="0" fontId="2" fillId="16" borderId="0" xfId="0" applyFont="1" applyFill="1" applyAlignment="1">
      <alignment horizontal="right"/>
    </xf>
    <xf numFmtId="0" fontId="2" fillId="16" borderId="13" xfId="0" applyFont="1" applyFill="1" applyBorder="1" applyAlignment="1">
      <alignment horizontal="right"/>
    </xf>
    <xf numFmtId="0" fontId="76" fillId="0" borderId="13" xfId="0" applyFont="1" applyBorder="1" applyAlignment="1"/>
    <xf numFmtId="1" fontId="2" fillId="0" borderId="0" xfId="0" applyNumberFormat="1" applyFont="1" applyAlignment="1">
      <alignment horizontal="center"/>
    </xf>
    <xf numFmtId="11" fontId="6" fillId="0" borderId="0" xfId="0" applyNumberFormat="1" applyFont="1" applyAlignment="1">
      <alignment horizontal="right"/>
    </xf>
    <xf numFmtId="11" fontId="2" fillId="0" borderId="13" xfId="0" applyNumberFormat="1" applyFont="1" applyBorder="1" applyAlignment="1">
      <alignment horizontal="right"/>
    </xf>
    <xf numFmtId="11" fontId="7" fillId="0" borderId="13" xfId="0" applyNumberFormat="1" applyFont="1" applyBorder="1" applyAlignment="1"/>
    <xf numFmtId="182" fontId="30" fillId="2" borderId="0" xfId="0" applyNumberFormat="1" applyFont="1" applyFill="1" applyAlignment="1"/>
    <xf numFmtId="0" fontId="30" fillId="11" borderId="0" xfId="0" applyFont="1" applyFill="1" applyAlignment="1"/>
    <xf numFmtId="182" fontId="30" fillId="11" borderId="0" xfId="0" applyNumberFormat="1" applyFont="1" applyFill="1" applyAlignment="1"/>
    <xf numFmtId="1" fontId="30" fillId="11" borderId="0" xfId="0" applyNumberFormat="1" applyFont="1" applyFill="1" applyAlignment="1"/>
    <xf numFmtId="0" fontId="31" fillId="11" borderId="0" xfId="0" applyFont="1" applyFill="1" applyAlignment="1"/>
    <xf numFmtId="11" fontId="16" fillId="11" borderId="0" xfId="0" applyNumberFormat="1" applyFont="1" applyFill="1"/>
    <xf numFmtId="0" fontId="30" fillId="11" borderId="0" xfId="0" applyFont="1" applyFill="1" applyAlignment="1">
      <alignment horizontal="left"/>
    </xf>
    <xf numFmtId="0" fontId="31" fillId="2" borderId="0" xfId="0" applyFont="1" applyFill="1" applyAlignment="1">
      <alignment horizontal="left"/>
    </xf>
    <xf numFmtId="0" fontId="72" fillId="2" borderId="0" xfId="0" applyFont="1" applyFill="1" applyAlignment="1"/>
    <xf numFmtId="0" fontId="77" fillId="0" borderId="0" xfId="0" applyFont="1" applyAlignment="1"/>
    <xf numFmtId="0" fontId="12" fillId="11" borderId="0" xfId="0" applyFont="1" applyFill="1" applyAlignment="1"/>
    <xf numFmtId="0" fontId="50" fillId="11" borderId="0" xfId="0" applyFont="1" applyFill="1" applyAlignment="1"/>
    <xf numFmtId="0" fontId="78" fillId="0" borderId="0" xfId="0" applyFont="1" applyAlignment="1"/>
    <xf numFmtId="0" fontId="79" fillId="2" borderId="0" xfId="0" applyFont="1" applyFill="1" applyAlignment="1">
      <alignment horizontal="left"/>
    </xf>
    <xf numFmtId="0" fontId="4" fillId="0" borderId="0" xfId="0" applyFont="1" applyAlignment="1"/>
    <xf numFmtId="0" fontId="35" fillId="8" borderId="0" xfId="0" applyFont="1" applyFill="1" applyAlignment="1">
      <alignment horizontal="center"/>
    </xf>
    <xf numFmtId="1" fontId="35" fillId="8" borderId="0" xfId="0" applyNumberFormat="1" applyFont="1" applyFill="1" applyAlignment="1">
      <alignment horizontal="center"/>
    </xf>
    <xf numFmtId="0" fontId="30" fillId="2" borderId="0" xfId="0" applyFont="1" applyFill="1" applyAlignment="1">
      <alignment horizontal="center"/>
    </xf>
    <xf numFmtId="176" fontId="30" fillId="2" borderId="0" xfId="0" applyNumberFormat="1" applyFont="1" applyFill="1" applyAlignment="1">
      <alignment horizontal="center"/>
    </xf>
    <xf numFmtId="0" fontId="30" fillId="13" borderId="0" xfId="0" applyFont="1" applyFill="1" applyAlignment="1">
      <alignment horizontal="center"/>
    </xf>
    <xf numFmtId="176" fontId="30" fillId="13" borderId="0" xfId="0" applyNumberFormat="1" applyFont="1" applyFill="1" applyAlignment="1">
      <alignment horizontal="center"/>
    </xf>
    <xf numFmtId="1" fontId="30" fillId="13" borderId="0" xfId="0" applyNumberFormat="1" applyFont="1" applyFill="1" applyAlignment="1">
      <alignment horizontal="center"/>
    </xf>
    <xf numFmtId="58" fontId="30" fillId="2" borderId="0" xfId="0" applyNumberFormat="1" applyFont="1" applyFill="1" applyAlignment="1">
      <alignment horizontal="center"/>
    </xf>
    <xf numFmtId="1" fontId="30" fillId="2" borderId="0" xfId="0" applyNumberFormat="1" applyFont="1" applyFill="1" applyAlignment="1">
      <alignment horizontal="center"/>
    </xf>
    <xf numFmtId="189" fontId="30" fillId="2" borderId="0" xfId="0" applyNumberFormat="1" applyFont="1" applyFill="1" applyAlignment="1">
      <alignment horizontal="center"/>
    </xf>
    <xf numFmtId="11" fontId="35" fillId="8" borderId="0" xfId="0" applyNumberFormat="1" applyFont="1" applyFill="1" applyAlignment="1">
      <alignment horizontal="center"/>
    </xf>
    <xf numFmtId="186" fontId="35" fillId="8" borderId="0" xfId="0" applyNumberFormat="1" applyFont="1" applyFill="1" applyAlignment="1">
      <alignment horizontal="center"/>
    </xf>
    <xf numFmtId="4" fontId="35" fillId="8" borderId="0" xfId="0" applyNumberFormat="1" applyFont="1" applyFill="1" applyAlignment="1">
      <alignment horizontal="center"/>
    </xf>
    <xf numFmtId="0" fontId="31" fillId="2" borderId="0" xfId="0" applyFont="1" applyFill="1" applyAlignment="1">
      <alignment horizontal="center"/>
    </xf>
    <xf numFmtId="11" fontId="30" fillId="2" borderId="0" xfId="0" applyNumberFormat="1" applyFont="1" applyFill="1" applyAlignment="1">
      <alignment horizontal="center"/>
    </xf>
    <xf numFmtId="4" fontId="30" fillId="2" borderId="0" xfId="0" applyNumberFormat="1" applyFont="1" applyFill="1" applyAlignment="1">
      <alignment horizontal="center"/>
    </xf>
    <xf numFmtId="0" fontId="31" fillId="13" borderId="0" xfId="0" applyFont="1" applyFill="1" applyAlignment="1">
      <alignment horizontal="center"/>
    </xf>
    <xf numFmtId="11" fontId="30" fillId="13" borderId="0" xfId="0" applyNumberFormat="1" applyFont="1" applyFill="1" applyAlignment="1">
      <alignment horizontal="center"/>
    </xf>
    <xf numFmtId="4" fontId="30" fillId="13" borderId="0" xfId="0" applyNumberFormat="1" applyFont="1" applyFill="1" applyAlignment="1">
      <alignment horizontal="center"/>
    </xf>
    <xf numFmtId="2" fontId="30" fillId="2" borderId="0" xfId="0" applyNumberFormat="1" applyFont="1" applyFill="1" applyAlignment="1">
      <alignment horizontal="center"/>
    </xf>
    <xf numFmtId="2" fontId="30" fillId="13" borderId="0" xfId="0" applyNumberFormat="1" applyFont="1" applyFill="1" applyAlignment="1">
      <alignment horizontal="center"/>
    </xf>
    <xf numFmtId="186" fontId="30" fillId="2" borderId="0" xfId="0" applyNumberFormat="1" applyFont="1" applyFill="1" applyAlignment="1">
      <alignment horizontal="center"/>
    </xf>
    <xf numFmtId="3" fontId="30" fillId="13" borderId="0" xfId="0" applyNumberFormat="1" applyFont="1" applyFill="1" applyAlignment="1">
      <alignment horizontal="center"/>
    </xf>
    <xf numFmtId="0" fontId="30" fillId="0" borderId="0" xfId="0" applyFont="1" applyAlignment="1">
      <alignment horizontal="center"/>
    </xf>
    <xf numFmtId="176" fontId="30" fillId="0" borderId="0" xfId="0" applyNumberFormat="1" applyFont="1" applyAlignment="1">
      <alignment horizontal="center"/>
    </xf>
    <xf numFmtId="1" fontId="30" fillId="0" borderId="0" xfId="0" applyNumberFormat="1" applyFont="1" applyAlignment="1">
      <alignment horizontal="center"/>
    </xf>
    <xf numFmtId="0" fontId="31" fillId="0" borderId="0" xfId="0" applyFont="1" applyAlignment="1">
      <alignment horizontal="center"/>
    </xf>
    <xf numFmtId="11" fontId="30" fillId="0" borderId="0" xfId="0" applyNumberFormat="1" applyFont="1" applyAlignment="1">
      <alignment horizontal="center"/>
    </xf>
    <xf numFmtId="4" fontId="30" fillId="0" borderId="0" xfId="0" applyNumberFormat="1" applyFont="1" applyAlignment="1">
      <alignment horizontal="center"/>
    </xf>
    <xf numFmtId="2" fontId="30" fillId="0" borderId="0" xfId="0" applyNumberFormat="1" applyFont="1" applyAlignment="1">
      <alignment horizontal="center"/>
    </xf>
    <xf numFmtId="0" fontId="47" fillId="8" borderId="0" xfId="0" applyFont="1" applyFill="1" applyAlignment="1">
      <alignment horizontal="center"/>
    </xf>
    <xf numFmtId="1" fontId="47" fillId="8" borderId="0" xfId="0" applyNumberFormat="1" applyFont="1" applyFill="1" applyAlignment="1">
      <alignment horizontal="center"/>
    </xf>
    <xf numFmtId="0" fontId="41" fillId="2" borderId="0" xfId="0" applyFont="1" applyFill="1" applyAlignment="1">
      <alignment horizontal="left"/>
    </xf>
    <xf numFmtId="176" fontId="41" fillId="2" borderId="0" xfId="0" applyNumberFormat="1" applyFont="1" applyFill="1" applyAlignment="1"/>
    <xf numFmtId="0" fontId="41" fillId="2" borderId="0" xfId="0" applyFont="1" applyFill="1" applyAlignment="1">
      <alignment horizontal="right"/>
    </xf>
    <xf numFmtId="0" fontId="41" fillId="13" borderId="0" xfId="0" applyFont="1" applyFill="1" applyAlignment="1">
      <alignment horizontal="left"/>
    </xf>
    <xf numFmtId="176" fontId="41" fillId="13" borderId="0" xfId="0" applyNumberFormat="1" applyFont="1" applyFill="1" applyAlignment="1"/>
    <xf numFmtId="0" fontId="41" fillId="13" borderId="0" xfId="0" applyFont="1" applyFill="1" applyAlignment="1">
      <alignment horizontal="right"/>
    </xf>
    <xf numFmtId="0" fontId="41" fillId="2" borderId="0" xfId="0" applyFont="1" applyFill="1"/>
    <xf numFmtId="1" fontId="41" fillId="13" borderId="0" xfId="0" applyNumberFormat="1" applyFont="1" applyFill="1" applyAlignment="1">
      <alignment horizontal="right"/>
    </xf>
    <xf numFmtId="176" fontId="41" fillId="13" borderId="0" xfId="0" applyNumberFormat="1" applyFont="1" applyFill="1" applyAlignment="1">
      <alignment horizontal="right"/>
    </xf>
    <xf numFmtId="58" fontId="41" fillId="2" borderId="0" xfId="0" applyNumberFormat="1" applyFont="1" applyFill="1" applyAlignment="1">
      <alignment horizontal="right"/>
    </xf>
    <xf numFmtId="1" fontId="41" fillId="2" borderId="0" xfId="0" applyNumberFormat="1" applyFont="1" applyFill="1" applyAlignment="1">
      <alignment horizontal="right"/>
    </xf>
    <xf numFmtId="0" fontId="10" fillId="13" borderId="0" xfId="0" applyFont="1" applyFill="1" applyAlignment="1">
      <alignment horizontal="left"/>
    </xf>
    <xf numFmtId="176" fontId="10" fillId="13" borderId="0" xfId="0" applyNumberFormat="1" applyFont="1" applyFill="1" applyAlignment="1"/>
    <xf numFmtId="0" fontId="10" fillId="13" borderId="0" xfId="0" applyFont="1" applyFill="1" applyAlignment="1">
      <alignment horizontal="right"/>
    </xf>
    <xf numFmtId="176" fontId="41" fillId="2" borderId="0" xfId="0" applyNumberFormat="1" applyFont="1" applyFill="1" applyAlignment="1">
      <alignment horizontal="right"/>
    </xf>
    <xf numFmtId="0" fontId="41" fillId="13" borderId="0" xfId="0" applyFont="1" applyFill="1"/>
    <xf numFmtId="189" fontId="41" fillId="2" borderId="0" xfId="0" applyNumberFormat="1" applyFont="1" applyFill="1" applyAlignment="1">
      <alignment horizontal="right"/>
    </xf>
    <xf numFmtId="0" fontId="47" fillId="8" borderId="0" xfId="0" applyFont="1" applyFill="1" applyAlignment="1">
      <alignment horizontal="left"/>
    </xf>
    <xf numFmtId="0" fontId="66" fillId="2" borderId="0" xfId="0" applyFont="1" applyFill="1" applyAlignment="1"/>
    <xf numFmtId="0" fontId="36" fillId="2" borderId="0" xfId="0" applyFont="1" applyFill="1" applyAlignment="1"/>
    <xf numFmtId="11" fontId="36" fillId="2" borderId="0" xfId="0" applyNumberFormat="1" applyFont="1" applyFill="1" applyAlignment="1"/>
    <xf numFmtId="4" fontId="36" fillId="2" borderId="0" xfId="0" applyNumberFormat="1" applyFont="1" applyFill="1"/>
    <xf numFmtId="0" fontId="66" fillId="13" borderId="0" xfId="0" applyFont="1" applyFill="1" applyAlignment="1"/>
    <xf numFmtId="0" fontId="36" fillId="13" borderId="0" xfId="0" applyFont="1" applyFill="1" applyAlignment="1"/>
    <xf numFmtId="11" fontId="36" fillId="13" borderId="0" xfId="0" applyNumberFormat="1" applyFont="1" applyFill="1" applyAlignment="1"/>
    <xf numFmtId="4" fontId="36" fillId="13" borderId="0" xfId="0" applyNumberFormat="1" applyFont="1" applyFill="1"/>
    <xf numFmtId="11" fontId="41" fillId="13" borderId="0" xfId="0" applyNumberFormat="1" applyFont="1" applyFill="1"/>
    <xf numFmtId="4" fontId="30" fillId="13" borderId="0" xfId="0" applyNumberFormat="1" applyFont="1" applyFill="1" applyAlignment="1"/>
    <xf numFmtId="4" fontId="36" fillId="2" borderId="0" xfId="0" applyNumberFormat="1" applyFont="1" applyFill="1" applyAlignment="1"/>
    <xf numFmtId="11" fontId="36" fillId="13" borderId="0" xfId="0" applyNumberFormat="1" applyFont="1" applyFill="1" applyAlignment="1">
      <alignment horizontal="right"/>
    </xf>
    <xf numFmtId="4" fontId="36" fillId="13" borderId="0" xfId="0" applyNumberFormat="1" applyFont="1" applyFill="1" applyAlignment="1"/>
    <xf numFmtId="11" fontId="41" fillId="13" borderId="0" xfId="0" applyNumberFormat="1" applyFont="1" applyFill="1" applyAlignment="1"/>
    <xf numFmtId="4" fontId="30" fillId="2" borderId="0" xfId="0" applyNumberFormat="1" applyFont="1" applyFill="1" applyAlignment="1"/>
    <xf numFmtId="0" fontId="11" fillId="13" borderId="0" xfId="0" applyFont="1" applyFill="1" applyAlignment="1"/>
    <xf numFmtId="0" fontId="10" fillId="13" borderId="0" xfId="0" applyFont="1" applyFill="1"/>
    <xf numFmtId="11" fontId="10" fillId="13" borderId="0" xfId="0" applyNumberFormat="1" applyFont="1" applyFill="1" applyAlignment="1"/>
    <xf numFmtId="11" fontId="30" fillId="2" borderId="0" xfId="0" applyNumberFormat="1" applyFont="1" applyFill="1"/>
    <xf numFmtId="0" fontId="41" fillId="13" borderId="0" xfId="0" applyFont="1" applyFill="1" applyAlignment="1">
      <alignment horizontal="left" wrapText="1"/>
    </xf>
    <xf numFmtId="11" fontId="30" fillId="13" borderId="0" xfId="0" applyNumberFormat="1" applyFont="1" applyFill="1" applyAlignment="1">
      <alignment horizontal="right"/>
    </xf>
    <xf numFmtId="11" fontId="35" fillId="2" borderId="0" xfId="0" applyNumberFormat="1" applyFont="1" applyFill="1" applyAlignment="1"/>
    <xf numFmtId="11" fontId="30" fillId="2" borderId="0" xfId="0" applyNumberFormat="1" applyFont="1" applyFill="1" applyAlignment="1">
      <alignment horizontal="right"/>
    </xf>
    <xf numFmtId="2" fontId="36" fillId="2" borderId="0" xfId="0" applyNumberFormat="1" applyFont="1" applyFill="1"/>
    <xf numFmtId="2" fontId="36" fillId="13" borderId="0" xfId="0" applyNumberFormat="1" applyFont="1" applyFill="1"/>
    <xf numFmtId="2" fontId="30" fillId="13" borderId="0" xfId="0" applyNumberFormat="1" applyFont="1" applyFill="1"/>
    <xf numFmtId="2" fontId="36" fillId="2" borderId="0" xfId="0" applyNumberFormat="1" applyFont="1" applyFill="1" applyAlignment="1"/>
    <xf numFmtId="2" fontId="36" fillId="13" borderId="0" xfId="0" applyNumberFormat="1" applyFont="1" applyFill="1" applyAlignment="1"/>
    <xf numFmtId="2" fontId="30" fillId="2" borderId="0" xfId="0" applyNumberFormat="1" applyFont="1" applyFill="1"/>
    <xf numFmtId="2" fontId="10" fillId="13" borderId="0" xfId="0" applyNumberFormat="1" applyFont="1" applyFill="1"/>
    <xf numFmtId="0" fontId="47" fillId="2" borderId="0" xfId="0" applyFont="1" applyFill="1" applyAlignment="1"/>
    <xf numFmtId="0" fontId="47" fillId="13" borderId="0" xfId="0" applyFont="1" applyFill="1" applyAlignment="1"/>
    <xf numFmtId="11" fontId="47" fillId="13" borderId="0" xfId="0" applyNumberFormat="1" applyFont="1" applyFill="1"/>
    <xf numFmtId="11" fontId="35" fillId="13" borderId="0" xfId="0" applyNumberFormat="1" applyFont="1" applyFill="1" applyAlignment="1"/>
    <xf numFmtId="11" fontId="41" fillId="2" borderId="0" xfId="0" applyNumberFormat="1" applyFont="1" applyFill="1" applyAlignment="1">
      <alignment horizontal="left"/>
    </xf>
    <xf numFmtId="11" fontId="47" fillId="2" borderId="0" xfId="0" applyNumberFormat="1" applyFont="1" applyFill="1" applyAlignment="1"/>
    <xf numFmtId="11" fontId="47" fillId="13" borderId="0" xfId="0" applyNumberFormat="1" applyFont="1" applyFill="1" applyAlignment="1"/>
    <xf numFmtId="0" fontId="69" fillId="13" borderId="0" xfId="0" applyFont="1" applyFill="1" applyAlignment="1"/>
    <xf numFmtId="4" fontId="47" fillId="13" borderId="0" xfId="0" applyNumberFormat="1" applyFont="1" applyFill="1"/>
    <xf numFmtId="11" fontId="47" fillId="2" borderId="0" xfId="0" applyNumberFormat="1" applyFont="1" applyFill="1"/>
    <xf numFmtId="11" fontId="30" fillId="13" borderId="0" xfId="0" applyNumberFormat="1" applyFont="1" applyFill="1"/>
    <xf numFmtId="186" fontId="30" fillId="2" borderId="0" xfId="0" applyNumberFormat="1" applyFont="1" applyFill="1" applyAlignment="1"/>
    <xf numFmtId="11" fontId="41" fillId="13" borderId="0" xfId="0" applyNumberFormat="1" applyFont="1" applyFill="1" applyAlignment="1">
      <alignment horizontal="left"/>
    </xf>
    <xf numFmtId="4" fontId="41" fillId="13" borderId="0" xfId="0" applyNumberFormat="1" applyFont="1" applyFill="1" applyAlignment="1"/>
    <xf numFmtId="0" fontId="47" fillId="13" borderId="0" xfId="0" applyFont="1" applyFill="1" applyAlignment="1">
      <alignment horizontal="left"/>
    </xf>
    <xf numFmtId="4" fontId="44" fillId="2" borderId="0" xfId="0" applyNumberFormat="1" applyFont="1" applyFill="1" applyAlignment="1"/>
    <xf numFmtId="1" fontId="30" fillId="13" borderId="0" xfId="0" applyNumberFormat="1" applyFont="1" applyFill="1" applyAlignment="1">
      <alignment horizontal="right"/>
    </xf>
    <xf numFmtId="0" fontId="66" fillId="2" borderId="0" xfId="0" applyFont="1" applyFill="1" applyAlignment="1">
      <alignment horizontal="left"/>
    </xf>
    <xf numFmtId="3" fontId="36" fillId="13" borderId="0" xfId="0" applyNumberFormat="1"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D0E0E3"/>
          <bgColor rgb="FFD0E0E3"/>
        </patternFill>
      </fill>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OBSERVATION COUNT OVERVIEW-style" pivot="0" count="3">
      <tableStyleElement type="headerRow" dxfId="8"/>
      <tableStyleElement type="firstRowStripe" dxfId="7"/>
      <tableStyleElement type="secondRowStripe" dxfId="6"/>
    </tableStyle>
    <tableStyle name="OBSERVATION COUNT OVERVIEW-style 2" pivot="0" count="3">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12</xdr:col>
      <xdr:colOff>504825</xdr:colOff>
      <xdr:row>0</xdr:row>
      <xdr:rowOff>190500</xdr:rowOff>
    </xdr:from>
    <xdr:ext cx="3705225" cy="2533650"/>
    <xdr:pic>
      <xdr:nvPicPr>
        <xdr:cNvPr id="2" name="image3.png" title="Imagen"/>
        <xdr:cNvPicPr preferRelativeResize="0"/>
      </xdr:nvPicPr>
      <xdr:blipFill>
        <a:blip r:embed="rId1" cstate="print"/>
        <a:stretch>
          <a:fillRect/>
        </a:stretch>
      </xdr:blipFill>
      <xdr:spPr>
        <a:xfrm>
          <a:off x="10709275" y="190500"/>
          <a:ext cx="3705225" cy="2533650"/>
        </a:xfrm>
        <a:prstGeom prst="rect">
          <a:avLst/>
        </a:prstGeom>
        <a:noFill/>
      </xdr:spPr>
    </xdr:pic>
    <xdr:clientData fLocksWithSheet="0"/>
  </xdr:oneCellAnchor>
  <xdr:oneCellAnchor>
    <xdr:from>
      <xdr:col>12</xdr:col>
      <xdr:colOff>504825</xdr:colOff>
      <xdr:row>14</xdr:row>
      <xdr:rowOff>76200</xdr:rowOff>
    </xdr:from>
    <xdr:ext cx="3705225" cy="2495550"/>
    <xdr:pic>
      <xdr:nvPicPr>
        <xdr:cNvPr id="3" name="image1.png" title="Imagen"/>
        <xdr:cNvPicPr preferRelativeResize="0"/>
      </xdr:nvPicPr>
      <xdr:blipFill>
        <a:blip r:embed="rId2" cstate="print"/>
        <a:stretch>
          <a:fillRect/>
        </a:stretch>
      </xdr:blipFill>
      <xdr:spPr>
        <a:xfrm>
          <a:off x="10709275" y="2876550"/>
          <a:ext cx="3705225" cy="2495550"/>
        </a:xfrm>
        <a:prstGeom prst="rect">
          <a:avLst/>
        </a:prstGeom>
        <a:noFill/>
      </xdr:spPr>
    </xdr:pic>
    <xdr:clientData fLocksWithSheet="0"/>
  </xdr:oneCellAnchor>
  <xdr:oneCellAnchor>
    <xdr:from>
      <xdr:col>12</xdr:col>
      <xdr:colOff>504825</xdr:colOff>
      <xdr:row>28</xdr:row>
      <xdr:rowOff>76200</xdr:rowOff>
    </xdr:from>
    <xdr:ext cx="3705225" cy="2495550"/>
    <xdr:pic>
      <xdr:nvPicPr>
        <xdr:cNvPr id="4" name="image2.png" title="Imagen"/>
        <xdr:cNvPicPr preferRelativeResize="0"/>
      </xdr:nvPicPr>
      <xdr:blipFill>
        <a:blip r:embed="rId3" cstate="print"/>
        <a:stretch>
          <a:fillRect/>
        </a:stretch>
      </xdr:blipFill>
      <xdr:spPr>
        <a:xfrm>
          <a:off x="10709275" y="5676900"/>
          <a:ext cx="3705225" cy="2495550"/>
        </a:xfrm>
        <a:prstGeom prst="rect">
          <a:avLst/>
        </a:prstGeom>
        <a:noFill/>
      </xdr:spPr>
    </xdr:pic>
    <xdr:clientData fLocksWithSheet="0"/>
  </xdr:oneCellAnchor>
</xdr:wsDr>
</file>

<file path=xl/tables/table1.xml><?xml version="1.0" encoding="utf-8"?>
<table xmlns="http://schemas.openxmlformats.org/spreadsheetml/2006/main" id="1" displayName="Table_1" ref="A177" headerRowCount="0">
  <tableColumns count="1">
    <tableColumn id="1" name="Column1" dataDxfId="4"/>
  </tableColumns>
  <tableStyleInfo name="OBSERVATION COUNT OVERVIEW-style" showFirstColumn="1" showLastColumn="1" showRowStripes="1" showColumnStripes="0"/>
</table>
</file>

<file path=xl/tables/table2.xml><?xml version="1.0" encoding="utf-8"?>
<table xmlns="http://schemas.openxmlformats.org/spreadsheetml/2006/main" id="2" displayName="Table_2" ref="A178:A233" headerRowCount="0">
  <tableColumns count="1">
    <tableColumn id="1" name="Column1" dataDxfId="5"/>
  </tableColumns>
  <tableStyleInfo name="OBSERVATION COUNT OVERVIEW-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openreview.net/forum?id=YicbFdNTTy" TargetMode="External"/><Relationship Id="rId98" Type="http://schemas.openxmlformats.org/officeDocument/2006/relationships/hyperlink" Target="https://www.microsoft.com/en-us/research/blog/turing-nlg-a-17-billion-parameter-language-model-by-microsoft/" TargetMode="External"/><Relationship Id="rId97" Type="http://schemas.openxmlformats.org/officeDocument/2006/relationships/hyperlink" Target="https://arxiv.org/abs/2006.16668" TargetMode="External"/><Relationship Id="rId96" Type="http://schemas.openxmlformats.org/officeDocument/2006/relationships/hyperlink" Target="https://openai.com/blog/image-gpt/" TargetMode="External"/><Relationship Id="rId95" Type="http://schemas.openxmlformats.org/officeDocument/2006/relationships/hyperlink" Target="https://arxiv.org/abs/2001.09977" TargetMode="External"/><Relationship Id="rId94" Type="http://schemas.openxmlformats.org/officeDocument/2006/relationships/hyperlink" Target="https://arxiv.org/abs/2005.14165" TargetMode="External"/><Relationship Id="rId93" Type="http://schemas.openxmlformats.org/officeDocument/2006/relationships/hyperlink" Target="https://arxiv.org/abs/2112.15283" TargetMode="External"/><Relationship Id="rId92" Type="http://schemas.openxmlformats.org/officeDocument/2006/relationships/hyperlink" Target="https://arxiv.org/pdf/2112.10668.pdf" TargetMode="External"/><Relationship Id="rId91" Type="http://schemas.openxmlformats.org/officeDocument/2006/relationships/hyperlink" Target="https://arxiv.org/abs/2112.10741" TargetMode="External"/><Relationship Id="rId90" Type="http://schemas.openxmlformats.org/officeDocument/2006/relationships/hyperlink" Target="https://arxiv.org/abs/2112.03178" TargetMode="External"/><Relationship Id="rId9" Type="http://schemas.openxmlformats.org/officeDocument/2006/relationships/hyperlink" Target="https://arxiv.org/abs/2206.10789v1" TargetMode="External"/><Relationship Id="rId89" Type="http://schemas.openxmlformats.org/officeDocument/2006/relationships/hyperlink" Target="https://arxiv.org/abs/2109.05217" TargetMode="External"/><Relationship Id="rId88" Type="http://schemas.openxmlformats.org/officeDocument/2006/relationships/hyperlink" Target="https://arxiv.org/abs/2111.00210" TargetMode="External"/><Relationship Id="rId87" Type="http://schemas.openxmlformats.org/officeDocument/2006/relationships/hyperlink" Target="https://arxiv.org/abs/2110.11316" TargetMode="External"/><Relationship Id="rId86" Type="http://schemas.openxmlformats.org/officeDocument/2006/relationships/hyperlink" Target="https://www.microsoft.com/en-us/research/blog/make-every-feature-binary-a-135b-parameter-sparse-neural-network-for-massively-improved-search-relevance/" TargetMode="External"/><Relationship Id="rId85" Type="http://schemas.openxmlformats.org/officeDocument/2006/relationships/hyperlink" Target="https://arxiv.org/abs/2109.01652" TargetMode="External"/><Relationship Id="rId84" Type="http://schemas.openxmlformats.org/officeDocument/2006/relationships/hyperlink" Target="https://arxiv.org/abs/2105.00572" TargetMode="External"/><Relationship Id="rId83" Type="http://schemas.openxmlformats.org/officeDocument/2006/relationships/hyperlink" Target="https://openai.com/blog/openai-codex/" TargetMode="External"/><Relationship Id="rId82" Type="http://schemas.openxmlformats.org/officeDocument/2006/relationships/hyperlink" Target="https://www.engadget.com/chinas-gigantic-multi-modal-ai-is-no-one-trick-pony-211414388.html" TargetMode="External"/><Relationship Id="rId81" Type="http://schemas.openxmlformats.org/officeDocument/2006/relationships/hyperlink" Target="https://arxiv.org/abs/2105.15082" TargetMode="External"/><Relationship Id="rId80" Type="http://schemas.openxmlformats.org/officeDocument/2006/relationships/hyperlink" Target="https://arxiv.org/abs/2004.13637" TargetMode="External"/><Relationship Id="rId8" Type="http://schemas.openxmlformats.org/officeDocument/2006/relationships/hyperlink" Target="https://arxiv.org/abs/2203.15556" TargetMode="External"/><Relationship Id="rId79" Type="http://schemas.openxmlformats.org/officeDocument/2006/relationships/hyperlink" Target="https://arxiv.org/abs/2103.00823" TargetMode="External"/><Relationship Id="rId78" Type="http://schemas.openxmlformats.org/officeDocument/2006/relationships/hyperlink" Target="https://openreview.net/forum?id=gnRmI8TatHV" TargetMode="External"/><Relationship Id="rId77" Type="http://schemas.openxmlformats.org/officeDocument/2006/relationships/hyperlink" Target="https://arxiv.org/abs/2109.13226" TargetMode="External"/><Relationship Id="rId76" Type="http://schemas.openxmlformats.org/officeDocument/2006/relationships/hyperlink" Target="https://arxiv.org/abs/2112.12731" TargetMode="External"/><Relationship Id="rId75" Type="http://schemas.openxmlformats.org/officeDocument/2006/relationships/hyperlink" Target="https://arxiv.org/abs/2006.11239" TargetMode="External"/><Relationship Id="rId74" Type="http://schemas.openxmlformats.org/officeDocument/2006/relationships/hyperlink" Target="http://research.baidu.com/Blog/index-view?id=160" TargetMode="External"/><Relationship Id="rId73" Type="http://schemas.openxmlformats.org/officeDocument/2006/relationships/hyperlink" Target="https://arxiv.org/abs/2105.12723v4" TargetMode="External"/><Relationship Id="rId72" Type="http://schemas.openxmlformats.org/officeDocument/2006/relationships/hyperlink" Target="https://arxiv.org/search/cs?searchtype=author&amp;query=Zhang%2C+Z" TargetMode="External"/><Relationship Id="rId71" Type="http://schemas.openxmlformats.org/officeDocument/2006/relationships/hyperlink" Target="https://arxiv.org/pdf/2110.08554.pdf" TargetMode="External"/><Relationship Id="rId70" Type="http://schemas.openxmlformats.org/officeDocument/2006/relationships/hyperlink" Target="https://arxiv.org/abs/2104.05158" TargetMode="External"/><Relationship Id="rId7" Type="http://schemas.openxmlformats.org/officeDocument/2006/relationships/hyperlink" Target="https://ai.facebook.com/blog/democratizing-access-to-large-scale-language-models-with-opt-175b/" TargetMode="External"/><Relationship Id="rId69" Type="http://schemas.openxmlformats.org/officeDocument/2006/relationships/hyperlink" Target="https://arxiv.org/abs/2106.04560" TargetMode="External"/><Relationship Id="rId68" Type="http://schemas.openxmlformats.org/officeDocument/2006/relationships/hyperlink" Target="https://arxiv.org/abs/2103.01988" TargetMode="External"/><Relationship Id="rId67" Type="http://schemas.openxmlformats.org/officeDocument/2006/relationships/hyperlink" Target="https://arxiv.org/abs/2111.12417" TargetMode="External"/><Relationship Id="rId66" Type="http://schemas.openxmlformats.org/officeDocument/2006/relationships/hyperlink" Target="https://arxiv.org/abs/2110.03888" TargetMode="External"/><Relationship Id="rId65" Type="http://schemas.openxmlformats.org/officeDocument/2006/relationships/hyperlink" Target="https://arxiv.org/abs/2106.07447" TargetMode="External"/><Relationship Id="rId64" Type="http://schemas.openxmlformats.org/officeDocument/2006/relationships/hyperlink" Target="https://arxiv.org/abs/2006.03654" TargetMode="External"/><Relationship Id="rId63" Type="http://schemas.openxmlformats.org/officeDocument/2006/relationships/hyperlink" Target="https://medium.com/syncedreview/chinas-gpt-3-baai-introduces-superscale-intelligence-model-wu-dao-1-0-98a573fc4d70" TargetMode="External"/><Relationship Id="rId62" Type="http://schemas.openxmlformats.org/officeDocument/2006/relationships/hyperlink" Target="https://www.eleuther.ai/projects/gpt-neo/" TargetMode="External"/><Relationship Id="rId61" Type="http://schemas.openxmlformats.org/officeDocument/2006/relationships/hyperlink" Target="https://arxiv.org/abs/2103.00020" TargetMode="External"/><Relationship Id="rId60" Type="http://schemas.openxmlformats.org/officeDocument/2006/relationships/hyperlink" Target="https://arankomatsuzaki.wordpress.com/2021/06/04/gpt-j/" TargetMode="External"/><Relationship Id="rId6" Type="http://schemas.openxmlformats.org/officeDocument/2006/relationships/hyperlink" Target="https://arxiv.org/abs/2204.02311" TargetMode="External"/><Relationship Id="rId59" Type="http://schemas.openxmlformats.org/officeDocument/2006/relationships/hyperlink" Target="https://arxiv.org/abs/2110.08207" TargetMode="External"/><Relationship Id="rId58" Type="http://schemas.openxmlformats.org/officeDocument/2006/relationships/hyperlink" Target="https://arxiv.org/abs/2105.13290" TargetMode="External"/><Relationship Id="rId57" Type="http://schemas.openxmlformats.org/officeDocument/2006/relationships/hyperlink" Target="https://mp.weixin.qq.com/s/DAQomIkDa52Sef-ruyH5qg" TargetMode="External"/><Relationship Id="rId56" Type="http://schemas.openxmlformats.org/officeDocument/2006/relationships/hyperlink" Target="https://openai.com/blog/dall-e/" TargetMode="External"/><Relationship Id="rId55" Type="http://schemas.openxmlformats.org/officeDocument/2006/relationships/hyperlink" Target="https://arxiv.org/pdf/2109.01652.pdf" TargetMode="External"/><Relationship Id="rId54" Type="http://schemas.openxmlformats.org/officeDocument/2006/relationships/hyperlink" Target="https://arxiv.org/abs/2104.12369" TargetMode="External"/><Relationship Id="rId53" Type="http://schemas.openxmlformats.org/officeDocument/2006/relationships/hyperlink" Target="https://www.navercorp.com/promotion/pressReleasesView/30546" TargetMode="External"/><Relationship Id="rId52" Type="http://schemas.openxmlformats.org/officeDocument/2006/relationships/hyperlink" Target="https://www.biorxiv.org/content/10.1101/2020.07.12.199554v3" TargetMode="External"/><Relationship Id="rId51" Type="http://schemas.openxmlformats.org/officeDocument/2006/relationships/hyperlink" Target="https://deepmind.com/blog/article/generally-capable-agents-emerge-from-open-ended-play" TargetMode="External"/><Relationship Id="rId507" Type="http://schemas.openxmlformats.org/officeDocument/2006/relationships/hyperlink" Target="https://www.technologyreview.com/2018/12/19/138508/mighty-mouse/" TargetMode="External"/><Relationship Id="rId506" Type="http://schemas.openxmlformats.org/officeDocument/2006/relationships/hyperlink" Target="https://en.wikipedia.org/wiki/Stochastic_neural_analog_reinforcement_calculator" TargetMode="External"/><Relationship Id="rId505" Type="http://schemas.openxmlformats.org/officeDocument/2006/relationships/hyperlink" Target="https://link.springer.com/article/10.1007/BF01556771" TargetMode="External"/><Relationship Id="rId504" Type="http://schemas.openxmlformats.org/officeDocument/2006/relationships/hyperlink" Target="https://dl.acm.org/doi/10.1145/1455292.1455310" TargetMode="External"/><Relationship Id="rId503" Type="http://schemas.openxmlformats.org/officeDocument/2006/relationships/hyperlink" Target="https://dl.acm.org/doi/10.1145/1455292.1455309" TargetMode="External"/><Relationship Id="rId502" Type="http://schemas.openxmlformats.org/officeDocument/2006/relationships/hyperlink" Target="https://www.moma.org/collection/works/illustratedbooks/16252?locale=es" TargetMode="External"/><Relationship Id="rId501" Type="http://schemas.openxmlformats.org/officeDocument/2006/relationships/hyperlink" Target="https://blogs.umass.edu/brain-wars/files/2016/03/rosenblatt-1957.pdf" TargetMode="External"/><Relationship Id="rId500" Type="http://schemas.openxmlformats.org/officeDocument/2006/relationships/hyperlink" Target="https://dl.acm.org/doi/10.1145/1460299.1460326" TargetMode="External"/><Relationship Id="rId50" Type="http://schemas.openxmlformats.org/officeDocument/2006/relationships/hyperlink" Target="https://arxiv.org/abs/2101.03961" TargetMode="External"/><Relationship Id="rId5" Type="http://schemas.openxmlformats.org/officeDocument/2006/relationships/hyperlink" Target="https://arxiv.org/abs/2206.14858" TargetMode="External"/><Relationship Id="rId499" Type="http://schemas.openxmlformats.org/officeDocument/2006/relationships/hyperlink" Target="https://ieeexplore.ieee.org/abstract/document/5392560" TargetMode="External"/><Relationship Id="rId498" Type="http://schemas.openxmlformats.org/officeDocument/2006/relationships/hyperlink" Target="https://aitopics.org/doc/classics:504E1BAC/" TargetMode="External"/><Relationship Id="rId497" Type="http://schemas.openxmlformats.org/officeDocument/2006/relationships/hyperlink" Target="https://www.scirp.org/(S(351jmbntvnsjt1aadkposzje))/reference/ReferencesPapers.aspx?ReferenceID=547230" TargetMode="External"/><Relationship Id="rId496" Type="http://schemas.openxmlformats.org/officeDocument/2006/relationships/hyperlink" Target="https://isl.stanford.edu/~widrow/papers/c1960adaptiveswitching.pdf" TargetMode="External"/><Relationship Id="rId495" Type="http://schemas.openxmlformats.org/officeDocument/2006/relationships/hyperlink" Target="https://www.semanticscholar.org/paper/Further-experiments-with-PAPA-Gamba-Gamberini/c3a20b9aa86033cec29f08e69f4bc81e8b329ae2" TargetMode="External"/><Relationship Id="rId494" Type="http://schemas.openxmlformats.org/officeDocument/2006/relationships/hyperlink" Target="https://stacks.stanford.edu/file/druid:yr384hg3073/yr384hg3073.pdf" TargetMode="External"/><Relationship Id="rId493" Type="http://schemas.openxmlformats.org/officeDocument/2006/relationships/hyperlink" Target="https://ieeexplore.ieee.org/abstract/document/4066245" TargetMode="External"/><Relationship Id="rId492" Type="http://schemas.openxmlformats.org/officeDocument/2006/relationships/hyperlink" Target="https://www.proquest.com/openview/7898314db50a218b58052ac91e3bde1e/1?" TargetMode="External"/><Relationship Id="rId491" Type="http://schemas.openxmlformats.org/officeDocument/2006/relationships/hyperlink" Target="https://academic.oup.com/comjnl/article/6/3/232/360077" TargetMode="External"/><Relationship Id="rId490" Type="http://schemas.openxmlformats.org/officeDocument/2006/relationships/hyperlink" Target="https://www.researchgate.net/publication/252919025_STELLA_A_scheme_for_a_learning_machine" TargetMode="External"/><Relationship Id="rId49" Type="http://schemas.openxmlformats.org/officeDocument/2006/relationships/hyperlink" Target="https://arxiv.org/abs/2003.10580" TargetMode="External"/><Relationship Id="rId489" Type="http://schemas.openxmlformats.org/officeDocument/2006/relationships/hyperlink" Target="https://www.cs.virginia.edu/~evans/greatworks/samuel.pdf" TargetMode="External"/><Relationship Id="rId488" Type="http://schemas.openxmlformats.org/officeDocument/2006/relationships/hyperlink" Target="https://citeseerx.ist.psu.edu/viewdoc/summary?doi=10.1.1.474.2430" TargetMode="External"/><Relationship Id="rId487" Type="http://schemas.openxmlformats.org/officeDocument/2006/relationships/hyperlink" Target="https://dspace.mit.edu/handle/1721.1/6884" TargetMode="External"/><Relationship Id="rId486" Type="http://schemas.openxmlformats.org/officeDocument/2006/relationships/hyperlink" Target="https://ieeexplore.ieee.org/document/4309272" TargetMode="External"/><Relationship Id="rId485" Type="http://schemas.openxmlformats.org/officeDocument/2006/relationships/hyperlink" Target="https://www.semanticscholar.org/paper/Pattern-classification-and-scene-analysis-Duda-Hart/b07ce649d6f6eb636872527104b0209d3edc8188" TargetMode="External"/><Relationship Id="rId484" Type="http://schemas.openxmlformats.org/officeDocument/2006/relationships/hyperlink" Target="https://link.springer.com/article/10.1007%2FBF00342633" TargetMode="External"/><Relationship Id="rId483" Type="http://schemas.openxmlformats.org/officeDocument/2006/relationships/hyperlink" Target="https://www.sciencedirect.com/science/article/pii/S0019995877903540" TargetMode="External"/><Relationship Id="rId482" Type="http://schemas.openxmlformats.org/officeDocument/2006/relationships/hyperlink" Target="https://link.springer.com/article/10.1007/BF00337644" TargetMode="External"/><Relationship Id="rId481" Type="http://schemas.openxmlformats.org/officeDocument/2006/relationships/hyperlink" Target="https://link.springer.com/article/10.1007/BF00344251" TargetMode="External"/><Relationship Id="rId480" Type="http://schemas.openxmlformats.org/officeDocument/2006/relationships/hyperlink" Target="https://link.springer.com/article/10.1007/BF00337288" TargetMode="External"/><Relationship Id="rId48" Type="http://schemas.openxmlformats.org/officeDocument/2006/relationships/hyperlink" Target="https://arxiv.org/abs/2102.05918" TargetMode="External"/><Relationship Id="rId479" Type="http://schemas.openxmlformats.org/officeDocument/2006/relationships/hyperlink" Target="https://www.pnas.org/doi/10.1073/pnas.79.8.2554" TargetMode="External"/><Relationship Id="rId478" Type="http://schemas.openxmlformats.org/officeDocument/2006/relationships/hyperlink" Target="https://ieeexplore.ieee.org/stamp/stamp.jsp?tp=&amp;arnumber=6313077" TargetMode="External"/><Relationship Id="rId477" Type="http://schemas.openxmlformats.org/officeDocument/2006/relationships/hyperlink" Target="https://psycnet.apa.org/record/1985-97439-000" TargetMode="External"/><Relationship Id="rId476" Type="http://schemas.openxmlformats.org/officeDocument/2006/relationships/hyperlink" Target="https://ieeexplore.ieee.org/stamp/stamp.jsp?tp=&amp;arnumber=4767851" TargetMode="External"/><Relationship Id="rId475" Type="http://schemas.openxmlformats.org/officeDocument/2006/relationships/hyperlink" Target="https://www.osti.gov/biblio/6910294" TargetMode="External"/><Relationship Id="rId474" Type="http://schemas.openxmlformats.org/officeDocument/2006/relationships/hyperlink" Target="https://www.semanticscholar.org/paper/On-learning-the-past-tenses-of-English-verbs%3A-rules-Rumelhart-McClelland/4fa569625b5ab35e955a8d5be11a4aa9f59ca424" TargetMode="External"/><Relationship Id="rId473" Type="http://schemas.openxmlformats.org/officeDocument/2006/relationships/hyperlink" Target="https://dl.acm.org/doi/10.5555/104279.104293" TargetMode="External"/><Relationship Id="rId472" Type="http://schemas.openxmlformats.org/officeDocument/2006/relationships/hyperlink" Target="https://www.semanticscholar.org/paper/Learning-representations-by-back-propagating-errors-Rumelhart-Hinton/052b1d8ce63b07fec3de9dbb583772d860b7c769" TargetMode="External"/><Relationship Id="rId471" Type="http://schemas.openxmlformats.org/officeDocument/2006/relationships/hyperlink" Target="https://psycnet.apa.org/record/1987-20898-001" TargetMode="External"/><Relationship Id="rId470" Type="http://schemas.openxmlformats.org/officeDocument/2006/relationships/hyperlink" Target="http://citeseerx.ist.psu.edu/viewdoc/download;jsessionid=03A3D3EDF0BAF35405ABCF083411B55E?doi=10.1.1.154.7012&amp;rep=rep1&amp;type=pdf" TargetMode="External"/><Relationship Id="rId47" Type="http://schemas.openxmlformats.org/officeDocument/2006/relationships/hyperlink" Target="https://www.gwern.net/docs/ai/scaling/2021-10-11-xinzhiyuan-inspursource10gpt245b.html" TargetMode="External"/><Relationship Id="rId469" Type="http://schemas.openxmlformats.org/officeDocument/2006/relationships/hyperlink" Target="https://ieeexplore.ieee.org/document/23982" TargetMode="External"/><Relationship Id="rId468" Type="http://schemas.openxmlformats.org/officeDocument/2006/relationships/hyperlink" Target="https://ieeexplore.ieee.org/document/23872" TargetMode="External"/><Relationship Id="rId467" Type="http://schemas.openxmlformats.org/officeDocument/2006/relationships/hyperlink" Target="http://citeseerx.ist.psu.edu/viewdoc/download?doi=10.1.1.434.4816&amp;rep=rep1&amp;type=pdf" TargetMode="External"/><Relationship Id="rId466" Type="http://schemas.openxmlformats.org/officeDocument/2006/relationships/hyperlink" Target="https://www.sciencedirect.com/science/article/abs/pii/0893608089900208" TargetMode="External"/><Relationship Id="rId465" Type="http://schemas.openxmlformats.org/officeDocument/2006/relationships/hyperlink" Target="https://ieeexplore.ieee.org/abstract/document/21701" TargetMode="External"/><Relationship Id="rId464" Type="http://schemas.openxmlformats.org/officeDocument/2006/relationships/hyperlink" Target="http://www.cs.rhul.ac.uk/~chrisw/thesis.html" TargetMode="External"/><Relationship Id="rId463" Type="http://schemas.openxmlformats.org/officeDocument/2006/relationships/hyperlink" Target="https://www.researchgate.net/publication/220885651_Designing_Neural_Networks_using_Genetic_Algorithms" TargetMode="External"/><Relationship Id="rId462" Type="http://schemas.openxmlformats.org/officeDocument/2006/relationships/hyperlink" Target="https://ieeexplore.ieee.org/document/6795724" TargetMode="External"/><Relationship Id="rId461" Type="http://schemas.openxmlformats.org/officeDocument/2006/relationships/hyperlink" Target="https://proceedings.neurips.cc/paper/1988/hash/812b4ba287f5ee0bc9d43bbf5bbe87fb-Abstract.html" TargetMode="External"/><Relationship Id="rId460" Type="http://schemas.openxmlformats.org/officeDocument/2006/relationships/hyperlink" Target="https://ieeexplore.ieee.org/abstract/document/80266" TargetMode="External"/><Relationship Id="rId46" Type="http://schemas.openxmlformats.org/officeDocument/2006/relationships/hyperlink" Target="https://uploads-ssl.webflow.com/60fd4503684b466578c0d307/61138924626a6981ee09caf6_jurassic_tech_paper.pdf" TargetMode="External"/><Relationship Id="rId459" Type="http://schemas.openxmlformats.org/officeDocument/2006/relationships/hyperlink" Target="https://ieeexplore.ieee.org/document/58323" TargetMode="External"/><Relationship Id="rId458" Type="http://schemas.openxmlformats.org/officeDocument/2006/relationships/hyperlink" Target="https://dl.acm.org/doi/10.1007/BF00114844" TargetMode="External"/><Relationship Id="rId457" Type="http://schemas.openxmlformats.org/officeDocument/2006/relationships/hyperlink" Target="https://link.springer.com/chapter/10.1007/978-3-642-48650-0_19" TargetMode="External"/><Relationship Id="rId456" Type="http://schemas.openxmlformats.org/officeDocument/2006/relationships/hyperlink" Target="https://dl.acm.org/doi/10.1007/BF00992696" TargetMode="External"/><Relationship Id="rId455" Type="http://schemas.openxmlformats.org/officeDocument/2006/relationships/hyperlink" Target="https://ieeexplore.ieee.org/document/159058" TargetMode="External"/><Relationship Id="rId454" Type="http://schemas.openxmlformats.org/officeDocument/2006/relationships/hyperlink" Target="https://papers.nips.cc/paper/1991/file/68ce199ec2c5517597ce0a4d89620f55-Paper.pdf" TargetMode="External"/><Relationship Id="rId453" Type="http://schemas.openxmlformats.org/officeDocument/2006/relationships/hyperlink" Target="https://dl.acm.org/doi/10.5555/972470.972474" TargetMode="External"/><Relationship Id="rId452" Type="http://schemas.openxmlformats.org/officeDocument/2006/relationships/hyperlink" Target="https://dl.acm.org/doi/10.1145/192844.192905" TargetMode="External"/><Relationship Id="rId451" Type="http://schemas.openxmlformats.org/officeDocument/2006/relationships/hyperlink" Target="https://dl.acm.org/doi/10.5555/972525.972526" TargetMode="External"/><Relationship Id="rId450" Type="http://schemas.openxmlformats.org/officeDocument/2006/relationships/hyperlink" Target="https://link.springer.com/article/10.1007/BF00994018" TargetMode="External"/><Relationship Id="rId45" Type="http://schemas.openxmlformats.org/officeDocument/2006/relationships/hyperlink" Target="https://arxiv.org/abs/2110.04725" TargetMode="External"/><Relationship Id="rId449" Type="http://schemas.openxmlformats.org/officeDocument/2006/relationships/hyperlink" Target="https://ieeexplore.ieee.org/document/598994" TargetMode="External"/><Relationship Id="rId448" Type="http://schemas.openxmlformats.org/officeDocument/2006/relationships/hyperlink" Target="https://dl.acm.org/doi/10.3115/981658.981684" TargetMode="External"/><Relationship Id="rId447" Type="http://schemas.openxmlformats.org/officeDocument/2006/relationships/hyperlink" Target="https://ieeexplore.ieee.org/document/6795568" TargetMode="External"/><Relationship Id="rId446" Type="http://schemas.openxmlformats.org/officeDocument/2006/relationships/hyperlink" Target="https://dl.acm.org/doi/10.3115/993268.993313" TargetMode="External"/><Relationship Id="rId445" Type="http://schemas.openxmlformats.org/officeDocument/2006/relationships/hyperlink" Target="https://www.aclweb.org/anthology/C96-2141.pdf" TargetMode="External"/><Relationship Id="rId444" Type="http://schemas.openxmlformats.org/officeDocument/2006/relationships/hyperlink" Target="https://ieeexplore.ieee.org/document/655647" TargetMode="External"/><Relationship Id="rId443" Type="http://schemas.openxmlformats.org/officeDocument/2006/relationships/hyperlink" Target="https://www.sciencedirect.com/science/article/pii/S0042698997001697" TargetMode="External"/><Relationship Id="rId442" Type="http://schemas.openxmlformats.org/officeDocument/2006/relationships/hyperlink" Target="https://ieeexplore.ieee.org/document/650093" TargetMode="External"/><Relationship Id="rId441" Type="http://schemas.openxmlformats.org/officeDocument/2006/relationships/hyperlink" Target="https://www.semanticscholar.org/paper/Statistical-language-modeling-using-the-toolkit-Clarkson-Rosenfeld/fdf4aa623e4d5b5edaeb873ed8e8b1cef0b59c87" TargetMode="External"/><Relationship Id="rId440" Type="http://schemas.openxmlformats.org/officeDocument/2006/relationships/hyperlink" Target="https://ieeexplore.ieee.org/document/609310" TargetMode="External"/><Relationship Id="rId44" Type="http://schemas.openxmlformats.org/officeDocument/2006/relationships/hyperlink" Target="https://deepmind.com/blog/article/language-modelling-at-scale" TargetMode="External"/><Relationship Id="rId439" Type="http://schemas.openxmlformats.org/officeDocument/2006/relationships/hyperlink" Target="https://direct.mit.edu/neco/article-abstract/9/8/1735/6109/Long-Short-Term-Memory?redirectedFrom=fulltext" TargetMode="External"/><Relationship Id="rId438" Type="http://schemas.openxmlformats.org/officeDocument/2006/relationships/hyperlink" Target="https://www.aaai.org/Papers/AAAI/1998/AAAI98-101.pdf" TargetMode="External"/><Relationship Id="rId437" Type="http://schemas.openxmlformats.org/officeDocument/2006/relationships/hyperlink" Target="https://ieeexplore.ieee.org/document/698586" TargetMode="External"/><Relationship Id="rId436" Type="http://schemas.openxmlformats.org/officeDocument/2006/relationships/hyperlink" Target="https://mitpress.mit.edu/books/statistical-methods-speech-recognition" TargetMode="External"/><Relationship Id="rId435" Type="http://schemas.openxmlformats.org/officeDocument/2006/relationships/hyperlink" Target="https://ieeexplore.ieee.org/abstract/document/668817" TargetMode="External"/><Relationship Id="rId434" Type="http://schemas.openxmlformats.org/officeDocument/2006/relationships/hyperlink" Target="http://vision.stanford.edu/cs598_spring07/papers/Lecun98.pdf" TargetMode="External"/><Relationship Id="rId433" Type="http://schemas.openxmlformats.org/officeDocument/2006/relationships/hyperlink" Target="https://link.springer.com/article/10.1023/A:1007662407062" TargetMode="External"/><Relationship Id="rId432" Type="http://schemas.openxmlformats.org/officeDocument/2006/relationships/hyperlink" Target="http://www-i6.informatik.rwth-aachen.de/publications/download/266/al-onaizan--1999.pdf" TargetMode="External"/><Relationship Id="rId431" Type="http://schemas.openxmlformats.org/officeDocument/2006/relationships/hyperlink" Target="https://ieeexplore.ieee.org/document/818041" TargetMode="External"/><Relationship Id="rId430" Type="http://schemas.openxmlformats.org/officeDocument/2006/relationships/hyperlink" Target="https://aclanthology.org/P00-1056/" TargetMode="External"/><Relationship Id="rId43" Type="http://schemas.openxmlformats.org/officeDocument/2006/relationships/hyperlink" Target="https://www.microsoft.com/en-us/research/blog/using-deepspeed-and-megatron-to-train-megatron-turing-nlg-530b-the-worlds-largest-and-most-powerful-generative-language-model/" TargetMode="External"/><Relationship Id="rId429" Type="http://schemas.openxmlformats.org/officeDocument/2006/relationships/hyperlink" Target="https://dl.acm.org/doi/10.1162/089120102760275983" TargetMode="External"/><Relationship Id="rId428" Type="http://schemas.openxmlformats.org/officeDocument/2006/relationships/hyperlink" Target="https://ieeexplore.ieee.org/document/861302" TargetMode="External"/><Relationship Id="rId427" Type="http://schemas.openxmlformats.org/officeDocument/2006/relationships/hyperlink" Target="http://robotics.stanford.edu/~ronnyk/WEBKDD2000/papers/sarwar.pdf" TargetMode="External"/><Relationship Id="rId426" Type="http://schemas.openxmlformats.org/officeDocument/2006/relationships/hyperlink" Target="https://projecteuclid.org/journals/annals-of-statistics/volume-29/issue-5/Greedy-function-approximation-A-gradient-boostingmachine/10.1214/aos/1013203451.full" TargetMode="External"/><Relationship Id="rId425" Type="http://schemas.openxmlformats.org/officeDocument/2006/relationships/hyperlink" Target="https://dl.acm.org/doi/10.3115/1073012.1073029" TargetMode="External"/><Relationship Id="rId424" Type="http://schemas.openxmlformats.org/officeDocument/2006/relationships/hyperlink" Target="https://www.cs.cmu.edu/~efros/courses/LBMV07/Papers/viola-cvpr-01.pdf" TargetMode="External"/><Relationship Id="rId423" Type="http://schemas.openxmlformats.org/officeDocument/2006/relationships/hyperlink" Target="https://reader.elsevier.com/reader/sd/pii/S0957417402000520?token=155B6D1937982D7D0271AFD1CFB034DFD7F3D1DE816B66C025EBC9D0A305BA6DA685DD62989DC05246C794CAC74CDAEF&amp;originRegion=us-east-1&amp;originCreation=20220325235441" TargetMode="External"/><Relationship Id="rId422" Type="http://schemas.openxmlformats.org/officeDocument/2006/relationships/hyperlink" Target="https://dl.acm.org/doi/10.3115/1073083.1073135" TargetMode="External"/><Relationship Id="rId421" Type="http://schemas.openxmlformats.org/officeDocument/2006/relationships/hyperlink" Target="https://aclanthology.org/P02-1038/" TargetMode="External"/><Relationship Id="rId420" Type="http://schemas.openxmlformats.org/officeDocument/2006/relationships/hyperlink" Target="https://direct.mit.edu/evco/article/10/2/99/1123/Evolving-Neural-Networks-through-Augmenting" TargetMode="External"/><Relationship Id="rId42" Type="http://schemas.openxmlformats.org/officeDocument/2006/relationships/hyperlink" Target="https://arxiv.org/abs/2104.04473" TargetMode="External"/><Relationship Id="rId419" Type="http://schemas.openxmlformats.org/officeDocument/2006/relationships/hyperlink" Target="https://dl.acm.org/doi/10.3115/1118693.1118711" TargetMode="External"/><Relationship Id="rId418" Type="http://schemas.openxmlformats.org/officeDocument/2006/relationships/hyperlink" Target="https://dl.acm.org/doi/10.3115/1118693.1118694" TargetMode="External"/><Relationship Id="rId417" Type="http://schemas.openxmlformats.org/officeDocument/2006/relationships/hyperlink" Target="https://arxiv.org/abs/cs/0205070" TargetMode="External"/><Relationship Id="rId416" Type="http://schemas.openxmlformats.org/officeDocument/2006/relationships/hyperlink" Target="https://ieeexplore.ieee.org/document/1227801" TargetMode="External"/><Relationship Id="rId415" Type="http://schemas.openxmlformats.org/officeDocument/2006/relationships/hyperlink" Target="https://ieeexplore.ieee.org/document/1211479" TargetMode="External"/><Relationship Id="rId414" Type="http://schemas.openxmlformats.org/officeDocument/2006/relationships/hyperlink" Target="https://dl.acm.org/doi/10.3115/1073445.1073462" TargetMode="External"/><Relationship Id="rId413" Type="http://schemas.openxmlformats.org/officeDocument/2006/relationships/hyperlink" Target="https://jmlr.org/papers/volume3/blei03a/blei03a.pdf" TargetMode="External"/><Relationship Id="rId412" Type="http://schemas.openxmlformats.org/officeDocument/2006/relationships/hyperlink" Target="https://link.springer.com/content/pdf/10.1007/3-540-45054-8_2.pdf" TargetMode="External"/><Relationship Id="rId411" Type="http://schemas.openxmlformats.org/officeDocument/2006/relationships/hyperlink" Target="https://ieeexplore.ieee.org/document/1167344" TargetMode="External"/><Relationship Id="rId410" Type="http://schemas.openxmlformats.org/officeDocument/2006/relationships/hyperlink" Target="https://dl.acm.org/doi/10.5555/944919.944966" TargetMode="External"/><Relationship Id="rId41" Type="http://schemas.openxmlformats.org/officeDocument/2006/relationships/hyperlink" Target="https://arxiv.org/abs/2210.02303" TargetMode="External"/><Relationship Id="rId409" Type="http://schemas.openxmlformats.org/officeDocument/2006/relationships/hyperlink" Target="https://www.sciencedirect.com/science/article/abs/pii/S0262885604000721" TargetMode="External"/><Relationship Id="rId408" Type="http://schemas.openxmlformats.org/officeDocument/2006/relationships/hyperlink" Target="https://aclanthology.org/P04-1036/" TargetMode="External"/><Relationship Id="rId407" Type="http://schemas.openxmlformats.org/officeDocument/2006/relationships/hyperlink" Target="https://ieeexplore.ieee.org/document/1336386" TargetMode="External"/><Relationship Id="rId406" Type="http://schemas.openxmlformats.org/officeDocument/2006/relationships/hyperlink" Target="https://www.sciencedirect.com/science/article/pii/S0031320304000524" TargetMode="External"/><Relationship Id="rId405" Type="http://schemas.openxmlformats.org/officeDocument/2006/relationships/hyperlink" Target="https://papers.nips.cc/paper/2003/file/878d5691c824ee2aaf770f7d36c151d6-Paper.pdf" TargetMode="External"/><Relationship Id="rId404" Type="http://schemas.openxmlformats.org/officeDocument/2006/relationships/hyperlink" Target="https://ieeexplore.ieee.org/document/1467360" TargetMode="External"/><Relationship Id="rId403" Type="http://schemas.openxmlformats.org/officeDocument/2006/relationships/hyperlink" Target="https://ieeexplore.ieee.org/document/1467314" TargetMode="External"/><Relationship Id="rId402" Type="http://schemas.openxmlformats.org/officeDocument/2006/relationships/hyperlink" Target="http://www.iro.umontreal.ca/~mignotte/IFT6150/Articles/Buades-NonLocal.pdf" TargetMode="External"/><Relationship Id="rId401" Type="http://schemas.openxmlformats.org/officeDocument/2006/relationships/hyperlink" Target="https://aclanthology.org/P05-1033/" TargetMode="External"/><Relationship Id="rId400" Type="http://schemas.openxmlformats.org/officeDocument/2006/relationships/hyperlink" Target="https://science.sciencemag.org/content/308/5721/523.long" TargetMode="External"/><Relationship Id="rId40" Type="http://schemas.openxmlformats.org/officeDocument/2006/relationships/hyperlink" Target="https://www.science.org/doi/10.1126/science.ade9097" TargetMode="External"/><Relationship Id="rId4" Type="http://schemas.openxmlformats.org/officeDocument/2006/relationships/hyperlink" Target="https://arxiv.org/abs/2210.02399" TargetMode="External"/><Relationship Id="rId399" Type="http://schemas.openxmlformats.org/officeDocument/2006/relationships/hyperlink" Target="https://www.sciencedirect.com/science/article/abs/pii/S0893608005001206" TargetMode="External"/><Relationship Id="rId398" Type="http://schemas.openxmlformats.org/officeDocument/2006/relationships/hyperlink" Target="https://dl.acm.org/doi/10.5555/2976456.2976476" TargetMode="External"/><Relationship Id="rId397" Type="http://schemas.openxmlformats.org/officeDocument/2006/relationships/hyperlink" Target="https://papers.nips.cc/paper/2006/hash/87f4d79e36d68c3031ccf6c55e9bbd39-Abstract.html" TargetMode="External"/><Relationship Id="rId396" Type="http://schemas.openxmlformats.org/officeDocument/2006/relationships/hyperlink" Target="http://citeseerx.ist.psu.edu/viewdoc/download?doi=10.1.1.456.1094&amp;rep=rep1&amp;type=pdf" TargetMode="External"/><Relationship Id="rId395" Type="http://schemas.openxmlformats.org/officeDocument/2006/relationships/hyperlink" Target="https://www.cs.toronto.edu/~hinton/absps/fastnc.pdf" TargetMode="External"/><Relationship Id="rId394" Type="http://schemas.openxmlformats.org/officeDocument/2006/relationships/hyperlink" Target="https://www.cs.toronto.edu/~hinton/science.pdf" TargetMode="External"/><Relationship Id="rId393" Type="http://schemas.openxmlformats.org/officeDocument/2006/relationships/hyperlink" Target="https://www.aclweb.org/anthology/P06-1101/" TargetMode="External"/><Relationship Id="rId392" Type="http://schemas.openxmlformats.org/officeDocument/2006/relationships/hyperlink" Target="https://www.cs.toronto.edu/~graves/icml_2006.pdf" TargetMode="External"/><Relationship Id="rId391" Type="http://schemas.openxmlformats.org/officeDocument/2006/relationships/hyperlink" Target="https://ieeexplore.ieee.org/document/1640964" TargetMode="External"/><Relationship Id="rId390" Type="http://schemas.openxmlformats.org/officeDocument/2006/relationships/hyperlink" Target="https://inc.ucsd.edu/mplab/users/marni/Igert/Lazebnik_06.pdf" TargetMode="External"/><Relationship Id="rId39" Type="http://schemas.openxmlformats.org/officeDocument/2006/relationships/hyperlink" Target="https://galactica.org/static/paper.pdf" TargetMode="External"/><Relationship Id="rId389" Type="http://schemas.openxmlformats.org/officeDocument/2006/relationships/hyperlink" Target="https://link.springer.com/chapter/10.1007/11744023_34" TargetMode="External"/><Relationship Id="rId388" Type="http://schemas.openxmlformats.org/officeDocument/2006/relationships/hyperlink" Target="https://papers.nips.cc/paper/2003/hash/b427426b8acd2c2e53827970f2c2f526-Abstract.html" TargetMode="External"/><Relationship Id="rId387" Type="http://schemas.openxmlformats.org/officeDocument/2006/relationships/hyperlink" Target="https://hal.archives-ouvertes.fr/hal-00018426/en" TargetMode="External"/><Relationship Id="rId386" Type="http://schemas.openxmlformats.org/officeDocument/2006/relationships/hyperlink" Target="https://www.researchgate.net/publication/220648006_Stanley_The_robot_that_won_the_DARPA_Grand_Challenge" TargetMode="External"/><Relationship Id="rId385" Type="http://schemas.openxmlformats.org/officeDocument/2006/relationships/hyperlink" Target="https://proceedings.neurips.cc/paper/2007/hash/4b0250793549726d5c1ea3906726ebfe-Abstract.html" TargetMode="External"/><Relationship Id="rId384" Type="http://schemas.openxmlformats.org/officeDocument/2006/relationships/hyperlink" Target="https://dl.acm.org/doi/10.5555/2981562.2981583" TargetMode="External"/><Relationship Id="rId383" Type="http://schemas.openxmlformats.org/officeDocument/2006/relationships/hyperlink" Target="http://brettb.net/project/papers/2007%20Scalable%20collaborative%20filtering%20with%20jointly%20derived%20neighborhood%20interpolation%20weights.pdf" TargetMode="External"/><Relationship Id="rId382" Type="http://schemas.openxmlformats.org/officeDocument/2006/relationships/hyperlink" Target="https://people.idsia.ch//~juergen/icdar_2007.pdf" TargetMode="External"/><Relationship Id="rId381" Type="http://schemas.openxmlformats.org/officeDocument/2006/relationships/hyperlink" Target="https://www.semanticscholar.org/paper/Improving-regularized-singular-value-decomposition-Paterek/f732d0f69fe4e84a95c32706b28b9e4ef1753c61" TargetMode="External"/><Relationship Id="rId380" Type="http://schemas.openxmlformats.org/officeDocument/2006/relationships/hyperlink" Target="https://dl.acm.org/doi/abs/10.1145/1273496.1273596?casa_token=cfdkH2x12MwAAAAA:sEUzfllIGyPcOfzgUoDPHlpC1ukfCAo8ewocBXWBswIIF9eS5HdFo30nOtfmIV8gm-XpBpQJJ5zYVO8" TargetMode="External"/><Relationship Id="rId38" Type="http://schemas.openxmlformats.org/officeDocument/2006/relationships/hyperlink" Target="https://arxiv.org/abs/2209.14792" TargetMode="External"/><Relationship Id="rId379" Type="http://schemas.openxmlformats.org/officeDocument/2006/relationships/hyperlink" Target="https://dl.acm.org/doi/10.1145/1273496.1273556" TargetMode="External"/><Relationship Id="rId378" Type="http://schemas.openxmlformats.org/officeDocument/2006/relationships/hyperlink" Target="https://www.aclweb.org/anthology/P07-1121/" TargetMode="External"/><Relationship Id="rId377" Type="http://schemas.openxmlformats.org/officeDocument/2006/relationships/hyperlink" Target="https://aclanthology.org/P07-2045.pdf" TargetMode="External"/><Relationship Id="rId376" Type="http://schemas.openxmlformats.org/officeDocument/2006/relationships/hyperlink" Target="https://www.cs.cmu.edu/~rsalakhu/papers/sdarticle.pdf" TargetMode="External"/><Relationship Id="rId375" Type="http://schemas.openxmlformats.org/officeDocument/2006/relationships/hyperlink" Target="https://www.researchgate.net/publication/228419683_The_bigchaos_solution_to_the_netflix_prize_2008" TargetMode="External"/><Relationship Id="rId374" Type="http://schemas.openxmlformats.org/officeDocument/2006/relationships/hyperlink" Target="https://pubmed.ncbi.nlm.nih.gov/19000969/" TargetMode="External"/><Relationship Id="rId373" Type="http://schemas.openxmlformats.org/officeDocument/2006/relationships/hyperlink" Target="https://onlinelibrary.wiley.com/doi/abs/10.1002/rob.20255" TargetMode="External"/><Relationship Id="rId372" Type="http://schemas.openxmlformats.org/officeDocument/2006/relationships/hyperlink" Target="https://dl.acm.org/doi/10.1145/1390156.1390256" TargetMode="External"/><Relationship Id="rId371" Type="http://schemas.openxmlformats.org/officeDocument/2006/relationships/hyperlink" Target="https://dl.acm.org/doi/10.1145/1390156.1390177" TargetMode="External"/><Relationship Id="rId370" Type="http://schemas.openxmlformats.org/officeDocument/2006/relationships/hyperlink" Target="https://dl.acm.org/doi/10.1145/1390156.1390303" TargetMode="External"/><Relationship Id="rId37" Type="http://schemas.openxmlformats.org/officeDocument/2006/relationships/hyperlink" Target="https://arxiv.org/abs/2206.06336v1" TargetMode="External"/><Relationship Id="rId369" Type="http://schemas.openxmlformats.org/officeDocument/2006/relationships/hyperlink" Target="https://dl.acm.org/doi/10.1145/1390156.1390294" TargetMode="External"/><Relationship Id="rId368" Type="http://schemas.openxmlformats.org/officeDocument/2006/relationships/hyperlink" Target="https://ieeexplore.ieee.org/abstract/document/4587597" TargetMode="External"/><Relationship Id="rId367" Type="http://schemas.openxmlformats.org/officeDocument/2006/relationships/hyperlink" Target="https://www.nowpublishers.com/article/Details/MAL-006" TargetMode="External"/><Relationship Id="rId366" Type="http://schemas.openxmlformats.org/officeDocument/2006/relationships/hyperlink" Target="https://www.tandfonline.com/doi/abs/10.1080/01638539809545028" TargetMode="External"/><Relationship Id="rId365" Type="http://schemas.openxmlformats.org/officeDocument/2006/relationships/hyperlink" Target="https://grail.cs.washington.edu/rome/" TargetMode="External"/><Relationship Id="rId364" Type="http://schemas.openxmlformats.org/officeDocument/2006/relationships/hyperlink" Target="https://www.semanticscholar.org/paper/The-BellKor-solution-to-the-Netflix-Prize-Bell-Koren/f4ebb542c752a0dc423f94fd121e2edb8f6275ba" TargetMode="External"/><Relationship Id="rId363" Type="http://schemas.openxmlformats.org/officeDocument/2006/relationships/hyperlink" Target="https://aclanthology.org/J09-3003.pdf" TargetMode="External"/><Relationship Id="rId362" Type="http://schemas.openxmlformats.org/officeDocument/2006/relationships/hyperlink" Target="https://ieeexplore.ieee.org/document/5197422" TargetMode="External"/><Relationship Id="rId361" Type="http://schemas.openxmlformats.org/officeDocument/2006/relationships/hyperlink" Target="https://www.asc.ohio-state.edu/statistics/statgen/joul_aut2009/PragmaticTheory.pdf" TargetMode="External"/><Relationship Id="rId360" Type="http://schemas.openxmlformats.org/officeDocument/2006/relationships/hyperlink" Target="https://www.asc.ohio-state.edu/statistics/statgen/joul_aut2009/BigChaos.pdf" TargetMode="External"/><Relationship Id="rId36" Type="http://schemas.openxmlformats.org/officeDocument/2006/relationships/hyperlink" Target="https://imagen.research.google/" TargetMode="External"/><Relationship Id="rId359" Type="http://schemas.openxmlformats.org/officeDocument/2006/relationships/hyperlink" Target="https://www2.seas.gwu.edu/~simhaweb/champalg/cf/papers/KorenBellKor2009.pdf" TargetMode="External"/><Relationship Id="rId358" Type="http://schemas.openxmlformats.org/officeDocument/2006/relationships/hyperlink" Target="https://aclanthology.org/P09-1010/" TargetMode="External"/><Relationship Id="rId357" Type="http://schemas.openxmlformats.org/officeDocument/2006/relationships/hyperlink" Target="https://www.researchgate.net/publication/228766792_The_BellKor_2008_solution_to_the_Netflix_Prize" TargetMode="External"/><Relationship Id="rId356" Type="http://schemas.openxmlformats.org/officeDocument/2006/relationships/hyperlink" Target="https://dl.acm.org/doi/10.1145/1553374.1553453" TargetMode="External"/><Relationship Id="rId355" Type="http://schemas.openxmlformats.org/officeDocument/2006/relationships/hyperlink" Target="https://www.sciencedirect.com/topics/computer-science/deep-boltzmann-machine" TargetMode="External"/><Relationship Id="rId354" Type="http://schemas.openxmlformats.org/officeDocument/2006/relationships/hyperlink" Target="http://www.machinelearning.org/archive/icml2009/papers/218.pdf" TargetMode="External"/><Relationship Id="rId353" Type="http://schemas.openxmlformats.org/officeDocument/2006/relationships/hyperlink" Target="https://science.sciencemag.org/content/331/6014/176" TargetMode="External"/><Relationship Id="rId352" Type="http://schemas.openxmlformats.org/officeDocument/2006/relationships/hyperlink" Target="https://dl.acm.org/doi/10.1145/1864708.1864770" TargetMode="External"/><Relationship Id="rId351" Type="http://schemas.openxmlformats.org/officeDocument/2006/relationships/hyperlink" Target="https://link.springer.com/chapter/10.1007/978-3-642-15561-1_11" TargetMode="External"/><Relationship Id="rId350" Type="http://schemas.openxmlformats.org/officeDocument/2006/relationships/hyperlink" Target="https://link.springer.com/chapter/10.1007/978-3-642-35289-8_32" TargetMode="External"/><Relationship Id="rId35" Type="http://schemas.openxmlformats.org/officeDocument/2006/relationships/hyperlink" Target="https://arxiv.org/abs/2205.05131v1" TargetMode="External"/><Relationship Id="rId349" Type="http://schemas.openxmlformats.org/officeDocument/2006/relationships/hyperlink" Target="https://dl.acm.org/doi/10.5555/3104322.3104425" TargetMode="External"/><Relationship Id="rId348" Type="http://schemas.openxmlformats.org/officeDocument/2006/relationships/hyperlink" Target="https://ieeexplore.ieee.org/document/5539957" TargetMode="External"/><Relationship Id="rId347" Type="http://schemas.openxmlformats.org/officeDocument/2006/relationships/hyperlink" Target="https://ieeexplore.ieee.org/document/5539963" TargetMode="External"/><Relationship Id="rId346" Type="http://schemas.openxmlformats.org/officeDocument/2006/relationships/hyperlink" Target="https://aclanthology.org/P10-1040.pdf" TargetMode="External"/><Relationship Id="rId345" Type="http://schemas.openxmlformats.org/officeDocument/2006/relationships/hyperlink" Target="https://www.jmlr.org/papers/v11/vincent10a.html" TargetMode="External"/><Relationship Id="rId344" Type="http://schemas.openxmlformats.org/officeDocument/2006/relationships/hyperlink" Target="https://arxiv.org/abs/1003.0358" TargetMode="External"/><Relationship Id="rId343" Type="http://schemas.openxmlformats.org/officeDocument/2006/relationships/hyperlink" Target="https://proceedings.mlr.press/v9/glorot10a.html" TargetMode="External"/><Relationship Id="rId342" Type="http://schemas.openxmlformats.org/officeDocument/2006/relationships/hyperlink" Target="https://www.researchgate.net/publication/221489926_Recurrent_neural_network_based_language_model" TargetMode="External"/><Relationship Id="rId341" Type="http://schemas.openxmlformats.org/officeDocument/2006/relationships/hyperlink" Target="https://arxiv.org/abs/1106.5730" TargetMode="External"/><Relationship Id="rId340" Type="http://schemas.openxmlformats.org/officeDocument/2006/relationships/hyperlink" Target="https://www.jmlr.org/papers/volume12/collobert11a/collobert11a.pdf" TargetMode="External"/><Relationship Id="rId34" Type="http://schemas.openxmlformats.org/officeDocument/2006/relationships/hyperlink" Target="https://www.ai21.com/blog/jurassic-x-crossing-the-neuro-symbolic-chasm-with-the-mrkl-system" TargetMode="External"/><Relationship Id="rId339" Type="http://schemas.openxmlformats.org/officeDocument/2006/relationships/hyperlink" Target="http://ftp.idiap.ch/pub/courses/EE-700/material/05-12-2012/2011_ICCV_DomainAdaptation.pdf" TargetMode="External"/><Relationship Id="rId338" Type="http://schemas.openxmlformats.org/officeDocument/2006/relationships/hyperlink" Target="https://dl.acm.org/doi/10.5555/1953048.2021068" TargetMode="External"/><Relationship Id="rId337" Type="http://schemas.openxmlformats.org/officeDocument/2006/relationships/hyperlink" Target="https://ieeexplore.ieee.org/document/6032006" TargetMode="External"/><Relationship Id="rId336" Type="http://schemas.openxmlformats.org/officeDocument/2006/relationships/hyperlink" Target="https://aclanthology.org/D11-1014/" TargetMode="External"/><Relationship Id="rId335" Type="http://schemas.openxmlformats.org/officeDocument/2006/relationships/hyperlink" Target="https://aclanthology.org/P11-1061/" TargetMode="External"/><Relationship Id="rId334" Type="http://schemas.openxmlformats.org/officeDocument/2006/relationships/hyperlink" Target="https://ieeexplore.ieee.org/document/5947611" TargetMode="External"/><Relationship Id="rId333" Type="http://schemas.openxmlformats.org/officeDocument/2006/relationships/hyperlink" Target="http://machinelearning.wustl.edu/mlpapers/paper_files/AISTATS2011_GlorotBB11.pdf" TargetMode="External"/><Relationship Id="rId332" Type="http://schemas.openxmlformats.org/officeDocument/2006/relationships/hyperlink" Target="http://proceedings.mlr.press/v15/coates11a.html" TargetMode="External"/><Relationship Id="rId331" Type="http://schemas.openxmlformats.org/officeDocument/2006/relationships/hyperlink" Target="https://arxiv.org/abs/1206.2944" TargetMode="External"/><Relationship Id="rId330" Type="http://schemas.openxmlformats.org/officeDocument/2006/relationships/hyperlink" Target="https://www.aclweb.org/anthology/D12-1110/" TargetMode="External"/><Relationship Id="rId33" Type="http://schemas.openxmlformats.org/officeDocument/2006/relationships/hyperlink" Target="https://arxiv.org/abs/2204.14198" TargetMode="External"/><Relationship Id="rId329" Type="http://schemas.openxmlformats.org/officeDocument/2006/relationships/hyperlink" Target="https://aclanthology.org/P12-3029/" TargetMode="External"/><Relationship Id="rId328" Type="http://schemas.openxmlformats.org/officeDocument/2006/relationships/hyperlink" Target="http://www.cvlibs.net/publications/Geiger2012CVPR_slides.pdf" TargetMode="External"/><Relationship Id="rId327" Type="http://schemas.openxmlformats.org/officeDocument/2006/relationships/hyperlink" Target="https://arxiv.org/abs/1202.2745v1" TargetMode="External"/><Relationship Id="rId326" Type="http://schemas.openxmlformats.org/officeDocument/2006/relationships/hyperlink" Target="https://arxiv.org/abs/1207.0580" TargetMode="External"/><Relationship Id="rId325" Type="http://schemas.openxmlformats.org/officeDocument/2006/relationships/hyperlink" Target="https://proceedings.neurips.cc/paper/2012/hash/c399862d3b9d6b76c8436e924a68c45b-Abstract.html" TargetMode="External"/><Relationship Id="rId324" Type="http://schemas.openxmlformats.org/officeDocument/2006/relationships/hyperlink" Target="https://arxiv.org/abs/1312.6229" TargetMode="External"/><Relationship Id="rId323" Type="http://schemas.openxmlformats.org/officeDocument/2006/relationships/hyperlink" Target="https://arxiv.org/abs/1312.4400" TargetMode="External"/><Relationship Id="rId322" Type="http://schemas.openxmlformats.org/officeDocument/2006/relationships/hyperlink" Target="https://ieeexplore.ieee.org/document/6707742" TargetMode="External"/><Relationship Id="rId321" Type="http://schemas.openxmlformats.org/officeDocument/2006/relationships/hyperlink" Target="https://papers.nips.cc/paper/2013/hash/b337e84de8752b27eda3a12363109e80-Abstract.html" TargetMode="External"/><Relationship Id="rId320" Type="http://schemas.openxmlformats.org/officeDocument/2006/relationships/hyperlink" Target="https://arxiv.org/abs/1311.2524" TargetMode="External"/><Relationship Id="rId32" Type="http://schemas.openxmlformats.org/officeDocument/2006/relationships/hyperlink" Target="https://cdn.openai.com/papers/dall-e-2.pdf" TargetMode="External"/><Relationship Id="rId319" Type="http://schemas.openxmlformats.org/officeDocument/2006/relationships/hyperlink" Target="https://www.aclweb.org/anthology/N13-1090/" TargetMode="External"/><Relationship Id="rId318" Type="http://schemas.openxmlformats.org/officeDocument/2006/relationships/hyperlink" Target="https://link.springer.com/article/10.1007/s11263-013-0620-5" TargetMode="External"/><Relationship Id="rId317" Type="http://schemas.openxmlformats.org/officeDocument/2006/relationships/hyperlink" Target="https://arxiv.org/abs/1303.5778" TargetMode="External"/><Relationship Id="rId316" Type="http://schemas.openxmlformats.org/officeDocument/2006/relationships/hyperlink" Target="https://arxiv.org/abs/1302.4389" TargetMode="External"/><Relationship Id="rId315" Type="http://schemas.openxmlformats.org/officeDocument/2006/relationships/hyperlink" Target="https://arxiv.org/abs/1301.3666" TargetMode="External"/><Relationship Id="rId314" Type="http://schemas.openxmlformats.org/officeDocument/2006/relationships/hyperlink" Target="https://hal.inria.fr/hal-00830491v2/document" TargetMode="External"/><Relationship Id="rId313" Type="http://schemas.openxmlformats.org/officeDocument/2006/relationships/hyperlink" Target="https://arxiv.org/abs/1312.6114" TargetMode="External"/><Relationship Id="rId312" Type="http://schemas.openxmlformats.org/officeDocument/2006/relationships/hyperlink" Target="https://arxiv.org/abs/1312.5602" TargetMode="External"/><Relationship Id="rId311" Type="http://schemas.openxmlformats.org/officeDocument/2006/relationships/hyperlink" Target="https://arxiv.org/abs/1310.4546" TargetMode="External"/><Relationship Id="rId310" Type="http://schemas.openxmlformats.org/officeDocument/2006/relationships/hyperlink" Target="https://link.springer.com/chapter/10.1007/978-3-642-40763-5_51" TargetMode="External"/><Relationship Id="rId31" Type="http://schemas.openxmlformats.org/officeDocument/2006/relationships/hyperlink" Target="https://dl.acm.org/doi/abs/10.1145/3503221.3508417" TargetMode="External"/><Relationship Id="rId309" Type="http://schemas.openxmlformats.org/officeDocument/2006/relationships/hyperlink" Target="https://arxiv.org/abs/1311.2901" TargetMode="External"/><Relationship Id="rId308" Type="http://schemas.openxmlformats.org/officeDocument/2006/relationships/hyperlink" Target="https://papers.nips.cc/paper/2013/hash/1cecc7a77928ca8133fa24680a88d2f9-Abstract.html" TargetMode="External"/><Relationship Id="rId307" Type="http://schemas.openxmlformats.org/officeDocument/2006/relationships/hyperlink" Target="https://arxiv.org/abs/1412.7062" TargetMode="External"/><Relationship Id="rId306" Type="http://schemas.openxmlformats.org/officeDocument/2006/relationships/hyperlink" Target="https://arxiv.org/abs/1410.5401" TargetMode="External"/><Relationship Id="rId305" Type="http://schemas.openxmlformats.org/officeDocument/2006/relationships/hyperlink" Target="https://arxiv.org/abs/1411.7766" TargetMode="External"/><Relationship Id="rId304" Type="http://schemas.openxmlformats.org/officeDocument/2006/relationships/hyperlink" Target="https://arxiv.org/abs/1411.4038" TargetMode="External"/><Relationship Id="rId303" Type="http://schemas.openxmlformats.org/officeDocument/2006/relationships/hyperlink" Target="https://arxiv.org/abs/1411.4389" TargetMode="External"/><Relationship Id="rId302" Type="http://schemas.openxmlformats.org/officeDocument/2006/relationships/hyperlink" Target="https://dl.acm.org/doi/10.1145/2648584.2648589" TargetMode="External"/><Relationship Id="rId301" Type="http://schemas.openxmlformats.org/officeDocument/2006/relationships/hyperlink" Target="https://www.semanticscholar.org/paper/Self-play-Monte-Carlo-tree-search-in-computer-poker-Heinrich-Silver/7b687599b4425aa959036071030e1212a3b359c7" TargetMode="External"/><Relationship Id="rId300" Type="http://schemas.openxmlformats.org/officeDocument/2006/relationships/hyperlink" Target="https://ieeexplore.ieee.org/document/6909616" TargetMode="External"/><Relationship Id="rId30" Type="http://schemas.openxmlformats.org/officeDocument/2006/relationships/hyperlink" Target="https://arxiv.org/abs/2202.01344" TargetMode="External"/><Relationship Id="rId3" Type="http://schemas.openxmlformats.org/officeDocument/2006/relationships/hyperlink" Target="https://arxiv.org/abs/2303.08774" TargetMode="External"/><Relationship Id="rId299" Type="http://schemas.openxmlformats.org/officeDocument/2006/relationships/hyperlink" Target="https://ieeexplore.ieee.org/document/6909619" TargetMode="External"/><Relationship Id="rId298" Type="http://schemas.openxmlformats.org/officeDocument/2006/relationships/hyperlink" Target="https://arxiv.org/abs/1406.2199" TargetMode="External"/><Relationship Id="rId297" Type="http://schemas.openxmlformats.org/officeDocument/2006/relationships/hyperlink" Target="https://arxiv.org/abs/1406.1078" TargetMode="External"/><Relationship Id="rId296" Type="http://schemas.openxmlformats.org/officeDocument/2006/relationships/hyperlink" Target="https://jmlr.org/papers/v15/srivastava14a.html" TargetMode="External"/><Relationship Id="rId295" Type="http://schemas.openxmlformats.org/officeDocument/2006/relationships/hyperlink" Target="https://ieeexplore.ieee.org/abstract/document/6756960" TargetMode="External"/><Relationship Id="rId294" Type="http://schemas.openxmlformats.org/officeDocument/2006/relationships/hyperlink" Target="https://ieeexplore.ieee.org/document/6737243" TargetMode="External"/><Relationship Id="rId293" Type="http://schemas.openxmlformats.org/officeDocument/2006/relationships/hyperlink" Target="https://nlp.stanford.edu/projects/glove/" TargetMode="External"/><Relationship Id="rId292" Type="http://schemas.openxmlformats.org/officeDocument/2006/relationships/hyperlink" Target="https://arxiv.org/abs/1412.6980" TargetMode="External"/><Relationship Id="rId291" Type="http://schemas.openxmlformats.org/officeDocument/2006/relationships/hyperlink" Target="https://arxiv.org/abs/1406.2661" TargetMode="External"/><Relationship Id="rId290" Type="http://schemas.openxmlformats.org/officeDocument/2006/relationships/hyperlink" Target="https://arxiv.org/search/stat?searchtype=author&amp;query=Goodfellow%2C+I+J" TargetMode="External"/><Relationship Id="rId29" Type="http://schemas.openxmlformats.org/officeDocument/2006/relationships/hyperlink" Target="https://arxiv.org/abs/2203.00555" TargetMode="External"/><Relationship Id="rId289" Type="http://schemas.openxmlformats.org/officeDocument/2006/relationships/hyperlink" Target="https://arxiv.org/abs/1409.0473" TargetMode="External"/><Relationship Id="rId288" Type="http://schemas.openxmlformats.org/officeDocument/2006/relationships/hyperlink" Target="https://arxiv.org/abs/1409.3215" TargetMode="External"/><Relationship Id="rId287" Type="http://schemas.openxmlformats.org/officeDocument/2006/relationships/hyperlink" Target="https://arxiv.org/abs/1409.1556" TargetMode="External"/><Relationship Id="rId286" Type="http://schemas.openxmlformats.org/officeDocument/2006/relationships/hyperlink" Target="http://arxiv.org/abs/1512.04860v1" TargetMode="External"/><Relationship Id="rId285" Type="http://schemas.openxmlformats.org/officeDocument/2006/relationships/hyperlink" Target="https://science.sciencemag.org/content/350/6266/1332/" TargetMode="External"/><Relationship Id="rId284" Type="http://schemas.openxmlformats.org/officeDocument/2006/relationships/hyperlink" Target="https://arxiv.org/abs/1512.00567" TargetMode="External"/><Relationship Id="rId283" Type="http://schemas.openxmlformats.org/officeDocument/2006/relationships/hyperlink" Target="https://dl.acm.org/doi/pdf/10.1145/2843948" TargetMode="External"/><Relationship Id="rId282" Type="http://schemas.openxmlformats.org/officeDocument/2006/relationships/hyperlink" Target="https://arxiv.org/abs/1511.07122" TargetMode="External"/><Relationship Id="rId281" Type="http://schemas.openxmlformats.org/officeDocument/2006/relationships/hyperlink" Target="https://arxiv.org/abs/1511.06581" TargetMode="External"/><Relationship Id="rId280" Type="http://schemas.openxmlformats.org/officeDocument/2006/relationships/hyperlink" Target="https://arxiv.org/abs/1509.02971" TargetMode="External"/><Relationship Id="rId28" Type="http://schemas.openxmlformats.org/officeDocument/2006/relationships/hyperlink" Target="https://arxiv.org/abs/2202.06626" TargetMode="External"/><Relationship Id="rId279" Type="http://schemas.openxmlformats.org/officeDocument/2006/relationships/hyperlink" Target="https://arxiv.org/abs/1508.07909" TargetMode="External"/><Relationship Id="rId278" Type="http://schemas.openxmlformats.org/officeDocument/2006/relationships/hyperlink" Target="https://ieeexplore.ieee.org/document/7472621" TargetMode="External"/><Relationship Id="rId277" Type="http://schemas.openxmlformats.org/officeDocument/2006/relationships/hyperlink" Target="https://arxiv.org/abs/1502.03167" TargetMode="External"/><Relationship Id="rId276" Type="http://schemas.openxmlformats.org/officeDocument/2006/relationships/hyperlink" Target="https://arxiv.org/abs/1506.02640" TargetMode="External"/><Relationship Id="rId275" Type="http://schemas.openxmlformats.org/officeDocument/2006/relationships/hyperlink" Target="https://arxiv.org/abs/1506.01497" TargetMode="External"/><Relationship Id="rId274" Type="http://schemas.openxmlformats.org/officeDocument/2006/relationships/hyperlink" Target="https://www.cv-foundation.org/openaccess/content_cvpr_2015/html/Wang_Action_Recognition_With_2015_CVPR_paper.html" TargetMode="External"/><Relationship Id="rId273" Type="http://schemas.openxmlformats.org/officeDocument/2006/relationships/hyperlink" Target="http://proceedings.mlr.press/v38/lee15a.html" TargetMode="External"/><Relationship Id="rId272" Type="http://schemas.openxmlformats.org/officeDocument/2006/relationships/hyperlink" Target="https://www.cv-foundation.org/openaccess/content_cvpr_2015/html/Ng_Beyond_Short_Snippets_2015_CVPR_paper.html" TargetMode="External"/><Relationship Id="rId271" Type="http://schemas.openxmlformats.org/officeDocument/2006/relationships/hyperlink" Target="https://arxiv.org/abs/1504.08083" TargetMode="External"/><Relationship Id="rId270" Type="http://schemas.openxmlformats.org/officeDocument/2006/relationships/hyperlink" Target="https://arxiv.org/abs/1503.00075" TargetMode="External"/><Relationship Id="rId27" Type="http://schemas.openxmlformats.org/officeDocument/2006/relationships/hyperlink" Target="https://arxiv.org/abs/2112.04426" TargetMode="External"/><Relationship Id="rId269" Type="http://schemas.openxmlformats.org/officeDocument/2006/relationships/hyperlink" Target="https://www.nature.com/articles/nature14236" TargetMode="External"/><Relationship Id="rId268" Type="http://schemas.openxmlformats.org/officeDocument/2006/relationships/hyperlink" Target="https://arxiv.org/abs/1502.03240" TargetMode="External"/><Relationship Id="rId267" Type="http://schemas.openxmlformats.org/officeDocument/2006/relationships/hyperlink" Target="https://arxiv.org/abs/1409.4842" TargetMode="External"/><Relationship Id="rId266" Type="http://schemas.openxmlformats.org/officeDocument/2006/relationships/hyperlink" Target="https://arxiv.org/abs/1512.03385" TargetMode="External"/><Relationship Id="rId265" Type="http://schemas.openxmlformats.org/officeDocument/2006/relationships/hyperlink" Target="https://arxiv.org/abs/1406.4729" TargetMode="External"/><Relationship Id="rId264" Type="http://schemas.openxmlformats.org/officeDocument/2006/relationships/hyperlink" Target="https://arxiv.org/abs/1512.02595" TargetMode="External"/><Relationship Id="rId263" Type="http://schemas.openxmlformats.org/officeDocument/2006/relationships/hyperlink" Target="https://www.nature.com/articles/nature24270.epdf?author_access_token=VJXbVjaSHxFoctQQ4p2k4tRgN0jAjWel9jnR3ZoTv0PVW4gB86EEpGqTRDtpIz-2rmo8-KG06gqVobU5NSCFeHILHcVFUeMsbvwS-lxjqQGg98faovwjxeTUgZAUMnRQ" TargetMode="External"/><Relationship Id="rId262" Type="http://schemas.openxmlformats.org/officeDocument/2006/relationships/hyperlink" Target="https://arxiv.org/abs/1612.08242" TargetMode="External"/><Relationship Id="rId261" Type="http://schemas.openxmlformats.org/officeDocument/2006/relationships/hyperlink" Target="https://jamanetwork.com/journals/jama/article-abstract/2588763" TargetMode="External"/><Relationship Id="rId260" Type="http://schemas.openxmlformats.org/officeDocument/2006/relationships/hyperlink" Target="https://dl.acm.org/doi/10.5555/3157096.3157346" TargetMode="External"/><Relationship Id="rId26" Type="http://schemas.openxmlformats.org/officeDocument/2006/relationships/hyperlink" Target="https://cdn.openai.com/papers/Training_language_models_to_follow_instructions_with_human_feedback.pdf" TargetMode="External"/><Relationship Id="rId259" Type="http://schemas.openxmlformats.org/officeDocument/2006/relationships/hyperlink" Target="https://arxiv.org/abs/1612.00593" TargetMode="External"/><Relationship Id="rId258" Type="http://schemas.openxmlformats.org/officeDocument/2006/relationships/hyperlink" Target="https://arxiv.org/abs/1612.00796" TargetMode="External"/><Relationship Id="rId257" Type="http://schemas.openxmlformats.org/officeDocument/2006/relationships/hyperlink" Target="https://arxiv.org/abs/1611.07004" TargetMode="External"/><Relationship Id="rId256" Type="http://schemas.openxmlformats.org/officeDocument/2006/relationships/hyperlink" Target="https://arxiv.org/abs/1611.06612v3" TargetMode="External"/><Relationship Id="rId255" Type="http://schemas.openxmlformats.org/officeDocument/2006/relationships/hyperlink" Target="https://arxiv.org/abs/1611.05725" TargetMode="External"/><Relationship Id="rId254" Type="http://schemas.openxmlformats.org/officeDocument/2006/relationships/hyperlink" Target="https://arxiv.org/abs/1611.05431" TargetMode="External"/><Relationship Id="rId253" Type="http://schemas.openxmlformats.org/officeDocument/2006/relationships/hyperlink" Target="https://arxiv.org/abs/1511.04491" TargetMode="External"/><Relationship Id="rId252" Type="http://schemas.openxmlformats.org/officeDocument/2006/relationships/hyperlink" Target="https://www.nature.com/articles/nature20101" TargetMode="External"/><Relationship Id="rId251" Type="http://schemas.openxmlformats.org/officeDocument/2006/relationships/hyperlink" Target="https://arxiv.org/abs/1605.07146" TargetMode="External"/><Relationship Id="rId250" Type="http://schemas.openxmlformats.org/officeDocument/2006/relationships/hyperlink" Target="https://link.springer.com/chapter/10.1007/978-3-319-46493-0_22" TargetMode="External"/><Relationship Id="rId25" Type="http://schemas.openxmlformats.org/officeDocument/2006/relationships/hyperlink" Target="https://ai.facebook.com/research/data2vec-a-general-framework-for-self-supervised-learning-in-speech-vision-and-language/" TargetMode="External"/><Relationship Id="rId249" Type="http://schemas.openxmlformats.org/officeDocument/2006/relationships/hyperlink" Target="https://link.springer.com/chapter/10.1007/978-3-319-46484-8_2" TargetMode="External"/><Relationship Id="rId248" Type="http://schemas.openxmlformats.org/officeDocument/2006/relationships/hyperlink" Target="https://link.springer.com/chapter/10.1007/978-3-319-46493-0_38" TargetMode="External"/><Relationship Id="rId247" Type="http://schemas.openxmlformats.org/officeDocument/2006/relationships/hyperlink" Target="https://link.springer.com/chapter/10.1007/978-3-319-46484-8_29" TargetMode="External"/><Relationship Id="rId246" Type="http://schemas.openxmlformats.org/officeDocument/2006/relationships/hyperlink" Target="https://research.google/pubs/pub45530/" TargetMode="External"/><Relationship Id="rId245" Type="http://schemas.openxmlformats.org/officeDocument/2006/relationships/hyperlink" Target="https://arxiv.org/abs/1609.03499" TargetMode="External"/><Relationship Id="rId244" Type="http://schemas.openxmlformats.org/officeDocument/2006/relationships/hyperlink" Target="https://arxiv.org/abs/1604.02878" TargetMode="External"/><Relationship Id="rId243" Type="http://schemas.openxmlformats.org/officeDocument/2006/relationships/hyperlink" Target="https://arxiv.org/abs/1608.06993" TargetMode="External"/><Relationship Id="rId242" Type="http://schemas.openxmlformats.org/officeDocument/2006/relationships/hyperlink" Target="https://arxiv.org/abs/1607.04606" TargetMode="External"/><Relationship Id="rId241" Type="http://schemas.openxmlformats.org/officeDocument/2006/relationships/hyperlink" Target="https://arxiv.org/abs/1607.01759" TargetMode="External"/><Relationship Id="rId240" Type="http://schemas.openxmlformats.org/officeDocument/2006/relationships/hyperlink" Target="https://arxiv.org/abs/1606.07792" TargetMode="External"/><Relationship Id="rId24" Type="http://schemas.openxmlformats.org/officeDocument/2006/relationships/hyperlink" Target="https://arxiv.org/abs/2206.02770" TargetMode="External"/><Relationship Id="rId239" Type="http://schemas.openxmlformats.org/officeDocument/2006/relationships/hyperlink" Target="https://arxiv.org/abs/1506.07285" TargetMode="External"/><Relationship Id="rId238" Type="http://schemas.openxmlformats.org/officeDocument/2006/relationships/hyperlink" Target="https://openaccess.thecvf.com/content_cvpr_2016/html/Feichtenhofer_Convolutional_Two-Stream_Network_CVPR_2016_paper.html" TargetMode="External"/><Relationship Id="rId237" Type="http://schemas.openxmlformats.org/officeDocument/2006/relationships/hyperlink" Target="https://arxiv.org/abs/1603.09056v2" TargetMode="External"/><Relationship Id="rId236" Type="http://schemas.openxmlformats.org/officeDocument/2006/relationships/hyperlink" Target="https://arxiv.org/abs/1602.07360" TargetMode="External"/><Relationship Id="rId235" Type="http://schemas.openxmlformats.org/officeDocument/2006/relationships/hyperlink" Target="https://arxiv.org/abs/1602.07261" TargetMode="External"/><Relationship Id="rId234" Type="http://schemas.openxmlformats.org/officeDocument/2006/relationships/hyperlink" Target="http://arxiv.org/abs/1602.01783v2" TargetMode="External"/><Relationship Id="rId233" Type="http://schemas.openxmlformats.org/officeDocument/2006/relationships/hyperlink" Target="https://arxiv.org/abs/1602.00134" TargetMode="External"/><Relationship Id="rId232" Type="http://schemas.openxmlformats.org/officeDocument/2006/relationships/hyperlink" Target="https://arxiv.org/abs/1605.06409" TargetMode="External"/><Relationship Id="rId231" Type="http://schemas.openxmlformats.org/officeDocument/2006/relationships/hyperlink" Target="https://arxiv.org/abs/1607.06450" TargetMode="External"/><Relationship Id="rId230" Type="http://schemas.openxmlformats.org/officeDocument/2006/relationships/hyperlink" Target="https://arxiv.org/abs/1610.02357" TargetMode="External"/><Relationship Id="rId23" Type="http://schemas.openxmlformats.org/officeDocument/2006/relationships/hyperlink" Target="https://arxiv.org/abs/2203.06850" TargetMode="External"/><Relationship Id="rId229" Type="http://schemas.openxmlformats.org/officeDocument/2006/relationships/hyperlink" Target="https://www.nature.com/articles/nature16961" TargetMode="External"/><Relationship Id="rId228" Type="http://schemas.openxmlformats.org/officeDocument/2006/relationships/hyperlink" Target="https://arxiv.org/abs/1611.01578" TargetMode="External"/><Relationship Id="rId227" Type="http://schemas.openxmlformats.org/officeDocument/2006/relationships/hyperlink" Target="https://research.google/pubs/pub45610/" TargetMode="External"/><Relationship Id="rId226" Type="http://schemas.openxmlformats.org/officeDocument/2006/relationships/hyperlink" Target="https://arxiv.org/abs/1703.07737" TargetMode="External"/><Relationship Id="rId225" Type="http://schemas.openxmlformats.org/officeDocument/2006/relationships/hyperlink" Target="https://arxiv.org/abs/1710.10196" TargetMode="External"/><Relationship Id="rId224" Type="http://schemas.openxmlformats.org/officeDocument/2006/relationships/hyperlink" Target="https://arxiv.org/abs/1710.09829" TargetMode="External"/><Relationship Id="rId223" Type="http://schemas.openxmlformats.org/officeDocument/2006/relationships/hyperlink" Target="https://arxiv.org/abs/1701.07717" TargetMode="External"/><Relationship Id="rId222" Type="http://schemas.openxmlformats.org/officeDocument/2006/relationships/hyperlink" Target="https://arxiv.org/abs/1709.01507" TargetMode="External"/><Relationship Id="rId221" Type="http://schemas.openxmlformats.org/officeDocument/2006/relationships/hyperlink" Target="https://arxiv.org/abs/1708.05031" TargetMode="External"/><Relationship Id="rId220" Type="http://schemas.openxmlformats.org/officeDocument/2006/relationships/hyperlink" Target="https://arxiv.org/abs/1708.04552" TargetMode="External"/><Relationship Id="rId22" Type="http://schemas.openxmlformats.org/officeDocument/2006/relationships/hyperlink" Target="http://www.lrec-conf.org/proceedings/lrec2022/pdf/2022.lrec-1.376.pdf" TargetMode="External"/><Relationship Id="rId219" Type="http://schemas.openxmlformats.org/officeDocument/2006/relationships/hyperlink" Target="https://arxiv.org/abs/1708.02002" TargetMode="External"/><Relationship Id="rId218" Type="http://schemas.openxmlformats.org/officeDocument/2006/relationships/hyperlink" Target="https://ieeexplore.ieee.org/document/8100143" TargetMode="External"/><Relationship Id="rId217" Type="http://schemas.openxmlformats.org/officeDocument/2006/relationships/hyperlink" Target="https://arxiv.org/abs/1707.07012" TargetMode="External"/><Relationship Id="rId216" Type="http://schemas.openxmlformats.org/officeDocument/2006/relationships/hyperlink" Target="https://arxiv.org/abs/1707.01083" TargetMode="External"/><Relationship Id="rId215" Type="http://schemas.openxmlformats.org/officeDocument/2006/relationships/hyperlink" Target="https://arxiv.org/abs/1706.10295v3" TargetMode="External"/><Relationship Id="rId214" Type="http://schemas.openxmlformats.org/officeDocument/2006/relationships/hyperlink" Target="https://arxiv.org/abs/1706.08500v1" TargetMode="External"/><Relationship Id="rId213" Type="http://schemas.openxmlformats.org/officeDocument/2006/relationships/hyperlink" Target="https://arxiv.org/abs/1706.05587" TargetMode="External"/><Relationship Id="rId212" Type="http://schemas.openxmlformats.org/officeDocument/2006/relationships/hyperlink" Target="https://arxiv.org/abs/1706.04208" TargetMode="External"/><Relationship Id="rId211" Type="http://schemas.openxmlformats.org/officeDocument/2006/relationships/hyperlink" Target="https://arxiv.org/abs/1707.02921" TargetMode="External"/><Relationship Id="rId210" Type="http://schemas.openxmlformats.org/officeDocument/2006/relationships/hyperlink" Target="https://arxiv.org/abs/1706.02413" TargetMode="External"/><Relationship Id="rId21" Type="http://schemas.openxmlformats.org/officeDocument/2006/relationships/hyperlink" Target="https://www.deepmind.com/publications/a-generalist-agent" TargetMode="External"/><Relationship Id="rId209" Type="http://schemas.openxmlformats.org/officeDocument/2006/relationships/hyperlink" Target="https://arxiv.org/abs/1705.07750" TargetMode="External"/><Relationship Id="rId208" Type="http://schemas.openxmlformats.org/officeDocument/2006/relationships/hyperlink" Target="https://openaccess.thecvf.com/content_cvpr_2017/html/Ledig_Photo-Realistic_Single_Image_CVPR_2017_paper.html" TargetMode="External"/><Relationship Id="rId207" Type="http://schemas.openxmlformats.org/officeDocument/2006/relationships/hyperlink" Target="https://ieeexplore.ieee.org/abstract/document/7913730" TargetMode="External"/><Relationship Id="rId206" Type="http://schemas.openxmlformats.org/officeDocument/2006/relationships/hyperlink" Target="https://arxiv.org/abs/1704.04861" TargetMode="External"/><Relationship Id="rId205" Type="http://schemas.openxmlformats.org/officeDocument/2006/relationships/hyperlink" Target="https://arxiv.org/abs/1704.00028" TargetMode="External"/><Relationship Id="rId204" Type="http://schemas.openxmlformats.org/officeDocument/2006/relationships/hyperlink" Target="https://arxiv.org/abs/1703.06870" TargetMode="External"/><Relationship Id="rId203" Type="http://schemas.openxmlformats.org/officeDocument/2006/relationships/hyperlink" Target="https://arxiv.org/abs/1703.05175" TargetMode="External"/><Relationship Id="rId202" Type="http://schemas.openxmlformats.org/officeDocument/2006/relationships/hyperlink" Target="https://ieeexplore.ieee.org/abstract/document/7839189" TargetMode="External"/><Relationship Id="rId201" Type="http://schemas.openxmlformats.org/officeDocument/2006/relationships/hyperlink" Target="https://arxiv.org/abs/1701.01724" TargetMode="External"/><Relationship Id="rId200" Type="http://schemas.openxmlformats.org/officeDocument/2006/relationships/hyperlink" Target="https://arxiv.org/search/cs?searchtype=author&amp;query=Morav%C4%8D%C3%ADk%2C+M" TargetMode="External"/><Relationship Id="rId20" Type="http://schemas.openxmlformats.org/officeDocument/2006/relationships/hyperlink" Target="https://arxiv.org/abs/2109.08668" TargetMode="External"/><Relationship Id="rId2" Type="http://schemas.openxmlformats.org/officeDocument/2006/relationships/vmlDrawing" Target="../drawings/vmlDrawing1.vml"/><Relationship Id="rId199" Type="http://schemas.openxmlformats.org/officeDocument/2006/relationships/hyperlink" Target="https://proceedings.neurips.cc/paper/2017/file/3f5ee243547dee91fbd053c1c4a845aa-Paper.pdf" TargetMode="External"/><Relationship Id="rId198" Type="http://schemas.openxmlformats.org/officeDocument/2006/relationships/hyperlink" Target="https://arxiv.org/abs/1712.00559" TargetMode="External"/><Relationship Id="rId197" Type="http://schemas.openxmlformats.org/officeDocument/2006/relationships/hyperlink" Target="https://arxiv.org/abs/1701.06538" TargetMode="External"/><Relationship Id="rId196" Type="http://schemas.openxmlformats.org/officeDocument/2006/relationships/hyperlink" Target="https://arxiv.org/abs/1707.02968" TargetMode="External"/><Relationship Id="rId195" Type="http://schemas.openxmlformats.org/officeDocument/2006/relationships/hyperlink" Target="https://openai.com/five/" TargetMode="External"/><Relationship Id="rId194" Type="http://schemas.openxmlformats.org/officeDocument/2006/relationships/hyperlink" Target="https://www.cs.cmu.edu/~noamb/papers/17-IJCAI-Libratus.pdf" TargetMode="External"/><Relationship Id="rId193" Type="http://schemas.openxmlformats.org/officeDocument/2006/relationships/hyperlink" Target="https://arxiv.org/abs/1712.01815" TargetMode="External"/><Relationship Id="rId192" Type="http://schemas.openxmlformats.org/officeDocument/2006/relationships/hyperlink" Target="https://www.researchgate.net/publication/320473480_Mastering_the_game_of_Go_without_human_knowledge" TargetMode="External"/><Relationship Id="rId191" Type="http://schemas.openxmlformats.org/officeDocument/2006/relationships/hyperlink" Target="https://arxiv.org/abs/1811.06965" TargetMode="External"/><Relationship Id="rId190" Type="http://schemas.openxmlformats.org/officeDocument/2006/relationships/hyperlink" Target="https://arxiv.org/abs/1810.05017" TargetMode="External"/><Relationship Id="rId19" Type="http://schemas.openxmlformats.org/officeDocument/2006/relationships/hyperlink" Target="https://research.facebook.com/publications/no-language-left-behind/?utm_source=twitter&amp;utm_medium=organic_social&amp;utm_campaign=nllb&amp;utm_content=os-artifacts" TargetMode="External"/><Relationship Id="rId189" Type="http://schemas.openxmlformats.org/officeDocument/2006/relationships/hyperlink" Target="https://arxiv.org/abs/1809.00219" TargetMode="External"/><Relationship Id="rId188" Type="http://schemas.openxmlformats.org/officeDocument/2006/relationships/hyperlink" Target="https://openaccess.thecvf.com/content_ECCV_2018/html/Yulun_Zhang_Image_Super-Resolution_Using_ECCV_2018_paper.html" TargetMode="External"/><Relationship Id="rId187" Type="http://schemas.openxmlformats.org/officeDocument/2006/relationships/hyperlink" Target="https://arxiv.org/abs/1807.11164" TargetMode="External"/><Relationship Id="rId186" Type="http://schemas.openxmlformats.org/officeDocument/2006/relationships/hyperlink" Target="https://ieeexplore.ieee.org/document/8578572" TargetMode="External"/><Relationship Id="rId185" Type="http://schemas.openxmlformats.org/officeDocument/2006/relationships/hyperlink" Target="https://arxiv.org/abs/1805.00932" TargetMode="External"/><Relationship Id="rId184" Type="http://schemas.openxmlformats.org/officeDocument/2006/relationships/hyperlink" Target="https://arxiv.org/abs/1803.07728" TargetMode="External"/><Relationship Id="rId183" Type="http://schemas.openxmlformats.org/officeDocument/2006/relationships/hyperlink" Target="https://www.microsoft.com/en-us/research/publication/achieving-human-parity-on-automatic-chinese-to-english-news-translation/" TargetMode="External"/><Relationship Id="rId182" Type="http://schemas.openxmlformats.org/officeDocument/2006/relationships/hyperlink" Target="https://openaccess.thecvf.com/content_cvpr_2018/html/Zhang_Residual_Dense_Network_CVPR_2018_paper.html" TargetMode="External"/><Relationship Id="rId181" Type="http://schemas.openxmlformats.org/officeDocument/2006/relationships/hyperlink" Target="https://arxiv.org/abs/1802.05957" TargetMode="External"/><Relationship Id="rId180" Type="http://schemas.openxmlformats.org/officeDocument/2006/relationships/hyperlink" Target="https://arxiv.org/abs/1802.02611v3" TargetMode="External"/><Relationship Id="rId18" Type="http://schemas.openxmlformats.org/officeDocument/2006/relationships/hyperlink" Target="https://deepmind.com/blog/article/Competitive-programming-with-AlphaCode" TargetMode="External"/><Relationship Id="rId179" Type="http://schemas.openxmlformats.org/officeDocument/2006/relationships/hyperlink" Target="https://arxiv.org/abs/1802.05365" TargetMode="External"/><Relationship Id="rId178" Type="http://schemas.openxmlformats.org/officeDocument/2006/relationships/hyperlink" Target="https://arxiv.org/abs/1801.06146" TargetMode="External"/><Relationship Id="rId177" Type="http://schemas.openxmlformats.org/officeDocument/2006/relationships/hyperlink" Target="https://arxiv.org/abs/1711.09349" TargetMode="External"/><Relationship Id="rId176" Type="http://schemas.openxmlformats.org/officeDocument/2006/relationships/hyperlink" Target="https://openai.com/blog/language-unsupervised/" TargetMode="External"/><Relationship Id="rId175" Type="http://schemas.openxmlformats.org/officeDocument/2006/relationships/hyperlink" Target="https://arxiv.org/abs/1807.01281" TargetMode="External"/><Relationship Id="rId174" Type="http://schemas.openxmlformats.org/officeDocument/2006/relationships/hyperlink" Target="https://arxiv.org/abs/1804.02767" TargetMode="External"/><Relationship Id="rId173" Type="http://schemas.openxmlformats.org/officeDocument/2006/relationships/hyperlink" Target="https://arxiv.org/abs/1802.01561" TargetMode="External"/><Relationship Id="rId172" Type="http://schemas.openxmlformats.org/officeDocument/2006/relationships/hyperlink" Target="https://arxiv.org/search/cs?searchtype=author&amp;query=Espeholt%2C+L" TargetMode="External"/><Relationship Id="rId171" Type="http://schemas.openxmlformats.org/officeDocument/2006/relationships/hyperlink" Target="https://arxiv.org/abs/1810.04805" TargetMode="External"/><Relationship Id="rId170" Type="http://schemas.openxmlformats.org/officeDocument/2006/relationships/hyperlink" Target="https://arxiv.org/abs/1802.01548" TargetMode="External"/><Relationship Id="rId17" Type="http://schemas.openxmlformats.org/officeDocument/2006/relationships/hyperlink" Target="https://keg.cs.tsinghua.edu.cn/glm-130b/posts/glm-130b/" TargetMode="External"/><Relationship Id="rId169" Type="http://schemas.openxmlformats.org/officeDocument/2006/relationships/hyperlink" Target="https://arxiv.org/abs/1809.11096" TargetMode="External"/><Relationship Id="rId168" Type="http://schemas.openxmlformats.org/officeDocument/2006/relationships/hyperlink" Target="https://arxiv.org/abs/1912.11370" TargetMode="External"/><Relationship Id="rId167" Type="http://schemas.openxmlformats.org/officeDocument/2006/relationships/hyperlink" Target="https://arxiv.org/abs/1912.01865" TargetMode="External"/><Relationship Id="rId166" Type="http://schemas.openxmlformats.org/officeDocument/2006/relationships/hyperlink" Target="https://arxiv.org/abs/1911.11130" TargetMode="External"/><Relationship Id="rId165" Type="http://schemas.openxmlformats.org/officeDocument/2006/relationships/hyperlink" Target="https://arxiv.org/abs/1911.05722" TargetMode="External"/><Relationship Id="rId164" Type="http://schemas.openxmlformats.org/officeDocument/2006/relationships/hyperlink" Target="https://paperswithcode.com/paper/self-training-with-noisy-student-improves/review/" TargetMode="External"/><Relationship Id="rId163" Type="http://schemas.openxmlformats.org/officeDocument/2006/relationships/hyperlink" Target="https://arxiv.org/abs/1910.13461" TargetMode="External"/><Relationship Id="rId162" Type="http://schemas.openxmlformats.org/officeDocument/2006/relationships/hyperlink" Target="https://arxiv.org/abs/1910.01108" TargetMode="External"/><Relationship Id="rId161" Type="http://schemas.openxmlformats.org/officeDocument/2006/relationships/hyperlink" Target="https://arxiv.org/abs/1907.02544" TargetMode="External"/><Relationship Id="rId160" Type="http://schemas.openxmlformats.org/officeDocument/2006/relationships/hyperlink" Target="https://arxiv.org/abs/1907.11692" TargetMode="External"/><Relationship Id="rId16" Type="http://schemas.openxmlformats.org/officeDocument/2006/relationships/hyperlink" Target="https://cdn.openai.com/papers/whisper.pdf" TargetMode="External"/><Relationship Id="rId159" Type="http://schemas.openxmlformats.org/officeDocument/2006/relationships/hyperlink" Target="https://arxiv.org/abs/1906.06423" TargetMode="External"/><Relationship Id="rId158" Type="http://schemas.openxmlformats.org/officeDocument/2006/relationships/hyperlink" Target="https://arxiv.org/abs/1906.00910" TargetMode="External"/><Relationship Id="rId157" Type="http://schemas.openxmlformats.org/officeDocument/2006/relationships/hyperlink" Target="https://arxiv.org/abs/1906.08237" TargetMode="External"/><Relationship Id="rId156" Type="http://schemas.openxmlformats.org/officeDocument/2006/relationships/hyperlink" Target="https://arxiv.org/abs/1901.07291" TargetMode="External"/><Relationship Id="rId155" Type="http://schemas.openxmlformats.org/officeDocument/2006/relationships/hyperlink" Target="https://arxiv.org/abs/1905.12616" TargetMode="External"/><Relationship Id="rId154" Type="http://schemas.openxmlformats.org/officeDocument/2006/relationships/hyperlink" Target="https://arxiv.org/abs/1905.11946" TargetMode="External"/><Relationship Id="rId153" Type="http://schemas.openxmlformats.org/officeDocument/2006/relationships/hyperlink" Target="https://arxiv.org/abs/1905.09272" TargetMode="External"/><Relationship Id="rId152" Type="http://schemas.openxmlformats.org/officeDocument/2006/relationships/hyperlink" Target="https://arxiv.org/abs/1905.00546" TargetMode="External"/><Relationship Id="rId151" Type="http://schemas.openxmlformats.org/officeDocument/2006/relationships/hyperlink" Target="https://paperswithcode.com/paper/language-models-are-unsupervised-multitask" TargetMode="External"/><Relationship Id="rId150" Type="http://schemas.openxmlformats.org/officeDocument/2006/relationships/hyperlink" Target="https://openaccess.thecvf.com/content_CVPR_2019/html/Fu_Dual_Attention_Network_for_Scene_Segmentation_CVPR_2019_paper.html" TargetMode="External"/><Relationship Id="rId15" Type="http://schemas.openxmlformats.org/officeDocument/2006/relationships/hyperlink" Target="https://arxiv.org/abs/2112.10752" TargetMode="External"/><Relationship Id="rId149" Type="http://schemas.openxmlformats.org/officeDocument/2006/relationships/hyperlink" Target="https://arxiv.org/abs/1904.08779" TargetMode="External"/><Relationship Id="rId148" Type="http://schemas.openxmlformats.org/officeDocument/2006/relationships/hyperlink" Target="https://arxiv.org/abs/1901.11504" TargetMode="External"/><Relationship Id="rId147" Type="http://schemas.openxmlformats.org/officeDocument/2006/relationships/hyperlink" Target="https://www.semanticscholar.org/paper/Dissecting-Contextual-Word-Embeddings%3A-Architecture-Peters-Neumann/ac11062f1f368d97f4c826c317bf50dcc13fdb59" TargetMode="External"/><Relationship Id="rId146" Type="http://schemas.openxmlformats.org/officeDocument/2006/relationships/hyperlink" Target="https://www.science.org/cms/asset/910714a7-ee2a-486e-9970-42fb893b08d9/pap.pdf" TargetMode="External"/><Relationship Id="rId145" Type="http://schemas.openxmlformats.org/officeDocument/2006/relationships/hyperlink" Target="https://arxiv.org/abs/1902.00506" TargetMode="External"/><Relationship Id="rId144" Type="http://schemas.openxmlformats.org/officeDocument/2006/relationships/hyperlink" Target="https://openai.com/blog/emergent-tool-use/" TargetMode="External"/><Relationship Id="rId143" Type="http://schemas.openxmlformats.org/officeDocument/2006/relationships/hyperlink" Target="https://arxiv.org/abs/1711.05101" TargetMode="External"/><Relationship Id="rId142" Type="http://schemas.openxmlformats.org/officeDocument/2006/relationships/hyperlink" Target="https://arxiv.org/abs/1902.09492" TargetMode="External"/><Relationship Id="rId141" Type="http://schemas.openxmlformats.org/officeDocument/2006/relationships/hyperlink" Target="https://arxiv.org/abs/1906.00091" TargetMode="External"/><Relationship Id="rId140" Type="http://schemas.openxmlformats.org/officeDocument/2006/relationships/hyperlink" Target="https://arxiv.org/abs/1903.11059" TargetMode="External"/><Relationship Id="rId14" Type="http://schemas.openxmlformats.org/officeDocument/2006/relationships/hyperlink" Target="https://blog.eleuther.ai/announcing-20b/" TargetMode="External"/><Relationship Id="rId139" Type="http://schemas.openxmlformats.org/officeDocument/2006/relationships/hyperlink" Target="https://papers.nips.cc/paper/2019/file/97af07a14cacba681feacf3012730892-Paper.pdf" TargetMode="External"/><Relationship Id="rId138" Type="http://schemas.openxmlformats.org/officeDocument/2006/relationships/hyperlink" Target="https://arxiv.org/abs/1812.00332" TargetMode="External"/><Relationship Id="rId137" Type="http://schemas.openxmlformats.org/officeDocument/2006/relationships/hyperlink" Target="https://arxiv.org/abs/1911.08265v2" TargetMode="External"/><Relationship Id="rId136" Type="http://schemas.openxmlformats.org/officeDocument/2006/relationships/hyperlink" Target="https://arxiv.org/abs/1910.07113" TargetMode="External"/><Relationship Id="rId135" Type="http://schemas.openxmlformats.org/officeDocument/2006/relationships/hyperlink" Target="https://openai.com/blog/better-language-models/" TargetMode="External"/><Relationship Id="rId134" Type="http://schemas.openxmlformats.org/officeDocument/2006/relationships/hyperlink" Target="https://github.com/tensorflow/tpu/tree/master/models/official/mnasnet" TargetMode="External"/><Relationship Id="rId133" Type="http://schemas.openxmlformats.org/officeDocument/2006/relationships/hyperlink" Target="https://arxiv.org/abs/1807.11626" TargetMode="External"/><Relationship Id="rId132" Type="http://schemas.openxmlformats.org/officeDocument/2006/relationships/hyperlink" Target="https://deepmind.com/research/publications/capture-the-flag" TargetMode="External"/><Relationship Id="rId131" Type="http://schemas.openxmlformats.org/officeDocument/2006/relationships/hyperlink" Target="https://cdn.openai.com/dota-2.pdf" TargetMode="External"/><Relationship Id="rId130" Type="http://schemas.openxmlformats.org/officeDocument/2006/relationships/hyperlink" Target="https://arxiv.org/abs/1910.10683" TargetMode="External"/><Relationship Id="rId13" Type="http://schemas.openxmlformats.org/officeDocument/2006/relationships/hyperlink" Target="https://huggingface.co/bigscience/bloom" TargetMode="External"/><Relationship Id="rId129" Type="http://schemas.openxmlformats.org/officeDocument/2006/relationships/hyperlink" Target="https://arxiv.org/abs/1909.08053" TargetMode="External"/><Relationship Id="rId128" Type="http://schemas.openxmlformats.org/officeDocument/2006/relationships/hyperlink" Target="https://arxiv.org/abs/1912.06680" TargetMode="External"/><Relationship Id="rId127" Type="http://schemas.openxmlformats.org/officeDocument/2006/relationships/hyperlink" Target="https://www.deepmind.com/blog/alphastar-grandmaster-level-in-starcraft-ii-using-multi-agent-reinforcement-learning" TargetMode="External"/><Relationship Id="rId126" Type="http://schemas.openxmlformats.org/officeDocument/2006/relationships/hyperlink" Target="https://github.com/CompVis/taming-transformers" TargetMode="External"/><Relationship Id="rId125" Type="http://schemas.openxmlformats.org/officeDocument/2006/relationships/hyperlink" Target="https://www.nature.com/articles/s41586-021-03819-2" TargetMode="External"/><Relationship Id="rId124" Type="http://schemas.openxmlformats.org/officeDocument/2006/relationships/hyperlink" Target="https://arxiv.org/abs/2006.10029" TargetMode="External"/><Relationship Id="rId123" Type="http://schemas.openxmlformats.org/officeDocument/2006/relationships/hyperlink" Target="https://arxiv.org/abs/2010.11929" TargetMode="External"/><Relationship Id="rId122" Type="http://schemas.openxmlformats.org/officeDocument/2006/relationships/hyperlink" Target="https://arxiv.org/abs/2001.11314" TargetMode="External"/><Relationship Id="rId121" Type="http://schemas.openxmlformats.org/officeDocument/2006/relationships/hyperlink" Target="https://openaccess.thecvf.com/content_CVPR_2020/html/Tan_EfficientDet_Scalable_and_Efficient_Object_Detection_CVPR_2020_paper.html" TargetMode="External"/><Relationship Id="rId120" Type="http://schemas.openxmlformats.org/officeDocument/2006/relationships/hyperlink" Target="https://arxiv.org/abs/2008.02217" TargetMode="External"/><Relationship Id="rId12" Type="http://schemas.openxmlformats.org/officeDocument/2006/relationships/hyperlink" Target="https://arxiv.org/abs/2208.01448" TargetMode="External"/><Relationship Id="rId119" Type="http://schemas.openxmlformats.org/officeDocument/2006/relationships/hyperlink" Target="https://arxiv.org/abs/2006.11316" TargetMode="External"/><Relationship Id="rId118" Type="http://schemas.openxmlformats.org/officeDocument/2006/relationships/hyperlink" Target="https://arxiv.org/abs/2004.12919" TargetMode="External"/><Relationship Id="rId117" Type="http://schemas.openxmlformats.org/officeDocument/2006/relationships/hyperlink" Target="https://arxiv.org/abs/2004.04136v4" TargetMode="External"/><Relationship Id="rId116" Type="http://schemas.openxmlformats.org/officeDocument/2006/relationships/hyperlink" Target="https://arxiv.org/abs/2004.02984" TargetMode="External"/><Relationship Id="rId115" Type="http://schemas.openxmlformats.org/officeDocument/2006/relationships/hyperlink" Target="https://arxiv.org/abs/1708.04896" TargetMode="External"/><Relationship Id="rId114" Type="http://schemas.openxmlformats.org/officeDocument/2006/relationships/hyperlink" Target="https://arxiv.org/abs/2003.13350" TargetMode="External"/><Relationship Id="rId113" Type="http://schemas.openxmlformats.org/officeDocument/2006/relationships/hyperlink" Target="https://arxiv.org/abs/2003.12140" TargetMode="External"/><Relationship Id="rId112" Type="http://schemas.openxmlformats.org/officeDocument/2006/relationships/hyperlink" Target="https://arxiv.org/abs/2002.05709" TargetMode="External"/><Relationship Id="rId111" Type="http://schemas.openxmlformats.org/officeDocument/2006/relationships/hyperlink" Target="https://arxiv.org/abs/2107.14795" TargetMode="External"/><Relationship Id="rId110" Type="http://schemas.openxmlformats.org/officeDocument/2006/relationships/hyperlink" Target="https://arxiv.org/abs/2002.02925" TargetMode="External"/><Relationship Id="rId11" Type="http://schemas.openxmlformats.org/officeDocument/2006/relationships/hyperlink" Target="https://medium.com/yandex/yandex-publishes-yalm-100b-its-the-largest-gpt-like-neural-network-in-open-source-d1df53d0e9a6" TargetMode="External"/><Relationship Id="rId109" Type="http://schemas.openxmlformats.org/officeDocument/2006/relationships/hyperlink" Target="https://www.nature.com/articles/s41586-019-1923-7" TargetMode="External"/><Relationship Id="rId108" Type="http://schemas.openxmlformats.org/officeDocument/2006/relationships/hyperlink" Target="https://arxiv.org/abs/1911.06136" TargetMode="External"/><Relationship Id="rId107" Type="http://schemas.openxmlformats.org/officeDocument/2006/relationships/hyperlink" Target="https://arxiv.org/abs/2003.10555v1" TargetMode="External"/><Relationship Id="rId106" Type="http://schemas.openxmlformats.org/officeDocument/2006/relationships/hyperlink" Target="https://www.biorxiv.org/content/10.1101/2020.03.07.982272v2" TargetMode="External"/><Relationship Id="rId105" Type="http://schemas.openxmlformats.org/officeDocument/2006/relationships/hyperlink" Target="https://www.arxiv-vanity.com/papers/2104.05158/" TargetMode="External"/><Relationship Id="rId104" Type="http://schemas.openxmlformats.org/officeDocument/2006/relationships/hyperlink" Target="https://arxiv.org/abs/2006.11477" TargetMode="External"/><Relationship Id="rId103" Type="http://schemas.openxmlformats.org/officeDocument/2006/relationships/hyperlink" Target="https://arxiv.org/abs/1908.09791" TargetMode="External"/><Relationship Id="rId102" Type="http://schemas.openxmlformats.org/officeDocument/2006/relationships/hyperlink" Target="https://arxiv.org/abs/2012.00413" TargetMode="External"/><Relationship Id="rId101" Type="http://schemas.openxmlformats.org/officeDocument/2006/relationships/hyperlink" Target="https://arxiv.org/abs/2012.15520" TargetMode="External"/><Relationship Id="rId100" Type="http://schemas.openxmlformats.org/officeDocument/2006/relationships/hyperlink" Target="https://arxiv.org/abs/1909.11942" TargetMode="External"/><Relationship Id="rId10" Type="http://schemas.openxmlformats.org/officeDocument/2006/relationships/hyperlink" Target="https://arxiv.org/abs/2201.08239" TargetMode="Externa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9" Type="http://schemas.openxmlformats.org/officeDocument/2006/relationships/hyperlink" Target="https://arxiv.org/abs/1904.03288v3" TargetMode="External"/><Relationship Id="rId8" Type="http://schemas.openxmlformats.org/officeDocument/2006/relationships/hyperlink" Target="https://arxiv.org/abs/2002.09053v2" TargetMode="External"/><Relationship Id="rId7" Type="http://schemas.openxmlformats.org/officeDocument/2006/relationships/hyperlink" Target="https://arxiv.org/abs/1909.03193v2" TargetMode="External"/><Relationship Id="rId6" Type="http://schemas.openxmlformats.org/officeDocument/2006/relationships/hyperlink" Target="http://arxiv.org/abs/1808.04122v3" TargetMode="External"/><Relationship Id="rId58" Type="http://schemas.openxmlformats.org/officeDocument/2006/relationships/hyperlink" Target="http://arxiv.org/abs/1904.04447v1" TargetMode="External"/><Relationship Id="rId57" Type="http://schemas.openxmlformats.org/officeDocument/2006/relationships/hyperlink" Target="http://arxiv.org/abs/1810.00826v3" TargetMode="External"/><Relationship Id="rId56" Type="http://schemas.openxmlformats.org/officeDocument/2006/relationships/hyperlink" Target="https://arxiv.org/abs/2012.09408v1" TargetMode="External"/><Relationship Id="rId55" Type="http://schemas.openxmlformats.org/officeDocument/2006/relationships/hyperlink" Target="https://arxiv.org/abs/1912.01954v2" TargetMode="External"/><Relationship Id="rId54" Type="http://schemas.openxmlformats.org/officeDocument/2006/relationships/hyperlink" Target="https://arxiv.org/abs/2007.10042v1" TargetMode="External"/><Relationship Id="rId53" Type="http://schemas.openxmlformats.org/officeDocument/2006/relationships/hyperlink" Target="http://arxiv.org/abs/1805.05388v1" TargetMode="External"/><Relationship Id="rId52" Type="http://schemas.openxmlformats.org/officeDocument/2006/relationships/hyperlink" Target="http://arxiv.org/abs/1511.08630v2" TargetMode="External"/><Relationship Id="rId51" Type="http://schemas.openxmlformats.org/officeDocument/2006/relationships/hyperlink" Target="https://arxiv.org/abs/1905.05583v3" TargetMode="External"/><Relationship Id="rId50" Type="http://schemas.openxmlformats.org/officeDocument/2006/relationships/hyperlink" Target="https://arxiv.org/abs/2004.10934v1" TargetMode="External"/><Relationship Id="rId5" Type="http://schemas.openxmlformats.org/officeDocument/2006/relationships/hyperlink" Target="https://ieeexplore.ieee.org/abstract/document/8946600" TargetMode="External"/><Relationship Id="rId49" Type="http://schemas.openxmlformats.org/officeDocument/2006/relationships/hyperlink" Target="https://arxiv.org/abs/1909.00948v1" TargetMode="External"/><Relationship Id="rId48" Type="http://schemas.openxmlformats.org/officeDocument/2006/relationships/hyperlink" Target="https://arxiv.org/abs/2011.08036v2" TargetMode="External"/><Relationship Id="rId47" Type="http://schemas.openxmlformats.org/officeDocument/2006/relationships/hyperlink" Target="https://arxiv.org/abs/2008.01550v1" TargetMode="External"/><Relationship Id="rId46" Type="http://schemas.openxmlformats.org/officeDocument/2006/relationships/hyperlink" Target="https://arxiv.org/abs/2004.04136v4" TargetMode="External"/><Relationship Id="rId45" Type="http://schemas.openxmlformats.org/officeDocument/2006/relationships/hyperlink" Target="http://arxiv.org/abs/1602.01783v2" TargetMode="External"/><Relationship Id="rId44" Type="http://schemas.openxmlformats.org/officeDocument/2006/relationships/hyperlink" Target="https://arxiv.org/abs/1911.08265v2" TargetMode="External"/><Relationship Id="rId43" Type="http://schemas.openxmlformats.org/officeDocument/2006/relationships/hyperlink" Target="https://arxiv.org/abs/2102.09407v1" TargetMode="External"/><Relationship Id="rId42" Type="http://schemas.openxmlformats.org/officeDocument/2006/relationships/hyperlink" Target="http://arxiv.org/abs/1512.04860v1" TargetMode="External"/><Relationship Id="rId41" Type="http://schemas.openxmlformats.org/officeDocument/2006/relationships/hyperlink" Target="https://arxiv.org/abs/1706.10295v3" TargetMode="External"/><Relationship Id="rId40" Type="http://schemas.openxmlformats.org/officeDocument/2006/relationships/hyperlink" Target="https://arxiv.org/abs/1910.04465v2" TargetMode="External"/><Relationship Id="rId4" Type="http://schemas.openxmlformats.org/officeDocument/2006/relationships/hyperlink" Target="https://arxiv.org/abs/1905.10702v8" TargetMode="External"/><Relationship Id="rId39" Type="http://schemas.openxmlformats.org/officeDocument/2006/relationships/hyperlink" Target="https://arxiv.org/abs/1912.00195v2" TargetMode="External"/><Relationship Id="rId38" Type="http://schemas.openxmlformats.org/officeDocument/2006/relationships/hyperlink" Target="https://arxiv.org/abs/2006.04647v2" TargetMode="External"/><Relationship Id="rId37" Type="http://schemas.openxmlformats.org/officeDocument/2006/relationships/hyperlink" Target="http://arxiv.org/abs/1802.01548v7" TargetMode="External"/><Relationship Id="rId36" Type="http://schemas.openxmlformats.org/officeDocument/2006/relationships/hyperlink" Target="http://arxiv.org/abs/1802.07191v3" TargetMode="External"/><Relationship Id="rId35" Type="http://schemas.openxmlformats.org/officeDocument/2006/relationships/hyperlink" Target="https://arxiv.org/abs/2102.08099v1" TargetMode="External"/><Relationship Id="rId34" Type="http://schemas.openxmlformats.org/officeDocument/2006/relationships/hyperlink" Target="https://arxiv.org/abs/2007.00643v2" TargetMode="External"/><Relationship Id="rId33" Type="http://schemas.openxmlformats.org/officeDocument/2006/relationships/hyperlink" Target="https://arxiv.org/abs/2008.09285v2" TargetMode="External"/><Relationship Id="rId32" Type="http://schemas.openxmlformats.org/officeDocument/2006/relationships/hyperlink" Target="https://arxiv.org/abs/2101.10837v1" TargetMode="External"/><Relationship Id="rId31" Type="http://schemas.openxmlformats.org/officeDocument/2006/relationships/hyperlink" Target="https://arxiv.org/abs/2101.06085v1" TargetMode="External"/><Relationship Id="rId30" Type="http://schemas.openxmlformats.org/officeDocument/2006/relationships/hyperlink" Target="https://arxiv.org/abs/2004.02147v1" TargetMode="External"/><Relationship Id="rId3" Type="http://schemas.openxmlformats.org/officeDocument/2006/relationships/hyperlink" Target="https://arxiv.org/abs/1904.10281v3" TargetMode="External"/><Relationship Id="rId29" Type="http://schemas.openxmlformats.org/officeDocument/2006/relationships/hyperlink" Target="https://www.aaai.org/ocs/index.php/AAAI/AAAI18/paper/view/16133" TargetMode="External"/><Relationship Id="rId28" Type="http://schemas.openxmlformats.org/officeDocument/2006/relationships/hyperlink" Target="https://ieeexplore.ieee.org/abstract/document/8852469" TargetMode="External"/><Relationship Id="rId27" Type="http://schemas.openxmlformats.org/officeDocument/2006/relationships/hyperlink" Target="https://arxiv.org/abs/2005.08199v2" TargetMode="External"/><Relationship Id="rId26" Type="http://schemas.openxmlformats.org/officeDocument/2006/relationships/hyperlink" Target="https://arxiv.org/abs/1907.03907v1" TargetMode="External"/><Relationship Id="rId25" Type="http://schemas.openxmlformats.org/officeDocument/2006/relationships/hyperlink" Target="https://arxiv.org/abs/1909.12064v3" TargetMode="External"/><Relationship Id="rId24" Type="http://schemas.openxmlformats.org/officeDocument/2006/relationships/hyperlink" Target="http://arxiv.org/abs/1704.05737v2" TargetMode="External"/><Relationship Id="rId23" Type="http://schemas.openxmlformats.org/officeDocument/2006/relationships/hyperlink" Target="http://openaccess.thecvf.com/content_iccv_2015/html/Perazzi_Fully_Connected_Object_ICCV_2015_paper.html" TargetMode="External"/><Relationship Id="rId22" Type="http://schemas.openxmlformats.org/officeDocument/2006/relationships/hyperlink" Target="https://arxiv.org/abs/1812.05050v2" TargetMode="External"/><Relationship Id="rId21" Type="http://schemas.openxmlformats.org/officeDocument/2006/relationships/hyperlink" Target="https://arxiv.org/abs/1911.12836v2" TargetMode="External"/><Relationship Id="rId20" Type="http://schemas.openxmlformats.org/officeDocument/2006/relationships/hyperlink" Target="https://ieeexplore.ieee.org/document/9356697" TargetMode="External"/><Relationship Id="rId2" Type="http://schemas.openxmlformats.org/officeDocument/2006/relationships/vmlDrawing" Target="../drawings/vmlDrawing8.vml"/><Relationship Id="rId19" Type="http://schemas.openxmlformats.org/officeDocument/2006/relationships/hyperlink" Target="http://arxiv.org/abs/1902.09513v2" TargetMode="External"/><Relationship Id="rId18" Type="http://schemas.openxmlformats.org/officeDocument/2006/relationships/hyperlink" Target="http://arxiv.org/abs/1807.09190v2" TargetMode="External"/><Relationship Id="rId17" Type="http://schemas.openxmlformats.org/officeDocument/2006/relationships/hyperlink" Target="https://arxiv.org/abs/2010.11631v1" TargetMode="External"/><Relationship Id="rId16" Type="http://schemas.openxmlformats.org/officeDocument/2006/relationships/hyperlink" Target="http://arxiv.org/abs/1802.08122v1" TargetMode="External"/><Relationship Id="rId15" Type="http://schemas.openxmlformats.org/officeDocument/2006/relationships/hyperlink" Target="http://arxiv.org/abs/1701.08398v4" TargetMode="External"/><Relationship Id="rId14" Type="http://schemas.openxmlformats.org/officeDocument/2006/relationships/hyperlink" Target="https://arxiv.org/abs/1912.08562v2" TargetMode="External"/><Relationship Id="rId13" Type="http://schemas.openxmlformats.org/officeDocument/2006/relationships/hyperlink" Target="https://arxiv.org/abs/2011.13074v2" TargetMode="External"/><Relationship Id="rId12" Type="http://schemas.openxmlformats.org/officeDocument/2006/relationships/hyperlink" Target="https://arxiv.org/abs/2006.13026v2" TargetMode="External"/><Relationship Id="rId11" Type="http://schemas.openxmlformats.org/officeDocument/2006/relationships/hyperlink" Target="https://arxiv.org/abs/2006.06676v2" TargetMode="External"/><Relationship Id="rId10" Type="http://schemas.openxmlformats.org/officeDocument/2006/relationships/hyperlink" Target="http://arxiv.org/abs/1902.09326v3" TargetMode="External"/><Relationship Id="rId1"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sciencedirect.com/science/article/pii/S001999586590241X?via%3Dihub" TargetMode="External"/><Relationship Id="rId8" Type="http://schemas.openxmlformats.org/officeDocument/2006/relationships/hyperlink" Target="https://www.jstor.org/stable/2098941?seq=1" TargetMode="External"/><Relationship Id="rId7" Type="http://schemas.openxmlformats.org/officeDocument/2006/relationships/hyperlink" Target="http://cyberneticzoo.com/wp-content/uploads/2009/12/Andrew-NewScientist-1958-.pdf" TargetMode="External"/><Relationship Id="rId6" Type="http://schemas.openxmlformats.org/officeDocument/2006/relationships/hyperlink" Target="https://exhibits.stanford.edu/feigenbaum/catalog/sy501xd1313" TargetMode="External"/><Relationship Id="rId5" Type="http://schemas.openxmlformats.org/officeDocument/2006/relationships/hyperlink" Target="https://link.springer.com/chapter/10.1007/978-3-540-30194-3_12" TargetMode="External"/><Relationship Id="rId4" Type="http://schemas.openxmlformats.org/officeDocument/2006/relationships/hyperlink" Target="https://aip.scitation.org/doi/10.1063/1.1699114" TargetMode="External"/><Relationship Id="rId3" Type="http://schemas.openxmlformats.org/officeDocument/2006/relationships/hyperlink" Target="https://link.springer.com/chapter/10.1007/978-1-4757-1968-0_1" TargetMode="External"/><Relationship Id="rId21" Type="http://schemas.openxmlformats.org/officeDocument/2006/relationships/hyperlink" Target="https://link.springer.com/article/10.1007%2Fs10898-007-9149-x" TargetMode="External"/><Relationship Id="rId20" Type="http://schemas.openxmlformats.org/officeDocument/2006/relationships/hyperlink" Target="https://science.sciencemag.org/content/317/5844/1518?hwshib2=authn%3A1615369438%3A20210309%253A963811d2-0be0-4d5d-a0b6-959e5a4ccbda%3A0%3A0%3A0%3ABx%2FWhEJ9lTsSmDEr4ukjMQ%3D%3D" TargetMode="External"/><Relationship Id="rId2" Type="http://schemas.openxmlformats.org/officeDocument/2006/relationships/vmlDrawing" Target="../drawings/vmlDrawing9.vml"/><Relationship Id="rId19" Type="http://schemas.openxmlformats.org/officeDocument/2006/relationships/hyperlink" Target="http://www.nlg-wiki.org/systems/FoG" TargetMode="External"/><Relationship Id="rId18" Type="http://schemas.openxmlformats.org/officeDocument/2006/relationships/hyperlink" Target="https://science.sciencemag.org/content/220/4598/671" TargetMode="External"/><Relationship Id="rId17" Type="http://schemas.openxmlformats.org/officeDocument/2006/relationships/hyperlink" Target="https://dl.acm.org/doi/10.3115/982023.982045" TargetMode="External"/><Relationship Id="rId16" Type="http://schemas.openxmlformats.org/officeDocument/2006/relationships/hyperlink" Target="https://files.eric.ed.gov/fulltext/ED150955.pdf" TargetMode="External"/><Relationship Id="rId15" Type="http://schemas.openxmlformats.org/officeDocument/2006/relationships/hyperlink" Target="https://www.aclweb.org/anthology/C65-1022/" TargetMode="External"/><Relationship Id="rId14" Type="http://schemas.openxmlformats.org/officeDocument/2006/relationships/hyperlink" Target="https://dspace.mit.edu/handle/1721.1/6903" TargetMode="External"/><Relationship Id="rId13" Type="http://schemas.openxmlformats.org/officeDocument/2006/relationships/hyperlink" Target="https://en.wikipedia.org/wiki/METEO_System" TargetMode="External"/><Relationship Id="rId12" Type="http://schemas.openxmlformats.org/officeDocument/2006/relationships/hyperlink" Target="https://www.jstor.org/stable/2984875?seq=1" TargetMode="External"/><Relationship Id="rId11" Type="http://schemas.openxmlformats.org/officeDocument/2006/relationships/hyperlink" Target="https://ieeexplore.ieee.org/document/1100705" TargetMode="External"/><Relationship Id="rId10" Type="http://schemas.openxmlformats.org/officeDocument/2006/relationships/hyperlink" Target="http://hci.stanford.edu/~winograd/shrdlu/" TargetMode="External"/><Relationship Id="rId1"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9" Type="http://schemas.openxmlformats.org/officeDocument/2006/relationships/hyperlink" Target="https://scholar.google.com/citations?hl=en&amp;vq=eng_artificialintelligence&amp;view_op=list_hcore&amp;venue=LILlZnFGZh8J.2020" TargetMode="External"/><Relationship Id="rId82" Type="http://schemas.openxmlformats.org/officeDocument/2006/relationships/hyperlink" Target="https://scholar.google.com/citations?hl=en&amp;vq=eng_computervisionpatternrecognition&amp;view_op=list_hcore&amp;venue=cVHg_1PrXPkJ.2020" TargetMode="External"/><Relationship Id="rId81" Type="http://schemas.openxmlformats.org/officeDocument/2006/relationships/hyperlink" Target="https://scholar.google.com/citations?hl=en&amp;vq=eng_computervisionpatternrecognition&amp;view_op=list_hcore&amp;venue=8boOK7RAgl4J.2020" TargetMode="External"/><Relationship Id="rId80" Type="http://schemas.openxmlformats.org/officeDocument/2006/relationships/hyperlink" Target="https://scholar.google.com/citations?hl=en&amp;vq=eng_computervisionpatternrecognition&amp;view_op=list_hcore&amp;venue=A_JnpJHOiAEJ.2020" TargetMode="External"/><Relationship Id="rId8" Type="http://schemas.openxmlformats.org/officeDocument/2006/relationships/hyperlink" Target="https://scholar.google.com/citations?hl=en&amp;vq=eng_artificialintelligence&amp;view_op=list_hcore&amp;venue=PUrHi32sn7cJ.2020" TargetMode="External"/><Relationship Id="rId79" Type="http://schemas.openxmlformats.org/officeDocument/2006/relationships/hyperlink" Target="https://scholar.google.com/citations?hl=en&amp;vq=eng_computervisionpatternrecognition&amp;view_op=list_hcore&amp;venue=tOKomDtxujwJ.2020" TargetMode="External"/><Relationship Id="rId78" Type="http://schemas.openxmlformats.org/officeDocument/2006/relationships/hyperlink" Target="https://scholar.google.com/citations?hl=en&amp;vq=eng_computervisionpatternrecognition&amp;view_op=list_hcore&amp;venue=seIY6rvRQ-0J.2020" TargetMode="External"/><Relationship Id="rId77" Type="http://schemas.openxmlformats.org/officeDocument/2006/relationships/hyperlink" Target="https://scholar.google.com/citations?hl=en&amp;vq=eng_computervisionpatternrecognition&amp;view_op=list_hcore&amp;venue=6mrFlQzMSwYJ.2020" TargetMode="External"/><Relationship Id="rId76" Type="http://schemas.openxmlformats.org/officeDocument/2006/relationships/hyperlink" Target="https://scholar.google.com/citations?hl=en&amp;vq=eng_computervisionpatternrecognition&amp;view_op=list_hcore&amp;venue=1h7Rot6-J5EJ.2020" TargetMode="External"/><Relationship Id="rId75" Type="http://schemas.openxmlformats.org/officeDocument/2006/relationships/hyperlink" Target="https://scholar.google.com/citations?hl=en&amp;vq=eng_computervisionpatternrecognition&amp;view_op=list_hcore&amp;venue=a9ZSGA40nccJ.2020" TargetMode="External"/><Relationship Id="rId74" Type="http://schemas.openxmlformats.org/officeDocument/2006/relationships/hyperlink" Target="https://scholar.google.com/citations?hl=en&amp;vq=eng_computervisionpatternrecognition&amp;view_op=list_hcore&amp;venue=uo-zCIky-iEJ.2020" TargetMode="External"/><Relationship Id="rId73" Type="http://schemas.openxmlformats.org/officeDocument/2006/relationships/hyperlink" Target="https://scholar.google.com/citations?hl=en&amp;vq=eng_computervisionpatternrecognition&amp;view_op=list_hcore&amp;venue=T_DfB2ikUbwJ.2020" TargetMode="External"/><Relationship Id="rId72" Type="http://schemas.openxmlformats.org/officeDocument/2006/relationships/hyperlink" Target="https://scholar.google.com/citations?hl=en&amp;vq=eng_computervisionpatternrecognition&amp;view_op=list_hcore&amp;venue=cr6slXz_0IoJ.2020" TargetMode="External"/><Relationship Id="rId71" Type="http://schemas.openxmlformats.org/officeDocument/2006/relationships/hyperlink" Target="https://scholar.google.com/citations?hl=en&amp;vq=eng_computervisionpatternrecognition&amp;view_op=list_hcore&amp;venue=dlrWmqYJmF8J.2020" TargetMode="External"/><Relationship Id="rId70" Type="http://schemas.openxmlformats.org/officeDocument/2006/relationships/hyperlink" Target="https://scholar.google.com/citations?hl=en&amp;vq=eng_computervisionpatternrecognition&amp;view_op=list_hcore&amp;venue=p7bWfTZ3kDQJ.2020" TargetMode="External"/><Relationship Id="rId7" Type="http://schemas.openxmlformats.org/officeDocument/2006/relationships/hyperlink" Target="https://scholar.google.com/citations?hl=en&amp;vq=eng_artificialintelligence&amp;view_op=list_hcore&amp;venue=AlAHN-bTk3IJ.2020" TargetMode="External"/><Relationship Id="rId69" Type="http://schemas.openxmlformats.org/officeDocument/2006/relationships/hyperlink" Target="https://scholar.google.com/citations?hl=en&amp;vq=eng_computervisionpatternrecognition&amp;view_op=list_hcore&amp;venue=ihIDe6biV1gJ.2020" TargetMode="External"/><Relationship Id="rId68" Type="http://schemas.openxmlformats.org/officeDocument/2006/relationships/hyperlink" Target="https://scholar.google.com/citations?hl=en&amp;vq=eng_computervisionpatternrecognition&amp;view_op=list_hcore&amp;venue=x0SOFhwf7eMJ.2020" TargetMode="External"/><Relationship Id="rId67" Type="http://schemas.openxmlformats.org/officeDocument/2006/relationships/hyperlink" Target="https://scholar.google.com/citations?hl=en&amp;vq=eng_computervisionpatternrecognition&amp;view_op=list_hcore&amp;venue=nbL3lXiue2AJ.2020" TargetMode="External"/><Relationship Id="rId66" Type="http://schemas.openxmlformats.org/officeDocument/2006/relationships/hyperlink" Target="https://scholar.google.com/citations?hl=en&amp;vq=eng_computervisionpatternrecognition&amp;view_op=list_hcore&amp;venue=FMIcylNwodUJ.2020" TargetMode="External"/><Relationship Id="rId65" Type="http://schemas.openxmlformats.org/officeDocument/2006/relationships/hyperlink" Target="https://scholar.google.com/citations?hl=en&amp;vq=eng_computervisionpatternrecognition&amp;view_op=list_hcore&amp;venue=cwIh2C-xo8kJ.2020" TargetMode="External"/><Relationship Id="rId64" Type="http://schemas.openxmlformats.org/officeDocument/2006/relationships/hyperlink" Target="https://scholar.google.com/citations?hl=en&amp;vq=eng_computervisionpatternrecognition&amp;view_op=list_hcore&amp;venue=uDnJSYNMB80J.2020" TargetMode="External"/><Relationship Id="rId63" Type="http://schemas.openxmlformats.org/officeDocument/2006/relationships/hyperlink" Target="https://scholar.google.com/citations?hl=en&amp;vq=eng_computervisionpatternrecognition&amp;view_op=list_hcore&amp;venue=w44irn7CFc0J.2020" TargetMode="External"/><Relationship Id="rId62" Type="http://schemas.openxmlformats.org/officeDocument/2006/relationships/hyperlink" Target="https://scholar.google.com/citations?hl=en&amp;vq=eng_computergraphics&amp;view_op=list_hcore&amp;venue=ulaSNA5ZgjEJ.2020" TargetMode="External"/><Relationship Id="rId61" Type="http://schemas.openxmlformats.org/officeDocument/2006/relationships/hyperlink" Target="https://scholar.google.com/citations?hl=en&amp;vq=eng_computergraphics&amp;view_op=list_hcore&amp;venue=Eta5Rw7ikZgJ.2020" TargetMode="External"/><Relationship Id="rId60" Type="http://schemas.openxmlformats.org/officeDocument/2006/relationships/hyperlink" Target="https://scholar.google.com/citations?hl=en&amp;vq=eng_computergraphics&amp;view_op=list_hcore&amp;venue=OtXzxCEyu38J.2020" TargetMode="External"/><Relationship Id="rId6" Type="http://schemas.openxmlformats.org/officeDocument/2006/relationships/hyperlink" Target="https://scholar.google.com/citations?hl=en&amp;vq=eng_artificialintelligence&amp;view_op=list_hcore&amp;venue=PV9sQN5dnPsJ.2020" TargetMode="External"/><Relationship Id="rId59" Type="http://schemas.openxmlformats.org/officeDocument/2006/relationships/hyperlink" Target="https://scholar.google.com/citations?hl=en&amp;vq=eng_computergraphics&amp;view_op=list_hcore&amp;venue=qeLp-JoraYQJ.2020" TargetMode="External"/><Relationship Id="rId58" Type="http://schemas.openxmlformats.org/officeDocument/2006/relationships/hyperlink" Target="https://scholar.google.com/citations?hl=en&amp;vq=eng_computergraphics&amp;view_op=list_hcore&amp;venue=pIjqKBCYRmYJ.2020" TargetMode="External"/><Relationship Id="rId57" Type="http://schemas.openxmlformats.org/officeDocument/2006/relationships/hyperlink" Target="https://scholar.google.com/citations?hl=en&amp;vq=eng_computergraphics&amp;view_op=list_hcore&amp;venue=ohkqIotQ7sgJ.2020" TargetMode="External"/><Relationship Id="rId56" Type="http://schemas.openxmlformats.org/officeDocument/2006/relationships/hyperlink" Target="https://scholar.google.com/citations?hl=en&amp;vq=eng_computergraphics&amp;view_op=list_hcore&amp;venue=xe8o8pgRcJQJ.2020" TargetMode="External"/><Relationship Id="rId55" Type="http://schemas.openxmlformats.org/officeDocument/2006/relationships/hyperlink" Target="https://scholar.google.com/citations?hl=en&amp;vq=eng_computergraphics&amp;view_op=list_hcore&amp;venue=2aIQ9fxzrwkJ.2020" TargetMode="External"/><Relationship Id="rId54" Type="http://schemas.openxmlformats.org/officeDocument/2006/relationships/hyperlink" Target="https://scholar.google.com/citations?hl=en&amp;vq=eng_computergraphics&amp;view_op=list_hcore&amp;venue=0EhWTBQxpcEJ.2020" TargetMode="External"/><Relationship Id="rId53" Type="http://schemas.openxmlformats.org/officeDocument/2006/relationships/hyperlink" Target="https://scholar.google.com/citations?hl=en&amp;vq=eng_computergraphics&amp;view_op=list_hcore&amp;venue=CHhjsz22fSoJ.2020" TargetMode="External"/><Relationship Id="rId52" Type="http://schemas.openxmlformats.org/officeDocument/2006/relationships/hyperlink" Target="https://scholar.google.com/citations?hl=en&amp;vq=eng_computergraphics&amp;view_op=list_hcore&amp;venue=eyKsRVMpGxgJ.2020" TargetMode="External"/><Relationship Id="rId51" Type="http://schemas.openxmlformats.org/officeDocument/2006/relationships/hyperlink" Target="https://scholar.google.com/citations?hl=en&amp;vq=eng_computergraphics&amp;view_op=list_hcore&amp;venue=sZKrImaY-W4J.2020" TargetMode="External"/><Relationship Id="rId50" Type="http://schemas.openxmlformats.org/officeDocument/2006/relationships/hyperlink" Target="https://scholar.google.com/citations?hl=en&amp;vq=eng_computergraphics&amp;view_op=list_hcore&amp;venue=QFdzrecfz8sJ.2020" TargetMode="External"/><Relationship Id="rId5" Type="http://schemas.openxmlformats.org/officeDocument/2006/relationships/hyperlink" Target="https://scholar.google.com/citations?hl=en&amp;vq=eng_artificialintelligence&amp;view_op=list_hcore&amp;venue=wL2oxc9mT4YJ.2020" TargetMode="External"/><Relationship Id="rId49" Type="http://schemas.openxmlformats.org/officeDocument/2006/relationships/hyperlink" Target="https://scholar.google.com/citations?hl=en&amp;vq=eng_computergraphics&amp;view_op=list_hcore&amp;venue=Mhr740YTArIJ.2020" TargetMode="External"/><Relationship Id="rId48" Type="http://schemas.openxmlformats.org/officeDocument/2006/relationships/hyperlink" Target="https://scholar.google.com/citations?hl=en&amp;vq=eng_computergraphics&amp;view_op=list_hcore&amp;venue=7hAEPhtu2i8J.2020" TargetMode="External"/><Relationship Id="rId47" Type="http://schemas.openxmlformats.org/officeDocument/2006/relationships/hyperlink" Target="https://scholar.google.com/citations?hl=en&amp;vq=eng_computergraphics&amp;view_op=list_hcore&amp;venue=GYTR-xIJrQYJ.2020" TargetMode="External"/><Relationship Id="rId46" Type="http://schemas.openxmlformats.org/officeDocument/2006/relationships/hyperlink" Target="https://scholar.google.com/citations?hl=en&amp;vq=eng_computergraphics&amp;view_op=list_hcore&amp;venue=VxlxWGKoE_EJ.2020" TargetMode="External"/><Relationship Id="rId45" Type="http://schemas.openxmlformats.org/officeDocument/2006/relationships/hyperlink" Target="https://scholar.google.com/citations?hl=en&amp;vq=eng_computergraphics&amp;view_op=list_hcore&amp;venue=z2VSKEVsQl0J.2020" TargetMode="External"/><Relationship Id="rId44" Type="http://schemas.openxmlformats.org/officeDocument/2006/relationships/hyperlink" Target="https://scholar.google.com/citations?hl=en&amp;vq=eng_computergraphics&amp;view_op=list_hcore&amp;venue=VQADSo1msCoJ.2020" TargetMode="External"/><Relationship Id="rId43" Type="http://schemas.openxmlformats.org/officeDocument/2006/relationships/hyperlink" Target="https://scholar.google.com/citations?hl=en&amp;vq=eng_computergraphics&amp;view_op=list_hcore&amp;venue=eq0ghEO5jswJ.2020" TargetMode="External"/><Relationship Id="rId42" Type="http://schemas.openxmlformats.org/officeDocument/2006/relationships/hyperlink" Target="https://scholar.google.com/citations?hl=en&amp;vq=eng_computationallinguistics&amp;view_op=list_hcore&amp;venue=lLZTJJ6HYMkJ.2020" TargetMode="External"/><Relationship Id="rId41" Type="http://schemas.openxmlformats.org/officeDocument/2006/relationships/hyperlink" Target="https://scholar.google.com/citations?hl=en&amp;vq=eng_computationallinguistics&amp;view_op=list_hcore&amp;venue=bqfBSlsBKcgJ.2020" TargetMode="External"/><Relationship Id="rId40" Type="http://schemas.openxmlformats.org/officeDocument/2006/relationships/hyperlink" Target="https://scholar.google.com/citations?hl=en&amp;vq=eng_computationallinguistics&amp;view_op=list_hcore&amp;venue=7kKeQjWqTJIJ.2020" TargetMode="External"/><Relationship Id="rId4" Type="http://schemas.openxmlformats.org/officeDocument/2006/relationships/hyperlink" Target="https://scholar.google.com/citations?hl=en&amp;vq=eng_artificialintelligence&amp;view_op=list_hcore&amp;venue=eqYFflc_uhEJ.2020" TargetMode="External"/><Relationship Id="rId39" Type="http://schemas.openxmlformats.org/officeDocument/2006/relationships/hyperlink" Target="https://scholar.google.com/citations?hl=en&amp;vq=eng_computationallinguistics&amp;view_op=list_hcore&amp;venue=xo4pTqxCvn8J.2020" TargetMode="External"/><Relationship Id="rId38" Type="http://schemas.openxmlformats.org/officeDocument/2006/relationships/hyperlink" Target="https://scholar.google.com/citations?hl=en&amp;vq=eng_computationallinguistics&amp;view_op=list_hcore&amp;venue=b5B_Ql6KiOUJ.2020" TargetMode="External"/><Relationship Id="rId37" Type="http://schemas.openxmlformats.org/officeDocument/2006/relationships/hyperlink" Target="https://scholar.google.com/citations?hl=en&amp;vq=eng_computationallinguistics&amp;view_op=list_hcore&amp;venue=ChOJoaYoBoAJ.2020" TargetMode="External"/><Relationship Id="rId36" Type="http://schemas.openxmlformats.org/officeDocument/2006/relationships/hyperlink" Target="https://scholar.google.com/citations?hl=en&amp;vq=eng_computationallinguistics&amp;view_op=list_hcore&amp;venue=RLg5p-2vdE4J.2020" TargetMode="External"/><Relationship Id="rId35" Type="http://schemas.openxmlformats.org/officeDocument/2006/relationships/hyperlink" Target="https://scholar.google.com/citations?hl=en&amp;vq=eng_computationallinguistics&amp;view_op=list_hcore&amp;venue=A3Kjv-9fVZMJ.2020" TargetMode="External"/><Relationship Id="rId34" Type="http://schemas.openxmlformats.org/officeDocument/2006/relationships/hyperlink" Target="https://scholar.google.com/citations?hl=en&amp;vq=eng_computationallinguistics&amp;view_op=list_hcore&amp;venue=9-0ktENZUpkJ.2020" TargetMode="External"/><Relationship Id="rId33" Type="http://schemas.openxmlformats.org/officeDocument/2006/relationships/hyperlink" Target="https://scholar.google.com/citations?hl=en&amp;vq=eng_computationallinguistics&amp;view_op=list_hcore&amp;venue=BcW1rCwF3nQJ.2020" TargetMode="External"/><Relationship Id="rId32" Type="http://schemas.openxmlformats.org/officeDocument/2006/relationships/hyperlink" Target="https://scholar.google.com/citations?hl=en&amp;vq=eng_computationallinguistics&amp;view_op=list_hcore&amp;venue=wNGM6_RkxKgJ.2020" TargetMode="External"/><Relationship Id="rId31" Type="http://schemas.openxmlformats.org/officeDocument/2006/relationships/hyperlink" Target="https://scholar.google.com/citations?hl=en&amp;vq=eng_computationallinguistics&amp;view_op=list_hcore&amp;venue=qf6JB6yXg1UJ.2020" TargetMode="External"/><Relationship Id="rId30" Type="http://schemas.openxmlformats.org/officeDocument/2006/relationships/hyperlink" Target="https://scholar.google.com/citations?hl=en&amp;vq=eng_computationallinguistics&amp;view_op=list_hcore&amp;venue=H7TUtVM_vm4J.2020" TargetMode="External"/><Relationship Id="rId3" Type="http://schemas.openxmlformats.org/officeDocument/2006/relationships/hyperlink" Target="https://scholar.google.com/citations?hl=en&amp;vq=eng_artificialintelligence&amp;view_op=list_hcore&amp;venue=0032SoU2xY4J.2020" TargetMode="External"/><Relationship Id="rId29" Type="http://schemas.openxmlformats.org/officeDocument/2006/relationships/hyperlink" Target="https://scholar.google.com/citations?hl=en&amp;vq=eng_computationallinguistics&amp;view_op=list_hcore&amp;venue=JnFTLT-D1FUJ.2020" TargetMode="External"/><Relationship Id="rId28" Type="http://schemas.openxmlformats.org/officeDocument/2006/relationships/hyperlink" Target="https://scholar.google.com/citations?hl=en&amp;vq=eng_computationallinguistics&amp;view_op=list_hcore&amp;venue=6AfzgED5a7MJ.2020" TargetMode="External"/><Relationship Id="rId27" Type="http://schemas.openxmlformats.org/officeDocument/2006/relationships/hyperlink" Target="https://scholar.google.com/citations?hl=en&amp;vq=eng_computationallinguistics&amp;view_op=list_hcore&amp;venue=nnrJuCTuhnwJ.2020" TargetMode="External"/><Relationship Id="rId26" Type="http://schemas.openxmlformats.org/officeDocument/2006/relationships/hyperlink" Target="https://scholar.google.com/citations?hl=en&amp;vq=eng_computationallinguistics&amp;view_op=list_hcore&amp;venue=NCymNpPEF_cJ.2020" TargetMode="External"/><Relationship Id="rId25" Type="http://schemas.openxmlformats.org/officeDocument/2006/relationships/hyperlink" Target="https://scholar.google.com/citations?hl=en&amp;vq=eng_computationallinguistics&amp;view_op=list_hcore&amp;venue=ORSK3meVbY4J.2020" TargetMode="External"/><Relationship Id="rId24" Type="http://schemas.openxmlformats.org/officeDocument/2006/relationships/hyperlink" Target="https://scholar.google.com/citations?hl=en&amp;vq=eng_computationallinguistics&amp;view_op=list_hcore&amp;venue=LqrQjvOguiMJ.2020" TargetMode="External"/><Relationship Id="rId23" Type="http://schemas.openxmlformats.org/officeDocument/2006/relationships/hyperlink" Target="https://scholar.google.com/citations?hl=en&amp;vq=eng_computationallinguistics&amp;view_op=list_hcore&amp;venue=Y3UjV9bSCxMJ.2020" TargetMode="External"/><Relationship Id="rId22" Type="http://schemas.openxmlformats.org/officeDocument/2006/relationships/hyperlink" Target="https://scholar.google.com/citations?hl=en&amp;vq=eng_artificialintelligence&amp;view_op=list_hcore&amp;venue=u8NPKAo0xC4J.2020" TargetMode="External"/><Relationship Id="rId21" Type="http://schemas.openxmlformats.org/officeDocument/2006/relationships/hyperlink" Target="https://scholar.google.com/citations?hl=en&amp;vq=eng_artificialintelligence&amp;view_op=list_hcore&amp;venue=z7sajJgd5jIJ.2020" TargetMode="External"/><Relationship Id="rId20" Type="http://schemas.openxmlformats.org/officeDocument/2006/relationships/hyperlink" Target="https://scholar.google.com/citations?hl=en&amp;vq=eng_artificialintelligence&amp;view_op=list_hcore&amp;venue=Tex5np7oK4cJ.2020" TargetMode="External"/><Relationship Id="rId2" Type="http://schemas.openxmlformats.org/officeDocument/2006/relationships/vmlDrawing" Target="../drawings/vmlDrawing10.vml"/><Relationship Id="rId19" Type="http://schemas.openxmlformats.org/officeDocument/2006/relationships/hyperlink" Target="https://scholar.google.com/citations?hl=en&amp;vq=eng_artificialintelligence&amp;view_op=list_hcore&amp;venue=ZJCdr9rMI_sJ.2020" TargetMode="External"/><Relationship Id="rId18" Type="http://schemas.openxmlformats.org/officeDocument/2006/relationships/hyperlink" Target="https://scholar.google.com/citations?hl=en&amp;vq=eng_artificialintelligence&amp;view_op=list_hcore&amp;venue=PhcE9OLs0MUJ.2020" TargetMode="External"/><Relationship Id="rId17" Type="http://schemas.openxmlformats.org/officeDocument/2006/relationships/hyperlink" Target="https://scholar.google.com/citations?hl=en&amp;vq=eng_artificialintelligence&amp;view_op=list_hcore&amp;venue=jTbIWNF99y0J.2020" TargetMode="External"/><Relationship Id="rId16" Type="http://schemas.openxmlformats.org/officeDocument/2006/relationships/hyperlink" Target="https://scholar.google.com/citations?hl=en&amp;vq=eng_artificialintelligence&amp;view_op=list_hcore&amp;venue=vmMCjuIkb2oJ.2020" TargetMode="External"/><Relationship Id="rId15" Type="http://schemas.openxmlformats.org/officeDocument/2006/relationships/hyperlink" Target="https://scholar.google.com/citations?hl=en&amp;vq=eng_artificialintelligence&amp;view_op=list_hcore&amp;venue=zCpEFR9vJbsJ.2020" TargetMode="External"/><Relationship Id="rId14" Type="http://schemas.openxmlformats.org/officeDocument/2006/relationships/hyperlink" Target="https://scholar.google.com/citations?hl=en&amp;vq=eng_artificialintelligence&amp;view_op=list_hcore&amp;venue=bLMLC2tNXVYJ.2020" TargetMode="External"/><Relationship Id="rId13" Type="http://schemas.openxmlformats.org/officeDocument/2006/relationships/hyperlink" Target="https://scholar.google.com/citations?hl=en&amp;vq=eng_artificialintelligence&amp;view_op=list_hcore&amp;venue=DyEnkmF1XI0J.2020" TargetMode="External"/><Relationship Id="rId12" Type="http://schemas.openxmlformats.org/officeDocument/2006/relationships/hyperlink" Target="https://scholar.google.com/citations?hl=en&amp;vq=eng_artificialintelligence&amp;view_op=list_hcore&amp;venue=4HxsSu0PUdYJ.2020" TargetMode="External"/><Relationship Id="rId11" Type="http://schemas.openxmlformats.org/officeDocument/2006/relationships/hyperlink" Target="https://scholar.google.com/citations?hl=en&amp;vq=eng_artificialintelligence&amp;view_op=list_hcore&amp;venue=lFUe46cMy-8J.2020" TargetMode="External"/><Relationship Id="rId10" Type="http://schemas.openxmlformats.org/officeDocument/2006/relationships/hyperlink" Target="https://scholar.google.com/citations?hl=en&amp;vq=eng_artificialintelligence&amp;view_op=list_hcore&amp;venue=UiBaG4a78dYJ.2020" TargetMode="External"/><Relationship Id="rId1"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9" Type="http://schemas.openxmlformats.org/officeDocument/2006/relationships/hyperlink" Target="https://www.techpowerup.com/gpu-specs/geforce-rtx-4080.c3888;" TargetMode="External"/><Relationship Id="rId8" Type="http://schemas.openxmlformats.org/officeDocument/2006/relationships/hyperlink" Target="https://www.pcgamesn.com/nvidia/rtx-4090-release-date-price-spec-and-benchmarks" TargetMode="External"/><Relationship Id="rId7" Type="http://schemas.openxmlformats.org/officeDocument/2006/relationships/hyperlink" Target="https://images.nvidia.com/aem-dam/Solutions/geforce/ada/nvidia-ada-gpu-architecture.pdf" TargetMode="External"/><Relationship Id="rId65" Type="http://schemas.openxmlformats.org/officeDocument/2006/relationships/hyperlink" Target="https://www.techpowerup.com/gpu-specs/tesla-p100-pcie-16-gb.c2888" TargetMode="External"/><Relationship Id="rId64" Type="http://schemas.openxmlformats.org/officeDocument/2006/relationships/hyperlink" Target="https://www.techpowerup.com/gpu-specs/geforce-gtx-280.c216" TargetMode="External"/><Relationship Id="rId63" Type="http://schemas.openxmlformats.org/officeDocument/2006/relationships/hyperlink" Target="https://www.techpowerup.com/gpu-specs/geforce-gtx-580.c270" TargetMode="External"/><Relationship Id="rId62" Type="http://schemas.openxmlformats.org/officeDocument/2006/relationships/hyperlink" Target="https://www.techpowerup.com/gpu-specs/tesla-k20c.c564" TargetMode="External"/><Relationship Id="rId61" Type="http://schemas.openxmlformats.org/officeDocument/2006/relationships/hyperlink" Target="https://www.techpowerup.com/gpu-specs/quadro-k6000.c2426" TargetMode="External"/><Relationship Id="rId60" Type="http://schemas.openxmlformats.org/officeDocument/2006/relationships/hyperlink" Target="https://www.techpowerup.com/gpu-specs/tesla-k40s.c2528" TargetMode="External"/><Relationship Id="rId6" Type="http://schemas.openxmlformats.org/officeDocument/2006/relationships/hyperlink" Target="https://www.techpowerup.com/gpu-specs/geforce-rtx-4090.c3889" TargetMode="External"/><Relationship Id="rId59" Type="http://schemas.openxmlformats.org/officeDocument/2006/relationships/hyperlink" Target="https://www.anandtech.com/show/8729/nvidia-launches-tesla-k80-gk210-gpu" TargetMode="External"/><Relationship Id="rId58" Type="http://schemas.openxmlformats.org/officeDocument/2006/relationships/hyperlink" Target="https://www.nvidia.com/content/dam/en-zz/Solutions/Data-Center/tesla-product-literature/TeslaK80-datasheet.pdf" TargetMode="External"/><Relationship Id="rId57" Type="http://schemas.openxmlformats.org/officeDocument/2006/relationships/hyperlink" Target="https://www.techpowerup.com/gpu-specs/tesla-k80.c2616" TargetMode="External"/><Relationship Id="rId56" Type="http://schemas.openxmlformats.org/officeDocument/2006/relationships/hyperlink" Target="https://www.techpowerup.com/gpu-specs/geforce-gtx-titan-black.c2549" TargetMode="External"/><Relationship Id="rId55" Type="http://schemas.openxmlformats.org/officeDocument/2006/relationships/hyperlink" Target="https://www.techpowerup.com/gpu-specs/tesla-m60.c2760" TargetMode="External"/><Relationship Id="rId54" Type="http://schemas.openxmlformats.org/officeDocument/2006/relationships/hyperlink" Target="https://www.techpowerup.com/gpu-specs/quadro-m4000.c2757" TargetMode="External"/><Relationship Id="rId53" Type="http://schemas.openxmlformats.org/officeDocument/2006/relationships/hyperlink" Target="https://www.techpowerup.com/gpu-specs/quadro-k1200.c2641" TargetMode="External"/><Relationship Id="rId52" Type="http://schemas.openxmlformats.org/officeDocument/2006/relationships/hyperlink" Target="https://www.techpowerup.com/gpu-specs/tesla-m40.c2771" TargetMode="External"/><Relationship Id="rId51" Type="http://schemas.openxmlformats.org/officeDocument/2006/relationships/hyperlink" Target="https://www.techpowerup.com/gpu-specs/geforce-gtx-titan-x.c2632" TargetMode="External"/><Relationship Id="rId50" Type="http://schemas.openxmlformats.org/officeDocument/2006/relationships/hyperlink" Target="https://www.techpowerup.com/gpu-specs/tesla-p40.c2878" TargetMode="External"/><Relationship Id="rId5" Type="http://schemas.openxmlformats.org/officeDocument/2006/relationships/hyperlink" Target="https://www.pcgamer.com/amd-radeon-rx-7900-xtx-xt-price-release-date-specs/" TargetMode="External"/><Relationship Id="rId49" Type="http://schemas.openxmlformats.org/officeDocument/2006/relationships/hyperlink" Target="https://www.techpowerup.com/gpu-specs/quadro-p6000.c2865" TargetMode="External"/><Relationship Id="rId48" Type="http://schemas.openxmlformats.org/officeDocument/2006/relationships/hyperlink" Target="https://www.techpowerup.com/gpu-specs/quadro-p5000.c2864" TargetMode="External"/><Relationship Id="rId47" Type="http://schemas.openxmlformats.org/officeDocument/2006/relationships/hyperlink" Target="https://images.nvidia.com/content/pdf/tesla/184457-Tesla-P4-Datasheet-NV-Final-Letter-Web.pdf" TargetMode="External"/><Relationship Id="rId46" Type="http://schemas.openxmlformats.org/officeDocument/2006/relationships/hyperlink" Target="https://www.techpowerup.com/gpu-specs/tesla-p4.c2879" TargetMode="External"/><Relationship Id="rId45" Type="http://schemas.openxmlformats.org/officeDocument/2006/relationships/hyperlink" Target="https://images.nvidia.com/content/tesla/pdf/nvidia-tesla-p100-PCIe-datasheet.pdf" TargetMode="External"/><Relationship Id="rId44" Type="http://schemas.openxmlformats.org/officeDocument/2006/relationships/hyperlink" Target="https://www.techpowerup.com/gpu-specs/quadro-p4000.c2930" TargetMode="External"/><Relationship Id="rId43" Type="http://schemas.openxmlformats.org/officeDocument/2006/relationships/hyperlink" Target="https://www.techpowerup.com/gpu-specs/geforce-gtx-1080-ti.c2877" TargetMode="External"/><Relationship Id="rId42" Type="http://schemas.openxmlformats.org/officeDocument/2006/relationships/hyperlink" Target="https://www.techpowerup.com/gpu-specs/tesla-v100-sxm2-16-gb.c3018" TargetMode="External"/><Relationship Id="rId41" Type="http://schemas.openxmlformats.org/officeDocument/2006/relationships/hyperlink" Target="https://images.nvidia.com/content/technologies/volta/pdf/volta-v100-datasheet-update-us-1165301-r5.pdf" TargetMode="External"/><Relationship Id="rId40" Type="http://schemas.openxmlformats.org/officeDocument/2006/relationships/hyperlink" Target="https://www.techpowerup.com/gpu-specs/titan-v.c3051" TargetMode="External"/><Relationship Id="rId4" Type="http://schemas.openxmlformats.org/officeDocument/2006/relationships/hyperlink" Target="https://www.techpowerup.com/gpu-specs/radeon-rx-7900-xtx.c3941" TargetMode="External"/><Relationship Id="rId39" Type="http://schemas.openxmlformats.org/officeDocument/2006/relationships/hyperlink" Target="https://www.techpowerup.com/gpu-specs/titan-xp.c2948" TargetMode="External"/><Relationship Id="rId38" Type="http://schemas.openxmlformats.org/officeDocument/2006/relationships/hyperlink" Target="https://woolypooly.com/en/device/gpu/nvidia-quadro-rtx-6000" TargetMode="External"/><Relationship Id="rId37" Type="http://schemas.openxmlformats.org/officeDocument/2006/relationships/hyperlink" Target="https://www.techpowerup.com/gpu-specs/quadro-rtx-6000.c3307" TargetMode="External"/><Relationship Id="rId36" Type="http://schemas.openxmlformats.org/officeDocument/2006/relationships/hyperlink" Target="https://www.techpowerup.com/gpu-specs/quadro-rtx-5000.c3308" TargetMode="External"/><Relationship Id="rId35" Type="http://schemas.openxmlformats.org/officeDocument/2006/relationships/hyperlink" Target="https://www.techpowerup.com/gpu-specs/quadro-rtx-4000.c3336" TargetMode="External"/><Relationship Id="rId34" Type="http://schemas.openxmlformats.org/officeDocument/2006/relationships/hyperlink" Target="https://www.techpowerup.com/gpu-specs/tesla-t4.c3316" TargetMode="External"/><Relationship Id="rId33" Type="http://schemas.openxmlformats.org/officeDocument/2006/relationships/hyperlink" Target="https://www.techpowerup.com/gpu-specs/quadro-rtx-8000.c3306" TargetMode="External"/><Relationship Id="rId32" Type="http://schemas.openxmlformats.org/officeDocument/2006/relationships/hyperlink" Target="https://www.techpowerup.com/gpu-specs/geforce-rtx-2080-ti.c3305" TargetMode="External"/><Relationship Id="rId31" Type="http://schemas.openxmlformats.org/officeDocument/2006/relationships/hyperlink" Target="https://cacm.acm.org/magazines/2020/7/245702-a-domain-specific-supercomputer-for-training-deep-neural-networks/fulltext" TargetMode="External"/><Relationship Id="rId30" Type="http://schemas.openxmlformats.org/officeDocument/2006/relationships/hyperlink" Target="https://www.tomsguide.com/news/nvidia-geforce-rtx-3080-ti" TargetMode="External"/><Relationship Id="rId3" Type="http://schemas.openxmlformats.org/officeDocument/2006/relationships/hyperlink" Target="https://lambdalabs.com/gpu-benchmarks" TargetMode="External"/><Relationship Id="rId29" Type="http://schemas.openxmlformats.org/officeDocument/2006/relationships/hyperlink" Target="https://www.techpowerup.com/gpu-specs/geforce-rtx-3080.c3621" TargetMode="External"/><Relationship Id="rId28" Type="http://schemas.openxmlformats.org/officeDocument/2006/relationships/hyperlink" Target="https://wccftech.com/nvidia-rtx-a6000-48-gb-workstation-graphics-card-full-ga102-gpu-4650-us/" TargetMode="External"/><Relationship Id="rId27" Type="http://schemas.openxmlformats.org/officeDocument/2006/relationships/hyperlink" Target="https://www.techpowerup.com/gpu-specs/rtx-a6000.c3686" TargetMode="External"/><Relationship Id="rId26" Type="http://schemas.openxmlformats.org/officeDocument/2006/relationships/hyperlink" Target="https://www.tomsguide.com/news/nvidia-geforce-rtx-3090" TargetMode="External"/><Relationship Id="rId25" Type="http://schemas.openxmlformats.org/officeDocument/2006/relationships/hyperlink" Target="https://images.nvidia.com/aem-dam/en-zz/Solutions/geforce/ampere/pdf/NVIDIA-ampere-GA102-GPU-Architecture-Whitepaper-V1.pdf" TargetMode="External"/><Relationship Id="rId24" Type="http://schemas.openxmlformats.org/officeDocument/2006/relationships/hyperlink" Target="https://www.techpowerup.com/gpu-specs/geforce-rtx-3090.c3622" TargetMode="External"/><Relationship Id="rId23" Type="http://schemas.openxmlformats.org/officeDocument/2006/relationships/hyperlink" Target="https://www.nvidia.com/content/dam/en-zz/Solutions/Data-Center/a100/pdf/nvidia-a100-datasheet-us-nvidia-1758950-r4-web.pdf" TargetMode="External"/><Relationship Id="rId22" Type="http://schemas.openxmlformats.org/officeDocument/2006/relationships/hyperlink" Target="https://www.techpowerup.com/gpu-specs/a100-sxm4-80-gb.c3746" TargetMode="External"/><Relationship Id="rId21" Type="http://schemas.openxmlformats.org/officeDocument/2006/relationships/hyperlink" Target="https://www.techpowerup.com/gpu-specs/a10g.c3798" TargetMode="External"/><Relationship Id="rId20" Type="http://schemas.openxmlformats.org/officeDocument/2006/relationships/hyperlink" Target="http://techpowerup.com/gpu-specs/rtx-a4000.c3756" TargetMode="External"/><Relationship Id="rId2" Type="http://schemas.openxmlformats.org/officeDocument/2006/relationships/vmlDrawing" Target="../drawings/vmlDrawing11.vml"/><Relationship Id="rId19" Type="http://schemas.openxmlformats.org/officeDocument/2006/relationships/hyperlink" Target="https://develop3d.com/hardware/nvidia-rtx-a4000-and-rtx-a5000-gpus-launch/" TargetMode="External"/><Relationship Id="rId18" Type="http://schemas.openxmlformats.org/officeDocument/2006/relationships/hyperlink" Target="https://www.techpowerup.com/gpu-specs/rtx-a5000.c3748" TargetMode="External"/><Relationship Id="rId17" Type="http://schemas.openxmlformats.org/officeDocument/2006/relationships/hyperlink" Target="https://dl.acm.org/doi/pdf/10.1145/3360307" TargetMode="External"/><Relationship Id="rId16" Type="http://schemas.openxmlformats.org/officeDocument/2006/relationships/hyperlink" Target="https://cloud.google.com/tpu/docs/system-architecture-tpu-vm" TargetMode="External"/><Relationship Id="rId15" Type="http://schemas.openxmlformats.org/officeDocument/2006/relationships/hyperlink" Target="https://www.wikiwand.com/en/AMD_Instinct" TargetMode="External"/><Relationship Id="rId14" Type="http://schemas.openxmlformats.org/officeDocument/2006/relationships/hyperlink" Target="https://www.amd.com/system/files/documents/amd-instinct-mi200-datasheet.pdf" TargetMode="External"/><Relationship Id="rId13" Type="http://schemas.openxmlformats.org/officeDocument/2006/relationships/hyperlink" Target="https://www.wikiwand.com/en/GeForce_30_series" TargetMode="External"/><Relationship Id="rId12" Type="http://schemas.openxmlformats.org/officeDocument/2006/relationships/hyperlink" Target="https://www.techpowerup.com/gpu-specs/geforce-rtx-3090-ti.c3829" TargetMode="External"/><Relationship Id="rId11" Type="http://schemas.openxmlformats.org/officeDocument/2006/relationships/hyperlink" Target="https://resources.nvidia.com/en-us-tensor-core/nvidia-tensor-core-gpu-datasheet;" TargetMode="External"/><Relationship Id="rId10" Type="http://schemas.openxmlformats.org/officeDocument/2006/relationships/hyperlink" Target="https://www.techpowerup.com/gpu-specs/h100-sxm5.c3900" TargetMode="Externa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9" Type="http://schemas.openxmlformats.org/officeDocument/2006/relationships/hyperlink" Target="https://arxiv.org/abs/1610.02357" TargetMode="External"/><Relationship Id="rId8" Type="http://schemas.openxmlformats.org/officeDocument/2006/relationships/hyperlink" Target="https://arxiv.org/abs/1609.08144" TargetMode="External"/><Relationship Id="rId7" Type="http://schemas.openxmlformats.org/officeDocument/2006/relationships/hyperlink" Target="https://arxiv.org/pdf/1512.02595.pdf" TargetMode="External"/><Relationship Id="rId6" Type="http://schemas.openxmlformats.org/officeDocument/2006/relationships/hyperlink" Target="https://arxiv.org/abs/1512.02595" TargetMode="External"/><Relationship Id="rId5" Type="http://schemas.openxmlformats.org/officeDocument/2006/relationships/hyperlink" Target="https://arxiv.org/abs/1409.3215" TargetMode="External"/><Relationship Id="rId4" Type="http://schemas.openxmlformats.org/officeDocument/2006/relationships/hyperlink" Target="https://arxiv.org/pdf/1409.1556.pdf" TargetMode="External"/><Relationship Id="rId31" Type="http://schemas.openxmlformats.org/officeDocument/2006/relationships/hyperlink" Target="https://arxiv.org/pdf/2105.15082.pdf" TargetMode="External"/><Relationship Id="rId30" Type="http://schemas.openxmlformats.org/officeDocument/2006/relationships/hyperlink" Target="https://arxiv.org/pdf/2104.00298v3.pdf" TargetMode="External"/><Relationship Id="rId3" Type="http://schemas.openxmlformats.org/officeDocument/2006/relationships/hyperlink" Target="https://arxiv.org/abs/1311.2901" TargetMode="External"/><Relationship Id="rId29" Type="http://schemas.openxmlformats.org/officeDocument/2006/relationships/hyperlink" Target="https://arxiv.org/abs/2104.05158" TargetMode="External"/><Relationship Id="rId28" Type="http://schemas.openxmlformats.org/officeDocument/2006/relationships/hyperlink" Target="https://arxiv.org/pdf/2103.01988.pdf" TargetMode="External"/><Relationship Id="rId27" Type="http://schemas.openxmlformats.org/officeDocument/2006/relationships/hyperlink" Target="https://arxiv.org/pdf/2006.11477.pdf" TargetMode="External"/><Relationship Id="rId26" Type="http://schemas.openxmlformats.org/officeDocument/2006/relationships/hyperlink" Target="https://openai.com/blog/image-gpt/" TargetMode="External"/><Relationship Id="rId25" Type="http://schemas.openxmlformats.org/officeDocument/2006/relationships/hyperlink" Target="https://arxiv.org/abs/2005.14165" TargetMode="External"/><Relationship Id="rId24" Type="http://schemas.openxmlformats.org/officeDocument/2006/relationships/hyperlink" Target="https://arxiv.org/abs/2002.05709" TargetMode="External"/><Relationship Id="rId23" Type="http://schemas.openxmlformats.org/officeDocument/2006/relationships/hyperlink" Target="https://arxiv.org/abs/1910.10683" TargetMode="External"/><Relationship Id="rId22" Type="http://schemas.openxmlformats.org/officeDocument/2006/relationships/hyperlink" Target="https://arxiv.org/abs/1910.07113" TargetMode="External"/><Relationship Id="rId21" Type="http://schemas.openxmlformats.org/officeDocument/2006/relationships/hyperlink" Target="https://arxiv.org/pdf/1903.11059.pdf" TargetMode="External"/><Relationship Id="rId20" Type="http://schemas.openxmlformats.org/officeDocument/2006/relationships/hyperlink" Target="https://arxiv.org/abs/1909.08053" TargetMode="External"/><Relationship Id="rId2" Type="http://schemas.openxmlformats.org/officeDocument/2006/relationships/hyperlink" Target="https://papers.nips.cc/paper/4824-imagenet-classification-with-deep-convolutional-neural-networks.pdf" TargetMode="External"/><Relationship Id="rId19" Type="http://schemas.openxmlformats.org/officeDocument/2006/relationships/hyperlink" Target="https://arxiv.org/pdf/1807.11626.pdf" TargetMode="External"/><Relationship Id="rId18" Type="http://schemas.openxmlformats.org/officeDocument/2006/relationships/hyperlink" Target="https://arxiv.org/abs/1809.11096" TargetMode="External"/><Relationship Id="rId17" Type="http://schemas.openxmlformats.org/officeDocument/2006/relationships/hyperlink" Target="https://arxiv.org/abs/1804.02767" TargetMode="External"/><Relationship Id="rId16" Type="http://schemas.openxmlformats.org/officeDocument/2006/relationships/hyperlink" Target="https://arxiv.org/abs/1802.01561" TargetMode="External"/><Relationship Id="rId15" Type="http://schemas.openxmlformats.org/officeDocument/2006/relationships/hyperlink" Target="https://arxiv.org/pdf/1707.02968.pdf" TargetMode="External"/><Relationship Id="rId14" Type="http://schemas.openxmlformats.org/officeDocument/2006/relationships/hyperlink" Target="https://proceedings.neurips.cc/paper/2017/file/3f5ee243547dee91fbd053c1c4a845aa-Paper.pdf" TargetMode="External"/><Relationship Id="rId13" Type="http://schemas.openxmlformats.org/officeDocument/2006/relationships/hyperlink" Target="https://arxiv.org/pdf/1610.02357.pdf" TargetMode="External"/><Relationship Id="rId12" Type="http://schemas.openxmlformats.org/officeDocument/2006/relationships/hyperlink" Target="https://arxiv.org/abs/1701.06538" TargetMode="External"/><Relationship Id="rId11" Type="http://schemas.openxmlformats.org/officeDocument/2006/relationships/hyperlink" Target="https://arxiv.org/abs/1611.01578" TargetMode="External"/><Relationship Id="rId10" Type="http://schemas.openxmlformats.org/officeDocument/2006/relationships/hyperlink" Target="https://arxiv.org/pdf/1609.08144.pdf" TargetMode="External"/><Relationship Id="rId1" Type="http://schemas.openxmlformats.org/officeDocument/2006/relationships/hyperlink" Target="https://arxiv.org/abs/1207.0580" TargetMode="External"/></Relationships>
</file>

<file path=xl/worksheets/_rels/sheet16.xml.rels><?xml version="1.0" encoding="UTF-8" standalone="yes"?>
<Relationships xmlns="http://schemas.openxmlformats.org/package/2006/relationships"><Relationship Id="rId9" Type="http://schemas.openxmlformats.org/officeDocument/2006/relationships/hyperlink" Target="https://twitter.com/albrgr/status/1441068221231026188" TargetMode="External"/><Relationship Id="rId8" Type="http://schemas.openxmlformats.org/officeDocument/2006/relationships/hyperlink" Target="https://forum.effectivealtruism.org/posts/BHPxe8YuuJ4SZWAF3/compute-transformative-ai-and-compute-1-4" TargetMode="External"/><Relationship Id="rId7" Type="http://schemas.openxmlformats.org/officeDocument/2006/relationships/hyperlink" Target="https://neurons.ai/blog/news-stories/parameter-counts-in-machine-learning-by-jaime-sevilla-jul-2021-towards-data-science/" TargetMode="External"/><Relationship Id="rId6" Type="http://schemas.openxmlformats.org/officeDocument/2006/relationships/hyperlink" Target="http://neurons.ai/" TargetMode="External"/><Relationship Id="rId5" Type="http://schemas.openxmlformats.org/officeDocument/2006/relationships/hyperlink" Target="https://towardsdatascience.com/parameter-counts-in-machine-learning-a312dc4753d0" TargetMode="External"/><Relationship Id="rId4" Type="http://schemas.openxmlformats.org/officeDocument/2006/relationships/hyperlink" Target="https://us13.campaign-archive.com/?u=67bd06787e84d73db24fb0aa5&amp;id=c6b2399af9" TargetMode="External"/><Relationship Id="rId3" Type="http://schemas.openxmlformats.org/officeDocument/2006/relationships/hyperlink" Target="https://mailchi.mp/79ac4ef6d9da/an-154what-economic-growth-theory-has-to-say-about-transformative-ai" TargetMode="External"/><Relationship Id="rId2" Type="http://schemas.openxmlformats.org/officeDocument/2006/relationships/vmlDrawing" Target="../drawings/vmlDrawing12.vml"/><Relationship Id="rId10" Type="http://schemas.openxmlformats.org/officeDocument/2006/relationships/hyperlink" Target="https://forum.effectivealtruism.org/posts/aSDnzAm85a3Pi87rm/what-role-should-evolutionary-analogies-play-in" TargetMode="External"/><Relationship Id="rId1"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2" Type="http://schemas.openxmlformats.org/officeDocument/2006/relationships/hyperlink" Target="http://image-net.org/static_files/papers/ImageNet_VSS2009.pdf" TargetMode="External"/><Relationship Id="rId1" Type="http://schemas.openxmlformats.org/officeDocument/2006/relationships/hyperlink" Target="http://vis-www.cs.umass.edu/lfw/"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9" Type="http://schemas.openxmlformats.org/officeDocument/2006/relationships/hyperlink" Target="https://docs.google.com/spreadsheets/d/1gc6yse74XCwBx028HV_cvdxwXkmXejVjkO-Mz2uwE0k/edit" TargetMode="External"/><Relationship Id="rId8" Type="http://schemas.openxmlformats.org/officeDocument/2006/relationships/hyperlink" Target="https://openai.com/blog/ai-and-compute/" TargetMode="External"/><Relationship Id="rId77" Type="http://schemas.openxmlformats.org/officeDocument/2006/relationships/hyperlink" Target="https://docs.google.com/document/d/1WP71tXiLb4oX2Bs5xZ5-rzeobhA7SYQdKtbRwd5FoRI/edit" TargetMode="External"/><Relationship Id="rId76" Type="http://schemas.openxmlformats.org/officeDocument/2006/relationships/hyperlink" Target="https://ai100.stanford.edu/sites/g/files/sbiybj18871/files/media/file/AI100Report_MT_10.pdf" TargetMode="External"/><Relationship Id="rId75" Type="http://schemas.openxmlformats.org/officeDocument/2006/relationships/hyperlink" Target="https://www.nature.com/articles/s42256-021-00339-6" TargetMode="External"/><Relationship Id="rId74" Type="http://schemas.openxmlformats.org/officeDocument/2006/relationships/hyperlink" Target="https://github.com/tensorflow/tensorflow/blob/master/tensorflow/core/profiler/g3doc/profile_model_architecture.md" TargetMode="External"/><Relationship Id="rId73" Type="http://schemas.openxmlformats.org/officeDocument/2006/relationships/hyperlink" Target="https://www.sciencedirect.com/science/article/pii/S0896627321005018" TargetMode="External"/><Relationship Id="rId72" Type="http://schemas.openxmlformats.org/officeDocument/2006/relationships/hyperlink" Target="https://www.openphilanthropy.org/brain-computation-report" TargetMode="External"/><Relationship Id="rId71" Type="http://schemas.openxmlformats.org/officeDocument/2006/relationships/hyperlink" Target="https://github.com/jeffalstott/technologytimeseries_forecasting" TargetMode="External"/><Relationship Id="rId70" Type="http://schemas.openxmlformats.org/officeDocument/2006/relationships/hyperlink" Target="http://www.vc-challenge.org/" TargetMode="External"/><Relationship Id="rId7" Type="http://schemas.openxmlformats.org/officeDocument/2006/relationships/hyperlink" Target="https://www.gwern.net/notes/Scaling" TargetMode="External"/><Relationship Id="rId69" Type="http://schemas.openxmlformats.org/officeDocument/2006/relationships/hyperlink" Target="https://github.com/microsoft/recommenders" TargetMode="External"/><Relationship Id="rId68" Type="http://schemas.openxmlformats.org/officeDocument/2006/relationships/hyperlink" Target="https://assets.amazon.science/76/9e/7eac89c14a838746e91dde0a5e9f/two-decades-of-recommender-systems-at-amazon.pdf" TargetMode="External"/><Relationship Id="rId67" Type="http://schemas.openxmlformats.org/officeDocument/2006/relationships/hyperlink" Target="http://amazon.com/" TargetMode="External"/><Relationship Id="rId66" Type="http://schemas.openxmlformats.org/officeDocument/2006/relationships/hyperlink" Target="https://www.netflixprize.com/leaderboard.html" TargetMode="External"/><Relationship Id="rId65" Type="http://schemas.openxmlformats.org/officeDocument/2006/relationships/hyperlink" Target="http://files.grouplens.org/papers/ec00.pdf" TargetMode="External"/><Relationship Id="rId64" Type="http://schemas.openxmlformats.org/officeDocument/2006/relationships/hyperlink" Target="https://link.springer.com/article/10.1023/A:1009804230409" TargetMode="External"/><Relationship Id="rId63" Type="http://schemas.openxmlformats.org/officeDocument/2006/relationships/hyperlink" Target="https://www.researchgate.net/publication/264023918_A_Literature_Review_and_Classification_of_Recommender_Systems_on_Academic_Journals" TargetMode="External"/><Relationship Id="rId62" Type="http://schemas.openxmlformats.org/officeDocument/2006/relationships/hyperlink" Target="https://mobile.twitter.com/tamaybes/status/1330506035811987458" TargetMode="External"/><Relationship Id="rId61" Type="http://schemas.openxmlformats.org/officeDocument/2006/relationships/hyperlink" Target="https://ieeexplore.ieee.org/xpl/conhome/6118259/proceeding" TargetMode="External"/><Relationship Id="rId60" Type="http://schemas.openxmlformats.org/officeDocument/2006/relationships/hyperlink" Target="http://www.cis.jhu.edu/~rvidal/talks/Keynotes/AI-Frontiers-APL19.pdf" TargetMode="External"/><Relationship Id="rId6" Type="http://schemas.openxmlformats.org/officeDocument/2006/relationships/hyperlink" Target="https://www.alignmentforum.org/posts/k2SNji3jXaLGhBeYP/extrapolating-gpt-n-performance" TargetMode="External"/><Relationship Id="rId59" Type="http://schemas.openxmlformats.org/officeDocument/2006/relationships/hyperlink" Target="https://arxiv.org/pdf/1708.02709.pdf" TargetMode="External"/><Relationship Id="rId58" Type="http://schemas.openxmlformats.org/officeDocument/2006/relationships/hyperlink" Target="https://www.bnlearn.com/bnrepository/" TargetMode="External"/><Relationship Id="rId57" Type="http://schemas.openxmlformats.org/officeDocument/2006/relationships/hyperlink" Target="https://www.thecvf.com/?page_id=413" TargetMode="External"/><Relationship Id="rId56" Type="http://schemas.openxmlformats.org/officeDocument/2006/relationships/hyperlink" Target="https://huggingface.co/course/chapter1/4?fw=pt" TargetMode="External"/><Relationship Id="rId55" Type="http://schemas.openxmlformats.org/officeDocument/2006/relationships/hyperlink" Target="https://www.aclweb.org/anthology/2020.acl-main.464.pdf" TargetMode="External"/><Relationship Id="rId54" Type="http://schemas.openxmlformats.org/officeDocument/2006/relationships/hyperlink" Target="https://aclweb.org/aclwiki/Best_paper_awards" TargetMode="External"/><Relationship Id="rId53" Type="http://schemas.openxmlformats.org/officeDocument/2006/relationships/hyperlink" Target="https://www.aclweb.org/portal/content/announcement-2020-acl-test-time-awards-tot" TargetMode="External"/><Relationship Id="rId52" Type="http://schemas.openxmlformats.org/officeDocument/2006/relationships/hyperlink" Target="http://incompleteideas.net/book/first/ebook/node12.html" TargetMode="External"/><Relationship Id="rId51" Type="http://schemas.openxmlformats.org/officeDocument/2006/relationships/hyperlink" Target="https://en.wikipedia.org/wiki/DARPA_Grand_Challenge" TargetMode="External"/><Relationship Id="rId50" Type="http://schemas.openxmlformats.org/officeDocument/2006/relationships/hyperlink" Target="https://www.eff.org/ai/metrics" TargetMode="External"/><Relationship Id="rId5" Type="http://schemas.openxmlformats.org/officeDocument/2006/relationships/hyperlink" Target="https://www.gwern.net/docs/ai/2013-grace.pdf" TargetMode="External"/><Relationship Id="rId49" Type="http://schemas.openxmlformats.org/officeDocument/2006/relationships/hyperlink" Target="https://www.semanticscholar.org/paper/Artificial-Intelligence-Nilsson/b886f2c097b635ee9550ca29fff7dcbbb7727ff7" TargetMode="External"/><Relationship Id="rId48" Type="http://schemas.openxmlformats.org/officeDocument/2006/relationships/hyperlink" Target="https://towardsdatascience.com/history-of-ai-research-90a6cc8adc9c" TargetMode="External"/><Relationship Id="rId47" Type="http://schemas.openxmlformats.org/officeDocument/2006/relationships/hyperlink" Target="https://80000hours.org/podcast/episodes/brian-christian-the-alignment-problem/" TargetMode="External"/><Relationship Id="rId46" Type="http://schemas.openxmlformats.org/officeDocument/2006/relationships/hyperlink" Target="https://people.idsia.ch//~juergen/who-invented-backpropagation.html" TargetMode="External"/><Relationship Id="rId45" Type="http://schemas.openxmlformats.org/officeDocument/2006/relationships/hyperlink" Target="https://www.microsoft.com/en-us/research/publication/achieving-human-parity-on-automatic-chinese-to-english-news-translation/" TargetMode="External"/><Relationship Id="rId44" Type="http://schemas.openxmlformats.org/officeDocument/2006/relationships/hyperlink" Target="https://www.quora.com/Which-are-the-most-famous-and-the-most-cited-machine-learning-papers-in-the-last-five-decades-Which-of-these-papers-lay-down-the-fundamentals-of-machine-learning-itself" TargetMode="External"/><Relationship Id="rId43" Type="http://schemas.openxmlformats.org/officeDocument/2006/relationships/hyperlink" Target="https://www.davidsilver.uk/wp-content/uploads/2020/03/games.pdf" TargetMode="External"/><Relationship Id="rId42" Type="http://schemas.openxmlformats.org/officeDocument/2006/relationships/hyperlink" Target="https://sebastianraschka.com/pdf/lecture-notes/stat479ss19/L02_dl-history_slides.pdf" TargetMode="External"/><Relationship Id="rId41" Type="http://schemas.openxmlformats.org/officeDocument/2006/relationships/hyperlink" Target="https://en.wikipedia.org/wiki/Timeline_of_artificial_intelligence" TargetMode="External"/><Relationship Id="rId40" Type="http://schemas.openxmlformats.org/officeDocument/2006/relationships/hyperlink" Target="https://en.wikipedia.org/wiki/Timeline_of_machine_learning" TargetMode="External"/><Relationship Id="rId4" Type="http://schemas.openxmlformats.org/officeDocument/2006/relationships/hyperlink" Target="https://arxiv.org/pdf/1712.00409.pdf" TargetMode="External"/><Relationship Id="rId39" Type="http://schemas.openxmlformats.org/officeDocument/2006/relationships/hyperlink" Target="https://scholar.google.com/citations?view_op=top_venues&amp;hl=en&amp;vq=eng_computervisionpatternrecognition" TargetMode="External"/><Relationship Id="rId38" Type="http://schemas.openxmlformats.org/officeDocument/2006/relationships/hyperlink" Target="https://scholar.google.com/citations?view_op=top_venues&amp;hl=en&amp;vq=eng_artificialintelligence" TargetMode="External"/><Relationship Id="rId37" Type="http://schemas.openxmlformats.org/officeDocument/2006/relationships/hyperlink" Target="https://www.sciencedirect.com/science/article/pii/S0893608014002135" TargetMode="External"/><Relationship Id="rId36" Type="http://schemas.openxmlformats.org/officeDocument/2006/relationships/hyperlink" Target="https://people.idsia.ch/~juergen/deep-learning-conspiracy.html" TargetMode="External"/><Relationship Id="rId35" Type="http://schemas.openxmlformats.org/officeDocument/2006/relationships/hyperlink" Target="http://yann.lecun.com/exdb/mnist/" TargetMode="External"/><Relationship Id="rId34" Type="http://schemas.openxmlformats.org/officeDocument/2006/relationships/hyperlink" Target="https://scholar.google.com/citations?view_op=top_venues&amp;hl=en&amp;vq=en" TargetMode="External"/><Relationship Id="rId33" Type="http://schemas.openxmlformats.org/officeDocument/2006/relationships/hyperlink" Target="https://github.com/terryum/awesome-deep-learning-papers" TargetMode="External"/><Relationship Id="rId32" Type="http://schemas.openxmlformats.org/officeDocument/2006/relationships/hyperlink" Target="https://spectrum.ieee.org/deep-learning-computational-cost" TargetMode="External"/><Relationship Id="rId31" Type="http://schemas.openxmlformats.org/officeDocument/2006/relationships/hyperlink" Target="https://arxiv.org/pdf/2103.00020.pdf" TargetMode="External"/><Relationship Id="rId30" Type="http://schemas.openxmlformats.org/officeDocument/2006/relationships/hyperlink" Target="https://github.com/kingoflolz/mesh-transformer-jax/" TargetMode="External"/><Relationship Id="rId3" Type="http://schemas.openxmlformats.org/officeDocument/2006/relationships/hyperlink" Target="https://arxiv.org/ftp/arxiv/papers/2005/2005.04305.pdf" TargetMode="External"/><Relationship Id="rId29" Type="http://schemas.openxmlformats.org/officeDocument/2006/relationships/hyperlink" Target="https://openreview.net/pdf?id=Bygq-H9eg" TargetMode="External"/><Relationship Id="rId28" Type="http://schemas.openxmlformats.org/officeDocument/2006/relationships/hyperlink" Target="https://arxiv.org/pdf/2104.05158.pdf" TargetMode="External"/><Relationship Id="rId27" Type="http://schemas.openxmlformats.org/officeDocument/2006/relationships/hyperlink" Target="https://paperswithcode.com/paper/self-training-with-noisy-student-improves/review/" TargetMode="External"/><Relationship Id="rId26" Type="http://schemas.openxmlformats.org/officeDocument/2006/relationships/hyperlink" Target="https://towardsdatascience.com/illustrated-10-cnn-architectures-95d78ace614d" TargetMode="External"/><Relationship Id="rId25" Type="http://schemas.openxmlformats.org/officeDocument/2006/relationships/hyperlink" Target="https://arxiv.org/pdf/1911.09070.pdf" TargetMode="External"/><Relationship Id="rId24" Type="http://schemas.openxmlformats.org/officeDocument/2006/relationships/hyperlink" Target="https://paperswithcode.com/paper/simplifying-neural-machine-translation-with/review/" TargetMode="External"/><Relationship Id="rId23" Type="http://schemas.openxmlformats.org/officeDocument/2006/relationships/hyperlink" Target="http://faculty.washington.edu/ebender/papers/Stochastic_Parrots.pdf" TargetMode="External"/><Relationship Id="rId22" Type="http://schemas.openxmlformats.org/officeDocument/2006/relationships/hyperlink" Target="https://arxiv.org/abs/1611.01578" TargetMode="External"/><Relationship Id="rId21" Type="http://schemas.openxmlformats.org/officeDocument/2006/relationships/hyperlink" Target="https://arxiv.org/pdf/1910.01108.pdf" TargetMode="External"/><Relationship Id="rId20" Type="http://schemas.openxmlformats.org/officeDocument/2006/relationships/hyperlink" Target="https://twitter.com/draecomino/status/1362051082273386500?s=20" TargetMode="External"/><Relationship Id="rId2" Type="http://schemas.openxmlformats.org/officeDocument/2006/relationships/vmlDrawing" Target="../drawings/vmlDrawing3.vml"/><Relationship Id="rId19" Type="http://schemas.openxmlformats.org/officeDocument/2006/relationships/hyperlink" Target="https://arxiv.org/pdf/2007.05558.pdf" TargetMode="External"/><Relationship Id="rId18" Type="http://schemas.openxmlformats.org/officeDocument/2006/relationships/hyperlink" Target="https://openai.com/blog/ai-and-efficiency/" TargetMode="External"/><Relationship Id="rId17" Type="http://schemas.openxmlformats.org/officeDocument/2006/relationships/hyperlink" Target="https://github.com/albanie/convnet-burden" TargetMode="External"/><Relationship Id="rId16" Type="http://schemas.openxmlformats.org/officeDocument/2006/relationships/hyperlink" Target="https://openai.com/blog/image-gpt/" TargetMode="External"/><Relationship Id="rId15" Type="http://schemas.openxmlformats.org/officeDocument/2006/relationships/hyperlink" Target="https://nlpprogress.com/english/language_modeling.html" TargetMode="External"/><Relationship Id="rId14" Type="http://schemas.openxmlformats.org/officeDocument/2006/relationships/hyperlink" Target="https://computerprogress.com/" TargetMode="External"/><Relationship Id="rId13" Type="http://schemas.openxmlformats.org/officeDocument/2006/relationships/hyperlink" Target="https://arxiv.org/abs/2109.05472" TargetMode="External"/><Relationship Id="rId12" Type="http://schemas.openxmlformats.org/officeDocument/2006/relationships/hyperlink" Target="https://www.alignmentforum.org/posts/wfpdejMWog4vEDLDg/ai-and-compute-trend-isn-t-predictive-of-what-is-happening" TargetMode="External"/><Relationship Id="rId11" Type="http://schemas.openxmlformats.org/officeDocument/2006/relationships/hyperlink" Target="https://www.aitracker.org/" TargetMode="External"/><Relationship Id="rId10" Type="http://schemas.openxmlformats.org/officeDocument/2006/relationships/hyperlink" Target="https://lair.lighton.ai/akronomicon/" TargetMode="Externa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99" Type="http://schemas.openxmlformats.org/officeDocument/2006/relationships/hyperlink" Target="http://tongzhang-ml.org/papers/eccv10_supervect.pdf" TargetMode="External"/><Relationship Id="rId98" Type="http://schemas.openxmlformats.org/officeDocument/2006/relationships/hyperlink" Target="https://arxiv.org/pdf/1810.02338.pdf" TargetMode="External"/><Relationship Id="rId97" Type="http://schemas.openxmlformats.org/officeDocument/2006/relationships/hyperlink" Target="https://arxiv.org/pdf/1708.07747.pdf" TargetMode="External"/><Relationship Id="rId96" Type="http://schemas.openxmlformats.org/officeDocument/2006/relationships/hyperlink" Target="https://arxiv.org/pdf/2004.11886.pdf" TargetMode="External"/><Relationship Id="rId95" Type="http://schemas.openxmlformats.org/officeDocument/2006/relationships/hyperlink" Target="https://arxiv.org/pdf/1703.09746.pdf" TargetMode="External"/><Relationship Id="rId94" Type="http://schemas.openxmlformats.org/officeDocument/2006/relationships/hyperlink" Target="https://ieeexplore.ieee.org/document/8614482" TargetMode="External"/><Relationship Id="rId93" Type="http://schemas.openxmlformats.org/officeDocument/2006/relationships/hyperlink" Target="http://people.ee.duke.edu/~lcarin/cvpr2010_0618.pdf" TargetMode="External"/><Relationship Id="rId92" Type="http://schemas.openxmlformats.org/officeDocument/2006/relationships/hyperlink" Target="https://arxiv.org/pdf/1707.06642.pdf" TargetMode="External"/><Relationship Id="rId91" Type="http://schemas.openxmlformats.org/officeDocument/2006/relationships/hyperlink" Target="https://arxiv.org/pdf/1905.11481.pdf" TargetMode="External"/><Relationship Id="rId90" Type="http://schemas.openxmlformats.org/officeDocument/2006/relationships/hyperlink" Target="https://arxiv.org/pdf/1903.11683.pdf" TargetMode="External"/><Relationship Id="rId9" Type="http://schemas.openxmlformats.org/officeDocument/2006/relationships/hyperlink" Target="https://arxiv.org/abs/2112.00861" TargetMode="External"/><Relationship Id="rId89" Type="http://schemas.openxmlformats.org/officeDocument/2006/relationships/hyperlink" Target="https://www.jstor.org/stable/2346178" TargetMode="External"/><Relationship Id="rId88" Type="http://schemas.openxmlformats.org/officeDocument/2006/relationships/hyperlink" Target="https://papers.ssrn.com/sol3/papers.cfm?abstract_id=3287769" TargetMode="External"/><Relationship Id="rId87" Type="http://schemas.openxmlformats.org/officeDocument/2006/relationships/hyperlink" Target="https://arxiv.org/pdf/1906.02243.pdf" TargetMode="External"/><Relationship Id="rId86" Type="http://schemas.openxmlformats.org/officeDocument/2006/relationships/hyperlink" Target="https://arxiv.org/pdf/1707.04926.pdf" TargetMode="External"/><Relationship Id="rId85" Type="http://schemas.openxmlformats.org/officeDocument/2006/relationships/hyperlink" Target="https://arxiv.org/pdf/1901.11117.pdf" TargetMode="External"/><Relationship Id="rId84" Type="http://schemas.openxmlformats.org/officeDocument/2006/relationships/hyperlink" Target="https://ieeexplore.ieee.org/document/9540991" TargetMode="External"/><Relationship Id="rId83" Type="http://schemas.openxmlformats.org/officeDocument/2006/relationships/hyperlink" Target="https://arxiv.org/pdf/1409.0575.pdf" TargetMode="External"/><Relationship Id="rId82" Type="http://schemas.openxmlformats.org/officeDocument/2006/relationships/hyperlink" Target="https://www.semanticscholar.org/paper/Perceptron-Simulation-Experiments-Rosenblatt/ae76ce1ba27ac29addce4aab93b927e9bc7f7c67" TargetMode="External"/><Relationship Id="rId81" Type="http://schemas.openxmlformats.org/officeDocument/2006/relationships/hyperlink" Target="https://arxiv.org/pdf/1902.10811.pdf" TargetMode="External"/><Relationship Id="rId80" Type="http://schemas.openxmlformats.org/officeDocument/2006/relationships/hyperlink" Target="https://arxiv.org/pdf/1606.05250.pdf" TargetMode="External"/><Relationship Id="rId8" Type="http://schemas.openxmlformats.org/officeDocument/2006/relationships/hyperlink" Target="https://keg.cs.tsinghua.edu.cn/jietang/publications/PPOPP22-Ma%20et%20al.-BaGuaLu%20Targeting%20Brain%20Scale%20Pretrained%20Models%20w.pdf" TargetMode="External"/><Relationship Id="rId79" Type="http://schemas.openxmlformats.org/officeDocument/2006/relationships/hyperlink" Target="https://arxiv.org/pdf/1703.05364.pdf" TargetMode="External"/><Relationship Id="rId78" Type="http://schemas.openxmlformats.org/officeDocument/2006/relationships/hyperlink" Target="https://arxiv.org/pdf/1805.10074.pdf" TargetMode="External"/><Relationship Id="rId77" Type="http://schemas.openxmlformats.org/officeDocument/2006/relationships/hyperlink" Target="https://arxiv.org/pdf/1802.03268.pdf" TargetMode="External"/><Relationship Id="rId76" Type="http://schemas.openxmlformats.org/officeDocument/2006/relationships/hyperlink" Target="https://citeseerx.ist.psu.edu/viewdoc/download?doi=10.1.1.71.7388&amp;rep=rep1&amp;type=pdf" TargetMode="External"/><Relationship Id="rId75" Type="http://schemas.openxmlformats.org/officeDocument/2006/relationships/hyperlink" Target="https://arxiv.org/pdf/1810.05148.pdf" TargetMode="External"/><Relationship Id="rId74" Type="http://schemas.openxmlformats.org/officeDocument/2006/relationships/hyperlink" Target="http://ufldl.stanford.edu/housenumbers/" TargetMode="External"/><Relationship Id="rId73" Type="http://schemas.openxmlformats.org/officeDocument/2006/relationships/hyperlink" Target="https://mitpress.mit.edu/books/perceptrons" TargetMode="External"/><Relationship Id="rId72" Type="http://schemas.openxmlformats.org/officeDocument/2006/relationships/hyperlink" Target="https://arxiv.org/pdf/0806.0145.pdf" TargetMode="External"/><Relationship Id="rId71" Type="http://schemas.openxmlformats.org/officeDocument/2006/relationships/hyperlink" Target="https://arxiv.org/pdf/1904.12584.pdf" TargetMode="External"/><Relationship Id="rId70" Type="http://schemas.openxmlformats.org/officeDocument/2006/relationships/hyperlink" Target="https://www.cs.ubc.ca/~lowe/papers/ijcv04.pdf" TargetMode="External"/><Relationship Id="rId7" Type="http://schemas.openxmlformats.org/officeDocument/2006/relationships/hyperlink" Target="https://www.nature.com/articles/381607a0" TargetMode="External"/><Relationship Id="rId69" Type="http://schemas.openxmlformats.org/officeDocument/2006/relationships/hyperlink" Target="https://arxiv.org/pdf/1605.06636.pdf" TargetMode="External"/><Relationship Id="rId68" Type="http://schemas.openxmlformats.org/officeDocument/2006/relationships/hyperlink" Target="https://link.springer.com/chapter/10.1007/978-3-319-02999-3_9" TargetMode="External"/><Relationship Id="rId67" Type="http://schemas.openxmlformats.org/officeDocument/2006/relationships/hyperlink" Target="https://arxiv.org/pdf/1804.08711.pdf" TargetMode="External"/><Relationship Id="rId66" Type="http://schemas.openxmlformats.org/officeDocument/2006/relationships/hyperlink" Target="https://arxiv.org/pdf/1405.0312.pdf" TargetMode="External"/><Relationship Id="rId65" Type="http://schemas.openxmlformats.org/officeDocument/2006/relationships/hyperlink" Target="https://pubmed.ncbi.nlm.nih.gov/32499413/" TargetMode="External"/><Relationship Id="rId64" Type="http://schemas.openxmlformats.org/officeDocument/2006/relationships/hyperlink" Target="http://yann.lecun.com/exdb/mnist/" TargetMode="External"/><Relationship Id="rId63" Type="http://schemas.openxmlformats.org/officeDocument/2006/relationships/hyperlink" Target="https://arxiv.org/pdf/1812.01718.pdf" TargetMode="External"/><Relationship Id="rId62" Type="http://schemas.openxmlformats.org/officeDocument/2006/relationships/hyperlink" Target="https://medium.com/datamob/clearing-the-buzzwords-in-machine-learning-e395ad73178b" TargetMode="External"/><Relationship Id="rId61" Type="http://schemas.openxmlformats.org/officeDocument/2006/relationships/hyperlink" Target="https://www.cs.toronto.edu/~kriz/cifar.html" TargetMode="External"/><Relationship Id="rId60" Type="http://schemas.openxmlformats.org/officeDocument/2006/relationships/hyperlink" Target="https://www.cs.toronto.edu/~kriz/learning-features-2009-TR.pdf" TargetMode="External"/><Relationship Id="rId6" Type="http://schemas.openxmlformats.org/officeDocument/2006/relationships/hyperlink" Target="https://arxiv.org/pdf/2111.00396.pdf" TargetMode="External"/><Relationship Id="rId59" Type="http://schemas.openxmlformats.org/officeDocument/2006/relationships/hyperlink" Target="https://www.cs.toronto.edu/~kriz/conv-cifar10-aug2010.pdf" TargetMode="External"/><Relationship Id="rId58" Type="http://schemas.openxmlformats.org/officeDocument/2006/relationships/hyperlink" Target="https://ai.stanford.edu/~jkrause/papers/fgvc13.pdf" TargetMode="External"/><Relationship Id="rId57" Type="http://schemas.openxmlformats.org/officeDocument/2006/relationships/hyperlink" Target="https://ieeexplore.ieee.org/document/8776551" TargetMode="External"/><Relationship Id="rId56" Type="http://schemas.openxmlformats.org/officeDocument/2006/relationships/hyperlink" Target="https://ieeexplore.ieee.org/document/1454428" TargetMode="External"/><Relationship Id="rId55" Type="http://schemas.openxmlformats.org/officeDocument/2006/relationships/hyperlink" Target="https://papers.nips.cc/paper/2016/file/d8330f857a17c53d217014ee776bfd50-Paper.pdf" TargetMode="External"/><Relationship Id="rId54" Type="http://schemas.openxmlformats.org/officeDocument/2006/relationships/hyperlink" Target="https://openai.com/blog/ai-and-efficiency/" TargetMode="External"/><Relationship Id="rId53" Type="http://schemas.openxmlformats.org/officeDocument/2006/relationships/hyperlink" Target="http://acs.pub.ro/~cpop/SMPA/Computer%20Architecture%20A%20Quantitative%20Approach%20(5th%20edition).pdf" TargetMode="External"/><Relationship Id="rId52" Type="http://schemas.openxmlformats.org/officeDocument/2006/relationships/hyperlink" Target="https://arxiv.org/pdf/1901.03446.pdf" TargetMode="External"/><Relationship Id="rId51" Type="http://schemas.openxmlformats.org/officeDocument/2006/relationships/hyperlink" Target="https://arxiv.org/pdf/1510.00149.pdf" TargetMode="External"/><Relationship Id="rId50" Type="http://schemas.openxmlformats.org/officeDocument/2006/relationships/hyperlink" Target="https://authors.library.caltech.edu/7694/1/CNS-TR-2007-001.pdf" TargetMode="External"/><Relationship Id="rId5" Type="http://schemas.openxmlformats.org/officeDocument/2006/relationships/hyperlink" Target="http://www.jmlr.org/papers/volume18/17-468/17-468.pdf" TargetMode="External"/><Relationship Id="rId49" Type="http://schemas.openxmlformats.org/officeDocument/2006/relationships/hyperlink" Target="https://proceedings.mlr.press/v32/graves14.html" TargetMode="External"/><Relationship Id="rId48" Type="http://schemas.openxmlformats.org/officeDocument/2006/relationships/hyperlink" Target="https://www.ibm.com/blogs/research/2019/03/power-quantum-device/" TargetMode="External"/><Relationship Id="rId47" Type="http://schemas.openxmlformats.org/officeDocument/2006/relationships/hyperlink" Target="https://arxiv.org/pdf/1703.03400.pdf" TargetMode="External"/><Relationship Id="rId46" Type="http://schemas.openxmlformats.org/officeDocument/2006/relationships/hyperlink" Target="http://vision.stanford.edu/documents/Fei-Fei_ICCV03.pdf" TargetMode="External"/><Relationship Id="rId45" Type="http://schemas.openxmlformats.org/officeDocument/2006/relationships/hyperlink" Target="https://homepages.inf.ed.ac.uk/ckiw/postscript/ijcv_voc09.pdf" TargetMode="External"/><Relationship Id="rId44" Type="http://schemas.openxmlformats.org/officeDocument/2006/relationships/hyperlink" Target="https://arxiv.org/pdf/1603.08575.pdf" TargetMode="External"/><Relationship Id="rId43" Type="http://schemas.openxmlformats.org/officeDocument/2006/relationships/hyperlink" Target="https://arxiv.org/pdf/1703.08651.pdf" TargetMode="External"/><Relationship Id="rId42" Type="http://schemas.openxmlformats.org/officeDocument/2006/relationships/hyperlink" Target="https://ieeexplore.ieee.org/document/5206848" TargetMode="External"/><Relationship Id="rId41" Type="http://schemas.openxmlformats.org/officeDocument/2006/relationships/hyperlink" Target="https://ieeexplore.ieee.org/document/8804672/authors" TargetMode="External"/><Relationship Id="rId40" Type="http://schemas.openxmlformats.org/officeDocument/2006/relationships/hyperlink" Target="https://arxiv.org/pdf/1810.03505.pdf" TargetMode="External"/><Relationship Id="rId4" Type="http://schemas.openxmlformats.org/officeDocument/2006/relationships/hyperlink" Target="https://arxiv.org/abs/2202.06991" TargetMode="External"/><Relationship Id="rId39" Type="http://schemas.openxmlformats.org/officeDocument/2006/relationships/hyperlink" Target="https://dl.acm.org/doi/10.1145/2181796.2181798" TargetMode="External"/><Relationship Id="rId38" Type="http://schemas.openxmlformats.org/officeDocument/2006/relationships/hyperlink" Target="https://arxiv.org/pdf/1811.12926.pdf" TargetMode="External"/><Relationship Id="rId37" Type="http://schemas.openxmlformats.org/officeDocument/2006/relationships/hyperlink" Target="https://www.nvidia.com/en-us/data-center/tesla-p100/" TargetMode="External"/><Relationship Id="rId36" Type="http://schemas.openxmlformats.org/officeDocument/2006/relationships/hyperlink" Target="https://catalog.ldc.upenn.edu/LDC2002T43" TargetMode="External"/><Relationship Id="rId35" Type="http://schemas.openxmlformats.org/officeDocument/2006/relationships/hyperlink" Target="https://arxiv.org/pdf/1702.05373.pdf" TargetMode="External"/><Relationship Id="rId34" Type="http://schemas.openxmlformats.org/officeDocument/2006/relationships/hyperlink" Target="https://arxiv.org/pdf/1710.09282.pdf" TargetMode="External"/><Relationship Id="rId33" Type="http://schemas.openxmlformats.org/officeDocument/2006/relationships/hyperlink" Target="https://arxiv.org/pdf/1807.03848.pdf" TargetMode="External"/><Relationship Id="rId32" Type="http://schemas.openxmlformats.org/officeDocument/2006/relationships/hyperlink" Target="https://aclanthology.org/2014.iwslt-evaluation.1.pdf" TargetMode="External"/><Relationship Id="rId31" Type="http://schemas.openxmlformats.org/officeDocument/2006/relationships/hyperlink" Target="https://www.semanticscholar.org/paper/Findings-of-the-2014-Workshop-on-Statistical-Bojar-Buck/5ec85a0d88adcc4344bb5cc81b0d1aef9bcd8dcc" TargetMode="External"/><Relationship Id="rId30" Type="http://schemas.openxmlformats.org/officeDocument/2006/relationships/hyperlink" Target="https://arxiv.org/pdf/1910.07419.pdf" TargetMode="External"/><Relationship Id="rId3" Type="http://schemas.openxmlformats.org/officeDocument/2006/relationships/hyperlink" Target="https://www.theguardian.com/technology/2022/mar/29/artificial-intelligence-beats-eight-world-champions-at-bridge" TargetMode="External"/><Relationship Id="rId295" Type="http://schemas.openxmlformats.org/officeDocument/2006/relationships/hyperlink" Target="https://arxiv.org/pdf/1905.07129.pdf" TargetMode="External"/><Relationship Id="rId294" Type="http://schemas.openxmlformats.org/officeDocument/2006/relationships/hyperlink" Target="https://nlp.stanford.edu/pubs/zhang2017tacred.pdf" TargetMode="External"/><Relationship Id="rId293" Type="http://schemas.openxmlformats.org/officeDocument/2006/relationships/hyperlink" Target="https://arxiv.org/pdf/1809.10185.pdf" TargetMode="External"/><Relationship Id="rId292" Type="http://schemas.openxmlformats.org/officeDocument/2006/relationships/hyperlink" Target="https://arxiv.org/pdf/1810.12885.pdf" TargetMode="External"/><Relationship Id="rId291" Type="http://schemas.openxmlformats.org/officeDocument/2006/relationships/hyperlink" Target="https://arxiv.org/pdf/1412.6575.pdf" TargetMode="External"/><Relationship Id="rId290" Type="http://schemas.openxmlformats.org/officeDocument/2006/relationships/hyperlink" Target="https://arxiv.org/pdf/1705.02494.pdf" TargetMode="External"/><Relationship Id="rId29" Type="http://schemas.openxmlformats.org/officeDocument/2006/relationships/hyperlink" Target="https://arxiv.org/pdf/1806.09471.pdf" TargetMode="External"/><Relationship Id="rId289" Type="http://schemas.openxmlformats.org/officeDocument/2006/relationships/hyperlink" Target="https://arxiv.org/pdf/1601.01343.pdf" TargetMode="External"/><Relationship Id="rId288" Type="http://schemas.openxmlformats.org/officeDocument/2006/relationships/hyperlink" Target="https://arxiv.org/pdf/1912.09637.pdf" TargetMode="External"/><Relationship Id="rId287" Type="http://schemas.openxmlformats.org/officeDocument/2006/relationships/hyperlink" Target="https://arxiv.org/pdf/2002.01808.pdf" TargetMode="External"/><Relationship Id="rId286" Type="http://schemas.openxmlformats.org/officeDocument/2006/relationships/hyperlink" Target="https://arxiv.org/pdf/1905.00537.pdf" TargetMode="External"/><Relationship Id="rId285" Type="http://schemas.openxmlformats.org/officeDocument/2006/relationships/hyperlink" Target="https://arxiv.org/pdf/1606.06357.pdf" TargetMode="External"/><Relationship Id="rId284" Type="http://schemas.openxmlformats.org/officeDocument/2006/relationships/hyperlink" Target="https://aclanthology.org/D18-1309.pdf" TargetMode="External"/><Relationship Id="rId283" Type="http://schemas.openxmlformats.org/officeDocument/2006/relationships/hyperlink" Target="https://arxiv.org/pdf/1611.01603.pdf" TargetMode="External"/><Relationship Id="rId282" Type="http://schemas.openxmlformats.org/officeDocument/2006/relationships/hyperlink" Target="https://arxiv.org/pdf/1906.02715.pdf" TargetMode="External"/><Relationship Id="rId281" Type="http://schemas.openxmlformats.org/officeDocument/2006/relationships/hyperlink" Target="https://arxiv.org/pdf/1909.04164.pdf" TargetMode="External"/><Relationship Id="rId280" Type="http://schemas.openxmlformats.org/officeDocument/2006/relationships/hyperlink" Target="https://aclanthology.org/D19-6007.pdf" TargetMode="External"/><Relationship Id="rId28" Type="http://schemas.openxmlformats.org/officeDocument/2006/relationships/hyperlink" Target="https://arxiv.org/pdf/1806.05161.pdf" TargetMode="External"/><Relationship Id="rId279" Type="http://schemas.openxmlformats.org/officeDocument/2006/relationships/hyperlink" Target="https://arxiv.org/pdf/2001.03765.pdf" TargetMode="External"/><Relationship Id="rId278" Type="http://schemas.openxmlformats.org/officeDocument/2006/relationships/hyperlink" Target="https://aclanthology.org/D19-6011.pdf" TargetMode="External"/><Relationship Id="rId277" Type="http://schemas.openxmlformats.org/officeDocument/2006/relationships/hyperlink" Target="https://arxiv.org/pdf/1907.10529.pdf" TargetMode="External"/><Relationship Id="rId276" Type="http://schemas.openxmlformats.org/officeDocument/2006/relationships/hyperlink" Target="https://arxiv.org/pdf/1606.08415.pdf" TargetMode="External"/><Relationship Id="rId275" Type="http://schemas.openxmlformats.org/officeDocument/2006/relationships/hyperlink" Target="https://arxiv.org/pdf/1704.04920.pdf" TargetMode="External"/><Relationship Id="rId274" Type="http://schemas.openxmlformats.org/officeDocument/2006/relationships/hyperlink" Target="https://arxiv.org/pdf/1906.04341.pdf" TargetMode="External"/><Relationship Id="rId273" Type="http://schemas.openxmlformats.org/officeDocument/2006/relationships/hyperlink" Target="https://arxiv.org/pdf/1710.10723.pdf" TargetMode="External"/><Relationship Id="rId272" Type="http://schemas.openxmlformats.org/officeDocument/2006/relationships/hyperlink" Target="https://arxiv.org/pdf/1807.04905.pdf" TargetMode="External"/><Relationship Id="rId271" Type="http://schemas.openxmlformats.org/officeDocument/2006/relationships/hyperlink" Target="https://aclanthology.org/P17-1149.pdf" TargetMode="External"/><Relationship Id="rId270" Type="http://schemas.openxmlformats.org/officeDocument/2006/relationships/hyperlink" Target="https://arxiv.org/pdf/1906.03158.pdf" TargetMode="External"/><Relationship Id="rId27" Type="http://schemas.openxmlformats.org/officeDocument/2006/relationships/hyperlink" Target="https://www.pnas.org/content/116/32/15849" TargetMode="External"/><Relationship Id="rId269" Type="http://schemas.openxmlformats.org/officeDocument/2006/relationships/hyperlink" Target="https://arxiv.org/pdf/2010.01057v1.pdf" TargetMode="External"/><Relationship Id="rId268" Type="http://schemas.openxmlformats.org/officeDocument/2006/relationships/hyperlink" Target="https://arxiv.org/pdf/1905.05055.pdf" TargetMode="External"/><Relationship Id="rId267" Type="http://schemas.openxmlformats.org/officeDocument/2006/relationships/hyperlink" Target="https://arxiv.org/pdf/2006.06882.pdf" TargetMode="External"/><Relationship Id="rId266" Type="http://schemas.openxmlformats.org/officeDocument/2006/relationships/hyperlink" Target="https://pdollar.github.io/files/papers/ZitnickDollarECCV14edgeBoxes.pdf" TargetMode="External"/><Relationship Id="rId265" Type="http://schemas.openxmlformats.org/officeDocument/2006/relationships/hyperlink" Target="https://arxiv.org/pdf/2010.04159.pdf" TargetMode="External"/><Relationship Id="rId264" Type="http://schemas.openxmlformats.org/officeDocument/2006/relationships/hyperlink" Target="https://arxiv.org/pdf/1811.11168.pdf" TargetMode="External"/><Relationship Id="rId263" Type="http://schemas.openxmlformats.org/officeDocument/2006/relationships/hyperlink" Target="https://arxiv.org/pdf/2103.07461.pdf" TargetMode="External"/><Relationship Id="rId262" Type="http://schemas.openxmlformats.org/officeDocument/2006/relationships/hyperlink" Target="https://arxiv.org/pdf/1912.02424.pdf" TargetMode="External"/><Relationship Id="rId261" Type="http://schemas.openxmlformats.org/officeDocument/2006/relationships/hyperlink" Target="https://arxiv.org/pdf/1511.07122.pdf" TargetMode="External"/><Relationship Id="rId260" Type="http://schemas.openxmlformats.org/officeDocument/2006/relationships/hyperlink" Target="https://arxiv.org/pdf/1904.11490.pdf" TargetMode="External"/><Relationship Id="rId26" Type="http://schemas.openxmlformats.org/officeDocument/2006/relationships/hyperlink" Target="https://mitpress.mit.edu/books/advances-neural-information-processing-systems" TargetMode="External"/><Relationship Id="rId259" Type="http://schemas.openxmlformats.org/officeDocument/2006/relationships/hyperlink" Target="https://arxiv.org/pdf/2005.03101.pdf" TargetMode="External"/><Relationship Id="rId258" Type="http://schemas.openxmlformats.org/officeDocument/2006/relationships/hyperlink" Target="https://arxiv.org/pdf/1711.07971.pdf" TargetMode="External"/><Relationship Id="rId257" Type="http://schemas.openxmlformats.org/officeDocument/2006/relationships/hyperlink" Target="https://arxiv.org/pdf/1904.01355.pdf" TargetMode="External"/><Relationship Id="rId256" Type="http://schemas.openxmlformats.org/officeDocument/2006/relationships/hyperlink" Target="https://arxiv.org/pdf/2011.12450.pdf" TargetMode="External"/><Relationship Id="rId255" Type="http://schemas.openxmlformats.org/officeDocument/2006/relationships/hyperlink" Target="https://arxiv.org/pdf/1805.09300.pdf" TargetMode="External"/><Relationship Id="rId254" Type="http://schemas.openxmlformats.org/officeDocument/2006/relationships/hyperlink" Target="https://arxiv.org/pdf/1711.08189.pdf" TargetMode="External"/><Relationship Id="rId253" Type="http://schemas.openxmlformats.org/officeDocument/2006/relationships/hyperlink" Target="https://arxiv.org/pdf/2007.11056.pdf" TargetMode="External"/><Relationship Id="rId252" Type="http://schemas.openxmlformats.org/officeDocument/2006/relationships/hyperlink" Target="https://arxiv.org/pdf/1904.02701.pdf" TargetMode="External"/><Relationship Id="rId251" Type="http://schemas.openxmlformats.org/officeDocument/2006/relationships/hyperlink" Target="https://arxiv.org/pdf/2103.14030.pdf" TargetMode="External"/><Relationship Id="rId250" Type="http://schemas.openxmlformats.org/officeDocument/2006/relationships/hyperlink" Target="https://arxiv.org/pdf/1803.01534.pdf" TargetMode="External"/><Relationship Id="rId25" Type="http://schemas.openxmlformats.org/officeDocument/2006/relationships/hyperlink" Target="https://arxiv.org/pdf/2004.12850.pdf" TargetMode="External"/><Relationship Id="rId249" Type="http://schemas.openxmlformats.org/officeDocument/2006/relationships/hyperlink" Target="https://arxiv.org/pdf/1612.03144.pdf" TargetMode="External"/><Relationship Id="rId248" Type="http://schemas.openxmlformats.org/officeDocument/2006/relationships/hyperlink" Target="https://arxiv.org/pdf/2012.07177.pdf" TargetMode="External"/><Relationship Id="rId247" Type="http://schemas.openxmlformats.org/officeDocument/2006/relationships/hyperlink" Target="https://arxiv.org/pdf/1904.08189.pdf" TargetMode="External"/><Relationship Id="rId246" Type="http://schemas.openxmlformats.org/officeDocument/2006/relationships/hyperlink" Target="https://arxiv.org/pdf/1912.05027.pdf" TargetMode="External"/><Relationship Id="rId245" Type="http://schemas.openxmlformats.org/officeDocument/2006/relationships/hyperlink" Target="https://arxiv.org/pdf/1703.06211.pdf" TargetMode="External"/><Relationship Id="rId244" Type="http://schemas.openxmlformats.org/officeDocument/2006/relationships/hyperlink" Target="https://arxiv.org/pdf/2010.15831.pdf" TargetMode="External"/><Relationship Id="rId243" Type="http://schemas.openxmlformats.org/officeDocument/2006/relationships/hyperlink" Target="https://arxiv.org/pdf/2007.08508.pdf" TargetMode="External"/><Relationship Id="rId242" Type="http://schemas.openxmlformats.org/officeDocument/2006/relationships/hyperlink" Target="https://arxiv.org/pdf/2003.10027.pdf" TargetMode="External"/><Relationship Id="rId241" Type="http://schemas.openxmlformats.org/officeDocument/2006/relationships/hyperlink" Target="https://arxiv.org/pdf/1712.00726.pdf" TargetMode="External"/><Relationship Id="rId240" Type="http://schemas.openxmlformats.org/officeDocument/2006/relationships/hyperlink" Target="https://arxiv.org/pdf/2106.08322.pdf" TargetMode="External"/><Relationship Id="rId24" Type="http://schemas.openxmlformats.org/officeDocument/2006/relationships/hyperlink" Target="https://www.nature.com/articles/s41586-018-0180-5" TargetMode="External"/><Relationship Id="rId239" Type="http://schemas.openxmlformats.org/officeDocument/2006/relationships/hyperlink" Target="https://arxiv.org/pdf/1805.08974.pdf" TargetMode="External"/><Relationship Id="rId238" Type="http://schemas.openxmlformats.org/officeDocument/2006/relationships/hyperlink" Target="https://arxiv.org/pdf/2003.04297.pdf" TargetMode="External"/><Relationship Id="rId237" Type="http://schemas.openxmlformats.org/officeDocument/2006/relationships/hyperlink" Target="https://arxiv.org/pdf/2103.00020.pdf" TargetMode="External"/><Relationship Id="rId236" Type="http://schemas.openxmlformats.org/officeDocument/2006/relationships/hyperlink" Target="https://link.springer.com/chapter/10.1007/978-3-030-88480-2_14" TargetMode="External"/><Relationship Id="rId235" Type="http://schemas.openxmlformats.org/officeDocument/2006/relationships/hyperlink" Target="https://arxiv.org/pdf/1907.02684.pdf" TargetMode="External"/><Relationship Id="rId234" Type="http://schemas.openxmlformats.org/officeDocument/2006/relationships/hyperlink" Target="https://arxiv.org/pdf/1708.05552.pdf" TargetMode="External"/><Relationship Id="rId233" Type="http://schemas.openxmlformats.org/officeDocument/2006/relationships/hyperlink" Target="https://arxiv.org/pdf/2005.00975.pdf" TargetMode="External"/><Relationship Id="rId232" Type="http://schemas.openxmlformats.org/officeDocument/2006/relationships/hyperlink" Target="https://arxiv.org/pdf/2005.07150.pdf" TargetMode="External"/><Relationship Id="rId231" Type="http://schemas.openxmlformats.org/officeDocument/2006/relationships/hyperlink" Target="https://arxiv.org/pdf/2010.01057.pdf" TargetMode="External"/><Relationship Id="rId230" Type="http://schemas.openxmlformats.org/officeDocument/2006/relationships/hyperlink" Target="https://arxiv.org/pdf/1805.04601.pdf" TargetMode="External"/><Relationship Id="rId23" Type="http://schemas.openxmlformats.org/officeDocument/2006/relationships/hyperlink" Target="https://arxiv.org/pdf/2007.05558.pdf" TargetMode="External"/><Relationship Id="rId229" Type="http://schemas.openxmlformats.org/officeDocument/2006/relationships/hyperlink" Target="https://arxiv.org/pdf/1904.02232.pdf" TargetMode="External"/><Relationship Id="rId228" Type="http://schemas.openxmlformats.org/officeDocument/2006/relationships/hyperlink" Target="https://arxiv.org/pdf/1703.01513.pdf" TargetMode="External"/><Relationship Id="rId227" Type="http://schemas.openxmlformats.org/officeDocument/2006/relationships/hyperlink" Target="https://arxiv.org/pdf/1904.09077.pdf" TargetMode="External"/><Relationship Id="rId226" Type="http://schemas.openxmlformats.org/officeDocument/2006/relationships/hyperlink" Target="http://www.ecmlpkdd2018.org/wp-content/uploads/2018/09/108.pdf" TargetMode="External"/><Relationship Id="rId225" Type="http://schemas.openxmlformats.org/officeDocument/2006/relationships/hyperlink" Target="https://aclanthology.org/2020.acl-main.339.pdf" TargetMode="External"/><Relationship Id="rId224" Type="http://schemas.openxmlformats.org/officeDocument/2006/relationships/hyperlink" Target="https://aclanthology.org/people/z/zhenkai-wei/" TargetMode="External"/><Relationship Id="rId223" Type="http://schemas.openxmlformats.org/officeDocument/2006/relationships/hyperlink" Target="https://arxiv.org/pdf/2010.05003.pdf" TargetMode="External"/><Relationship Id="rId222" Type="http://schemas.openxmlformats.org/officeDocument/2006/relationships/hyperlink" Target="https://arxiv.org/pdf/2009.08330.pdf" TargetMode="External"/><Relationship Id="rId221" Type="http://schemas.openxmlformats.org/officeDocument/2006/relationships/hyperlink" Target="https://arxiv.org/pdf/2105.03654.pdf" TargetMode="External"/><Relationship Id="rId220" Type="http://schemas.openxmlformats.org/officeDocument/2006/relationships/hyperlink" Target="https://arxiv.org/pdf/2004.03846.pdf" TargetMode="External"/><Relationship Id="rId22" Type="http://schemas.openxmlformats.org/officeDocument/2006/relationships/hyperlink" Target="https://blog.salesforceairesearch.com/codegen/" TargetMode="External"/><Relationship Id="rId219" Type="http://schemas.openxmlformats.org/officeDocument/2006/relationships/hyperlink" Target="https://arxiv.org/pdf/1906.07880.pdf" TargetMode="External"/><Relationship Id="rId218" Type="http://schemas.openxmlformats.org/officeDocument/2006/relationships/hyperlink" Target="https://aclanthology.org/W03-0419.pdf" TargetMode="External"/><Relationship Id="rId217" Type="http://schemas.openxmlformats.org/officeDocument/2006/relationships/hyperlink" Target="https://aclanthology.org/W00-0726.pdf" TargetMode="External"/><Relationship Id="rId216" Type="http://schemas.openxmlformats.org/officeDocument/2006/relationships/hyperlink" Target="https://arxiv.org/pdf/cs/0209010.pdf" TargetMode="External"/><Relationship Id="rId215" Type="http://schemas.openxmlformats.org/officeDocument/2006/relationships/hyperlink" Target="https://www.persee.fr/doc/lfr_0023-8368_1969_num_1_1_5395" TargetMode="External"/><Relationship Id="rId214" Type="http://schemas.openxmlformats.org/officeDocument/2006/relationships/hyperlink" Target="https://web.stanford.edu/class/psych209/Readings/SuttonBartoIPRLBook2ndEd.pdf" TargetMode="External"/><Relationship Id="rId213" Type="http://schemas.openxmlformats.org/officeDocument/2006/relationships/hyperlink" Target="https://www-nlpir.nist.gov/related_projects/muc/proceedings/ne_task.html" TargetMode="External"/><Relationship Id="rId212" Type="http://schemas.openxmlformats.org/officeDocument/2006/relationships/hyperlink" Target="https://arxiv.org/pdf/1704.00764.pdf" TargetMode="External"/><Relationship Id="rId211" Type="http://schemas.openxmlformats.org/officeDocument/2006/relationships/hyperlink" Target="https://arxiv.org/pdf/1908.06926.pdf" TargetMode="External"/><Relationship Id="rId210" Type="http://schemas.openxmlformats.org/officeDocument/2006/relationships/hyperlink" Target="http://proceedings.mlr.press/v32/santos14.pdf" TargetMode="External"/><Relationship Id="rId21" Type="http://schemas.openxmlformats.org/officeDocument/2006/relationships/hyperlink" Target="https://lighton.ai/blog/lighton-publicly-launches-muse-an-api-to-vlm-4-large-language-models-trained-natively-in-five-european-languages/" TargetMode="External"/><Relationship Id="rId209" Type="http://schemas.openxmlformats.org/officeDocument/2006/relationships/hyperlink" Target="https://aclanthology.org/D11-1141.pdf" TargetMode="External"/><Relationship Id="rId208" Type="http://schemas.openxmlformats.org/officeDocument/2006/relationships/hyperlink" Target="https://arxiv.org/pdf/1703.01041.pdf" TargetMode="External"/><Relationship Id="rId207" Type="http://schemas.openxmlformats.org/officeDocument/2006/relationships/hyperlink" Target="https://aclanthology.org/S14-2004.pdf" TargetMode="External"/><Relationship Id="rId206" Type="http://schemas.openxmlformats.org/officeDocument/2006/relationships/hyperlink" Target="https://aclanthology.org/S15-2082.pdf" TargetMode="External"/><Relationship Id="rId205" Type="http://schemas.openxmlformats.org/officeDocument/2006/relationships/hyperlink" Target="https://aclanthology.org/S16-1002.pdf" TargetMode="External"/><Relationship Id="rId204" Type="http://schemas.openxmlformats.org/officeDocument/2006/relationships/hyperlink" Target="https://arxiv.org/pdf/1906.01502.pdf" TargetMode="External"/><Relationship Id="rId203" Type="http://schemas.openxmlformats.org/officeDocument/2006/relationships/hyperlink" Target="https://arxiv.org/pdf/1802.05365.pdf" TargetMode="External"/><Relationship Id="rId202" Type="http://schemas.openxmlformats.org/officeDocument/2006/relationships/hyperlink" Target="https://aclanthology.org/N13-1039.pdf" TargetMode="External"/><Relationship Id="rId201" Type="http://schemas.openxmlformats.org/officeDocument/2006/relationships/hyperlink" Target="https://aclanthology.org/S14-2008.pdf" TargetMode="External"/><Relationship Id="rId200" Type="http://schemas.openxmlformats.org/officeDocument/2006/relationships/hyperlink" Target="https://aclanthology.org/S15-2153.pdf" TargetMode="External"/><Relationship Id="rId20" Type="http://schemas.openxmlformats.org/officeDocument/2006/relationships/hyperlink" Target="https://www.tii.ae/news/technology-innovation-institute-announces-launch-noor-worlds-largest-arabic-nlp-model" TargetMode="External"/><Relationship Id="rId2" Type="http://schemas.openxmlformats.org/officeDocument/2006/relationships/vmlDrawing" Target="../drawings/vmlDrawing4.vml"/><Relationship Id="rId199" Type="http://schemas.openxmlformats.org/officeDocument/2006/relationships/hyperlink" Target="https://arxiv.org/pdf/2005.10200.pdf" TargetMode="External"/><Relationship Id="rId198" Type="http://schemas.openxmlformats.org/officeDocument/2006/relationships/hyperlink" Target="https://arxiv.org/pdf/1911.03875.pdf" TargetMode="External"/><Relationship Id="rId197" Type="http://schemas.openxmlformats.org/officeDocument/2006/relationships/hyperlink" Target="https://www.researchgate.net/publication/220885651_Designing_Neural_Networks_using_Genetic_Algorithms" TargetMode="External"/><Relationship Id="rId196" Type="http://schemas.openxmlformats.org/officeDocument/2006/relationships/hyperlink" Target="https://www.seas.upenn.edu/~strctlrn/bib/PDF/nonprojectiveHLT-EMNLP2005.pdf" TargetMode="External"/><Relationship Id="rId195" Type="http://schemas.openxmlformats.org/officeDocument/2006/relationships/hyperlink" Target="https://arxiv.org/pdf/1805.01087.pdf" TargetMode="External"/><Relationship Id="rId194" Type="http://schemas.openxmlformats.org/officeDocument/2006/relationships/hyperlink" Target="https://arxiv.org/pdf/1603.01354.pdf" TargetMode="External"/><Relationship Id="rId193" Type="http://schemas.openxmlformats.org/officeDocument/2006/relationships/hyperlink" Target="https://arxiv.org/pdf/2006.01563.pdf" TargetMode="External"/><Relationship Id="rId192" Type="http://schemas.openxmlformats.org/officeDocument/2006/relationships/hyperlink" Target="https://arxiv.org/pdf/1906.02437.pdf" TargetMode="External"/><Relationship Id="rId191" Type="http://schemas.openxmlformats.org/officeDocument/2006/relationships/hyperlink" Target="https://arxiv.org/pdf/1804.08228.pdf" TargetMode="External"/><Relationship Id="rId190" Type="http://schemas.openxmlformats.org/officeDocument/2006/relationships/hyperlink" Target="https://arxiv.org/pdf/1711.00436.pdf" TargetMode="External"/><Relationship Id="rId19" Type="http://schemas.openxmlformats.org/officeDocument/2006/relationships/hyperlink" Target="https://www.aleph-alpha.com/research" TargetMode="External"/><Relationship Id="rId189" Type="http://schemas.openxmlformats.org/officeDocument/2006/relationships/hyperlink" Target="https://arxiv.org/pdf/1901.02985.pdf" TargetMode="External"/><Relationship Id="rId188" Type="http://schemas.openxmlformats.org/officeDocument/2006/relationships/hyperlink" Target="https://arxiv.org/pdf/1911.08673.pdf" TargetMode="External"/><Relationship Id="rId187" Type="http://schemas.openxmlformats.org/officeDocument/2006/relationships/hyperlink" Target="https://arxiv.org/pdf/1910.00883.pdf" TargetMode="External"/><Relationship Id="rId186" Type="http://schemas.openxmlformats.org/officeDocument/2006/relationships/hyperlink" Target="https://arxiv.org/pdf/1902.07638.pdf" TargetMode="External"/><Relationship Id="rId185" Type="http://schemas.openxmlformats.org/officeDocument/2006/relationships/hyperlink" Target="https://arxiv.org/pdf/1603.01360.pdf" TargetMode="External"/><Relationship Id="rId184" Type="http://schemas.openxmlformats.org/officeDocument/2006/relationships/hyperlink" Target="https://arxiv.org/pdf/1609.07561.pdf" TargetMode="External"/><Relationship Id="rId183" Type="http://schemas.openxmlformats.org/officeDocument/2006/relationships/hyperlink" Target="https://arxiv.org/pdf/1904.02099.pdf" TargetMode="External"/><Relationship Id="rId182" Type="http://schemas.openxmlformats.org/officeDocument/2006/relationships/hyperlink" Target="https://arxiv.org/pdf/1412.6980.pdf" TargetMode="External"/><Relationship Id="rId181" Type="http://schemas.openxmlformats.org/officeDocument/2006/relationships/hyperlink" Target="http://proceedings.mlr.press/v37/jozefowicz15.pdf" TargetMode="External"/><Relationship Id="rId180" Type="http://schemas.openxmlformats.org/officeDocument/2006/relationships/hyperlink" Target="https://aclanthology.org/2020.acl-main.607.pdf" TargetMode="External"/><Relationship Id="rId18" Type="http://schemas.openxmlformats.org/officeDocument/2006/relationships/hyperlink" Target="https://arxiv.org/abs/2204.07580" TargetMode="External"/><Relationship Id="rId179" Type="http://schemas.openxmlformats.org/officeDocument/2006/relationships/hyperlink" Target="https://arxiv.org/pdf/1608.06993.pdf" TargetMode="External"/><Relationship Id="rId178" Type="http://schemas.openxmlformats.org/officeDocument/2006/relationships/hyperlink" Target="https://dl.acm.org/doi/10.1145/1014052.1014073" TargetMode="External"/><Relationship Id="rId177" Type="http://schemas.openxmlformats.org/officeDocument/2006/relationships/hyperlink" Target="https://arxiv.org/pdf/1908.04943.pdf" TargetMode="External"/><Relationship Id="rId176" Type="http://schemas.openxmlformats.org/officeDocument/2006/relationships/hyperlink" Target="https://aclanthology.org/D17-1256.pdf" TargetMode="External"/><Relationship Id="rId175" Type="http://schemas.openxmlformats.org/officeDocument/2006/relationships/hyperlink" Target="https://aclanthology.org/D18-1275.pdf" TargetMode="External"/><Relationship Id="rId174" Type="http://schemas.openxmlformats.org/officeDocument/2006/relationships/hyperlink" Target="http://citeseerx.ist.psu.edu/viewdoc/download;jsessionid=23745DCF717C2A230DE9EB643E4C168C?doi=10.1.1.101.9494&amp;rep=rep1&amp;type=pdf" TargetMode="External"/><Relationship Id="rId173" Type="http://schemas.openxmlformats.org/officeDocument/2006/relationships/hyperlink" Target="https://aclanthology.org/P11-2008.pdf" TargetMode="External"/><Relationship Id="rId172" Type="http://schemas.openxmlformats.org/officeDocument/2006/relationships/hyperlink" Target="https://arxiv.org/pdf/1904.07392.pdf" TargetMode="External"/><Relationship Id="rId171" Type="http://schemas.openxmlformats.org/officeDocument/2006/relationships/hyperlink" Target="https://link.springer.com/article/10.1007/s12065-007-0002-4" TargetMode="External"/><Relationship Id="rId170" Type="http://schemas.openxmlformats.org/officeDocument/2006/relationships/hyperlink" Target="https://arxiv.org/pdf/2005.13344.pdf" TargetMode="External"/><Relationship Id="rId17" Type="http://schemas.openxmlformats.org/officeDocument/2006/relationships/hyperlink" Target="https://www.reddit.com/r/GPT3/comments/ub7g19/7_new_large_language_models_released_in_the_last/" TargetMode="External"/><Relationship Id="rId169" Type="http://schemas.openxmlformats.org/officeDocument/2006/relationships/hyperlink" Target="https://arxiv.org/pdf/1808.05377.pdf" TargetMode="External"/><Relationship Id="rId168" Type="http://schemas.openxmlformats.org/officeDocument/2006/relationships/hyperlink" Target="https://arxiv.org/pdf/1711.04528.pdf" TargetMode="External"/><Relationship Id="rId167" Type="http://schemas.openxmlformats.org/officeDocument/2006/relationships/hyperlink" Target="https://arxiv.org/pdf/1807.01396.pdf" TargetMode="External"/><Relationship Id="rId166" Type="http://schemas.openxmlformats.org/officeDocument/2006/relationships/hyperlink" Target="https://arxiv.org/pdf/1611.01734.pdf" TargetMode="External"/><Relationship Id="rId165" Type="http://schemas.openxmlformats.org/officeDocument/2006/relationships/hyperlink" Target="https://citeseerx.ist.psu.edu/viewdoc/download?doi=10.1.1.13.8915&amp;rep=rep1&amp;type=pdf" TargetMode="External"/><Relationship Id="rId164" Type="http://schemas.openxmlformats.org/officeDocument/2006/relationships/hyperlink" Target="https://arxiv.org/pdf/1911.02116.pdf" TargetMode="External"/><Relationship Id="rId163" Type="http://schemas.openxmlformats.org/officeDocument/2006/relationships/hyperlink" Target="https://arxiv.org/pdf/1809.08370.pdf" TargetMode="External"/><Relationship Id="rId162" Type="http://schemas.openxmlformats.org/officeDocument/2006/relationships/hyperlink" Target="https://aclanthology.org/2020.acl-main.777.pdf" TargetMode="External"/><Relationship Id="rId161" Type="http://schemas.openxmlformats.org/officeDocument/2006/relationships/hyperlink" Target="https://dl.acm.org/doi/pdf/10.5555/1596276.1596305" TargetMode="External"/><Relationship Id="rId160" Type="http://schemas.openxmlformats.org/officeDocument/2006/relationships/hyperlink" Target="https://arxiv.org/pdf/1611.02167.pdf" TargetMode="External"/><Relationship Id="rId16" Type="http://schemas.openxmlformats.org/officeDocument/2006/relationships/hyperlink" Target="https://studio.ai21.com/pricing" TargetMode="External"/><Relationship Id="rId159" Type="http://schemas.openxmlformats.org/officeDocument/2006/relationships/hyperlink" Target="https://arxiv.org/pdf/1903.07785.pdf" TargetMode="External"/><Relationship Id="rId158" Type="http://schemas.openxmlformats.org/officeDocument/2006/relationships/hyperlink" Target="https://ieeexplore.ieee.org/document/265960/authors" TargetMode="External"/><Relationship Id="rId157" Type="http://schemas.openxmlformats.org/officeDocument/2006/relationships/hyperlink" Target="https://aclanthology.org/C18-1139.pdf" TargetMode="External"/><Relationship Id="rId156" Type="http://schemas.openxmlformats.org/officeDocument/2006/relationships/hyperlink" Target="https://aclanthology.org/N19-1078.pdf" TargetMode="External"/><Relationship Id="rId155" Type="http://schemas.openxmlformats.org/officeDocument/2006/relationships/hyperlink" Target="https://arxiv.org/pdf/2010.05006v4.pdf" TargetMode="External"/><Relationship Id="rId154" Type="http://schemas.openxmlformats.org/officeDocument/2006/relationships/hyperlink" Target="https://arxiv.org/pdf/1911.07013.pdf" TargetMode="External"/><Relationship Id="rId153" Type="http://schemas.openxmlformats.org/officeDocument/2006/relationships/hyperlink" Target="https://arxiv.org/pdf/1907.01968.pdf" TargetMode="External"/><Relationship Id="rId152" Type="http://schemas.openxmlformats.org/officeDocument/2006/relationships/hyperlink" Target="https://arxiv.org/pdf/1901.10430.pdf" TargetMode="External"/><Relationship Id="rId151" Type="http://schemas.openxmlformats.org/officeDocument/2006/relationships/hyperlink" Target="https://arxiv.org/pdf/1906.01787.pdf" TargetMode="External"/><Relationship Id="rId150" Type="http://schemas.openxmlformats.org/officeDocument/2006/relationships/hyperlink" Target="https://arxiv.org/pdf/1507.06228.pdf" TargetMode="External"/><Relationship Id="rId15" Type="http://schemas.openxmlformats.org/officeDocument/2006/relationships/hyperlink" Target="https://arxiv.org/abs/1910.10683" TargetMode="External"/><Relationship Id="rId149" Type="http://schemas.openxmlformats.org/officeDocument/2006/relationships/hyperlink" Target="https://www.cs.umd.edu/~snover/pub/amta06/ter_amta.pdf" TargetMode="External"/><Relationship Id="rId148" Type="http://schemas.openxmlformats.org/officeDocument/2006/relationships/hyperlink" Target="https://arxiv.org/pdf/1804.08771.pdf" TargetMode="External"/><Relationship Id="rId147" Type="http://schemas.openxmlformats.org/officeDocument/2006/relationships/hyperlink" Target="https://arxiv.org/pdf/1806.00187.pdf" TargetMode="External"/><Relationship Id="rId146" Type="http://schemas.openxmlformats.org/officeDocument/2006/relationships/hyperlink" Target="https://arxiv.org/pdf/1904.01038.pdf" TargetMode="External"/><Relationship Id="rId145" Type="http://schemas.openxmlformats.org/officeDocument/2006/relationships/hyperlink" Target="https://arxiv.org/pdf/1910.05895.pdf" TargetMode="External"/><Relationship Id="rId144" Type="http://schemas.openxmlformats.org/officeDocument/2006/relationships/hyperlink" Target="https://arxiv.org/pdf/1907.06616.pdf" TargetMode="External"/><Relationship Id="rId143" Type="http://schemas.openxmlformats.org/officeDocument/2006/relationships/hyperlink" Target="https://arxiv.org/pdf/1903.07926.pdf" TargetMode="External"/><Relationship Id="rId142" Type="http://schemas.openxmlformats.org/officeDocument/2006/relationships/hyperlink" Target="https://arxiv.org/pdf/2004.03705.pdf" TargetMode="External"/><Relationship Id="rId141" Type="http://schemas.openxmlformats.org/officeDocument/2006/relationships/hyperlink" Target="https://arxiv.org/pdf/2004.08994.pdf" TargetMode="External"/><Relationship Id="rId140" Type="http://schemas.openxmlformats.org/officeDocument/2006/relationships/hyperlink" Target="https://arxiv.org/pdf/2004.08249.pdf" TargetMode="External"/><Relationship Id="rId14" Type="http://schemas.openxmlformats.org/officeDocument/2006/relationships/hyperlink" Target="https://arxiv.org/abs/2105.13626" TargetMode="External"/><Relationship Id="rId139" Type="http://schemas.openxmlformats.org/officeDocument/2006/relationships/hyperlink" Target="https://arxiv.org/pdf/1908.03265.pdf" TargetMode="External"/><Relationship Id="rId138" Type="http://schemas.openxmlformats.org/officeDocument/2006/relationships/hyperlink" Target="https://aclanthology.org/W07-0734.pdf" TargetMode="External"/><Relationship Id="rId137" Type="http://schemas.openxmlformats.org/officeDocument/2006/relationships/hyperlink" Target="https://arxiv.org/pdf/1606.07947.pdf" TargetMode="External"/><Relationship Id="rId136" Type="http://schemas.openxmlformats.org/officeDocument/2006/relationships/hyperlink" Target="https://arxiv.org/pdf/1907.06170.pdf" TargetMode="External"/><Relationship Id="rId135" Type="http://schemas.openxmlformats.org/officeDocument/2006/relationships/hyperlink" Target="https://dl.acm.org/doi/pdf/10.5555/3327757.3327891" TargetMode="External"/><Relationship Id="rId134" Type="http://schemas.openxmlformats.org/officeDocument/2006/relationships/hyperlink" Target="https://arxiv.org/pdf/1705.03122.pdf" TargetMode="External"/><Relationship Id="rId133" Type="http://schemas.openxmlformats.org/officeDocument/2006/relationships/hyperlink" Target="https://arxiv.org/pdf/1808.09381.pdf" TargetMode="External"/><Relationship Id="rId132" Type="http://schemas.openxmlformats.org/officeDocument/2006/relationships/hyperlink" Target="https://aclanthology.org/P18-1167.pdf" TargetMode="External"/><Relationship Id="rId131" Type="http://schemas.openxmlformats.org/officeDocument/2006/relationships/hyperlink" Target="https://arxiv.org/pdf/1606.01781.pdf" TargetMode="External"/><Relationship Id="rId130" Type="http://schemas.openxmlformats.org/officeDocument/2006/relationships/hyperlink" Target="https://dl.acm.org/doi/pdf/10.5555/2002736.2002774" TargetMode="External"/><Relationship Id="rId13" Type="http://schemas.openxmlformats.org/officeDocument/2006/relationships/hyperlink" Target="https://aclanthology.org/2021.naacl-main.41/" TargetMode="External"/><Relationship Id="rId129" Type="http://schemas.openxmlformats.org/officeDocument/2006/relationships/hyperlink" Target="https://arxiv.org/pdf/1906.02443.pdf" TargetMode="External"/><Relationship Id="rId128" Type="http://schemas.openxmlformats.org/officeDocument/2006/relationships/hyperlink" Target="https://arxiv.org/pdf/1804.09849.pdf" TargetMode="External"/><Relationship Id="rId127" Type="http://schemas.openxmlformats.org/officeDocument/2006/relationships/hyperlink" Target="https://arxiv.org/pdf/1812.08951.pdf" TargetMode="External"/><Relationship Id="rId126" Type="http://schemas.openxmlformats.org/officeDocument/2006/relationships/hyperlink" Target="https://aclanthology.org/W19-5304.pdf" TargetMode="External"/><Relationship Id="rId125" Type="http://schemas.openxmlformats.org/officeDocument/2006/relationships/hyperlink" Target="https://arxiv.org/pdf/1808.07561.pdf" TargetMode="External"/><Relationship Id="rId124" Type="http://schemas.openxmlformats.org/officeDocument/2006/relationships/hyperlink" Target="https://arxiv.org/pdf/2001.04413.pdf" TargetMode="External"/><Relationship Id="rId123" Type="http://schemas.openxmlformats.org/officeDocument/2006/relationships/hyperlink" Target="https://arxiv.org/pdf/2008.07772v2.pdf" TargetMode="External"/><Relationship Id="rId122" Type="http://schemas.openxmlformats.org/officeDocument/2006/relationships/hyperlink" Target="https://arxiv.org/pdf/1910.04867.pdf" TargetMode="External"/><Relationship Id="rId121" Type="http://schemas.openxmlformats.org/officeDocument/2006/relationships/hyperlink" Target="https://arxiv.org/pdf/1905.03670.pdf" TargetMode="External"/><Relationship Id="rId120" Type="http://schemas.openxmlformats.org/officeDocument/2006/relationships/hyperlink" Target="https://arxiv.org/pdf/2101.11986.pdf" TargetMode="External"/><Relationship Id="rId12" Type="http://schemas.openxmlformats.org/officeDocument/2006/relationships/hyperlink" Target="https://bigscience.huggingface.co/blog/model-training-launched" TargetMode="External"/><Relationship Id="rId119" Type="http://schemas.openxmlformats.org/officeDocument/2006/relationships/hyperlink" Target="http://www.vision.caltech.edu/visipedia/CUB-200.html" TargetMode="External"/><Relationship Id="rId118" Type="http://schemas.openxmlformats.org/officeDocument/2006/relationships/hyperlink" Target="https://arxiv.org/pdf/2102.12122.pdf" TargetMode="External"/><Relationship Id="rId117" Type="http://schemas.openxmlformats.org/officeDocument/2006/relationships/hyperlink" Target="https://arxiv.org/pdf/2103.12731.pdf" TargetMode="External"/><Relationship Id="rId116" Type="http://schemas.openxmlformats.org/officeDocument/2006/relationships/hyperlink" Target="https://arxiv.org/pdf/2012.12877.pdf" TargetMode="External"/><Relationship Id="rId115" Type="http://schemas.openxmlformats.org/officeDocument/2006/relationships/hyperlink" Target="https://arxiv.org/pdf/2101.11605.pdf" TargetMode="External"/><Relationship Id="rId114" Type="http://schemas.openxmlformats.org/officeDocument/2006/relationships/hyperlink" Target="https://arxiv.org/pdf/1804.04235.pdf" TargetMode="External"/><Relationship Id="rId113" Type="http://schemas.openxmlformats.org/officeDocument/2006/relationships/hyperlink" Target="https://epubs.siam.org/doi/10.1137/0330046" TargetMode="External"/><Relationship Id="rId112" Type="http://schemas.openxmlformats.org/officeDocument/2006/relationships/hyperlink" Target="https://www.robots.ox.ac.uk/~vgg/publications/2012/parkhi12a/" TargetMode="External"/><Relationship Id="rId111" Type="http://schemas.openxmlformats.org/officeDocument/2006/relationships/hyperlink" Target="https://arxiv.org/pdf/2006.16668.pdf" TargetMode="External"/><Relationship Id="rId110" Type="http://schemas.openxmlformats.org/officeDocument/2006/relationships/hyperlink" Target="https://arxiv.org/pdf/1810.00825.pdf" TargetMode="External"/><Relationship Id="rId11" Type="http://schemas.openxmlformats.org/officeDocument/2006/relationships/hyperlink" Target="http://eaidata.bmk.sh/data/GPT_NeoX_20B.pdf" TargetMode="External"/><Relationship Id="rId109" Type="http://schemas.openxmlformats.org/officeDocument/2006/relationships/hyperlink" Target="https://arxiv.org/pdf/1912.11370.pdf" TargetMode="External"/><Relationship Id="rId108" Type="http://schemas.openxmlformats.org/officeDocument/2006/relationships/hyperlink" Target="https://arxiv.org/pdf/2001.08361.pdf" TargetMode="External"/><Relationship Id="rId107" Type="http://schemas.openxmlformats.org/officeDocument/2006/relationships/hyperlink" Target="https://arxiv.org/pdf/2010.14701.pdf" TargetMode="External"/><Relationship Id="rId106" Type="http://schemas.openxmlformats.org/officeDocument/2006/relationships/hyperlink" Target="https://arxiv.org/pdf/2006.07733.pdf" TargetMode="External"/><Relationship Id="rId105" Type="http://schemas.openxmlformats.org/officeDocument/2006/relationships/hyperlink" Target="https://link.springer.com/article/10.1007/BF00994018" TargetMode="External"/><Relationship Id="rId104" Type="http://schemas.openxmlformats.org/officeDocument/2006/relationships/hyperlink" Target="https://arxiv.org/pdf/1911.03584.pdf" TargetMode="External"/><Relationship Id="rId103" Type="http://schemas.openxmlformats.org/officeDocument/2006/relationships/hyperlink" Target="https://arxiv.org/pdf/2005.12872.pdf" TargetMode="External"/><Relationship Id="rId102" Type="http://schemas.openxmlformats.org/officeDocument/2006/relationships/hyperlink" Target="https://arxiv.org/pdf/2006.07159.pdf" TargetMode="External"/><Relationship Id="rId101" Type="http://schemas.openxmlformats.org/officeDocument/2006/relationships/hyperlink" Target="https://arxiv.org/pdf/2103.07579.pdf" TargetMode="External"/><Relationship Id="rId100" Type="http://schemas.openxmlformats.org/officeDocument/2006/relationships/hyperlink" Target="https://arxiv.org/pdf/2106.04560v1.pdf" TargetMode="External"/><Relationship Id="rId10" Type="http://schemas.openxmlformats.org/officeDocument/2006/relationships/hyperlink" Target="https://arxiv.org/abs/2112.10684" TargetMode="Externa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9" Type="http://schemas.openxmlformats.org/officeDocument/2006/relationships/hyperlink" Target="https://link.springer.com/article/10.1007/BF02478259" TargetMode="External"/><Relationship Id="rId87" Type="http://schemas.openxmlformats.org/officeDocument/2006/relationships/hyperlink" Target="https://openai.com/blog/ai-and-compute/" TargetMode="External"/><Relationship Id="rId86" Type="http://schemas.openxmlformats.org/officeDocument/2006/relationships/hyperlink" Target="https://people.idsia.ch//~ciresan/data/NNtricks.pdf" TargetMode="External"/><Relationship Id="rId85" Type="http://schemas.openxmlformats.org/officeDocument/2006/relationships/hyperlink" Target="https://www.aaai.org/ocs/index.php/WS/AAAIW10/paper/view/2024/2444" TargetMode="External"/><Relationship Id="rId84" Type="http://schemas.openxmlformats.org/officeDocument/2006/relationships/hyperlink" Target="https://arxiv.org/pdf/2104.05158.pdf" TargetMode="External"/><Relationship Id="rId83" Type="http://schemas.openxmlformats.org/officeDocument/2006/relationships/hyperlink" Target="https://dspace.mit.edu/bitstream/handle/1721.1/11589/33959125-MIT.pdf" TargetMode="External"/><Relationship Id="rId82" Type="http://schemas.openxmlformats.org/officeDocument/2006/relationships/hyperlink" Target="https://ieeexplore.ieee.org/abstract/document/1672195/" TargetMode="External"/><Relationship Id="rId81" Type="http://schemas.openxmlformats.org/officeDocument/2006/relationships/hyperlink" Target="https://arxiv.org/abs/1512.03385" TargetMode="External"/><Relationship Id="rId80" Type="http://schemas.openxmlformats.org/officeDocument/2006/relationships/hyperlink" Target="https://arxiv.org/pdf/2102.09672.pdf" TargetMode="External"/><Relationship Id="rId8" Type="http://schemas.openxmlformats.org/officeDocument/2006/relationships/hyperlink" Target="https://agupubs.onlinelibrary.wiley.com/doi/full/10.1002/2017EA000326" TargetMode="External"/><Relationship Id="rId79" Type="http://schemas.openxmlformats.org/officeDocument/2006/relationships/hyperlink" Target="https://arxiv.org/pdf/2104.14830.pdf" TargetMode="External"/><Relationship Id="rId78" Type="http://schemas.openxmlformats.org/officeDocument/2006/relationships/hyperlink" Target="https://arxiv.org/pdf/2006.13979.pdf" TargetMode="External"/><Relationship Id="rId77" Type="http://schemas.openxmlformats.org/officeDocument/2006/relationships/hyperlink" Target="https://arxiv.org/pdf/2101.00390.pdf" TargetMode="External"/><Relationship Id="rId76" Type="http://schemas.openxmlformats.org/officeDocument/2006/relationships/hyperlink" Target="https://arxiv.org/pdf/2103.06561.pdf" TargetMode="External"/><Relationship Id="rId75" Type="http://schemas.openxmlformats.org/officeDocument/2006/relationships/hyperlink" Target="https://arxiv.org/pdf/2009.01325.pdf" TargetMode="External"/><Relationship Id="rId74" Type="http://schemas.openxmlformats.org/officeDocument/2006/relationships/hyperlink" Target="https://arxiv.org/pdf/2105.12196.pdf" TargetMode="External"/><Relationship Id="rId73" Type="http://schemas.openxmlformats.org/officeDocument/2006/relationships/hyperlink" Target="https://arxiv.org/pdf/2105.08050.pdf" TargetMode="External"/><Relationship Id="rId72" Type="http://schemas.openxmlformats.org/officeDocument/2006/relationships/hyperlink" Target="https://arxiv.org/pdf/2105.01601.pdf" TargetMode="External"/><Relationship Id="rId71" Type="http://schemas.openxmlformats.org/officeDocument/2006/relationships/hyperlink" Target="https://arxiv.org/pdf/2103.06877.pdf" TargetMode="External"/><Relationship Id="rId70" Type="http://schemas.openxmlformats.org/officeDocument/2006/relationships/hyperlink" Target="https://arxiv.org/pdf/1911.02116.pdf" TargetMode="External"/><Relationship Id="rId7" Type="http://schemas.openxmlformats.org/officeDocument/2006/relationships/hyperlink" Target="https://dl.acm.org/doi/pdf/10.3115/1220575.1220673" TargetMode="External"/><Relationship Id="rId69" Type="http://schemas.openxmlformats.org/officeDocument/2006/relationships/hyperlink" Target="https://arxiv.org/pdf/1909.08593.pdf" TargetMode="External"/><Relationship Id="rId68" Type="http://schemas.openxmlformats.org/officeDocument/2006/relationships/hyperlink" Target="https://arxiv.org/pdf/2104.06294.pdf" TargetMode="External"/><Relationship Id="rId67" Type="http://schemas.openxmlformats.org/officeDocument/2006/relationships/hyperlink" Target="https://www.gwern.net/docs/reinforcement-learning/alphago/2018-silver.pdf" TargetMode="External"/><Relationship Id="rId66" Type="http://schemas.openxmlformats.org/officeDocument/2006/relationships/hyperlink" Target="https://arxiv.org/pdf/2104.03113.pdf" TargetMode="External"/><Relationship Id="rId65" Type="http://schemas.openxmlformats.org/officeDocument/2006/relationships/hyperlink" Target="https://arxiv.org/pdf/2106.09488.pdf" TargetMode="External"/><Relationship Id="rId64" Type="http://schemas.openxmlformats.org/officeDocument/2006/relationships/hyperlink" Target="https://arxiv.org/pdf/2101.10803.pdf" TargetMode="External"/><Relationship Id="rId63" Type="http://schemas.openxmlformats.org/officeDocument/2006/relationships/hyperlink" Target="https://arxiv.org/pdf/2105.12806.pdf" TargetMode="External"/><Relationship Id="rId62" Type="http://schemas.openxmlformats.org/officeDocument/2006/relationships/hyperlink" Target="https://arxiv.org/pdf/2108.07258.pdf" TargetMode="External"/><Relationship Id="rId61" Type="http://schemas.openxmlformats.org/officeDocument/2006/relationships/hyperlink" Target="https://arxiv.org/pdf/2110.02095.pdf" TargetMode="External"/><Relationship Id="rId60" Type="http://schemas.openxmlformats.org/officeDocument/2006/relationships/hyperlink" Target="https://openreview.net/pdf?id=GhVS8_yPeEa" TargetMode="External"/><Relationship Id="rId6" Type="http://schemas.openxmlformats.org/officeDocument/2006/relationships/hyperlink" Target="https://citeseerx.ist.psu.edu/viewdoc/download?doi=10.1.1.144.2646&amp;rep=rep1&amp;type=pdf" TargetMode="External"/><Relationship Id="rId59" Type="http://schemas.openxmlformats.org/officeDocument/2006/relationships/hyperlink" Target="https://arxiv.org/pdf/2106.07411.pdf" TargetMode="External"/><Relationship Id="rId58" Type="http://schemas.openxmlformats.org/officeDocument/2006/relationships/hyperlink" Target="https://arxiv.org/pdf/2106.03004.pdf" TargetMode="External"/><Relationship Id="rId57" Type="http://schemas.openxmlformats.org/officeDocument/2006/relationships/hyperlink" Target="https://arxiv.org/pdf/2108.05887.pdf" TargetMode="External"/><Relationship Id="rId56" Type="http://schemas.openxmlformats.org/officeDocument/2006/relationships/hyperlink" Target="https://arxiv.org/pdf/2106.13884.pdf" TargetMode="External"/><Relationship Id="rId55" Type="http://schemas.openxmlformats.org/officeDocument/2006/relationships/hyperlink" Target="https://www.gwern.net/docs/ai/2020-bell.pdf" TargetMode="External"/><Relationship Id="rId54" Type="http://schemas.openxmlformats.org/officeDocument/2006/relationships/hyperlink" Target="https://arxiv.org/pdf/2102.08981.pdf" TargetMode="External"/><Relationship Id="rId53" Type="http://schemas.openxmlformats.org/officeDocument/2006/relationships/hyperlink" Target="https://arxiv.org/pdf/2104.07885.pdf" TargetMode="External"/><Relationship Id="rId52" Type="http://schemas.openxmlformats.org/officeDocument/2006/relationships/hyperlink" Target="https://arxiv.org/pdf/2010.05358.pdf" TargetMode="External"/><Relationship Id="rId51" Type="http://schemas.openxmlformats.org/officeDocument/2006/relationships/hyperlink" Target="https://arxiv.org/pdf/2006.10621.pdf" TargetMode="External"/><Relationship Id="rId50" Type="http://schemas.openxmlformats.org/officeDocument/2006/relationships/hyperlink" Target="https://arxiv.org/pdf/2110.07178.pdf" TargetMode="External"/><Relationship Id="rId5" Type="http://schemas.openxmlformats.org/officeDocument/2006/relationships/hyperlink" Target="https://www.jmlr.org/papers/volume11/erhan10a/erhan10a.pdf" TargetMode="External"/><Relationship Id="rId49" Type="http://schemas.openxmlformats.org/officeDocument/2006/relationships/hyperlink" Target="https://arxiv.org/pdf/2110.14168.pdf" TargetMode="External"/><Relationship Id="rId48" Type="http://schemas.openxmlformats.org/officeDocument/2006/relationships/hyperlink" Target="https://arxiv.org/pdf/2109.03910.pdf" TargetMode="External"/><Relationship Id="rId47" Type="http://schemas.openxmlformats.org/officeDocument/2006/relationships/hyperlink" Target="https://arxiv.org/pdf/2107.01294.pdf" TargetMode="External"/><Relationship Id="rId46" Type="http://schemas.openxmlformats.org/officeDocument/2006/relationships/hyperlink" Target="https://arxiv.org/pdf/2108.07732.pdf" TargetMode="External"/><Relationship Id="rId45" Type="http://schemas.openxmlformats.org/officeDocument/2006/relationships/hyperlink" Target="https://arxiv.org/pdf/2103.08493.pdf" TargetMode="External"/><Relationship Id="rId44" Type="http://schemas.openxmlformats.org/officeDocument/2006/relationships/hyperlink" Target="https://arxiv.org/pdf/2110.05448.pdf" TargetMode="External"/><Relationship Id="rId43" Type="http://schemas.openxmlformats.org/officeDocument/2006/relationships/hyperlink" Target="https://openreview.net/pdf?id=IKA7MLxsLSu" TargetMode="External"/><Relationship Id="rId42" Type="http://schemas.openxmlformats.org/officeDocument/2006/relationships/hyperlink" Target="https://arxiv.org/pdf/2109.07740.pdf" TargetMode="External"/><Relationship Id="rId41" Type="http://schemas.openxmlformats.org/officeDocument/2006/relationships/hyperlink" Target="https://arxiv.org/pdf/2102.01293.pdf" TargetMode="External"/><Relationship Id="rId40" Type="http://schemas.openxmlformats.org/officeDocument/2006/relationships/hyperlink" Target="https://arxiv.org/pdf/2102.00529.pdf" TargetMode="External"/><Relationship Id="rId4" Type="http://schemas.openxmlformats.org/officeDocument/2006/relationships/hyperlink" Target="https://people.idsia.ch//~juergen/firstdeeplearner.html" TargetMode="External"/><Relationship Id="rId39" Type="http://schemas.openxmlformats.org/officeDocument/2006/relationships/hyperlink" Target="https://arxiv.org/pdf/2103.03874.pdf" TargetMode="External"/><Relationship Id="rId38" Type="http://schemas.openxmlformats.org/officeDocument/2006/relationships/hyperlink" Target="https://arxiv.org/pdf/2009.03300.pdf" TargetMode="External"/><Relationship Id="rId37" Type="http://schemas.openxmlformats.org/officeDocument/2006/relationships/hyperlink" Target="https://arxiv.org/pdf/2004.10802.pdf" TargetMode="External"/><Relationship Id="rId36" Type="http://schemas.openxmlformats.org/officeDocument/2006/relationships/hyperlink" Target="https://arxiv.org/pdf/2009.12583.pdf" TargetMode="External"/><Relationship Id="rId35" Type="http://schemas.openxmlformats.org/officeDocument/2006/relationships/hyperlink" Target="https://arxiv.org/pdf/2002.11794.pdf" TargetMode="External"/><Relationship Id="rId34" Type="http://schemas.openxmlformats.org/officeDocument/2006/relationships/hyperlink" Target="https://arxiv.org/pdf/1906.06669.pdf" TargetMode="External"/><Relationship Id="rId33" Type="http://schemas.openxmlformats.org/officeDocument/2006/relationships/hyperlink" Target="https://arxiv.org/pdf/1909.12673.pdf" TargetMode="External"/><Relationship Id="rId32" Type="http://schemas.openxmlformats.org/officeDocument/2006/relationships/hyperlink" Target="https://arxiv.org/pdf/1812.06162.pdf" TargetMode="External"/><Relationship Id="rId31" Type="http://schemas.openxmlformats.org/officeDocument/2006/relationships/hyperlink" Target="https://arxiv.org/pdf/1811.03600.pdf" TargetMode="External"/><Relationship Id="rId30" Type="http://schemas.openxmlformats.org/officeDocument/2006/relationships/hyperlink" Target="https://arxiv.org/pdf/1808.01097.pdf" TargetMode="External"/><Relationship Id="rId3" Type="http://schemas.openxmlformats.org/officeDocument/2006/relationships/hyperlink" Target="https://www.semanticscholar.org/paper/Applying-the-Multiple-Cause-Mixture-Model-to-Text-Sahami-Hearst/b6b3c6425e42bb657785d6515f3975e0c5b6d86f" TargetMode="External"/><Relationship Id="rId29" Type="http://schemas.openxmlformats.org/officeDocument/2006/relationships/hyperlink" Target="https://arxiv.org/pdf/1708.02862.pdf" TargetMode="External"/><Relationship Id="rId28" Type="http://schemas.openxmlformats.org/officeDocument/2006/relationships/hyperlink" Target="https://arxiv.org/pdf/1705.05640.pdf" TargetMode="External"/><Relationship Id="rId27" Type="http://schemas.openxmlformats.org/officeDocument/2006/relationships/hyperlink" Target="https://arxiv.org/pdf/1712.00409" TargetMode="External"/><Relationship Id="rId26" Type="http://schemas.openxmlformats.org/officeDocument/2006/relationships/hyperlink" Target="https://arxiv.org/pdf/1603.05691.pdf" TargetMode="External"/><Relationship Id="rId25" Type="http://schemas.openxmlformats.org/officeDocument/2006/relationships/hyperlink" Target="https://ieeexplore.ieee.org/document/7780965" TargetMode="External"/><Relationship Id="rId24" Type="http://schemas.openxmlformats.org/officeDocument/2006/relationships/hyperlink" Target="https://arxiv.org/abs/1908.04577" TargetMode="External"/><Relationship Id="rId23" Type="http://schemas.openxmlformats.org/officeDocument/2006/relationships/hyperlink" Target="https://link.springer.com/chapter/10.1007/978-3-642-04277-5_76" TargetMode="External"/><Relationship Id="rId22" Type="http://schemas.openxmlformats.org/officeDocument/2006/relationships/hyperlink" Target="https://arxiv.org/abs/1302.3587" TargetMode="External"/><Relationship Id="rId21" Type="http://schemas.openxmlformats.org/officeDocument/2006/relationships/hyperlink" Target="https://ai.googleblog.com/2018/11/improved-grading-of-prostate-cancer.html" TargetMode="External"/><Relationship Id="rId20" Type="http://schemas.openxmlformats.org/officeDocument/2006/relationships/hyperlink" Target="https://ebooks.ub.rug.nl/337/" TargetMode="External"/><Relationship Id="rId2" Type="http://schemas.openxmlformats.org/officeDocument/2006/relationships/vmlDrawing" Target="../drawings/vmlDrawing5.vml"/><Relationship Id="rId19" Type="http://schemas.openxmlformats.org/officeDocument/2006/relationships/hyperlink" Target="https://mitpress.mit.edu/books/perceptrons" TargetMode="External"/><Relationship Id="rId18" Type="http://schemas.openxmlformats.org/officeDocument/2006/relationships/hyperlink" Target="https://vbn.aau.dk/en/publications/munin-an-expert-emg-assistant-2" TargetMode="External"/><Relationship Id="rId17" Type="http://schemas.openxmlformats.org/officeDocument/2006/relationships/hyperlink" Target="https://web.cs.wpi.edu/~claypool/papers/content-collab/content-collab.pdf" TargetMode="External"/><Relationship Id="rId16" Type="http://schemas.openxmlformats.org/officeDocument/2006/relationships/hyperlink" Target="https://arxiv.org/abs/1711.04325" TargetMode="External"/><Relationship Id="rId15" Type="http://schemas.openxmlformats.org/officeDocument/2006/relationships/hyperlink" Target="https://www.aclweb.org/anthology/J10-4006/" TargetMode="External"/><Relationship Id="rId14" Type="http://schemas.openxmlformats.org/officeDocument/2006/relationships/hyperlink" Target="https://www.aclweb.org/anthology/P12-1046/" TargetMode="External"/><Relationship Id="rId13" Type="http://schemas.openxmlformats.org/officeDocument/2006/relationships/hyperlink" Target="https://www.worldcat.org/title/two-theorems-of-statistical-separability-in-the-perceptron-project-para/oclc/13465171" TargetMode="External"/><Relationship Id="rId12" Type="http://schemas.openxmlformats.org/officeDocument/2006/relationships/hyperlink" Target="http://rossashby.info/Ashby%20-%20Design%20for%20a%20Brain%20-%20The%20Origin%20of%20Adaptive%20Behavior.pdf" TargetMode="External"/><Relationship Id="rId11" Type="http://schemas.openxmlformats.org/officeDocument/2006/relationships/hyperlink" Target="https://api.semanticscholar.org/CorpusID:144400005" TargetMode="External"/><Relationship Id="rId10" Type="http://schemas.openxmlformats.org/officeDocument/2006/relationships/hyperlink" Target="https://link.springer.com/article/10.1007/BF02478291" TargetMode="External"/><Relationship Id="rId1" Type="http://schemas.openxmlformats.org/officeDocument/2006/relationships/comments" Target="../comments5.xml"/></Relationships>
</file>

<file path=xl/worksheets/_rels/sheet8.xml.rels><?xml version="1.0" encoding="UTF-8" standalone="yes"?>
<Relationships xmlns="http://schemas.openxmlformats.org/package/2006/relationships"><Relationship Id="rId9" Type="http://schemas.openxmlformats.org/officeDocument/2006/relationships/hyperlink" Target="https://arxiv.org/pdf/2007.05558.pdf" TargetMode="External"/><Relationship Id="rId8" Type="http://schemas.openxmlformats.org/officeDocument/2006/relationships/hyperlink" Target="https://arxiv.org/pdf/2103.00020.pdf" TargetMode="External"/><Relationship Id="rId7" Type="http://schemas.openxmlformats.org/officeDocument/2006/relationships/hyperlink" Target="https://www.davidsilver.uk/wp-content/uploads/2020/03/games.pdf" TargetMode="External"/><Relationship Id="rId6" Type="http://schemas.openxmlformats.org/officeDocument/2006/relationships/hyperlink" Target="https://github.com/kingoflolz/mesh-transformer-jax/" TargetMode="External"/><Relationship Id="rId5" Type="http://schemas.openxmlformats.org/officeDocument/2006/relationships/hyperlink" Target="https://www.sciencedirect.com/science/article/pii/S0893608014002135" TargetMode="External"/><Relationship Id="rId4" Type="http://schemas.openxmlformats.org/officeDocument/2006/relationships/hyperlink" Target="https://old.reddit.com/r/mlscaling/" TargetMode="External"/><Relationship Id="rId3" Type="http://schemas.openxmlformats.org/officeDocument/2006/relationships/hyperlink" Target="https://scholar.google.com/citations?hl=en&amp;user=gLnCTgIAAAAJ&amp;view_op=list_works" TargetMode="External"/><Relationship Id="rId20" Type="http://schemas.openxmlformats.org/officeDocument/2006/relationships/hyperlink" Target="https://github.com/terryum/awesome-deep-learning-papers" TargetMode="External"/><Relationship Id="rId2" Type="http://schemas.openxmlformats.org/officeDocument/2006/relationships/vmlDrawing" Target="../drawings/vmlDrawing6.vml"/><Relationship Id="rId19" Type="http://schemas.openxmlformats.org/officeDocument/2006/relationships/hyperlink" Target="https://docs.google.com/spreadsheets/d/1Kj4Q5WADcDXtUJLIOfGTCE3tGvxNczEMwyy8QtgSkHk/edit" TargetMode="External"/><Relationship Id="rId18" Type="http://schemas.openxmlformats.org/officeDocument/2006/relationships/hyperlink" Target="https://openai.com/blog/image-gpt/" TargetMode="External"/><Relationship Id="rId17" Type="http://schemas.openxmlformats.org/officeDocument/2006/relationships/hyperlink" Target="https://github.com/lightonai/akronomicon/pull/6" TargetMode="External"/><Relationship Id="rId16" Type="http://schemas.openxmlformats.org/officeDocument/2006/relationships/hyperlink" Target="https://www.gwern.net/notes/Scaling" TargetMode="External"/><Relationship Id="rId15" Type="http://schemas.openxmlformats.org/officeDocument/2006/relationships/hyperlink" Target="https://computerprogress.com/tasks/image-classification/imagenet" TargetMode="External"/><Relationship Id="rId14" Type="http://schemas.openxmlformats.org/officeDocument/2006/relationships/hyperlink" Target="http://computerprogress.com/" TargetMode="External"/><Relationship Id="rId13" Type="http://schemas.openxmlformats.org/officeDocument/2006/relationships/hyperlink" Target="https://resources.wolframcloud.com/NeuralNetRepository/" TargetMode="External"/><Relationship Id="rId12" Type="http://schemas.openxmlformats.org/officeDocument/2006/relationships/hyperlink" Target="https://colab.research.google.com/notebooks/data_table.ipynb" TargetMode="External"/><Relationship Id="rId11" Type="http://schemas.openxmlformats.org/officeDocument/2006/relationships/hyperlink" Target="https://www.microsoft.com/en-us/research/blog/" TargetMode="External"/><Relationship Id="rId10" Type="http://schemas.openxmlformats.org/officeDocument/2006/relationships/hyperlink" Target="https://arxiv.org/pdf/1701.06538.pdf" TargetMode="Externa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99" Type="http://schemas.openxmlformats.org/officeDocument/2006/relationships/hyperlink" Target="http://www.cs.umd.edu/~samir/498/Amazon-Recommendations.pdf" TargetMode="External"/><Relationship Id="rId98" Type="http://schemas.openxmlformats.org/officeDocument/2006/relationships/hyperlink" Target="https://ieeexplore.ieee.org/document/1227801" TargetMode="External"/><Relationship Id="rId97" Type="http://schemas.openxmlformats.org/officeDocument/2006/relationships/hyperlink" Target="https://ieeexplore.ieee.org/document/1211479" TargetMode="External"/><Relationship Id="rId96" Type="http://schemas.openxmlformats.org/officeDocument/2006/relationships/hyperlink" Target="https://papers.nips.cc/paper/2003/hash/b427426b8acd2c2e53827970f2c2f526-Abstract.html" TargetMode="External"/><Relationship Id="rId95" Type="http://schemas.openxmlformats.org/officeDocument/2006/relationships/hyperlink" Target="https://www.aclweb.org/anthology/W02-1011/" TargetMode="External"/><Relationship Id="rId94" Type="http://schemas.openxmlformats.org/officeDocument/2006/relationships/hyperlink" Target="https://direct.mit.edu/evco/article/10/2/99/1123/Evolving-Neural-Networks-through-Augmenting" TargetMode="External"/><Relationship Id="rId93" Type="http://schemas.openxmlformats.org/officeDocument/2006/relationships/hyperlink" Target="https://www.aclweb.org/anthology/W02-1018.pdf" TargetMode="External"/><Relationship Id="rId92" Type="http://schemas.openxmlformats.org/officeDocument/2006/relationships/hyperlink" Target="https://www.aclweb.org/anthology/W02-1001/" TargetMode="External"/><Relationship Id="rId91" Type="http://schemas.openxmlformats.org/officeDocument/2006/relationships/hyperlink" Target="https://www.sciencedirect.com/science/article/pii/S0957417402000520" TargetMode="External"/><Relationship Id="rId90" Type="http://schemas.openxmlformats.org/officeDocument/2006/relationships/hyperlink" Target="https://aclanthology.org/P02-1040.pdf" TargetMode="External"/><Relationship Id="rId9" Type="http://schemas.openxmlformats.org/officeDocument/2006/relationships/hyperlink" Target="https://blogs.umass.edu/brain-wars/files/2016/03/rosenblatt-1957.pdf" TargetMode="External"/><Relationship Id="rId89" Type="http://schemas.openxmlformats.org/officeDocument/2006/relationships/hyperlink" Target="https://www.aclweb.org/anthology/P02-1038/" TargetMode="External"/><Relationship Id="rId88" Type="http://schemas.openxmlformats.org/officeDocument/2006/relationships/hyperlink" Target="https://www.cs.cmu.edu/~efros/courses/LBMV07/Papers/viola-cvpr-01.pdf" TargetMode="External"/><Relationship Id="rId87" Type="http://schemas.openxmlformats.org/officeDocument/2006/relationships/hyperlink" Target="https://www.aclweb.org/anthology/P01-1017/" TargetMode="External"/><Relationship Id="rId86" Type="http://schemas.openxmlformats.org/officeDocument/2006/relationships/hyperlink" Target="https://www.jstor.org/stable/2699986" TargetMode="External"/><Relationship Id="rId85" Type="http://schemas.openxmlformats.org/officeDocument/2006/relationships/hyperlink" Target="https://www.aclweb.org/anthology/P00-1056/" TargetMode="External"/><Relationship Id="rId84" Type="http://schemas.openxmlformats.org/officeDocument/2006/relationships/hyperlink" Target="https://www.aclweb.org/anthology/P00-1065/" TargetMode="External"/><Relationship Id="rId83" Type="http://schemas.openxmlformats.org/officeDocument/2006/relationships/hyperlink" Target="https://ieeexplore.ieee.org/document/861302" TargetMode="External"/><Relationship Id="rId82" Type="http://schemas.openxmlformats.org/officeDocument/2006/relationships/hyperlink" Target="http://robotics.stanford.edu/~ronnyk/WEBKDD2000/papers/sarwar.pdf" TargetMode="External"/><Relationship Id="rId81" Type="http://schemas.openxmlformats.org/officeDocument/2006/relationships/hyperlink" Target="https://ieeexplore.ieee.org/document/818041" TargetMode="External"/><Relationship Id="rId80" Type="http://schemas.openxmlformats.org/officeDocument/2006/relationships/hyperlink" Target="http://www-i6.informatik.rwth-aachen.de/publications/download/266/al-onaizan--1999.pdf" TargetMode="External"/><Relationship Id="rId8" Type="http://schemas.openxmlformats.org/officeDocument/2006/relationships/hyperlink" Target="https://www.sciencedirect.com/science/article/pii/S0019995859900580" TargetMode="External"/><Relationship Id="rId79" Type="http://schemas.openxmlformats.org/officeDocument/2006/relationships/hyperlink" Target="https://link.springer.com/article/10.1023/A:1007662407062" TargetMode="External"/><Relationship Id="rId78" Type="http://schemas.openxmlformats.org/officeDocument/2006/relationships/hyperlink" Target="http://vision.stanford.edu/cs598_spring07/papers/Lecun98.pdf" TargetMode="External"/><Relationship Id="rId77" Type="http://schemas.openxmlformats.org/officeDocument/2006/relationships/hyperlink" Target="https://ieeexplore.ieee.org/abstract/document/668817" TargetMode="External"/><Relationship Id="rId76" Type="http://schemas.openxmlformats.org/officeDocument/2006/relationships/hyperlink" Target="https://www.aaai.org/Papers/AAAI/1998/AAAI98-101.pdf" TargetMode="External"/><Relationship Id="rId75" Type="http://schemas.openxmlformats.org/officeDocument/2006/relationships/hyperlink" Target="https://ieeexplore.ieee.org/document/698586" TargetMode="External"/><Relationship Id="rId74" Type="http://schemas.openxmlformats.org/officeDocument/2006/relationships/hyperlink" Target="https://aclanthology.org/J99-2009.pdf" TargetMode="External"/><Relationship Id="rId73" Type="http://schemas.openxmlformats.org/officeDocument/2006/relationships/hyperlink" Target="https://ieeexplore.ieee.org/document/609310" TargetMode="External"/><Relationship Id="rId72" Type="http://schemas.openxmlformats.org/officeDocument/2006/relationships/hyperlink" Target="http://www.bioinf.jku.at/publications/older/2604.pdf" TargetMode="External"/><Relationship Id="rId71" Type="http://schemas.openxmlformats.org/officeDocument/2006/relationships/hyperlink" Target="https://www.isca-speech.org/archive/eurospeech_1997/e97_2707.html" TargetMode="External"/><Relationship Id="rId702" Type="http://schemas.openxmlformats.org/officeDocument/2006/relationships/hyperlink" Target="https://arxiv.org/pdf/1905.07129.pdf" TargetMode="External"/><Relationship Id="rId701" Type="http://schemas.openxmlformats.org/officeDocument/2006/relationships/hyperlink" Target="https://nlp.stanford.edu/pubs/zhang2017tacred.pdf" TargetMode="External"/><Relationship Id="rId700" Type="http://schemas.openxmlformats.org/officeDocument/2006/relationships/hyperlink" Target="https://arxiv.org/pdf/1809.10185.pdf" TargetMode="External"/><Relationship Id="rId70" Type="http://schemas.openxmlformats.org/officeDocument/2006/relationships/hyperlink" Target="https://www.lesswrong.com/posts/eYGsJC8hwECeGrjii/important-ml-systems-from-before-2012" TargetMode="External"/><Relationship Id="rId7" Type="http://schemas.openxmlformats.org/officeDocument/2006/relationships/hyperlink" Target="https://dl.acm.org/doi/10.1145/1455292.1455310" TargetMode="External"/><Relationship Id="rId699" Type="http://schemas.openxmlformats.org/officeDocument/2006/relationships/hyperlink" Target="https://arxiv.org/pdf/1810.12885.pdf" TargetMode="External"/><Relationship Id="rId698" Type="http://schemas.openxmlformats.org/officeDocument/2006/relationships/hyperlink" Target="https://arxiv.org/pdf/1412.6575.pdf" TargetMode="External"/><Relationship Id="rId697" Type="http://schemas.openxmlformats.org/officeDocument/2006/relationships/hyperlink" Target="https://arxiv.org/pdf/1705.02494.pdf" TargetMode="External"/><Relationship Id="rId696" Type="http://schemas.openxmlformats.org/officeDocument/2006/relationships/hyperlink" Target="https://arxiv.org/pdf/1601.01343.pdf" TargetMode="External"/><Relationship Id="rId695" Type="http://schemas.openxmlformats.org/officeDocument/2006/relationships/hyperlink" Target="https://arxiv.org/pdf/1912.09637.pdf" TargetMode="External"/><Relationship Id="rId694" Type="http://schemas.openxmlformats.org/officeDocument/2006/relationships/hyperlink" Target="https://arxiv.org/pdf/1911.06136.pdf" TargetMode="External"/><Relationship Id="rId693" Type="http://schemas.openxmlformats.org/officeDocument/2006/relationships/hyperlink" Target="https://arxiv.org/pdf/2002.01808.pdf" TargetMode="External"/><Relationship Id="rId692" Type="http://schemas.openxmlformats.org/officeDocument/2006/relationships/hyperlink" Target="https://arxiv.org/pdf/1905.00537.pdf" TargetMode="External"/><Relationship Id="rId691" Type="http://schemas.openxmlformats.org/officeDocument/2006/relationships/hyperlink" Target="https://arxiv.org/pdf/1606.06357.pdf" TargetMode="External"/><Relationship Id="rId690" Type="http://schemas.openxmlformats.org/officeDocument/2006/relationships/hyperlink" Target="https://aclanthology.org/D18-1309.pdf" TargetMode="External"/><Relationship Id="rId69" Type="http://schemas.openxmlformats.org/officeDocument/2006/relationships/hyperlink" Target="https://www.sciencedirect.com/science/article/pii/S0042698997001697" TargetMode="External"/><Relationship Id="rId689" Type="http://schemas.openxmlformats.org/officeDocument/2006/relationships/hyperlink" Target="https://arxiv.org/pdf/1611.01603.pdf" TargetMode="External"/><Relationship Id="rId688" Type="http://schemas.openxmlformats.org/officeDocument/2006/relationships/hyperlink" Target="https://arxiv.org/pdf/1906.02715.pdf" TargetMode="External"/><Relationship Id="rId687" Type="http://schemas.openxmlformats.org/officeDocument/2006/relationships/hyperlink" Target="https://arxiv.org/pdf/1909.04164.pdf" TargetMode="External"/><Relationship Id="rId686" Type="http://schemas.openxmlformats.org/officeDocument/2006/relationships/hyperlink" Target="https://aclanthology.org/D19-6007.pdf" TargetMode="External"/><Relationship Id="rId685" Type="http://schemas.openxmlformats.org/officeDocument/2006/relationships/hyperlink" Target="https://arxiv.org/pdf/2001.03765.pdf" TargetMode="External"/><Relationship Id="rId684" Type="http://schemas.openxmlformats.org/officeDocument/2006/relationships/hyperlink" Target="https://aclanthology.org/D19-6011/" TargetMode="External"/><Relationship Id="rId683" Type="http://schemas.openxmlformats.org/officeDocument/2006/relationships/hyperlink" Target="https://arxiv.org/pdf/1607.06450.pdf" TargetMode="External"/><Relationship Id="rId682" Type="http://schemas.openxmlformats.org/officeDocument/2006/relationships/hyperlink" Target="https://arxiv.org/pdf/1909.11942.pdf" TargetMode="External"/><Relationship Id="rId681" Type="http://schemas.openxmlformats.org/officeDocument/2006/relationships/hyperlink" Target="https://arxiv.org/pdf/1907.10529.pdf" TargetMode="External"/><Relationship Id="rId680" Type="http://schemas.openxmlformats.org/officeDocument/2006/relationships/hyperlink" Target="https://arxiv.org/pdf/1606.08415.pdf" TargetMode="External"/><Relationship Id="rId68" Type="http://schemas.openxmlformats.org/officeDocument/2006/relationships/hyperlink" Target="https://proceedings.neurips.cc/paper/2007/hash/4b0250793549726d5c1ea3906726ebfe-Abstract.html" TargetMode="External"/><Relationship Id="rId679" Type="http://schemas.openxmlformats.org/officeDocument/2006/relationships/hyperlink" Target="https://arxiv.org/pdf/1704.04920.pdf" TargetMode="External"/><Relationship Id="rId678" Type="http://schemas.openxmlformats.org/officeDocument/2006/relationships/hyperlink" Target="https://arxiv.org/pdf/1906.04341.pdf" TargetMode="External"/><Relationship Id="rId677" Type="http://schemas.openxmlformats.org/officeDocument/2006/relationships/hyperlink" Target="https://arxiv.org/pdf/1710.10723.pdf" TargetMode="External"/><Relationship Id="rId676" Type="http://schemas.openxmlformats.org/officeDocument/2006/relationships/hyperlink" Target="https://arxiv.org/pdf/1807.04905.pdf" TargetMode="External"/><Relationship Id="rId675" Type="http://schemas.openxmlformats.org/officeDocument/2006/relationships/hyperlink" Target="https://aclanthology.org/P17-1149.pdf" TargetMode="External"/><Relationship Id="rId674" Type="http://schemas.openxmlformats.org/officeDocument/2006/relationships/hyperlink" Target="https://papers.nips.cc/paper/2013/file/1cecc7a77928ca8133fa24680a88d2f9-Paper.pdf" TargetMode="External"/><Relationship Id="rId673" Type="http://schemas.openxmlformats.org/officeDocument/2006/relationships/hyperlink" Target="https://arxiv.org/pdf/1906.03158.pdf" TargetMode="External"/><Relationship Id="rId672" Type="http://schemas.openxmlformats.org/officeDocument/2006/relationships/hyperlink" Target="https://arxiv.org/pdf/2010.01057v1.pdf" TargetMode="External"/><Relationship Id="rId671" Type="http://schemas.openxmlformats.org/officeDocument/2006/relationships/hyperlink" Target="https://arxiv.org/pdf/1905.05055.pdf" TargetMode="External"/><Relationship Id="rId670" Type="http://schemas.openxmlformats.org/officeDocument/2006/relationships/hyperlink" Target="https://arxiv.org/pdf/2006.06882.pdf" TargetMode="External"/><Relationship Id="rId67" Type="http://schemas.openxmlformats.org/officeDocument/2006/relationships/hyperlink" Target="https://ieeexplore.ieee.org/document/650093" TargetMode="External"/><Relationship Id="rId669" Type="http://schemas.openxmlformats.org/officeDocument/2006/relationships/hyperlink" Target="https://pdollar.github.io/files/papers/ZitnickDollarECCV14edgeBoxes.pdf" TargetMode="External"/><Relationship Id="rId668" Type="http://schemas.openxmlformats.org/officeDocument/2006/relationships/hyperlink" Target="https://arxiv.org/pdf/2010.04159.pdf" TargetMode="External"/><Relationship Id="rId667" Type="http://schemas.openxmlformats.org/officeDocument/2006/relationships/hyperlink" Target="https://arxiv.org/pdf/1811.11168.pdf" TargetMode="External"/><Relationship Id="rId666" Type="http://schemas.openxmlformats.org/officeDocument/2006/relationships/hyperlink" Target="https://arxiv.org/pdf/2103.07461.pdf" TargetMode="External"/><Relationship Id="rId665" Type="http://schemas.openxmlformats.org/officeDocument/2006/relationships/hyperlink" Target="https://arxiv.org/pdf/1912.02424.pdf" TargetMode="External"/><Relationship Id="rId664" Type="http://schemas.openxmlformats.org/officeDocument/2006/relationships/hyperlink" Target="https://arxiv.org/pdf/1511.07122.pdf" TargetMode="External"/><Relationship Id="rId663" Type="http://schemas.openxmlformats.org/officeDocument/2006/relationships/hyperlink" Target="https://arxiv.org/pdf/1904.11490.pdf" TargetMode="External"/><Relationship Id="rId662" Type="http://schemas.openxmlformats.org/officeDocument/2006/relationships/hyperlink" Target="https://arxiv.org/pdf/2005.03101.pdf" TargetMode="External"/><Relationship Id="rId661" Type="http://schemas.openxmlformats.org/officeDocument/2006/relationships/hyperlink" Target="https://arxiv.org/pdf/1711.07971.pdf" TargetMode="External"/><Relationship Id="rId660" Type="http://schemas.openxmlformats.org/officeDocument/2006/relationships/hyperlink" Target="https://arxiv.org/pdf/1904.01355.pdf" TargetMode="External"/><Relationship Id="rId66" Type="http://schemas.openxmlformats.org/officeDocument/2006/relationships/hyperlink" Target="https://www.nature.com/articles/381607a0" TargetMode="External"/><Relationship Id="rId659" Type="http://schemas.openxmlformats.org/officeDocument/2006/relationships/hyperlink" Target="https://arxiv.org/pdf/2011.12450.pdf" TargetMode="External"/><Relationship Id="rId658" Type="http://schemas.openxmlformats.org/officeDocument/2006/relationships/hyperlink" Target="https://arxiv.org/pdf/1805.09300.pdf" TargetMode="External"/><Relationship Id="rId657" Type="http://schemas.openxmlformats.org/officeDocument/2006/relationships/hyperlink" Target="https://arxiv.org/pdf/1711.08189.pdf" TargetMode="External"/><Relationship Id="rId656" Type="http://schemas.openxmlformats.org/officeDocument/2006/relationships/hyperlink" Target="https://arxiv.org/pdf/2007.11056.pdf" TargetMode="External"/><Relationship Id="rId655" Type="http://schemas.openxmlformats.org/officeDocument/2006/relationships/hyperlink" Target="https://arxiv.org/pdf/1904.02701.pdf" TargetMode="External"/><Relationship Id="rId654" Type="http://schemas.openxmlformats.org/officeDocument/2006/relationships/hyperlink" Target="https://arxiv.org/pdf/2103.14030.pdf" TargetMode="External"/><Relationship Id="rId653" Type="http://schemas.openxmlformats.org/officeDocument/2006/relationships/hyperlink" Target="https://arxiv.org/pdf/1803.01534.pdf" TargetMode="External"/><Relationship Id="rId652" Type="http://schemas.openxmlformats.org/officeDocument/2006/relationships/hyperlink" Target="https://arxiv.org/pdf/1612.03144.pdf" TargetMode="External"/><Relationship Id="rId651" Type="http://schemas.openxmlformats.org/officeDocument/2006/relationships/hyperlink" Target="https://arxiv.org/pdf/2012.07177.pdf" TargetMode="External"/><Relationship Id="rId650" Type="http://schemas.openxmlformats.org/officeDocument/2006/relationships/hyperlink" Target="https://arxiv.org/pdf/1904.08189.pdf" TargetMode="External"/><Relationship Id="rId65" Type="http://schemas.openxmlformats.org/officeDocument/2006/relationships/hyperlink" Target="https://www.ri.cmu.edu/pub_files/pub1/rowley_henry_1996_3/rowley_henry_1996_3.pdf" TargetMode="External"/><Relationship Id="rId649" Type="http://schemas.openxmlformats.org/officeDocument/2006/relationships/hyperlink" Target="https://arxiv.org/pdf/1912.05027.pdf" TargetMode="External"/><Relationship Id="rId648" Type="http://schemas.openxmlformats.org/officeDocument/2006/relationships/hyperlink" Target="https://arxiv.org/pdf/1703.06211.pdf" TargetMode="External"/><Relationship Id="rId647" Type="http://schemas.openxmlformats.org/officeDocument/2006/relationships/hyperlink" Target="https://arxiv.org/pdf/1605.06409.pdf" TargetMode="External"/><Relationship Id="rId646" Type="http://schemas.openxmlformats.org/officeDocument/2006/relationships/hyperlink" Target="https://arxiv.org/pdf/2010.15831.pdf" TargetMode="External"/><Relationship Id="rId645" Type="http://schemas.openxmlformats.org/officeDocument/2006/relationships/hyperlink" Target="https://arxiv.org/pdf/2007.08508.pdf" TargetMode="External"/><Relationship Id="rId644" Type="http://schemas.openxmlformats.org/officeDocument/2006/relationships/hyperlink" Target="https://arxiv.org/pdf/2003.10027.pdf" TargetMode="External"/><Relationship Id="rId643" Type="http://schemas.openxmlformats.org/officeDocument/2006/relationships/hyperlink" Target="https://arxiv.org/pdf/1712.00726.pdf" TargetMode="External"/><Relationship Id="rId642" Type="http://schemas.openxmlformats.org/officeDocument/2006/relationships/hyperlink" Target="https://arxiv.org/pdf/2106.08322.pdf" TargetMode="External"/><Relationship Id="rId641" Type="http://schemas.openxmlformats.org/officeDocument/2006/relationships/hyperlink" Target="https://arxiv.org/pdf/1805.08974.pdf" TargetMode="External"/><Relationship Id="rId640" Type="http://schemas.openxmlformats.org/officeDocument/2006/relationships/hyperlink" Target="https://arxiv.org/pdf/2003.04297.pdf" TargetMode="External"/><Relationship Id="rId64" Type="http://schemas.openxmlformats.org/officeDocument/2006/relationships/hyperlink" Target="https://www.aclweb.org/anthology/C96-2141/" TargetMode="External"/><Relationship Id="rId639" Type="http://schemas.openxmlformats.org/officeDocument/2006/relationships/hyperlink" Target="https://arxiv.org/pdf/2103.00020.pdf" TargetMode="External"/><Relationship Id="rId638" Type="http://schemas.openxmlformats.org/officeDocument/2006/relationships/hyperlink" Target="https://link.springer.com/chapter/10.1007/978-3-030-88480-2_14" TargetMode="External"/><Relationship Id="rId637" Type="http://schemas.openxmlformats.org/officeDocument/2006/relationships/hyperlink" Target="https://arxiv.org/pdf/1907.02684.pdf" TargetMode="External"/><Relationship Id="rId636" Type="http://schemas.openxmlformats.org/officeDocument/2006/relationships/hyperlink" Target="https://arxiv.org/pdf/1708.05552.pdf" TargetMode="External"/><Relationship Id="rId635" Type="http://schemas.openxmlformats.org/officeDocument/2006/relationships/hyperlink" Target="https://arxiv.org/pdf/2005.00975.pdf" TargetMode="External"/><Relationship Id="rId634" Type="http://schemas.openxmlformats.org/officeDocument/2006/relationships/hyperlink" Target="https://arxiv.org/pdf/2005.07150.pdf" TargetMode="External"/><Relationship Id="rId633" Type="http://schemas.openxmlformats.org/officeDocument/2006/relationships/hyperlink" Target="https://arxiv.org/pdf/2010.01057.pdf" TargetMode="External"/><Relationship Id="rId632" Type="http://schemas.openxmlformats.org/officeDocument/2006/relationships/hyperlink" Target="https://arxiv.org/pdf/1805.04601.pdf" TargetMode="External"/><Relationship Id="rId631" Type="http://schemas.openxmlformats.org/officeDocument/2006/relationships/hyperlink" Target="https://arxiv.org/pdf/1904.02232.pdf" TargetMode="External"/><Relationship Id="rId630" Type="http://schemas.openxmlformats.org/officeDocument/2006/relationships/hyperlink" Target="https://arxiv.org/pdf/1703.01513.pdf" TargetMode="External"/><Relationship Id="rId63" Type="http://schemas.openxmlformats.org/officeDocument/2006/relationships/hyperlink" Target="https://www.aclweb.org/anthology/C96-2141.pdf" TargetMode="External"/><Relationship Id="rId629" Type="http://schemas.openxmlformats.org/officeDocument/2006/relationships/hyperlink" Target="https://arxiv.org/pdf/1904.09077.pdf" TargetMode="External"/><Relationship Id="rId628" Type="http://schemas.openxmlformats.org/officeDocument/2006/relationships/hyperlink" Target="http://www.ecmlpkdd2018.org/wp-content/uploads/2018/09/108.pdf" TargetMode="External"/><Relationship Id="rId627" Type="http://schemas.openxmlformats.org/officeDocument/2006/relationships/hyperlink" Target="https://aclanthology.org/2020.acl-main.339.pdf" TargetMode="External"/><Relationship Id="rId626" Type="http://schemas.openxmlformats.org/officeDocument/2006/relationships/hyperlink" Target="https://aclanthology.org/people/z/zhenkai-wei/" TargetMode="External"/><Relationship Id="rId625" Type="http://schemas.openxmlformats.org/officeDocument/2006/relationships/hyperlink" Target="https://arxiv.org/pdf/2010.05003.pdf" TargetMode="External"/><Relationship Id="rId624" Type="http://schemas.openxmlformats.org/officeDocument/2006/relationships/hyperlink" Target="https://arxiv.org/pdf/2009.08330.pdf" TargetMode="External"/><Relationship Id="rId623" Type="http://schemas.openxmlformats.org/officeDocument/2006/relationships/hyperlink" Target="https://arxiv.org/pdf/2105.03654.pdf" TargetMode="External"/><Relationship Id="rId622" Type="http://schemas.openxmlformats.org/officeDocument/2006/relationships/hyperlink" Target="https://arxiv.org/pdf/2004.03846.pdf" TargetMode="External"/><Relationship Id="rId621" Type="http://schemas.openxmlformats.org/officeDocument/2006/relationships/hyperlink" Target="https://arxiv.org/pdf/1906.07880.pdf" TargetMode="External"/><Relationship Id="rId620" Type="http://schemas.openxmlformats.org/officeDocument/2006/relationships/hyperlink" Target="https://aclanthology.org/W03-0419.pdf" TargetMode="External"/><Relationship Id="rId62" Type="http://schemas.openxmlformats.org/officeDocument/2006/relationships/hyperlink" Target="https://ieeexplore.ieee.org/document/598994" TargetMode="External"/><Relationship Id="rId619" Type="http://schemas.openxmlformats.org/officeDocument/2006/relationships/hyperlink" Target="https://aclanthology.org/W00-0726.pdf" TargetMode="External"/><Relationship Id="rId618" Type="http://schemas.openxmlformats.org/officeDocument/2006/relationships/hyperlink" Target="https://arxiv.org/pdf/cs/0209010.pdf" TargetMode="External"/><Relationship Id="rId617" Type="http://schemas.openxmlformats.org/officeDocument/2006/relationships/hyperlink" Target="https://www.persee.fr/doc/lfr_0023-8368_1969_num_1_1_5395" TargetMode="External"/><Relationship Id="rId616" Type="http://schemas.openxmlformats.org/officeDocument/2006/relationships/hyperlink" Target="https://web.stanford.edu/class/psych209/Readings/SuttonBartoIPRLBook2ndEd.pdf" TargetMode="External"/><Relationship Id="rId615" Type="http://schemas.openxmlformats.org/officeDocument/2006/relationships/hyperlink" Target="https://www-nlpir.nist.gov/related_projects/muc/proceedings/ne_task.html" TargetMode="External"/><Relationship Id="rId614" Type="http://schemas.openxmlformats.org/officeDocument/2006/relationships/hyperlink" Target="https://arxiv.org/pdf/1704.00764.pdf" TargetMode="External"/><Relationship Id="rId613" Type="http://schemas.openxmlformats.org/officeDocument/2006/relationships/hyperlink" Target="https://arxiv.org/pdf/1908.06926.pdf" TargetMode="External"/><Relationship Id="rId612" Type="http://schemas.openxmlformats.org/officeDocument/2006/relationships/hyperlink" Target="https://arxiv.org/pdf/1902.09492.pdf" TargetMode="External"/><Relationship Id="rId611" Type="http://schemas.openxmlformats.org/officeDocument/2006/relationships/hyperlink" Target="http://proceedings.mlr.press/v32/santos14.pdf" TargetMode="External"/><Relationship Id="rId610" Type="http://schemas.openxmlformats.org/officeDocument/2006/relationships/hyperlink" Target="https://aclanthology.org/D11-1141.pdf" TargetMode="External"/><Relationship Id="rId61" Type="http://schemas.openxmlformats.org/officeDocument/2006/relationships/hyperlink" Target="https://ieeexplore.ieee.org/document/6795568" TargetMode="External"/><Relationship Id="rId609" Type="http://schemas.openxmlformats.org/officeDocument/2006/relationships/hyperlink" Target="https://arxiv.org/pdf/1703.01041.pdf" TargetMode="External"/><Relationship Id="rId608" Type="http://schemas.openxmlformats.org/officeDocument/2006/relationships/hyperlink" Target="https://aclanthology.org/S14-2004.pdf" TargetMode="External"/><Relationship Id="rId607" Type="http://schemas.openxmlformats.org/officeDocument/2006/relationships/hyperlink" Target="https://aclanthology.org/S15-2082.pdf" TargetMode="External"/><Relationship Id="rId606" Type="http://schemas.openxmlformats.org/officeDocument/2006/relationships/hyperlink" Target="https://aclanthology.org/S16-1002.pdf" TargetMode="External"/><Relationship Id="rId605" Type="http://schemas.openxmlformats.org/officeDocument/2006/relationships/hyperlink" Target="https://arxiv.org/pdf/1906.01502.pdf" TargetMode="External"/><Relationship Id="rId604" Type="http://schemas.openxmlformats.org/officeDocument/2006/relationships/hyperlink" Target="https://arxiv.org/pdf/1802.05365.pdf" TargetMode="External"/><Relationship Id="rId603" Type="http://schemas.openxmlformats.org/officeDocument/2006/relationships/hyperlink" Target="https://aclanthology.org/N13-1039.pdf" TargetMode="External"/><Relationship Id="rId602" Type="http://schemas.openxmlformats.org/officeDocument/2006/relationships/hyperlink" Target="https://aclanthology.org/S14-2008.pdf" TargetMode="External"/><Relationship Id="rId601" Type="http://schemas.openxmlformats.org/officeDocument/2006/relationships/hyperlink" Target="https://aclanthology.org/S15-2153.pdf" TargetMode="External"/><Relationship Id="rId600" Type="http://schemas.openxmlformats.org/officeDocument/2006/relationships/hyperlink" Target="https://arxiv.org/pdf/2005.10200.pdf" TargetMode="External"/><Relationship Id="rId60" Type="http://schemas.openxmlformats.org/officeDocument/2006/relationships/hyperlink" Target="https://www.aclweb.org/anthology/P95-1026/" TargetMode="External"/><Relationship Id="rId6" Type="http://schemas.openxmlformats.org/officeDocument/2006/relationships/hyperlink" Target="https://dl.acm.org/doi/10.1145/1455292.1455309" TargetMode="External"/><Relationship Id="rId599" Type="http://schemas.openxmlformats.org/officeDocument/2006/relationships/hyperlink" Target="https://arxiv.org/pdf/1911.03875.pdf" TargetMode="External"/><Relationship Id="rId598" Type="http://schemas.openxmlformats.org/officeDocument/2006/relationships/hyperlink" Target="https://www.researchgate.net/publication/220885651_Designing_Neural_Networks_using_Genetic_Algorithms" TargetMode="External"/><Relationship Id="rId597" Type="http://schemas.openxmlformats.org/officeDocument/2006/relationships/hyperlink" Target="https://www.seas.upenn.edu/~strctlrn/bib/PDF/nonprojectiveHLT-EMNLP2005.pdf" TargetMode="External"/><Relationship Id="rId596" Type="http://schemas.openxmlformats.org/officeDocument/2006/relationships/hyperlink" Target="https://arxiv.org/pdf/1805.01087.pdf" TargetMode="External"/><Relationship Id="rId595" Type="http://schemas.openxmlformats.org/officeDocument/2006/relationships/hyperlink" Target="https://arxiv.org/pdf/1603.01354.pdf" TargetMode="External"/><Relationship Id="rId594" Type="http://schemas.openxmlformats.org/officeDocument/2006/relationships/hyperlink" Target="https://arxiv.org/pdf/2006.01563.pdf" TargetMode="External"/><Relationship Id="rId593" Type="http://schemas.openxmlformats.org/officeDocument/2006/relationships/hyperlink" Target="https://arxiv.org/pdf/1711.05101.pdf" TargetMode="External"/><Relationship Id="rId592" Type="http://schemas.openxmlformats.org/officeDocument/2006/relationships/hyperlink" Target="https://arxiv.org/pdf/1906.02437.pdf" TargetMode="External"/><Relationship Id="rId591" Type="http://schemas.openxmlformats.org/officeDocument/2006/relationships/hyperlink" Target="https://arxiv.org/pdf/1804.08228.pdf" TargetMode="External"/><Relationship Id="rId590" Type="http://schemas.openxmlformats.org/officeDocument/2006/relationships/hyperlink" Target="https://arxiv.org/pdf/1711.00436.pdf" TargetMode="External"/><Relationship Id="rId59" Type="http://schemas.openxmlformats.org/officeDocument/2006/relationships/hyperlink" Target="http://image.diku.dk/imagecanon/material/cortes_vapnik95.pdf" TargetMode="External"/><Relationship Id="rId589" Type="http://schemas.openxmlformats.org/officeDocument/2006/relationships/hyperlink" Target="https://arxiv.org/pdf/1901.02985.pdf" TargetMode="External"/><Relationship Id="rId588" Type="http://schemas.openxmlformats.org/officeDocument/2006/relationships/hyperlink" Target="https://arxiv.org/pdf/1911.08673.pdf" TargetMode="External"/><Relationship Id="rId587" Type="http://schemas.openxmlformats.org/officeDocument/2006/relationships/hyperlink" Target="https://arxiv.org/pdf/1910.00883.pdf" TargetMode="External"/><Relationship Id="rId586" Type="http://schemas.openxmlformats.org/officeDocument/2006/relationships/hyperlink" Target="https://arxiv.org/pdf/1902.07638.pdf" TargetMode="External"/><Relationship Id="rId585" Type="http://schemas.openxmlformats.org/officeDocument/2006/relationships/hyperlink" Target="https://arxiv.org/pdf/1603.01360.pdf" TargetMode="External"/><Relationship Id="rId584" Type="http://schemas.openxmlformats.org/officeDocument/2006/relationships/hyperlink" Target="https://arxiv.org/pdf/1609.07561.pdf" TargetMode="External"/><Relationship Id="rId583" Type="http://schemas.openxmlformats.org/officeDocument/2006/relationships/hyperlink" Target="https://arxiv.org/pdf/1904.02099.pdf" TargetMode="External"/><Relationship Id="rId582" Type="http://schemas.openxmlformats.org/officeDocument/2006/relationships/hyperlink" Target="https://arxiv.org/pdf/1412.6980.pdf" TargetMode="External"/><Relationship Id="rId581" Type="http://schemas.openxmlformats.org/officeDocument/2006/relationships/hyperlink" Target="http://proceedings.mlr.press/v37/jozefowicz15.pdf" TargetMode="External"/><Relationship Id="rId580" Type="http://schemas.openxmlformats.org/officeDocument/2006/relationships/hyperlink" Target="https://aclanthology.org/2020.acl-main.607" TargetMode="External"/><Relationship Id="rId58" Type="http://schemas.openxmlformats.org/officeDocument/2006/relationships/hyperlink" Target="http://ccs.mit.edu/papers/CCSWP165.html" TargetMode="External"/><Relationship Id="rId579" Type="http://schemas.openxmlformats.org/officeDocument/2006/relationships/hyperlink" Target="https://arxiv.org/pdf/1608.06993.pdf" TargetMode="External"/><Relationship Id="rId578" Type="http://schemas.openxmlformats.org/officeDocument/2006/relationships/hyperlink" Target="https://dl.acm.org/doi/10.1145/1014052.1014073" TargetMode="External"/><Relationship Id="rId577" Type="http://schemas.openxmlformats.org/officeDocument/2006/relationships/hyperlink" Target="https://arxiv.org/pdf/1908.04943.pdf" TargetMode="External"/><Relationship Id="rId576" Type="http://schemas.openxmlformats.org/officeDocument/2006/relationships/hyperlink" Target="https://aclanthology.org/D17-1256/" TargetMode="External"/><Relationship Id="rId575" Type="http://schemas.openxmlformats.org/officeDocument/2006/relationships/hyperlink" Target="https://aclanthology.org/D18-1275/" TargetMode="External"/><Relationship Id="rId574" Type="http://schemas.openxmlformats.org/officeDocument/2006/relationships/hyperlink" Target="http://citeseerx.ist.psu.edu/viewdoc/summary;jsessionid=A8E23CB33342F46ABB289D5648895ED4?doi=10.1.1.101.9494" TargetMode="External"/><Relationship Id="rId573" Type="http://schemas.openxmlformats.org/officeDocument/2006/relationships/hyperlink" Target="https://aclanthology.org/P11-2008.pdf" TargetMode="External"/><Relationship Id="rId572" Type="http://schemas.openxmlformats.org/officeDocument/2006/relationships/hyperlink" Target="https://arxiv.org/pdf/1904.07392.pdf" TargetMode="External"/><Relationship Id="rId571" Type="http://schemas.openxmlformats.org/officeDocument/2006/relationships/hyperlink" Target="https://link.springer.com/article/10.1007/s12065-007-0002-4" TargetMode="External"/><Relationship Id="rId570" Type="http://schemas.openxmlformats.org/officeDocument/2006/relationships/hyperlink" Target="https://arxiv.org/pdf/2005.13344.pdf" TargetMode="External"/><Relationship Id="rId57" Type="http://schemas.openxmlformats.org/officeDocument/2006/relationships/hyperlink" Target="https://www.aclweb.org/anthology/J94-2001/" TargetMode="External"/><Relationship Id="rId569" Type="http://schemas.openxmlformats.org/officeDocument/2006/relationships/hyperlink" Target="https://arxiv.org/pdf/1808.05377.pdf" TargetMode="External"/><Relationship Id="rId568" Type="http://schemas.openxmlformats.org/officeDocument/2006/relationships/hyperlink" Target="https://arxiv.org/pdf/1711.04528.pdf" TargetMode="External"/><Relationship Id="rId567" Type="http://schemas.openxmlformats.org/officeDocument/2006/relationships/hyperlink" Target="https://arxiv.org/pdf/1807.01396.pdf" TargetMode="External"/><Relationship Id="rId566" Type="http://schemas.openxmlformats.org/officeDocument/2006/relationships/hyperlink" Target="https://arxiv.org/pdf/1611.01734.pdf" TargetMode="External"/><Relationship Id="rId565" Type="http://schemas.openxmlformats.org/officeDocument/2006/relationships/hyperlink" Target="https://citeseerx.ist.psu.edu/viewdoc/download?doi=10.1.1.13.8915&amp;rep=rep1&amp;type=pdf" TargetMode="External"/><Relationship Id="rId564" Type="http://schemas.openxmlformats.org/officeDocument/2006/relationships/hyperlink" Target="https://arxiv.org/pdf/1911.02116.pdf" TargetMode="External"/><Relationship Id="rId563" Type="http://schemas.openxmlformats.org/officeDocument/2006/relationships/hyperlink" Target="https://arxiv.org/pdf/1809.08370.pdf" TargetMode="External"/><Relationship Id="rId562" Type="http://schemas.openxmlformats.org/officeDocument/2006/relationships/hyperlink" Target="https://aclanthology.org/2020.acl-main.777/" TargetMode="External"/><Relationship Id="rId561" Type="http://schemas.openxmlformats.org/officeDocument/2006/relationships/hyperlink" Target="https://aclanthology.org/2020.acl-main.777.pdf" TargetMode="External"/><Relationship Id="rId560" Type="http://schemas.openxmlformats.org/officeDocument/2006/relationships/hyperlink" Target="https://dl.acm.org/doi/10.5555/1596276.1596305" TargetMode="External"/><Relationship Id="rId56" Type="http://schemas.openxmlformats.org/officeDocument/2006/relationships/hyperlink" Target="https://www.aclweb.org/anthology/J93-2003/" TargetMode="External"/><Relationship Id="rId559" Type="http://schemas.openxmlformats.org/officeDocument/2006/relationships/hyperlink" Target="https://arxiv.org/pdf/1611.02167.pdf" TargetMode="External"/><Relationship Id="rId558" Type="http://schemas.openxmlformats.org/officeDocument/2006/relationships/hyperlink" Target="https://arxiv.org/pdf/1903.07785.pdf" TargetMode="External"/><Relationship Id="rId557" Type="http://schemas.openxmlformats.org/officeDocument/2006/relationships/hyperlink" Target="https://ieeexplore.ieee.org/document/265960/authors" TargetMode="External"/><Relationship Id="rId556" Type="http://schemas.openxmlformats.org/officeDocument/2006/relationships/hyperlink" Target="https://aclanthology.org/C18-1139.pdf" TargetMode="External"/><Relationship Id="rId555" Type="http://schemas.openxmlformats.org/officeDocument/2006/relationships/hyperlink" Target="https://aclanthology.org/N19-1078/" TargetMode="External"/><Relationship Id="rId554" Type="http://schemas.openxmlformats.org/officeDocument/2006/relationships/hyperlink" Target="https://aclanthology.org/N19-1078.pdf" TargetMode="External"/><Relationship Id="rId553" Type="http://schemas.openxmlformats.org/officeDocument/2006/relationships/hyperlink" Target="https://arxiv.org/pdf/2010.05006v4.pdf" TargetMode="External"/><Relationship Id="rId552" Type="http://schemas.openxmlformats.org/officeDocument/2006/relationships/hyperlink" Target="https://arxiv.org/pdf/1911.07013.pdf" TargetMode="External"/><Relationship Id="rId551" Type="http://schemas.openxmlformats.org/officeDocument/2006/relationships/hyperlink" Target="https://arxiv.org/pdf/1907.01968.pdf" TargetMode="External"/><Relationship Id="rId550" Type="http://schemas.openxmlformats.org/officeDocument/2006/relationships/hyperlink" Target="https://arxiv.org/pdf/1901.10430.pdf" TargetMode="External"/><Relationship Id="rId55" Type="http://schemas.openxmlformats.org/officeDocument/2006/relationships/hyperlink" Target="https://ieeexplore.ieee.org/document/159058" TargetMode="External"/><Relationship Id="rId549" Type="http://schemas.openxmlformats.org/officeDocument/2006/relationships/hyperlink" Target="https://arxiv.org/pdf/1906.01787.pdf" TargetMode="External"/><Relationship Id="rId548" Type="http://schemas.openxmlformats.org/officeDocument/2006/relationships/hyperlink" Target="https://arxiv.org/pdf/1507.06228.pdf" TargetMode="External"/><Relationship Id="rId547" Type="http://schemas.openxmlformats.org/officeDocument/2006/relationships/hyperlink" Target="https://www.cs.umd.edu/~snover/pub/amta06/ter_amta.pdf" TargetMode="External"/><Relationship Id="rId546" Type="http://schemas.openxmlformats.org/officeDocument/2006/relationships/hyperlink" Target="https://arxiv.org/pdf/1804.08771.pdf" TargetMode="External"/><Relationship Id="rId545" Type="http://schemas.openxmlformats.org/officeDocument/2006/relationships/hyperlink" Target="https://arxiv.org/pdf/1806.00187.pdf" TargetMode="External"/><Relationship Id="rId544" Type="http://schemas.openxmlformats.org/officeDocument/2006/relationships/hyperlink" Target="https://arxiv.org/pdf/1904.01038.pdf" TargetMode="External"/><Relationship Id="rId543" Type="http://schemas.openxmlformats.org/officeDocument/2006/relationships/hyperlink" Target="https://arxiv.org/pdf/1910.05895.pdf" TargetMode="External"/><Relationship Id="rId542" Type="http://schemas.openxmlformats.org/officeDocument/2006/relationships/hyperlink" Target="https://arxiv.org/pdf/1907.06616.pdf" TargetMode="External"/><Relationship Id="rId541" Type="http://schemas.openxmlformats.org/officeDocument/2006/relationships/hyperlink" Target="https://arxiv.org/pdf/1903.07926.pdf" TargetMode="External"/><Relationship Id="rId540" Type="http://schemas.openxmlformats.org/officeDocument/2006/relationships/hyperlink" Target="https://arxiv.org/pdf/2004.03705.pdf" TargetMode="External"/><Relationship Id="rId54" Type="http://schemas.openxmlformats.org/officeDocument/2006/relationships/hyperlink" Target="https://papers.nips.cc/paper/1991/file/68ce199ec2c5517597ce0a4d89620f55-Paper.pdf" TargetMode="External"/><Relationship Id="rId539" Type="http://schemas.openxmlformats.org/officeDocument/2006/relationships/hyperlink" Target="https://arxiv.org/pdf/2004.08994.pdf" TargetMode="External"/><Relationship Id="rId538" Type="http://schemas.openxmlformats.org/officeDocument/2006/relationships/hyperlink" Target="https://arxiv.org/pdf/2004.08249.pdf" TargetMode="External"/><Relationship Id="rId537" Type="http://schemas.openxmlformats.org/officeDocument/2006/relationships/hyperlink" Target="https://arxiv.org/pdf/1908.03265.pdf" TargetMode="External"/><Relationship Id="rId536" Type="http://schemas.openxmlformats.org/officeDocument/2006/relationships/hyperlink" Target="https://aclanthology.org/W07-0734/" TargetMode="External"/><Relationship Id="rId535" Type="http://schemas.openxmlformats.org/officeDocument/2006/relationships/hyperlink" Target="https://arxiv.org/pdf/1606.07947.pdf" TargetMode="External"/><Relationship Id="rId534" Type="http://schemas.openxmlformats.org/officeDocument/2006/relationships/hyperlink" Target="https://arxiv.org/pdf/1907.06170.pdf" TargetMode="External"/><Relationship Id="rId533" Type="http://schemas.openxmlformats.org/officeDocument/2006/relationships/hyperlink" Target="https://dl.acm.org/doi/pdf/10.5555/3327757.3327891" TargetMode="External"/><Relationship Id="rId532" Type="http://schemas.openxmlformats.org/officeDocument/2006/relationships/hyperlink" Target="https://arxiv.org/pdf/1705.03122.pdf" TargetMode="External"/><Relationship Id="rId531" Type="http://schemas.openxmlformats.org/officeDocument/2006/relationships/hyperlink" Target="https://arxiv.org/pdf/1808.09381.pdf" TargetMode="External"/><Relationship Id="rId530" Type="http://schemas.openxmlformats.org/officeDocument/2006/relationships/hyperlink" Target="https://aclanthology.org/P18-1167/" TargetMode="External"/><Relationship Id="rId53" Type="http://schemas.openxmlformats.org/officeDocument/2006/relationships/hyperlink" Target="https://link.springer.com/article/10.1007/BF00992696" TargetMode="External"/><Relationship Id="rId529" Type="http://schemas.openxmlformats.org/officeDocument/2006/relationships/hyperlink" Target="https://arxiv.org/pdf/1606.01781.pdf" TargetMode="External"/><Relationship Id="rId528" Type="http://schemas.openxmlformats.org/officeDocument/2006/relationships/hyperlink" Target="https://dl.acm.org/doi/10.5555/2002736.2002774" TargetMode="External"/><Relationship Id="rId527" Type="http://schemas.openxmlformats.org/officeDocument/2006/relationships/hyperlink" Target="https://arxiv.org/pdf/1906.02443.pdf" TargetMode="External"/><Relationship Id="rId526" Type="http://schemas.openxmlformats.org/officeDocument/2006/relationships/hyperlink" Target="https://arxiv.org/pdf/1804.09849.pdf" TargetMode="External"/><Relationship Id="rId525" Type="http://schemas.openxmlformats.org/officeDocument/2006/relationships/hyperlink" Target="https://arxiv.org/pdf/1812.08951.pdf" TargetMode="External"/><Relationship Id="rId524" Type="http://schemas.openxmlformats.org/officeDocument/2006/relationships/hyperlink" Target="https://aclanthology.org/W19-5304.pdf" TargetMode="External"/><Relationship Id="rId523" Type="http://schemas.openxmlformats.org/officeDocument/2006/relationships/hyperlink" Target="https://arxiv.org/pdf/1808.07561.pdf" TargetMode="External"/><Relationship Id="rId522" Type="http://schemas.openxmlformats.org/officeDocument/2006/relationships/hyperlink" Target="https://arxiv.org/pdf/2001.04413.pdf" TargetMode="External"/><Relationship Id="rId521" Type="http://schemas.openxmlformats.org/officeDocument/2006/relationships/hyperlink" Target="https://arxiv.org/pdf/2008.07772v2.pdf" TargetMode="External"/><Relationship Id="rId520" Type="http://schemas.openxmlformats.org/officeDocument/2006/relationships/hyperlink" Target="https://arxiv.org/pdf/1910.04867.pdf" TargetMode="External"/><Relationship Id="rId52" Type="http://schemas.openxmlformats.org/officeDocument/2006/relationships/hyperlink" Target="https://link.springer.com/article/10.1007/BF00114844" TargetMode="External"/><Relationship Id="rId519" Type="http://schemas.openxmlformats.org/officeDocument/2006/relationships/hyperlink" Target="https://arxiv.org/pdf/1905.03670.pdf" TargetMode="External"/><Relationship Id="rId518" Type="http://schemas.openxmlformats.org/officeDocument/2006/relationships/hyperlink" Target="https://arxiv.org/pdf/2101.11986.pdf" TargetMode="External"/><Relationship Id="rId517" Type="http://schemas.openxmlformats.org/officeDocument/2006/relationships/hyperlink" Target="http://www.vision.caltech.edu/visipedia/CUB-200.html" TargetMode="External"/><Relationship Id="rId516" Type="http://schemas.openxmlformats.org/officeDocument/2006/relationships/hyperlink" Target="https://arxiv.org/pdf/2102.12122.pdf" TargetMode="External"/><Relationship Id="rId515" Type="http://schemas.openxmlformats.org/officeDocument/2006/relationships/hyperlink" Target="https://arxiv.org/pdf/2103.12731.pdf" TargetMode="External"/><Relationship Id="rId514" Type="http://schemas.openxmlformats.org/officeDocument/2006/relationships/hyperlink" Target="https://arxiv.org/pdf/2012.12877.pdf" TargetMode="External"/><Relationship Id="rId513" Type="http://schemas.openxmlformats.org/officeDocument/2006/relationships/hyperlink" Target="https://arxiv.org/pdf/2101.11605.pdf" TargetMode="External"/><Relationship Id="rId512" Type="http://schemas.openxmlformats.org/officeDocument/2006/relationships/hyperlink" Target="https://arxiv.org/pdf/1804.04235.pdf" TargetMode="External"/><Relationship Id="rId511" Type="http://schemas.openxmlformats.org/officeDocument/2006/relationships/hyperlink" Target="https://epubs.siam.org/doi/10.1137/0330046" TargetMode="External"/><Relationship Id="rId510" Type="http://schemas.openxmlformats.org/officeDocument/2006/relationships/hyperlink" Target="https://arxiv.org/pdf/2003.10580.pdf" TargetMode="External"/><Relationship Id="rId51" Type="http://schemas.openxmlformats.org/officeDocument/2006/relationships/hyperlink" Target="https://link.springer.com/chapter/10.1007/978-3-642-48650-0_19" TargetMode="External"/><Relationship Id="rId509" Type="http://schemas.openxmlformats.org/officeDocument/2006/relationships/hyperlink" Target="https://www.robots.ox.ac.uk/~vgg/publications/2012/parkhi12a/" TargetMode="External"/><Relationship Id="rId508" Type="http://schemas.openxmlformats.org/officeDocument/2006/relationships/hyperlink" Target="https://arxiv.org/pdf/2006.16668.pdf" TargetMode="External"/><Relationship Id="rId507" Type="http://schemas.openxmlformats.org/officeDocument/2006/relationships/hyperlink" Target="https://arxiv.org/pdf/1810.00825.pdf" TargetMode="External"/><Relationship Id="rId506" Type="http://schemas.openxmlformats.org/officeDocument/2006/relationships/hyperlink" Target="https://arxiv.org/pdf/1912.11370.pdf" TargetMode="External"/><Relationship Id="rId505" Type="http://schemas.openxmlformats.org/officeDocument/2006/relationships/hyperlink" Target="https://arxiv.org/pdf/2001.08361.pdf" TargetMode="External"/><Relationship Id="rId504" Type="http://schemas.openxmlformats.org/officeDocument/2006/relationships/hyperlink" Target="https://arxiv.org/pdf/2102.05918.pdf" TargetMode="External"/><Relationship Id="rId503" Type="http://schemas.openxmlformats.org/officeDocument/2006/relationships/hyperlink" Target="https://arxiv.org/pdf/2010.14701.pdf" TargetMode="External"/><Relationship Id="rId502" Type="http://schemas.openxmlformats.org/officeDocument/2006/relationships/hyperlink" Target="https://arxiv.org/pdf/2006.07733.pdf" TargetMode="External"/><Relationship Id="rId501" Type="http://schemas.openxmlformats.org/officeDocument/2006/relationships/hyperlink" Target="https://link.springer.com/article/10.1007/BF00994018" TargetMode="External"/><Relationship Id="rId500" Type="http://schemas.openxmlformats.org/officeDocument/2006/relationships/hyperlink" Target="https://arxiv.org/pdf/1911.03584.pdf" TargetMode="External"/><Relationship Id="rId50" Type="http://schemas.openxmlformats.org/officeDocument/2006/relationships/hyperlink" Target="https://ieeexplore.ieee.org/abstract/document/80266" TargetMode="External"/><Relationship Id="rId5" Type="http://schemas.openxmlformats.org/officeDocument/2006/relationships/hyperlink" Target="http://mediangroup.org/docs/AI_insights.pdf" TargetMode="External"/><Relationship Id="rId499" Type="http://schemas.openxmlformats.org/officeDocument/2006/relationships/hyperlink" Target="https://arxiv.org/pdf/2006.10029.pdf" TargetMode="External"/><Relationship Id="rId498" Type="http://schemas.openxmlformats.org/officeDocument/2006/relationships/hyperlink" Target="https://arxiv.org/pdf/2005.12872.pdf" TargetMode="External"/><Relationship Id="rId497" Type="http://schemas.openxmlformats.org/officeDocument/2006/relationships/hyperlink" Target="https://arxiv.org/pdf/2006.07159.pdf" TargetMode="External"/><Relationship Id="rId496" Type="http://schemas.openxmlformats.org/officeDocument/2006/relationships/hyperlink" Target="https://arxiv.org/pdf/2103.07579.pdf" TargetMode="External"/><Relationship Id="rId495" Type="http://schemas.openxmlformats.org/officeDocument/2006/relationships/hyperlink" Target="https://arxiv.org/pdf/2106.04560v1.pdf" TargetMode="External"/><Relationship Id="rId494" Type="http://schemas.openxmlformats.org/officeDocument/2006/relationships/hyperlink" Target="http://tongzhang-ml.org/papers/eccv10_supervect.pdf" TargetMode="External"/><Relationship Id="rId493" Type="http://schemas.openxmlformats.org/officeDocument/2006/relationships/hyperlink" Target="https://arxiv.org/pdf/1810.02338.pdf" TargetMode="External"/><Relationship Id="rId492" Type="http://schemas.openxmlformats.org/officeDocument/2006/relationships/hyperlink" Target="https://arxiv.org/pdf/1708.07747.pdf" TargetMode="External"/><Relationship Id="rId491" Type="http://schemas.openxmlformats.org/officeDocument/2006/relationships/hyperlink" Target="https://arxiv.org/pdf/2004.11886.pdf" TargetMode="External"/><Relationship Id="rId490" Type="http://schemas.openxmlformats.org/officeDocument/2006/relationships/hyperlink" Target="https://arxiv.org/pdf/1703.09746.pdf" TargetMode="External"/><Relationship Id="rId49" Type="http://schemas.openxmlformats.org/officeDocument/2006/relationships/hyperlink" Target="https://ieeexplore.ieee.org/document/6795724" TargetMode="External"/><Relationship Id="rId489" Type="http://schemas.openxmlformats.org/officeDocument/2006/relationships/hyperlink" Target="https://ieeexplore.ieee.org/document/8614482" TargetMode="External"/><Relationship Id="rId488" Type="http://schemas.openxmlformats.org/officeDocument/2006/relationships/hyperlink" Target="http://people.ee.duke.edu/~lcarin/cvpr2010_0618.pdf" TargetMode="External"/><Relationship Id="rId487" Type="http://schemas.openxmlformats.org/officeDocument/2006/relationships/hyperlink" Target="https://arxiv.org/pdf/1707.06642.pdf" TargetMode="External"/><Relationship Id="rId486" Type="http://schemas.openxmlformats.org/officeDocument/2006/relationships/hyperlink" Target="https://arxiv.org/pdf/1905.11481.pdf" TargetMode="External"/><Relationship Id="rId485" Type="http://schemas.openxmlformats.org/officeDocument/2006/relationships/hyperlink" Target="https://arxiv.org/pdf/1903.11683.pdf" TargetMode="External"/><Relationship Id="rId484" Type="http://schemas.openxmlformats.org/officeDocument/2006/relationships/hyperlink" Target="https://www.jstor.org/stable/2346178" TargetMode="External"/><Relationship Id="rId483" Type="http://schemas.openxmlformats.org/officeDocument/2006/relationships/hyperlink" Target="https://papers.ssrn.com/sol3/papers.cfm?abstract_id=3287769" TargetMode="External"/><Relationship Id="rId482" Type="http://schemas.openxmlformats.org/officeDocument/2006/relationships/hyperlink" Target="https://arxiv.org/pdf/1906.02243.pdf" TargetMode="External"/><Relationship Id="rId481" Type="http://schemas.openxmlformats.org/officeDocument/2006/relationships/hyperlink" Target="https://arxiv.org/pdf/1707.04926.pdf" TargetMode="External"/><Relationship Id="rId480" Type="http://schemas.openxmlformats.org/officeDocument/2006/relationships/hyperlink" Target="https://arxiv.org/pdf/1901.11117.pdf" TargetMode="External"/><Relationship Id="rId48" Type="http://schemas.openxmlformats.org/officeDocument/2006/relationships/hyperlink" Target="https://proceedings.neurips.cc/paper/1988/hash/812b4ba287f5ee0bc9d43bbf5bbe87fb-Abstract.html" TargetMode="External"/><Relationship Id="rId479" Type="http://schemas.openxmlformats.org/officeDocument/2006/relationships/hyperlink" Target="https://ieeexplore.ieee.org/document/9540991" TargetMode="External"/><Relationship Id="rId478" Type="http://schemas.openxmlformats.org/officeDocument/2006/relationships/hyperlink" Target="https://arxiv.org/pdf/1409.0575.pdf" TargetMode="External"/><Relationship Id="rId477" Type="http://schemas.openxmlformats.org/officeDocument/2006/relationships/hyperlink" Target="https://www.semanticscholar.org/paper/Perceptron-Simulation-Experiments-Rosenblatt/ae76ce1ba27ac29addce4aab93b927e9bc7f7c67" TargetMode="External"/><Relationship Id="rId476" Type="http://schemas.openxmlformats.org/officeDocument/2006/relationships/hyperlink" Target="https://arxiv.org/pdf/1902.10811.pdf" TargetMode="External"/><Relationship Id="rId475" Type="http://schemas.openxmlformats.org/officeDocument/2006/relationships/hyperlink" Target="https://arxiv.org/pdf/1606.05250.pdf" TargetMode="External"/><Relationship Id="rId474" Type="http://schemas.openxmlformats.org/officeDocument/2006/relationships/hyperlink" Target="https://arxiv.org/pdf/1703.05364.pdf" TargetMode="External"/><Relationship Id="rId473" Type="http://schemas.openxmlformats.org/officeDocument/2006/relationships/hyperlink" Target="https://arxiv.org/pdf/1805.10074.pdf" TargetMode="External"/><Relationship Id="rId472" Type="http://schemas.openxmlformats.org/officeDocument/2006/relationships/hyperlink" Target="https://arxiv.org/pdf/1802.03268.pdf" TargetMode="External"/><Relationship Id="rId471" Type="http://schemas.openxmlformats.org/officeDocument/2006/relationships/hyperlink" Target="https://citeseerx.ist.psu.edu/viewdoc/download?doi=10.1.1.71.7388&amp;rep=rep1&amp;type=pdf" TargetMode="External"/><Relationship Id="rId470" Type="http://schemas.openxmlformats.org/officeDocument/2006/relationships/hyperlink" Target="https://arxiv.org/pdf/1810.05148.pdf" TargetMode="External"/><Relationship Id="rId47" Type="http://schemas.openxmlformats.org/officeDocument/2006/relationships/hyperlink" Target="http://www.cs.rhul.ac.uk/~chrisw/thesis.html" TargetMode="External"/><Relationship Id="rId469" Type="http://schemas.openxmlformats.org/officeDocument/2006/relationships/hyperlink" Target="http://ufldl.stanford.edu/housenumbers/" TargetMode="External"/><Relationship Id="rId468" Type="http://schemas.openxmlformats.org/officeDocument/2006/relationships/hyperlink" Target="https://mitpress.mit.edu/books/perceptrons" TargetMode="External"/><Relationship Id="rId467" Type="http://schemas.openxmlformats.org/officeDocument/2006/relationships/hyperlink" Target="https://arxiv.org/pdf/0806.0145.pdf" TargetMode="External"/><Relationship Id="rId466" Type="http://schemas.openxmlformats.org/officeDocument/2006/relationships/hyperlink" Target="https://arxiv.org/pdf/1904.12584.pdf" TargetMode="External"/><Relationship Id="rId465" Type="http://schemas.openxmlformats.org/officeDocument/2006/relationships/hyperlink" Target="https://www.cs.ubc.ca/~lowe/papers/ijcv04.pdf" TargetMode="External"/><Relationship Id="rId464" Type="http://schemas.openxmlformats.org/officeDocument/2006/relationships/hyperlink" Target="https://arxiv.org/pdf/1605.06636.pdf" TargetMode="External"/><Relationship Id="rId463" Type="http://schemas.openxmlformats.org/officeDocument/2006/relationships/hyperlink" Target="https://link.springer.com/chapter/10.1007/978-3-319-02999-3_9" TargetMode="External"/><Relationship Id="rId462" Type="http://schemas.openxmlformats.org/officeDocument/2006/relationships/hyperlink" Target="https://arxiv.org/pdf/1804.08711.pdf" TargetMode="External"/><Relationship Id="rId461" Type="http://schemas.openxmlformats.org/officeDocument/2006/relationships/hyperlink" Target="https://arxiv.org/pdf/1405.0312.pdf" TargetMode="External"/><Relationship Id="rId460" Type="http://schemas.openxmlformats.org/officeDocument/2006/relationships/hyperlink" Target="https://pubmed.ncbi.nlm.nih.gov/32499413/" TargetMode="External"/><Relationship Id="rId46" Type="http://schemas.openxmlformats.org/officeDocument/2006/relationships/hyperlink" Target="https://ieeexplore.ieee.org/abstract/document/21701" TargetMode="External"/><Relationship Id="rId459" Type="http://schemas.openxmlformats.org/officeDocument/2006/relationships/hyperlink" Target="http://yann.lecun.com/exdb/mnist/" TargetMode="External"/><Relationship Id="rId458" Type="http://schemas.openxmlformats.org/officeDocument/2006/relationships/hyperlink" Target="https://arxiv.org/pdf/1812.01718.pdf" TargetMode="External"/><Relationship Id="rId457" Type="http://schemas.openxmlformats.org/officeDocument/2006/relationships/hyperlink" Target="https://medium.com/datamob/clearing-the-buzzwords-in-machine-learning-e395ad73178b" TargetMode="External"/><Relationship Id="rId456" Type="http://schemas.openxmlformats.org/officeDocument/2006/relationships/hyperlink" Target="https://www.cs.toronto.edu/~kriz/cifar.html" TargetMode="External"/><Relationship Id="rId455" Type="http://schemas.openxmlformats.org/officeDocument/2006/relationships/hyperlink" Target="https://www.cs.toronto.edu/~kriz/learning-features-2009-TR.pdf" TargetMode="External"/><Relationship Id="rId454" Type="http://schemas.openxmlformats.org/officeDocument/2006/relationships/hyperlink" Target="https://www.cs.toronto.edu/~kriz/conv-cifar10-aug2010.pdf" TargetMode="External"/><Relationship Id="rId453" Type="http://schemas.openxmlformats.org/officeDocument/2006/relationships/hyperlink" Target="https://ai.stanford.edu/~jkrause/papers/fgvc13.pdf" TargetMode="External"/><Relationship Id="rId452" Type="http://schemas.openxmlformats.org/officeDocument/2006/relationships/hyperlink" Target="https://ieeexplore.ieee.org/document/8776551" TargetMode="External"/><Relationship Id="rId451" Type="http://schemas.openxmlformats.org/officeDocument/2006/relationships/hyperlink" Target="https://ieeexplore.ieee.org/document/1454428" TargetMode="External"/><Relationship Id="rId450" Type="http://schemas.openxmlformats.org/officeDocument/2006/relationships/hyperlink" Target="https://papers.nips.cc/paper/2016/file/d8330f857a17c53d217014ee776bfd50-Paper.pdf" TargetMode="External"/><Relationship Id="rId45" Type="http://schemas.openxmlformats.org/officeDocument/2006/relationships/hyperlink" Target="https://www.sciencedirect.com/science/article/abs/pii/0893608089900208" TargetMode="External"/><Relationship Id="rId449" Type="http://schemas.openxmlformats.org/officeDocument/2006/relationships/hyperlink" Target="https://openai.com/blog/ai-and-efficiency/" TargetMode="External"/><Relationship Id="rId448" Type="http://schemas.openxmlformats.org/officeDocument/2006/relationships/hyperlink" Target="http://acs.pub.ro/~cpop/SMPA/Computer%20Architecture%20A%20Quantitative%20Approach%20(5th%20edition).pdf" TargetMode="External"/><Relationship Id="rId447" Type="http://schemas.openxmlformats.org/officeDocument/2006/relationships/hyperlink" Target="https://arxiv.org/pdf/1901.03446.pdf" TargetMode="External"/><Relationship Id="rId446" Type="http://schemas.openxmlformats.org/officeDocument/2006/relationships/hyperlink" Target="https://arxiv.org/pdf/1510.00149.pdf" TargetMode="External"/><Relationship Id="rId445" Type="http://schemas.openxmlformats.org/officeDocument/2006/relationships/hyperlink" Target="https://authors.library.caltech.edu/7694/1/CNS-TR-2007-001.pdf" TargetMode="External"/><Relationship Id="rId444" Type="http://schemas.openxmlformats.org/officeDocument/2006/relationships/hyperlink" Target="https://proceedings.mlr.press/v32/graves14.html" TargetMode="External"/><Relationship Id="rId443" Type="http://schemas.openxmlformats.org/officeDocument/2006/relationships/hyperlink" Target="https://www.ibm.com/blogs/research/2019/03/power-quantum-device/" TargetMode="External"/><Relationship Id="rId442" Type="http://schemas.openxmlformats.org/officeDocument/2006/relationships/hyperlink" Target="https://arxiv.org/pdf/1703.03400.pdf" TargetMode="External"/><Relationship Id="rId441" Type="http://schemas.openxmlformats.org/officeDocument/2006/relationships/hyperlink" Target="http://vision.stanford.edu/documents/Fei-Fei_ICCV03.pdf" TargetMode="External"/><Relationship Id="rId440" Type="http://schemas.openxmlformats.org/officeDocument/2006/relationships/hyperlink" Target="https://homepages.inf.ed.ac.uk/ckiw/postscript/ijcv_voc09.pdf" TargetMode="External"/><Relationship Id="rId44" Type="http://schemas.openxmlformats.org/officeDocument/2006/relationships/hyperlink" Target="https://www-isl.stanford.edu/people/widrow/papers/c1988anadaptive.pdf" TargetMode="External"/><Relationship Id="rId439" Type="http://schemas.openxmlformats.org/officeDocument/2006/relationships/hyperlink" Target="https://arxiv.org/pdf/1603.08575.pdf" TargetMode="External"/><Relationship Id="rId438" Type="http://schemas.openxmlformats.org/officeDocument/2006/relationships/hyperlink" Target="https://arxiv.org/pdf/1703.08651.pdf" TargetMode="External"/><Relationship Id="rId437" Type="http://schemas.openxmlformats.org/officeDocument/2006/relationships/hyperlink" Target="https://ieeexplore.ieee.org/document/5206848" TargetMode="External"/><Relationship Id="rId436" Type="http://schemas.openxmlformats.org/officeDocument/2006/relationships/hyperlink" Target="https://ieeexplore.ieee.org/document/8804672/authors" TargetMode="External"/><Relationship Id="rId435" Type="http://schemas.openxmlformats.org/officeDocument/2006/relationships/hyperlink" Target="https://arxiv.org/pdf/1810.03505.pdf" TargetMode="External"/><Relationship Id="rId434" Type="http://schemas.openxmlformats.org/officeDocument/2006/relationships/hyperlink" Target="https://dl.acm.org/doi/10.1145/2181796.2181798" TargetMode="External"/><Relationship Id="rId433" Type="http://schemas.openxmlformats.org/officeDocument/2006/relationships/hyperlink" Target="https://arxiv.org/pdf/1811.12926.pdf" TargetMode="External"/><Relationship Id="rId432" Type="http://schemas.openxmlformats.org/officeDocument/2006/relationships/hyperlink" Target="https://www.nvidia.com/en-us/data-center/tesla-p100/" TargetMode="External"/><Relationship Id="rId431" Type="http://schemas.openxmlformats.org/officeDocument/2006/relationships/hyperlink" Target="https://catalog.ldc.upenn.edu/LDC2002T43" TargetMode="External"/><Relationship Id="rId430" Type="http://schemas.openxmlformats.org/officeDocument/2006/relationships/hyperlink" Target="https://arxiv.org/pdf/1702.05373.pdf" TargetMode="External"/><Relationship Id="rId43" Type="http://schemas.openxmlformats.org/officeDocument/2006/relationships/hyperlink" Target="http://citeseerx.ist.psu.edu/viewdoc/download?doi=10.1.1.434.4816&amp;rep=rep1&amp;type=pdf" TargetMode="External"/><Relationship Id="rId429" Type="http://schemas.openxmlformats.org/officeDocument/2006/relationships/hyperlink" Target="https://arxiv.org/pdf/1710.09282.pdf" TargetMode="External"/><Relationship Id="rId428" Type="http://schemas.openxmlformats.org/officeDocument/2006/relationships/hyperlink" Target="https://arxiv.org/pdf/1807.03848.pdf" TargetMode="External"/><Relationship Id="rId427" Type="http://schemas.openxmlformats.org/officeDocument/2006/relationships/hyperlink" Target="https://arxiv.org/pdf/1508.01211.pdf" TargetMode="External"/><Relationship Id="rId426" Type="http://schemas.openxmlformats.org/officeDocument/2006/relationships/hyperlink" Target="https://aclanthology.org/2014.iwslt-evaluation.1.pdf" TargetMode="External"/><Relationship Id="rId425" Type="http://schemas.openxmlformats.org/officeDocument/2006/relationships/hyperlink" Target="https://www.semanticscholar.org/paper/Findings-of-the-2014-Workshop-on-Statistical-Bojar-Buck/5ec85a0d88adcc4344bb5cc81b0d1aef9bcd8dcc" TargetMode="External"/><Relationship Id="rId424" Type="http://schemas.openxmlformats.org/officeDocument/2006/relationships/hyperlink" Target="https://arxiv.org/pdf/1910.07419.pdf" TargetMode="External"/><Relationship Id="rId423" Type="http://schemas.openxmlformats.org/officeDocument/2006/relationships/hyperlink" Target="https://arxiv.org/pdf/1806.09471.pdf" TargetMode="External"/><Relationship Id="rId422" Type="http://schemas.openxmlformats.org/officeDocument/2006/relationships/hyperlink" Target="https://arxiv.org/pdf/1806.05161.pdf" TargetMode="External"/><Relationship Id="rId421" Type="http://schemas.openxmlformats.org/officeDocument/2006/relationships/hyperlink" Target="https://www.pnas.org/content/116/32/15849" TargetMode="External"/><Relationship Id="rId420" Type="http://schemas.openxmlformats.org/officeDocument/2006/relationships/hyperlink" Target="https://mitpress.mit.edu/books/advances-neural-information-processing-systems" TargetMode="External"/><Relationship Id="rId42" Type="http://schemas.openxmlformats.org/officeDocument/2006/relationships/hyperlink" Target="https://www-isl.stanford.edu/~widrow/papers/c1988madalinerule.pdf" TargetMode="External"/><Relationship Id="rId419" Type="http://schemas.openxmlformats.org/officeDocument/2006/relationships/hyperlink" Target="https://arxiv.org/pdf/2004.12850.pdf" TargetMode="External"/><Relationship Id="rId418" Type="http://schemas.openxmlformats.org/officeDocument/2006/relationships/hyperlink" Target="https://www.nature.com/articles/s41586-018-0180-5" TargetMode="External"/><Relationship Id="rId417" Type="http://schemas.openxmlformats.org/officeDocument/2006/relationships/hyperlink" Target="http://citeseerx.ist.psu.edu/viewdoc/download?doi=10.1.1.456.1094&amp;rep=rep1&amp;type=pdf" TargetMode="External"/><Relationship Id="rId416" Type="http://schemas.openxmlformats.org/officeDocument/2006/relationships/hyperlink" Target="https://arxiv.org/pdf/2007.05558.pdf" TargetMode="External"/><Relationship Id="rId415" Type="http://schemas.openxmlformats.org/officeDocument/2006/relationships/hyperlink" Target="https://link.springer.com/chapter/10.1007/978-3-642-40763-5_51" TargetMode="External"/><Relationship Id="rId414" Type="http://schemas.openxmlformats.org/officeDocument/2006/relationships/hyperlink" Target="https://arxiv.org/pdf/2111.00396.pdf" TargetMode="External"/><Relationship Id="rId413" Type="http://schemas.openxmlformats.org/officeDocument/2006/relationships/hyperlink" Target="https://arxiv.org/abs/2105.12723v2" TargetMode="External"/><Relationship Id="rId412" Type="http://schemas.openxmlformats.org/officeDocument/2006/relationships/hyperlink" Target="https://openreview.net/forum?id=YicbFdNTTy" TargetMode="External"/><Relationship Id="rId411" Type="http://schemas.openxmlformats.org/officeDocument/2006/relationships/hyperlink" Target="https://arxiv.org/pdf/1406.4729v4.pdf" TargetMode="External"/><Relationship Id="rId410" Type="http://schemas.openxmlformats.org/officeDocument/2006/relationships/hyperlink" Target="https://arxiv.org/pdf/1502.01852v1.pdf" TargetMode="External"/><Relationship Id="rId41" Type="http://schemas.openxmlformats.org/officeDocument/2006/relationships/hyperlink" Target="http://citeseerx.ist.psu.edu/viewdoc/download;jsessionid=03A3D3EDF0BAF35405ABCF083411B55E?doi=10.1.1.154.7012&amp;rep=rep1&amp;type=pdf" TargetMode="External"/><Relationship Id="rId409" Type="http://schemas.openxmlformats.org/officeDocument/2006/relationships/hyperlink" Target="http://www.jmlr.org/papers/volume18/17-468/17-468.pdf" TargetMode="External"/><Relationship Id="rId408" Type="http://schemas.openxmlformats.org/officeDocument/2006/relationships/hyperlink" Target="https://www.tandfonline.com/doi/abs/10.1080/01638539809545028" TargetMode="External"/><Relationship Id="rId407" Type="http://schemas.openxmlformats.org/officeDocument/2006/relationships/hyperlink" Target="https://arxiv.org/abs/2112.10741" TargetMode="External"/><Relationship Id="rId406" Type="http://schemas.openxmlformats.org/officeDocument/2006/relationships/hyperlink" Target="https://deepmind.com/blog/article/language-modelling-at-scale" TargetMode="External"/><Relationship Id="rId405" Type="http://schemas.openxmlformats.org/officeDocument/2006/relationships/hyperlink" Target="https://arxiv.org/abs/2110.04725" TargetMode="External"/><Relationship Id="rId404" Type="http://schemas.openxmlformats.org/officeDocument/2006/relationships/hyperlink" Target="https://arxiv.org/abs/2111.00210" TargetMode="External"/><Relationship Id="rId403" Type="http://schemas.openxmlformats.org/officeDocument/2006/relationships/hyperlink" Target="https://arxiv.org/abs/2110.11316" TargetMode="External"/><Relationship Id="rId402" Type="http://schemas.openxmlformats.org/officeDocument/2006/relationships/hyperlink" Target="https://arxiv.org/abs/2110.08207" TargetMode="External"/><Relationship Id="rId401" Type="http://schemas.openxmlformats.org/officeDocument/2006/relationships/hyperlink" Target="https://www.microsoft.com/en-us/research/blog/using-deepspeed-and-megatron-to-train-megatron-turing-nlg-530b-the-worlds-largest-and-most-powerful-generative-language-model/" TargetMode="External"/><Relationship Id="rId400" Type="http://schemas.openxmlformats.org/officeDocument/2006/relationships/hyperlink" Target="https://arxiv.org/abs/2110.03888" TargetMode="External"/><Relationship Id="rId40" Type="http://schemas.openxmlformats.org/officeDocument/2006/relationships/hyperlink" Target="https://psycnet.apa.org/record/1987-20898-001" TargetMode="External"/><Relationship Id="rId4" Type="http://schemas.openxmlformats.org/officeDocument/2006/relationships/hyperlink" Target="https://en.wikipedia.org/wiki/Stochastic_neural_analog_reinforcement_calculator" TargetMode="External"/><Relationship Id="rId399" Type="http://schemas.openxmlformats.org/officeDocument/2006/relationships/hyperlink" Target="https://www.microsoft.com/en-us/research/blog/make-every-feature-binary-a-135b-parameter-sparse-neural-network-for-massively-improved-search-relevance/" TargetMode="External"/><Relationship Id="rId398" Type="http://schemas.openxmlformats.org/officeDocument/2006/relationships/hyperlink" Target="https://arxiv.org/pdf/2105.00572.pdf" TargetMode="External"/><Relationship Id="rId397" Type="http://schemas.openxmlformats.org/officeDocument/2006/relationships/hyperlink" Target="https://uploads-ssl.webflow.com/60fd4503684b466578c0d307/61138924626a6981ee09caf6_jurassic_tech_paper.pdf" TargetMode="External"/><Relationship Id="rId396" Type="http://schemas.openxmlformats.org/officeDocument/2006/relationships/hyperlink" Target="https://arxiv.org/abs/2107.14795" TargetMode="External"/><Relationship Id="rId395" Type="http://schemas.openxmlformats.org/officeDocument/2006/relationships/hyperlink" Target="https://arxiv.org/pdf/2103.01988.pdf" TargetMode="External"/><Relationship Id="rId394" Type="http://schemas.openxmlformats.org/officeDocument/2006/relationships/hyperlink" Target="https://arxiv.org/pdf/2106.07447.pdf" TargetMode="External"/><Relationship Id="rId393" Type="http://schemas.openxmlformats.org/officeDocument/2006/relationships/hyperlink" Target="https://deepmind.com/blog/article/generally-capable-agents-emerge-from-open-ended-play" TargetMode="External"/><Relationship Id="rId392" Type="http://schemas.openxmlformats.org/officeDocument/2006/relationships/hyperlink" Target="https://openai.com/blog/openai-codex/" TargetMode="External"/><Relationship Id="rId391" Type="http://schemas.openxmlformats.org/officeDocument/2006/relationships/hyperlink" Target="http://research.baidu.com/Blog/index-view?id=160" TargetMode="External"/><Relationship Id="rId390" Type="http://schemas.openxmlformats.org/officeDocument/2006/relationships/hyperlink" Target="https://arxiv.org/pdf/2006.11239.pdf" TargetMode="External"/><Relationship Id="rId39" Type="http://schemas.openxmlformats.org/officeDocument/2006/relationships/hyperlink" Target="http://stanford.edu/~jlmcc/papers/PDP/Chapter18.pdf" TargetMode="External"/><Relationship Id="rId389" Type="http://schemas.openxmlformats.org/officeDocument/2006/relationships/hyperlink" Target="https://arxiv.org/abs/2106.04560" TargetMode="External"/><Relationship Id="rId388" Type="http://schemas.openxmlformats.org/officeDocument/2006/relationships/hyperlink" Target="https://www.engadget.com/chinas-gigantic-multi-modal-ai-is-no-one-trick-pony-211414388.html" TargetMode="External"/><Relationship Id="rId387" Type="http://schemas.openxmlformats.org/officeDocument/2006/relationships/hyperlink" Target="https://arxiv.org/abs/2105.13290" TargetMode="External"/><Relationship Id="rId386" Type="http://schemas.openxmlformats.org/officeDocument/2006/relationships/hyperlink" Target="https://www.navercorp.com/promotion/pressReleasesView/30546" TargetMode="External"/><Relationship Id="rId385" Type="http://schemas.openxmlformats.org/officeDocument/2006/relationships/hyperlink" Target="https://blog.google/technology/ai/lamda/" TargetMode="External"/><Relationship Id="rId384" Type="http://schemas.openxmlformats.org/officeDocument/2006/relationships/hyperlink" Target="https://www.biorxiv.org/content/10.1101/2020.07.12.199554v3" TargetMode="External"/><Relationship Id="rId383" Type="http://schemas.openxmlformats.org/officeDocument/2006/relationships/hyperlink" Target="https://arankomatsuzaki.wordpress.com/2021/06/04/gpt-j/" TargetMode="External"/><Relationship Id="rId382" Type="http://schemas.openxmlformats.org/officeDocument/2006/relationships/hyperlink" Target="https://arxiv.org/abs/2104.12369" TargetMode="External"/><Relationship Id="rId381" Type="http://schemas.openxmlformats.org/officeDocument/2006/relationships/hyperlink" Target="https://arxiv.org/abs/2104.04473" TargetMode="External"/><Relationship Id="rId380" Type="http://schemas.openxmlformats.org/officeDocument/2006/relationships/hyperlink" Target="https://www.eleuther.ai/projects/gpt-neo/" TargetMode="External"/><Relationship Id="rId38" Type="http://schemas.openxmlformats.org/officeDocument/2006/relationships/hyperlink" Target="https://www.nature.com/articles/323533a0" TargetMode="External"/><Relationship Id="rId379" Type="http://schemas.openxmlformats.org/officeDocument/2006/relationships/hyperlink" Target="https://arxiv.org/pdf/2105.15082.pdf" TargetMode="External"/><Relationship Id="rId378" Type="http://schemas.openxmlformats.org/officeDocument/2006/relationships/hyperlink" Target="https://arxiv.org/pdf/2004.13637.pdf" TargetMode="External"/><Relationship Id="rId377" Type="http://schemas.openxmlformats.org/officeDocument/2006/relationships/hyperlink" Target="https://medium.com/syncedreview/chinas-gpt-3-baai-introduces-superscale-intelligence-model-wu-dao-1-0-98a573fc4d70" TargetMode="External"/><Relationship Id="rId376" Type="http://schemas.openxmlformats.org/officeDocument/2006/relationships/hyperlink" Target="https://arxiv.org/abs/2103.00823" TargetMode="External"/><Relationship Id="rId375" Type="http://schemas.openxmlformats.org/officeDocument/2006/relationships/hyperlink" Target="https://arxiv.org/abs/2102.09407v1" TargetMode="External"/><Relationship Id="rId374" Type="http://schemas.openxmlformats.org/officeDocument/2006/relationships/hyperlink" Target="https://arxiv.org/pdf/2109.01652.pdf" TargetMode="External"/><Relationship Id="rId373" Type="http://schemas.openxmlformats.org/officeDocument/2006/relationships/hyperlink" Target="https://arxiv.org/abs/2101.03961" TargetMode="External"/><Relationship Id="rId372" Type="http://schemas.openxmlformats.org/officeDocument/2006/relationships/hyperlink" Target="https://openai.com/blog/dall-e/" TargetMode="External"/><Relationship Id="rId371" Type="http://schemas.openxmlformats.org/officeDocument/2006/relationships/hyperlink" Target="https://arxiv.org/abs/2103.00020" TargetMode="External"/><Relationship Id="rId370" Type="http://schemas.openxmlformats.org/officeDocument/2006/relationships/hyperlink" Target="https://arxiv.org/pdf/2109.05217.pdf" TargetMode="External"/><Relationship Id="rId37" Type="http://schemas.openxmlformats.org/officeDocument/2006/relationships/hyperlink" Target="https://www.osti.gov/biblio/6910294" TargetMode="External"/><Relationship Id="rId369" Type="http://schemas.openxmlformats.org/officeDocument/2006/relationships/hyperlink" Target="https://arxiv.org/pdf/2109.13226.pdf" TargetMode="External"/><Relationship Id="rId368" Type="http://schemas.openxmlformats.org/officeDocument/2006/relationships/hyperlink" Target="http://arxiv.org/abs/2109.08668" TargetMode="External"/><Relationship Id="rId367" Type="http://schemas.openxmlformats.org/officeDocument/2006/relationships/hyperlink" Target="https://arxiv.org/pdf/2006.03654.pdf" TargetMode="External"/><Relationship Id="rId366" Type="http://schemas.openxmlformats.org/officeDocument/2006/relationships/hyperlink" Target="https://arxiv.org/abs/2104.05158" TargetMode="External"/><Relationship Id="rId365" Type="http://schemas.openxmlformats.org/officeDocument/2006/relationships/hyperlink" Target="https://arxiv.org/abs/2012.15520v1" TargetMode="External"/><Relationship Id="rId364" Type="http://schemas.openxmlformats.org/officeDocument/2006/relationships/hyperlink" Target="https://deepmind.com/blog/article/muzero-mastering-go-chess-shogi-and-atari-without-rules" TargetMode="External"/><Relationship Id="rId363" Type="http://schemas.openxmlformats.org/officeDocument/2006/relationships/hyperlink" Target="https://github.com/CompVis/taming-transformers" TargetMode="External"/><Relationship Id="rId362" Type="http://schemas.openxmlformats.org/officeDocument/2006/relationships/hyperlink" Target="https://arxiv.org/abs/2012.00413" TargetMode="External"/><Relationship Id="rId361" Type="http://schemas.openxmlformats.org/officeDocument/2006/relationships/hyperlink" Target="https://www.nature.com/articles/s41586-021-03819-2" TargetMode="External"/><Relationship Id="rId360" Type="http://schemas.openxmlformats.org/officeDocument/2006/relationships/hyperlink" Target="https://arxiv.org/pdf/2010.11929.pdf" TargetMode="External"/><Relationship Id="rId36" Type="http://schemas.openxmlformats.org/officeDocument/2006/relationships/hyperlink" Target="https://ieeexplore.ieee.org/abstract/document/4767851" TargetMode="External"/><Relationship Id="rId359" Type="http://schemas.openxmlformats.org/officeDocument/2006/relationships/hyperlink" Target="https://arxiv.org/pdf/2006.11477.pdf" TargetMode="External"/><Relationship Id="rId358" Type="http://schemas.openxmlformats.org/officeDocument/2006/relationships/hyperlink" Target="https://openaccess.thecvf.com/content_CVPR_2020/html/Tan_EfficientDet_Scalable_and_Efficient_Object_Detection_CVPR_2020_paper.html" TargetMode="External"/><Relationship Id="rId357" Type="http://schemas.openxmlformats.org/officeDocument/2006/relationships/hyperlink" Target="https://arxiv.org/abs/2008.02217" TargetMode="External"/><Relationship Id="rId356" Type="http://schemas.openxmlformats.org/officeDocument/2006/relationships/hyperlink" Target="https://arxiv.org/abs/2006.16668" TargetMode="External"/><Relationship Id="rId355" Type="http://schemas.openxmlformats.org/officeDocument/2006/relationships/hyperlink" Target="https://openai.com/blog/image-gpt/" TargetMode="External"/><Relationship Id="rId354" Type="http://schemas.openxmlformats.org/officeDocument/2006/relationships/hyperlink" Target="https://arxiv.org/abs/2006.11316" TargetMode="External"/><Relationship Id="rId353" Type="http://schemas.openxmlformats.org/officeDocument/2006/relationships/hyperlink" Target="https://arxiv.org/pdf/1908.09791.pdf" TargetMode="External"/><Relationship Id="rId352" Type="http://schemas.openxmlformats.org/officeDocument/2006/relationships/hyperlink" Target="https://arxiv.org/abs/2005.14165" TargetMode="External"/><Relationship Id="rId351" Type="http://schemas.openxmlformats.org/officeDocument/2006/relationships/hyperlink" Target="https://arxiv.org/abs/2004.12919" TargetMode="External"/><Relationship Id="rId350" Type="http://schemas.openxmlformats.org/officeDocument/2006/relationships/hyperlink" Target="https://arxiv.org/abs/2004.04136v4" TargetMode="External"/><Relationship Id="rId35" Type="http://schemas.openxmlformats.org/officeDocument/2006/relationships/hyperlink" Target="https://apps.dtic.mil/sti/citations/ADA164453" TargetMode="External"/><Relationship Id="rId349" Type="http://schemas.openxmlformats.org/officeDocument/2006/relationships/hyperlink" Target="https://arxiv.org/abs/2004.02984" TargetMode="External"/><Relationship Id="rId348" Type="http://schemas.openxmlformats.org/officeDocument/2006/relationships/hyperlink" Target="https://ojs.aaai.org/index.php/AAAI/article/view/7000" TargetMode="External"/><Relationship Id="rId347" Type="http://schemas.openxmlformats.org/officeDocument/2006/relationships/hyperlink" Target="https://arxiv.org/abs/2003.13350" TargetMode="External"/><Relationship Id="rId346" Type="http://schemas.openxmlformats.org/officeDocument/2006/relationships/hyperlink" Target="https://arxiv.org/abs/2003.12140" TargetMode="External"/><Relationship Id="rId345" Type="http://schemas.openxmlformats.org/officeDocument/2006/relationships/hyperlink" Target="https://arxiv.org/abs/2003.10555v1" TargetMode="External"/><Relationship Id="rId344" Type="http://schemas.openxmlformats.org/officeDocument/2006/relationships/hyperlink" Target="https://www.biorxiv.org/content/10.1101/2020.03.07.982272v2" TargetMode="External"/><Relationship Id="rId343" Type="http://schemas.openxmlformats.org/officeDocument/2006/relationships/hyperlink" Target="https://arxiv.org/abs/2002.05709" TargetMode="External"/><Relationship Id="rId342" Type="http://schemas.openxmlformats.org/officeDocument/2006/relationships/hyperlink" Target="https://www.microsoft.com/en-us/research/blog/turing-nlg-a-17-billion-parameter-language-model-by-microsoft/" TargetMode="External"/><Relationship Id="rId341" Type="http://schemas.openxmlformats.org/officeDocument/2006/relationships/hyperlink" Target="https://arxiv.org/pdf/2002.02925.pdf" TargetMode="External"/><Relationship Id="rId340" Type="http://schemas.openxmlformats.org/officeDocument/2006/relationships/hyperlink" Target="https://ai.googleblog.com/2020/01/towards-conversational-agent-that-can.html" TargetMode="External"/><Relationship Id="rId34" Type="http://schemas.openxmlformats.org/officeDocument/2006/relationships/hyperlink" Target="https://psycnet.apa.org/record/1985-97439-000" TargetMode="External"/><Relationship Id="rId339" Type="http://schemas.openxmlformats.org/officeDocument/2006/relationships/hyperlink" Target="https://arxiv.org/abs/2001.11314" TargetMode="External"/><Relationship Id="rId338" Type="http://schemas.openxmlformats.org/officeDocument/2006/relationships/hyperlink" Target="https://www.nature.com/articles/s41586-019-1923-7" TargetMode="External"/><Relationship Id="rId337" Type="http://schemas.openxmlformats.org/officeDocument/2006/relationships/hyperlink" Target="https://arxiv.org/abs/1912.11370" TargetMode="External"/><Relationship Id="rId336" Type="http://schemas.openxmlformats.org/officeDocument/2006/relationships/hyperlink" Target="https://cdn.openai.com/dota-2.pdf" TargetMode="External"/><Relationship Id="rId335" Type="http://schemas.openxmlformats.org/officeDocument/2006/relationships/hyperlink" Target="https://arxiv.org/abs/1912.06680" TargetMode="External"/><Relationship Id="rId334" Type="http://schemas.openxmlformats.org/officeDocument/2006/relationships/hyperlink" Target="https://arxiv.org/abs/1912.01865" TargetMode="External"/><Relationship Id="rId333" Type="http://schemas.openxmlformats.org/officeDocument/2006/relationships/hyperlink" Target="https://arxiv.org/abs/1911.11130" TargetMode="External"/><Relationship Id="rId332" Type="http://schemas.openxmlformats.org/officeDocument/2006/relationships/hyperlink" Target="https://arxiv.org/abs/1911.08265v2" TargetMode="External"/><Relationship Id="rId331" Type="http://schemas.openxmlformats.org/officeDocument/2006/relationships/hyperlink" Target="https://arxiv.org/abs/1911.05722" TargetMode="External"/><Relationship Id="rId330" Type="http://schemas.openxmlformats.org/officeDocument/2006/relationships/hyperlink" Target="https://paperswithcode.com/paper/self-training-with-noisy-student-improves/review/" TargetMode="External"/><Relationship Id="rId33" Type="http://schemas.openxmlformats.org/officeDocument/2006/relationships/hyperlink" Target="https://ieeexplore.ieee.org/document/6313077" TargetMode="External"/><Relationship Id="rId329" Type="http://schemas.openxmlformats.org/officeDocument/2006/relationships/hyperlink" Target="https://www.nature.com/articles/s41586-019-1724-z.epdf" TargetMode="External"/><Relationship Id="rId328" Type="http://schemas.openxmlformats.org/officeDocument/2006/relationships/hyperlink" Target="https://arxiv.org/abs/1910.13461" TargetMode="External"/><Relationship Id="rId327" Type="http://schemas.openxmlformats.org/officeDocument/2006/relationships/hyperlink" Target="https://arxiv.org/abs/1910.10683" TargetMode="External"/><Relationship Id="rId326" Type="http://schemas.openxmlformats.org/officeDocument/2006/relationships/hyperlink" Target="https://openai.com/blog/solving-rubiks-cube/" TargetMode="External"/><Relationship Id="rId325" Type="http://schemas.openxmlformats.org/officeDocument/2006/relationships/hyperlink" Target="https://arxiv.org/pdf/1903.11059.pdf" TargetMode="External"/><Relationship Id="rId324" Type="http://schemas.openxmlformats.org/officeDocument/2006/relationships/hyperlink" Target="https://arxiv.org/abs/1910.01108" TargetMode="External"/><Relationship Id="rId323" Type="http://schemas.openxmlformats.org/officeDocument/2006/relationships/hyperlink" Target="https://arxiv.org/abs/1909.11942" TargetMode="External"/><Relationship Id="rId322" Type="http://schemas.openxmlformats.org/officeDocument/2006/relationships/hyperlink" Target="https://openai.com/blog/emergent-tool-use/" TargetMode="External"/><Relationship Id="rId321" Type="http://schemas.openxmlformats.org/officeDocument/2006/relationships/hyperlink" Target="https://arxiv.org/abs/1909.08053" TargetMode="External"/><Relationship Id="rId320" Type="http://schemas.openxmlformats.org/officeDocument/2006/relationships/hyperlink" Target="https://papers.nips.cc/paper/2019/file/97af07a14cacba681feacf3012730892-Paper.pdf" TargetMode="External"/><Relationship Id="rId32" Type="http://schemas.openxmlformats.org/officeDocument/2006/relationships/hyperlink" Target="https://bi.snu.ac.kr/Courses/g-ai09-2/hopfield82.pdf" TargetMode="External"/><Relationship Id="rId319" Type="http://schemas.openxmlformats.org/officeDocument/2006/relationships/hyperlink" Target="https://arxiv.org/abs/1907.02544" TargetMode="External"/><Relationship Id="rId318" Type="http://schemas.openxmlformats.org/officeDocument/2006/relationships/hyperlink" Target="https://arxiv.org/abs/1907.11692" TargetMode="External"/><Relationship Id="rId317" Type="http://schemas.openxmlformats.org/officeDocument/2006/relationships/hyperlink" Target="https://arxiv.org/abs/1906.06423" TargetMode="External"/><Relationship Id="rId316" Type="http://schemas.openxmlformats.org/officeDocument/2006/relationships/hyperlink" Target="https://arxiv.org/abs/1906.00910" TargetMode="External"/><Relationship Id="rId315" Type="http://schemas.openxmlformats.org/officeDocument/2006/relationships/hyperlink" Target="https://arxiv.org/abs/1906.08237" TargetMode="External"/><Relationship Id="rId314" Type="http://schemas.openxmlformats.org/officeDocument/2006/relationships/hyperlink" Target="https://arxiv.org/abs/1901.07291" TargetMode="External"/><Relationship Id="rId313" Type="http://schemas.openxmlformats.org/officeDocument/2006/relationships/hyperlink" Target="https://deepmind.com/research/publications/capture-the-flag" TargetMode="External"/><Relationship Id="rId312" Type="http://schemas.openxmlformats.org/officeDocument/2006/relationships/hyperlink" Target="https://arxiv.org/abs/1906.00091" TargetMode="External"/><Relationship Id="rId311" Type="http://schemas.openxmlformats.org/officeDocument/2006/relationships/hyperlink" Target="https://arxiv.org/pdf/1807.11626.pdf" TargetMode="External"/><Relationship Id="rId310" Type="http://schemas.openxmlformats.org/officeDocument/2006/relationships/hyperlink" Target="https://arxiv.org/abs/1905.12616" TargetMode="External"/><Relationship Id="rId31" Type="http://schemas.openxmlformats.org/officeDocument/2006/relationships/hyperlink" Target="https://link.springer.com/article/10.1007/BF00337288" TargetMode="External"/><Relationship Id="rId309" Type="http://schemas.openxmlformats.org/officeDocument/2006/relationships/hyperlink" Target="https://arxiv.org/abs/1905.11946" TargetMode="External"/><Relationship Id="rId308" Type="http://schemas.openxmlformats.org/officeDocument/2006/relationships/hyperlink" Target="https://arxiv.org/abs/1905.09272" TargetMode="External"/><Relationship Id="rId307" Type="http://schemas.openxmlformats.org/officeDocument/2006/relationships/hyperlink" Target="https://arxiv.org/abs/1905.00546" TargetMode="External"/><Relationship Id="rId306" Type="http://schemas.openxmlformats.org/officeDocument/2006/relationships/hyperlink" Target="https://arxiv.org/pdf/1812.00332.pdf" TargetMode="External"/><Relationship Id="rId305" Type="http://schemas.openxmlformats.org/officeDocument/2006/relationships/hyperlink" Target="https://openai.com/blog/better-language-models/" TargetMode="External"/><Relationship Id="rId304" Type="http://schemas.openxmlformats.org/officeDocument/2006/relationships/hyperlink" Target="https://arxiv.org/abs/1902.00506" TargetMode="External"/><Relationship Id="rId303" Type="http://schemas.openxmlformats.org/officeDocument/2006/relationships/hyperlink" Target="https://arxiv.org/abs/1901.11504" TargetMode="External"/><Relationship Id="rId302" Type="http://schemas.openxmlformats.org/officeDocument/2006/relationships/hyperlink" Target="https://www.semanticscholar.org/paper/Dissecting-Contextual-Word-Embeddings%3A-Architecture-Peters-Neumann/ac11062f1f368d97f4c826c317bf50dcc13fdb59" TargetMode="External"/><Relationship Id="rId301" Type="http://schemas.openxmlformats.org/officeDocument/2006/relationships/hyperlink" Target="https://arxiv.org/abs/1811.06965" TargetMode="External"/><Relationship Id="rId300" Type="http://schemas.openxmlformats.org/officeDocument/2006/relationships/hyperlink" Target="https://arxiv.org/abs/1810.04805" TargetMode="External"/><Relationship Id="rId30" Type="http://schemas.openxmlformats.org/officeDocument/2006/relationships/hyperlink" Target="https://link.springer.com/article/10.1007/BF00344251" TargetMode="External"/><Relationship Id="rId3" Type="http://schemas.openxmlformats.org/officeDocument/2006/relationships/hyperlink" Target="https://www.technologyreview.com/2018/12/19/138508/mighty-mouse/" TargetMode="External"/><Relationship Id="rId299" Type="http://schemas.openxmlformats.org/officeDocument/2006/relationships/hyperlink" Target="https://arxiv.org/abs/1810.05017" TargetMode="External"/><Relationship Id="rId298" Type="http://schemas.openxmlformats.org/officeDocument/2006/relationships/hyperlink" Target="https://arxiv.org/abs/1809.11096" TargetMode="External"/><Relationship Id="rId297" Type="http://schemas.openxmlformats.org/officeDocument/2006/relationships/hyperlink" Target="https://arxiv.org/abs/1807.01281" TargetMode="External"/><Relationship Id="rId296" Type="http://schemas.openxmlformats.org/officeDocument/2006/relationships/hyperlink" Target="https://arxiv.org/abs/1807.11164" TargetMode="External"/><Relationship Id="rId295" Type="http://schemas.openxmlformats.org/officeDocument/2006/relationships/hyperlink" Target="https://ieeexplore.ieee.org/document/8578572" TargetMode="External"/><Relationship Id="rId294" Type="http://schemas.openxmlformats.org/officeDocument/2006/relationships/hyperlink" Target="https://openai.com/blog/language-unsupervised/" TargetMode="External"/><Relationship Id="rId293" Type="http://schemas.openxmlformats.org/officeDocument/2006/relationships/hyperlink" Target="https://paperswithcode.com/paper/exploring-the-limits-of-weakly-supervised" TargetMode="External"/><Relationship Id="rId292" Type="http://schemas.openxmlformats.org/officeDocument/2006/relationships/hyperlink" Target="https://arxiv.org/abs/1804.02767" TargetMode="External"/><Relationship Id="rId291" Type="http://schemas.openxmlformats.org/officeDocument/2006/relationships/hyperlink" Target="https://arxiv.org/abs/1803.07728" TargetMode="External"/><Relationship Id="rId290" Type="http://schemas.openxmlformats.org/officeDocument/2006/relationships/hyperlink" Target="https://www.microsoft.com/en-us/research/publication/achieving-human-parity-on-automatic-chinese-to-english-news-translation/" TargetMode="External"/><Relationship Id="rId29" Type="http://schemas.openxmlformats.org/officeDocument/2006/relationships/hyperlink" Target="https://link.springer.com/article/10.1007/BF00337644" TargetMode="External"/><Relationship Id="rId289" Type="http://schemas.openxmlformats.org/officeDocument/2006/relationships/hyperlink" Target="https://arxiv.org/abs/1802.01561" TargetMode="External"/><Relationship Id="rId288" Type="http://schemas.openxmlformats.org/officeDocument/2006/relationships/hyperlink" Target="https://arxiv.org/search/cs?searchtype=author&amp;query=Espeholt%2C+L" TargetMode="External"/><Relationship Id="rId287" Type="http://schemas.openxmlformats.org/officeDocument/2006/relationships/hyperlink" Target="https://arxiv.org/abs/1802.01548" TargetMode="External"/><Relationship Id="rId286" Type="http://schemas.openxmlformats.org/officeDocument/2006/relationships/hyperlink" Target="https://allennlp.org/elmo" TargetMode="External"/><Relationship Id="rId285" Type="http://schemas.openxmlformats.org/officeDocument/2006/relationships/hyperlink" Target="https://arxiv.org/abs/1801.06146" TargetMode="External"/><Relationship Id="rId284" Type="http://schemas.openxmlformats.org/officeDocument/2006/relationships/hyperlink" Target="https://arxiv.org/abs/1711.09349" TargetMode="External"/><Relationship Id="rId283" Type="http://schemas.openxmlformats.org/officeDocument/2006/relationships/hyperlink" Target="https://arxiv.org/abs/1712.01815" TargetMode="External"/><Relationship Id="rId282" Type="http://schemas.openxmlformats.org/officeDocument/2006/relationships/hyperlink" Target="https://arxiv.org/abs/1712.00559" TargetMode="External"/><Relationship Id="rId281" Type="http://schemas.openxmlformats.org/officeDocument/2006/relationships/hyperlink" Target="https://arxiv.org/abs/1703.07737" TargetMode="External"/><Relationship Id="rId280" Type="http://schemas.openxmlformats.org/officeDocument/2006/relationships/hyperlink" Target="https://arxiv.org/abs/1710.10196" TargetMode="External"/><Relationship Id="rId28" Type="http://schemas.openxmlformats.org/officeDocument/2006/relationships/hyperlink" Target="https://www.sciencedirect.com/science/article/pii/S0019995877903540" TargetMode="External"/><Relationship Id="rId279" Type="http://schemas.openxmlformats.org/officeDocument/2006/relationships/hyperlink" Target="https://ieeexplore.ieee.org/document/8237667/citations" TargetMode="External"/><Relationship Id="rId278" Type="http://schemas.openxmlformats.org/officeDocument/2006/relationships/hyperlink" Target="https://arxiv.org/abs/1710.09829" TargetMode="External"/><Relationship Id="rId277" Type="http://schemas.openxmlformats.org/officeDocument/2006/relationships/hyperlink" Target="https://arxiv.org/abs/1709.01507" TargetMode="External"/><Relationship Id="rId276" Type="http://schemas.openxmlformats.org/officeDocument/2006/relationships/hyperlink" Target="https://arxiv.org/abs/1708.05031" TargetMode="External"/><Relationship Id="rId275" Type="http://schemas.openxmlformats.org/officeDocument/2006/relationships/hyperlink" Target="https://arxiv.org/abs/1708.02002" TargetMode="External"/><Relationship Id="rId274" Type="http://schemas.openxmlformats.org/officeDocument/2006/relationships/hyperlink" Target="https://arxiv.org/pdf/1707.02968.pdf" TargetMode="External"/><Relationship Id="rId273" Type="http://schemas.openxmlformats.org/officeDocument/2006/relationships/hyperlink" Target="https://ieeexplore.ieee.org/document/8100143" TargetMode="External"/><Relationship Id="rId272" Type="http://schemas.openxmlformats.org/officeDocument/2006/relationships/hyperlink" Target="https://arxiv.org/abs/1707.07012" TargetMode="External"/><Relationship Id="rId271" Type="http://schemas.openxmlformats.org/officeDocument/2006/relationships/hyperlink" Target="https://arxiv.org/abs/1707.01083" TargetMode="External"/><Relationship Id="rId270" Type="http://schemas.openxmlformats.org/officeDocument/2006/relationships/hyperlink" Target="https://arxiv.org/abs/1706.10295v3" TargetMode="External"/><Relationship Id="rId27" Type="http://schemas.openxmlformats.org/officeDocument/2006/relationships/hyperlink" Target="https://link.springer.com/article/10.1007%2FBF00342633" TargetMode="External"/><Relationship Id="rId269" Type="http://schemas.openxmlformats.org/officeDocument/2006/relationships/hyperlink" Target="https://arxiv.org/abs/1706.08500v1" TargetMode="External"/><Relationship Id="rId268" Type="http://schemas.openxmlformats.org/officeDocument/2006/relationships/hyperlink" Target="https://arxiv.org/abs/1706.04208" TargetMode="External"/><Relationship Id="rId267" Type="http://schemas.openxmlformats.org/officeDocument/2006/relationships/hyperlink" Target="https://proceedings.neurips.cc/paper/2017/file/3f5ee243547dee91fbd053c1c4a845aa-Paper.pdf" TargetMode="External"/><Relationship Id="rId266" Type="http://schemas.openxmlformats.org/officeDocument/2006/relationships/hyperlink" Target="https://arxiv.org/abs/1706.02413" TargetMode="External"/><Relationship Id="rId265" Type="http://schemas.openxmlformats.org/officeDocument/2006/relationships/hyperlink" Target="https://arxiv.org/abs/1704.04861" TargetMode="External"/><Relationship Id="rId264" Type="http://schemas.openxmlformats.org/officeDocument/2006/relationships/hyperlink" Target="https://arxiv.org/abs/1704.00028" TargetMode="External"/><Relationship Id="rId263" Type="http://schemas.openxmlformats.org/officeDocument/2006/relationships/hyperlink" Target="https://arxiv.org/abs/1703.06870" TargetMode="External"/><Relationship Id="rId262" Type="http://schemas.openxmlformats.org/officeDocument/2006/relationships/hyperlink" Target="https://arxiv.org/abs/1701.06538" TargetMode="External"/><Relationship Id="rId261" Type="http://schemas.openxmlformats.org/officeDocument/2006/relationships/hyperlink" Target="https://arxiv.org/abs/1701.01724" TargetMode="External"/><Relationship Id="rId260" Type="http://schemas.openxmlformats.org/officeDocument/2006/relationships/hyperlink" Target="https://www.nature.com/articles/nature24270" TargetMode="External"/><Relationship Id="rId26" Type="http://schemas.openxmlformats.org/officeDocument/2006/relationships/hyperlink" Target="https://ieeexplore.ieee.org/document/4309272" TargetMode="External"/><Relationship Id="rId259" Type="http://schemas.openxmlformats.org/officeDocument/2006/relationships/hyperlink" Target="https://www.cs.cmu.edu/~noamb/papers/17-IJCAI-Libratus.pdf" TargetMode="External"/><Relationship Id="rId258" Type="http://schemas.openxmlformats.org/officeDocument/2006/relationships/hyperlink" Target="https://arxiv.org/abs/1612.08242" TargetMode="External"/><Relationship Id="rId257" Type="http://schemas.openxmlformats.org/officeDocument/2006/relationships/hyperlink" Target="https://jamanetwork.com/journals/jama/article-abstract/2588763" TargetMode="External"/><Relationship Id="rId256" Type="http://schemas.openxmlformats.org/officeDocument/2006/relationships/hyperlink" Target="https://dl.acm.org/doi/10.5555/3157096.3157346" TargetMode="External"/><Relationship Id="rId255" Type="http://schemas.openxmlformats.org/officeDocument/2006/relationships/hyperlink" Target="https://arxiv.org/abs/1612.00593" TargetMode="External"/><Relationship Id="rId254" Type="http://schemas.openxmlformats.org/officeDocument/2006/relationships/hyperlink" Target="https://arxiv.org/abs/1612.00796" TargetMode="External"/><Relationship Id="rId253" Type="http://schemas.openxmlformats.org/officeDocument/2006/relationships/hyperlink" Target="https://arxiv.org/abs/1611.07004" TargetMode="External"/><Relationship Id="rId252" Type="http://schemas.openxmlformats.org/officeDocument/2006/relationships/hyperlink" Target="https://arxiv.org/abs/1611.06612v3" TargetMode="External"/><Relationship Id="rId251" Type="http://schemas.openxmlformats.org/officeDocument/2006/relationships/hyperlink" Target="https://arxiv.org/abs/1611.05725" TargetMode="External"/><Relationship Id="rId250" Type="http://schemas.openxmlformats.org/officeDocument/2006/relationships/hyperlink" Target="https://arxiv.org/abs/1611.05431" TargetMode="External"/><Relationship Id="rId25" Type="http://schemas.openxmlformats.org/officeDocument/2006/relationships/hyperlink" Target="http://www.svms.org/classification/DuHS95.pdf" TargetMode="External"/><Relationship Id="rId249" Type="http://schemas.openxmlformats.org/officeDocument/2006/relationships/hyperlink" Target="https://arxiv.org/abs/1611.01578" TargetMode="External"/><Relationship Id="rId248" Type="http://schemas.openxmlformats.org/officeDocument/2006/relationships/hyperlink" Target="https://www.nature.com/articles/nature20101" TargetMode="External"/><Relationship Id="rId247" Type="http://schemas.openxmlformats.org/officeDocument/2006/relationships/hyperlink" Target="https://arxiv.org/abs/1610.02357" TargetMode="External"/><Relationship Id="rId246" Type="http://schemas.openxmlformats.org/officeDocument/2006/relationships/hyperlink" Target="https://research.google/pubs/pub45610/" TargetMode="External"/><Relationship Id="rId245" Type="http://schemas.openxmlformats.org/officeDocument/2006/relationships/hyperlink" Target="https://static.googleusercontent.com/media/research.google.com/en//pubs/archive/45530.pdf" TargetMode="External"/><Relationship Id="rId244" Type="http://schemas.openxmlformats.org/officeDocument/2006/relationships/hyperlink" Target="https://arxiv.org/abs/1609.03499" TargetMode="External"/><Relationship Id="rId243" Type="http://schemas.openxmlformats.org/officeDocument/2006/relationships/hyperlink" Target="https://arxiv.org/abs/1608.06993" TargetMode="External"/><Relationship Id="rId242" Type="http://schemas.openxmlformats.org/officeDocument/2006/relationships/hyperlink" Target="https://arxiv.org/abs/1607.04606" TargetMode="External"/><Relationship Id="rId241" Type="http://schemas.openxmlformats.org/officeDocument/2006/relationships/hyperlink" Target="https://arxiv.org/abs/1607.01759" TargetMode="External"/><Relationship Id="rId240" Type="http://schemas.openxmlformats.org/officeDocument/2006/relationships/hyperlink" Target="https://arxiv.org/abs/1606.07792" TargetMode="External"/><Relationship Id="rId24" Type="http://schemas.openxmlformats.org/officeDocument/2006/relationships/hyperlink" Target="https://dspace.mit.edu/handle/1721.1/6884" TargetMode="External"/><Relationship Id="rId239" Type="http://schemas.openxmlformats.org/officeDocument/2006/relationships/hyperlink" Target="https://arxiv.org/abs/1602.07360" TargetMode="External"/><Relationship Id="rId238" Type="http://schemas.openxmlformats.org/officeDocument/2006/relationships/hyperlink" Target="https://arxiv.org/abs/1602.07261" TargetMode="External"/><Relationship Id="rId237" Type="http://schemas.openxmlformats.org/officeDocument/2006/relationships/hyperlink" Target="http://arxiv.org/abs/1602.01783v2" TargetMode="External"/><Relationship Id="rId236" Type="http://schemas.openxmlformats.org/officeDocument/2006/relationships/hyperlink" Target="https://arxiv.org/abs/1602.00134" TargetMode="External"/><Relationship Id="rId235" Type="http://schemas.openxmlformats.org/officeDocument/2006/relationships/hyperlink" Target="https://www.nature.com/articles/nature16961" TargetMode="External"/><Relationship Id="rId234" Type="http://schemas.openxmlformats.org/officeDocument/2006/relationships/hyperlink" Target="http://arxiv.org/abs/1512.04860v1" TargetMode="External"/><Relationship Id="rId233" Type="http://schemas.openxmlformats.org/officeDocument/2006/relationships/hyperlink" Target="https://science.sciencemag.org/content/350/6266/1332/" TargetMode="External"/><Relationship Id="rId232" Type="http://schemas.openxmlformats.org/officeDocument/2006/relationships/hyperlink" Target="https://arxiv.org/abs/1512.03385" TargetMode="External"/><Relationship Id="rId231" Type="http://schemas.openxmlformats.org/officeDocument/2006/relationships/hyperlink" Target="https://arxiv.org/abs/1512.02595" TargetMode="External"/><Relationship Id="rId230" Type="http://schemas.openxmlformats.org/officeDocument/2006/relationships/hyperlink" Target="https://arxiv.org/abs/1512.00567" TargetMode="External"/><Relationship Id="rId23" Type="http://schemas.openxmlformats.org/officeDocument/2006/relationships/hyperlink" Target="http://citeseerx.ist.psu.edu/viewdoc/download?doi=10.1.1.474.2430&amp;rep=rep1&amp;type=pdf" TargetMode="External"/><Relationship Id="rId229" Type="http://schemas.openxmlformats.org/officeDocument/2006/relationships/hyperlink" Target="https://dl.acm.org/doi/pdf/10.1145/2843948" TargetMode="External"/><Relationship Id="rId228" Type="http://schemas.openxmlformats.org/officeDocument/2006/relationships/hyperlink" Target="https://arxiv.org/abs/1511.07122" TargetMode="External"/><Relationship Id="rId227" Type="http://schemas.openxmlformats.org/officeDocument/2006/relationships/hyperlink" Target="https://arxiv.org/abs/1511.06581" TargetMode="External"/><Relationship Id="rId226" Type="http://schemas.openxmlformats.org/officeDocument/2006/relationships/hyperlink" Target="https://www.nature.com/articles/nature24270.epdf?author_access_token=VJXbVjaSHxFoctQQ4p2k4tRgN0jAjWel9jnR3ZoTv0PVW4gB86EEpGqTRDtpIz-2rmo8-KG06gqVobU5NSCFeHILHcVFUeMsbvwS-lxjqQGg98faovwjxeTUgZAUMnRQ" TargetMode="External"/><Relationship Id="rId225" Type="http://schemas.openxmlformats.org/officeDocument/2006/relationships/hyperlink" Target="https://arxiv.org/abs/1509.02971" TargetMode="External"/><Relationship Id="rId224" Type="http://schemas.openxmlformats.org/officeDocument/2006/relationships/hyperlink" Target="https://arxiv.org/abs/1508.07909" TargetMode="External"/><Relationship Id="rId223" Type="http://schemas.openxmlformats.org/officeDocument/2006/relationships/hyperlink" Target="https://arxiv.org/abs/1502.03167" TargetMode="External"/><Relationship Id="rId222" Type="http://schemas.openxmlformats.org/officeDocument/2006/relationships/hyperlink" Target="https://arxiv.org/abs/1506.02640" TargetMode="External"/><Relationship Id="rId221" Type="http://schemas.openxmlformats.org/officeDocument/2006/relationships/hyperlink" Target="https://ieeexplore.ieee.org/document/7298594" TargetMode="External"/><Relationship Id="rId220" Type="http://schemas.openxmlformats.org/officeDocument/2006/relationships/hyperlink" Target="https://arxiv.org/abs/1506.01497" TargetMode="External"/><Relationship Id="rId22" Type="http://schemas.openxmlformats.org/officeDocument/2006/relationships/hyperlink" Target="https://www.cs.virginia.edu/~evans/greatworks/samuel.pdf" TargetMode="External"/><Relationship Id="rId219" Type="http://schemas.openxmlformats.org/officeDocument/2006/relationships/hyperlink" Target="https://arxiv.org/abs/1504.08083" TargetMode="External"/><Relationship Id="rId218" Type="http://schemas.openxmlformats.org/officeDocument/2006/relationships/hyperlink" Target="https://arxiv.org/abs/1503.00075" TargetMode="External"/><Relationship Id="rId217" Type="http://schemas.openxmlformats.org/officeDocument/2006/relationships/hyperlink" Target="https://www.nature.com/articles/nature14236" TargetMode="External"/><Relationship Id="rId216" Type="http://schemas.openxmlformats.org/officeDocument/2006/relationships/hyperlink" Target="https://arxiv.org/abs/1502.03240" TargetMode="External"/><Relationship Id="rId215" Type="http://schemas.openxmlformats.org/officeDocument/2006/relationships/hyperlink" Target="https://ieeexplore.ieee.org/abstract/document/7005506?casa_token=dV-WbgBHQkcAAAAA:8-qRXcSaQBA2nVYJ-fP6W9c1BeB1fUY0bEChAGa2rWsCv4oXtUSiG9hklfBb6jV4cFRbyZcpMtj0" TargetMode="External"/><Relationship Id="rId214" Type="http://schemas.openxmlformats.org/officeDocument/2006/relationships/hyperlink" Target="https://arxiv.org/abs/1412.7062" TargetMode="External"/><Relationship Id="rId213" Type="http://schemas.openxmlformats.org/officeDocument/2006/relationships/hyperlink" Target="https://arxiv.org/abs/1412.6980" TargetMode="External"/><Relationship Id="rId212" Type="http://schemas.openxmlformats.org/officeDocument/2006/relationships/hyperlink" Target="https://arxiv.org/abs/1411.7766" TargetMode="External"/><Relationship Id="rId211" Type="http://schemas.openxmlformats.org/officeDocument/2006/relationships/hyperlink" Target="https://arxiv.org/abs/1411.4038" TargetMode="External"/><Relationship Id="rId210" Type="http://schemas.openxmlformats.org/officeDocument/2006/relationships/hyperlink" Target="https://arxiv.org/abs/1411.4389" TargetMode="External"/><Relationship Id="rId21" Type="http://schemas.openxmlformats.org/officeDocument/2006/relationships/hyperlink" Target="https://academic.oup.com/comjnl/article/6/3/232/360077" TargetMode="External"/><Relationship Id="rId209" Type="http://schemas.openxmlformats.org/officeDocument/2006/relationships/hyperlink" Target="https://arxiv.org/abs/1409.3215" TargetMode="External"/><Relationship Id="rId208" Type="http://schemas.openxmlformats.org/officeDocument/2006/relationships/hyperlink" Target="https://arxiv.org/abs/1409.1556" TargetMode="External"/><Relationship Id="rId207" Type="http://schemas.openxmlformats.org/officeDocument/2006/relationships/hyperlink" Target="https://arxiv.org/abs/1409.0473" TargetMode="External"/><Relationship Id="rId206" Type="http://schemas.openxmlformats.org/officeDocument/2006/relationships/hyperlink" Target="https://research.fb.com/wp-content/uploads/2016/11/practical-lessons-from-predicting-clicks-on-ads-at-facebook.pdf" TargetMode="External"/><Relationship Id="rId205" Type="http://schemas.openxmlformats.org/officeDocument/2006/relationships/hyperlink" Target="https://ieeexplore.ieee.org/document/6909616" TargetMode="External"/><Relationship Id="rId204" Type="http://schemas.openxmlformats.org/officeDocument/2006/relationships/hyperlink" Target="https://arxiv.org/abs/1406.2661" TargetMode="External"/><Relationship Id="rId203" Type="http://schemas.openxmlformats.org/officeDocument/2006/relationships/hyperlink" Target="https://arxiv.org/search/stat?searchtype=author&amp;query=Goodfellow%2C+I+J" TargetMode="External"/><Relationship Id="rId202" Type="http://schemas.openxmlformats.org/officeDocument/2006/relationships/hyperlink" Target="https://arxiv.org/abs/1406.2199" TargetMode="External"/><Relationship Id="rId201" Type="http://schemas.openxmlformats.org/officeDocument/2006/relationships/hyperlink" Target="https://arxiv.org/abs/1406.1078" TargetMode="External"/><Relationship Id="rId200" Type="http://schemas.openxmlformats.org/officeDocument/2006/relationships/hyperlink" Target="https://ieeexplore.ieee.org/abstract/document/6756960" TargetMode="External"/><Relationship Id="rId20" Type="http://schemas.openxmlformats.org/officeDocument/2006/relationships/hyperlink" Target="https://www.researchgate.net/publication/252919025_STELLA_A_scheme_for_a_learning_machine" TargetMode="External"/><Relationship Id="rId2" Type="http://schemas.openxmlformats.org/officeDocument/2006/relationships/vmlDrawing" Target="../drawings/vmlDrawing7.vml"/><Relationship Id="rId199" Type="http://schemas.openxmlformats.org/officeDocument/2006/relationships/hyperlink" Target="http://www.cs.utoronto.ca/~hinton/absps/ruhijournal.pdf" TargetMode="External"/><Relationship Id="rId198" Type="http://schemas.openxmlformats.org/officeDocument/2006/relationships/hyperlink" Target="https://nlp.stanford.edu/projects/glove/" TargetMode="External"/><Relationship Id="rId197" Type="http://schemas.openxmlformats.org/officeDocument/2006/relationships/hyperlink" Target="https://static.googleusercontent.com/media/research.google.com/en//pubs/archive/42455.pdf" TargetMode="External"/><Relationship Id="rId196" Type="http://schemas.openxmlformats.org/officeDocument/2006/relationships/hyperlink" Target="https://www.aaai.org/ocs/index.php/WS/AAAIW14/paper/viewFile/8811/8351" TargetMode="External"/><Relationship Id="rId195" Type="http://schemas.openxmlformats.org/officeDocument/2006/relationships/hyperlink" Target="https://jmlr.org/papers/v15/srivastava14a.html" TargetMode="External"/><Relationship Id="rId194" Type="http://schemas.openxmlformats.org/officeDocument/2006/relationships/hyperlink" Target="https://arxiv.org/abs/1410.5401" TargetMode="External"/><Relationship Id="rId193" Type="http://schemas.openxmlformats.org/officeDocument/2006/relationships/hyperlink" Target="https://arxiv.org/abs/1312.6114" TargetMode="External"/><Relationship Id="rId192" Type="http://schemas.openxmlformats.org/officeDocument/2006/relationships/hyperlink" Target="https://arxiv.org/abs/1312.4400" TargetMode="External"/><Relationship Id="rId191" Type="http://schemas.openxmlformats.org/officeDocument/2006/relationships/hyperlink" Target="https://ieeexplore.ieee.org/document/6707742" TargetMode="External"/><Relationship Id="rId190" Type="http://schemas.openxmlformats.org/officeDocument/2006/relationships/hyperlink" Target="https://arxiv.org/abs/1311.2901" TargetMode="External"/><Relationship Id="rId19" Type="http://schemas.openxmlformats.org/officeDocument/2006/relationships/hyperlink" Target="https://www.proquest.com/openview/7898314db50a218b58052ac91e3bde1e/1?" TargetMode="External"/><Relationship Id="rId189" Type="http://schemas.openxmlformats.org/officeDocument/2006/relationships/hyperlink" Target="https://arxiv.org/abs/1311.2524" TargetMode="External"/><Relationship Id="rId188" Type="http://schemas.openxmlformats.org/officeDocument/2006/relationships/hyperlink" Target="https://arxiv.org/abs/1310.4546" TargetMode="External"/><Relationship Id="rId187" Type="http://schemas.openxmlformats.org/officeDocument/2006/relationships/hyperlink" Target="https://www.aclweb.org/anthology/N13-1090/" TargetMode="External"/><Relationship Id="rId186" Type="http://schemas.openxmlformats.org/officeDocument/2006/relationships/hyperlink" Target="https://arxiv.org/abs/1303.5778" TargetMode="External"/><Relationship Id="rId185" Type="http://schemas.openxmlformats.org/officeDocument/2006/relationships/hyperlink" Target="http://proceedings.mlr.press/v28/goodfellow13" TargetMode="External"/><Relationship Id="rId184" Type="http://schemas.openxmlformats.org/officeDocument/2006/relationships/hyperlink" Target="https://arxiv.org/abs/1301.3666" TargetMode="External"/><Relationship Id="rId183" Type="http://schemas.openxmlformats.org/officeDocument/2006/relationships/hyperlink" Target="https://arxiv.org/pdf/1312.5602.pdf" TargetMode="External"/><Relationship Id="rId182" Type="http://schemas.openxmlformats.org/officeDocument/2006/relationships/hyperlink" Target="https://papers.nips.cc/paper/2013/file/b337e84de8752b27eda3a12363109e80-Paper.pdf" TargetMode="External"/><Relationship Id="rId181" Type="http://schemas.openxmlformats.org/officeDocument/2006/relationships/hyperlink" Target="http://www.huppelen.nl/publications/selectiveSearchDraft.pdf" TargetMode="External"/><Relationship Id="rId180" Type="http://schemas.openxmlformats.org/officeDocument/2006/relationships/hyperlink" Target="https://docs.google.com/spreadsheets/u/2/d/12h0dx7XaMaLdky7INfrYIjOvFOgPSSG8IXm7CcP743k/edit" TargetMode="External"/><Relationship Id="rId18" Type="http://schemas.openxmlformats.org/officeDocument/2006/relationships/hyperlink" Target="https://link.springer.com/content/pdf/10.1007/BF02822639.pdf" TargetMode="External"/><Relationship Id="rId179" Type="http://schemas.openxmlformats.org/officeDocument/2006/relationships/hyperlink" Target="https://dl.acm.org/doi/10.5555/2999325.2999464" TargetMode="External"/><Relationship Id="rId178" Type="http://schemas.openxmlformats.org/officeDocument/2006/relationships/hyperlink" Target="https://arxiv.org/abs/1207.0580" TargetMode="External"/><Relationship Id="rId177" Type="http://schemas.openxmlformats.org/officeDocument/2006/relationships/hyperlink" Target="https://arxiv.org/abs/1202.2745v1" TargetMode="External"/><Relationship Id="rId176" Type="http://schemas.openxmlformats.org/officeDocument/2006/relationships/hyperlink" Target="https://www.aclweb.org/anthology/D12-1110/" TargetMode="External"/><Relationship Id="rId175" Type="http://schemas.openxmlformats.org/officeDocument/2006/relationships/hyperlink" Target="https://proceedings.neurips.cc/paper/2012/hash/c399862d3b9d6b76c8436e924a68c45b-Abstract.html" TargetMode="External"/><Relationship Id="rId174" Type="http://schemas.openxmlformats.org/officeDocument/2006/relationships/hyperlink" Target="http://www.cvlibs.net/publications/Geiger2012CVPR_slides.pdf" TargetMode="External"/><Relationship Id="rId173" Type="http://schemas.openxmlformats.org/officeDocument/2006/relationships/hyperlink" Target="https://aclanthology.org/P12-3029/" TargetMode="External"/><Relationship Id="rId172" Type="http://schemas.openxmlformats.org/officeDocument/2006/relationships/hyperlink" Target="https://arxiv.org/abs/1106.5730" TargetMode="External"/><Relationship Id="rId171" Type="http://schemas.openxmlformats.org/officeDocument/2006/relationships/hyperlink" Target="http://emotion.inrialpes.fr/people/synnaeve/index_files/BayesianUnit.pdf" TargetMode="External"/><Relationship Id="rId170" Type="http://schemas.openxmlformats.org/officeDocument/2006/relationships/hyperlink" Target="https://www.jmlr.org/papers/volume12/collobert11a/collobert11a.pdf" TargetMode="External"/><Relationship Id="rId17" Type="http://schemas.openxmlformats.org/officeDocument/2006/relationships/hyperlink" Target="https://stacks.stanford.edu/file/druid:yr384hg3073/yr384hg3073.pdf" TargetMode="External"/><Relationship Id="rId169" Type="http://schemas.openxmlformats.org/officeDocument/2006/relationships/hyperlink" Target="https://jmlr.org/papers/volume12/duchi11a/duchi11a.pdf" TargetMode="External"/><Relationship Id="rId168" Type="http://schemas.openxmlformats.org/officeDocument/2006/relationships/hyperlink" Target="https://www.aclweb.org/anthology/D11-1014/" TargetMode="External"/><Relationship Id="rId167" Type="http://schemas.openxmlformats.org/officeDocument/2006/relationships/hyperlink" Target="https://ieeexplore.ieee.org/document/5947611" TargetMode="External"/><Relationship Id="rId166" Type="http://schemas.openxmlformats.org/officeDocument/2006/relationships/hyperlink" Target="http://ftp.idiap.ch/pub/courses/EE-700/material/05-12-2012/2011_ICCV_DomainAdaptation.pdf" TargetMode="External"/><Relationship Id="rId165" Type="http://schemas.openxmlformats.org/officeDocument/2006/relationships/hyperlink" Target="https://www.aclweb.org/anthology/P11-1061/" TargetMode="External"/><Relationship Id="rId164" Type="http://schemas.openxmlformats.org/officeDocument/2006/relationships/hyperlink" Target="https://science.sciencemag.org/content/331/6014/176" TargetMode="External"/><Relationship Id="rId163" Type="http://schemas.openxmlformats.org/officeDocument/2006/relationships/hyperlink" Target="http://machinelearning.wustl.edu/mlpapers/paper_files/AISTATS2011_GlorotBB11.pdf" TargetMode="External"/><Relationship Id="rId162" Type="http://schemas.openxmlformats.org/officeDocument/2006/relationships/hyperlink" Target="http://machinelearning.wustl.edu/mlpapers/paper_files/AISTATS2011_CoatesNL11.pdf" TargetMode="External"/><Relationship Id="rId161" Type="http://schemas.openxmlformats.org/officeDocument/2006/relationships/hyperlink" Target="https://dl.acm.org/doi/10.1145/1864708.1864770" TargetMode="External"/><Relationship Id="rId160" Type="http://schemas.openxmlformats.org/officeDocument/2006/relationships/hyperlink" Target="https://dl.acm.org/doi/10.5555/3104322.3104425" TargetMode="External"/><Relationship Id="rId16" Type="http://schemas.openxmlformats.org/officeDocument/2006/relationships/hyperlink" Target="https://ieeexplore.ieee.org/abstract/document/4066245" TargetMode="External"/><Relationship Id="rId159" Type="http://schemas.openxmlformats.org/officeDocument/2006/relationships/hyperlink" Target="https://web.archive.org/web/20210819175548/https://www.matthewzeiler.com/mattzeiler/deconvolutionalnetworks.pdf" TargetMode="External"/><Relationship Id="rId158" Type="http://schemas.openxmlformats.org/officeDocument/2006/relationships/hyperlink" Target="https://www.aclweb.org/anthology/P10-1040/" TargetMode="External"/><Relationship Id="rId157" Type="http://schemas.openxmlformats.org/officeDocument/2006/relationships/hyperlink" Target="https://arxiv.org/abs/1003.0358" TargetMode="External"/><Relationship Id="rId156" Type="http://schemas.openxmlformats.org/officeDocument/2006/relationships/hyperlink" Target="https://link.springer.com/chapter/10.1007/978-3-642-15561-1_11" TargetMode="External"/><Relationship Id="rId155" Type="http://schemas.openxmlformats.org/officeDocument/2006/relationships/hyperlink" Target="https://www.fit.vutbr.cz/research/groups/speech/publi/2010/mikolov_interspeech2010_IS100722.pdf" TargetMode="External"/><Relationship Id="rId154" Type="http://schemas.openxmlformats.org/officeDocument/2006/relationships/hyperlink" Target="http://citeseerx.ist.psu.edu/viewdoc/download?doi=10.1.1.297.3484&amp;rep=rep1&amp;type=pdf" TargetMode="External"/><Relationship Id="rId153" Type="http://schemas.openxmlformats.org/officeDocument/2006/relationships/hyperlink" Target="http://ece.duke.edu/~lcarin/boureau-cvpr-10.pdf" TargetMode="External"/><Relationship Id="rId152" Type="http://schemas.openxmlformats.org/officeDocument/2006/relationships/hyperlink" Target="http://www.csri.utoronto.ca/~hinton/absps/guideTR.pdf" TargetMode="External"/><Relationship Id="rId151" Type="http://schemas.openxmlformats.org/officeDocument/2006/relationships/hyperlink" Target="https://web.archive.org/web/20211123180817/http://proceedings.mlr.press/v9/glorot10a/glorot10a.pdf" TargetMode="External"/><Relationship Id="rId150" Type="http://schemas.openxmlformats.org/officeDocument/2006/relationships/hyperlink" Target="http://machinelearning.wustl.edu/mlpapers/paper_files/AISTATS2010_ErhanCBV10.pdf" TargetMode="External"/><Relationship Id="rId15" Type="http://schemas.openxmlformats.org/officeDocument/2006/relationships/hyperlink" Target="https://isl.stanford.edu/~widrow/papers/c1960adaptiveswitching.pdf" TargetMode="External"/><Relationship Id="rId149" Type="http://schemas.openxmlformats.org/officeDocument/2006/relationships/hyperlink" Target="https://www.netflixprize.com/assets/GrandPrize2009_BPC_PragmaticTheory.pdf" TargetMode="External"/><Relationship Id="rId148" Type="http://schemas.openxmlformats.org/officeDocument/2006/relationships/hyperlink" Target="https://www.netflixprize.com/assets/GrandPrize2009_BPC_BigChaos.pdf" TargetMode="External"/><Relationship Id="rId147" Type="http://schemas.openxmlformats.org/officeDocument/2006/relationships/hyperlink" Target="https://www.netflixprize.com/assets/GrandPrize2009_BPC_BellKor.pdf" TargetMode="External"/><Relationship Id="rId146" Type="http://schemas.openxmlformats.org/officeDocument/2006/relationships/hyperlink" Target="https://www.aclweb.org/anthology/P09-1010/" TargetMode="External"/><Relationship Id="rId145" Type="http://schemas.openxmlformats.org/officeDocument/2006/relationships/hyperlink" Target="https://www.netflixprize.com/assets/ProgressPrize2008_BellKor.pdf" TargetMode="External"/><Relationship Id="rId144" Type="http://schemas.openxmlformats.org/officeDocument/2006/relationships/hyperlink" Target="http://www.machinelearning.org/archive/icml2009/papers/218.pdf" TargetMode="External"/><Relationship Id="rId143" Type="http://schemas.openxmlformats.org/officeDocument/2006/relationships/hyperlink" Target="http://proceedings.mlr.press/v5/salakhutdinov09a" TargetMode="External"/><Relationship Id="rId142" Type="http://schemas.openxmlformats.org/officeDocument/2006/relationships/hyperlink" Target="http://sanghv.com/download/soft/machine%20learning,%20artificial%20intelligence,%20mathematics%20ebooks/ML/learning%20deep%20architectures%20for%20AI%20(2009).pdf" TargetMode="External"/><Relationship Id="rId141" Type="http://schemas.openxmlformats.org/officeDocument/2006/relationships/hyperlink" Target="http://citeseerx.ist.psu.edu/viewdoc/download?doi=10.1.1.149.802&amp;rep=rep1&amp;type=pdf" TargetMode="External"/><Relationship Id="rId140" Type="http://schemas.openxmlformats.org/officeDocument/2006/relationships/hyperlink" Target="https://grail.cs.washington.edu/rome/rome_paper.pdf" TargetMode="External"/><Relationship Id="rId14" Type="http://schemas.openxmlformats.org/officeDocument/2006/relationships/hyperlink" Target="https://apps.dtic.mil/sti/pdfs/AD0241531.pdf" TargetMode="External"/><Relationship Id="rId139" Type="http://schemas.openxmlformats.org/officeDocument/2006/relationships/hyperlink" Target="https://www.aclweb.org/anthology/J09-3003/" TargetMode="External"/><Relationship Id="rId138" Type="http://schemas.openxmlformats.org/officeDocument/2006/relationships/hyperlink" Target="https://www.cs.cmu.edu/~rsalakhu/papers/sdarticle.pdf" TargetMode="External"/><Relationship Id="rId137" Type="http://schemas.openxmlformats.org/officeDocument/2006/relationships/hyperlink" Target="https://www2.seas.gwu.edu/~simhaweb/champalg/cf/papers/ProgressPrize2008_BigChaos.pdf" TargetMode="External"/><Relationship Id="rId136" Type="http://schemas.openxmlformats.org/officeDocument/2006/relationships/hyperlink" Target="https://www.cs.toronto.edu/~ranzato/publications/ranzato-icml08.pdf" TargetMode="External"/><Relationship Id="rId135" Type="http://schemas.openxmlformats.org/officeDocument/2006/relationships/hyperlink" Target="https://dl.acm.org/doi/10.1145/1390156.1390177" TargetMode="External"/><Relationship Id="rId134" Type="http://schemas.openxmlformats.org/officeDocument/2006/relationships/hyperlink" Target="https://ieeexplore.ieee.org/abstract/document/4587597" TargetMode="External"/><Relationship Id="rId133" Type="http://schemas.openxmlformats.org/officeDocument/2006/relationships/hyperlink" Target="https://pubmed.ncbi.nlm.nih.gov/19000969/" TargetMode="External"/><Relationship Id="rId132" Type="http://schemas.openxmlformats.org/officeDocument/2006/relationships/hyperlink" Target="https://www.cs.uic.edu/~liub/KDD-cup-2007/proceedings/Regular-Paterek.pdf" TargetMode="External"/><Relationship Id="rId131" Type="http://schemas.openxmlformats.org/officeDocument/2006/relationships/hyperlink" Target="https://dl.acm.org/doi/abs/10.1145/1273496.1273596?casa_token=cfdkH2x12MwAAAAA:sEUzfllIGyPcOfzgUoDPHlpC1ukfCAo8ewocBXWBswIIF9eS5HdFo30nOtfmIV8gm-XpBpQJJ5zYVO8" TargetMode="External"/><Relationship Id="rId130" Type="http://schemas.openxmlformats.org/officeDocument/2006/relationships/hyperlink" Target="https://www.aclweb.org/anthology/P07-1121/" TargetMode="External"/><Relationship Id="rId13" Type="http://schemas.openxmlformats.org/officeDocument/2006/relationships/hyperlink" Target="https://aitopics.org/doc/classics:504E1BAC/" TargetMode="External"/><Relationship Id="rId129" Type="http://schemas.openxmlformats.org/officeDocument/2006/relationships/hyperlink" Target="https://aclanthology.org/P07-2045.pdf" TargetMode="External"/><Relationship Id="rId128" Type="http://schemas.openxmlformats.org/officeDocument/2006/relationships/hyperlink" Target="https://citeseerx.ist.psu.edu/viewdoc/download?doi=10.1.1.142.9009&amp;rep=rep1&amp;type=pdf" TargetMode="External"/><Relationship Id="rId127" Type="http://schemas.openxmlformats.org/officeDocument/2006/relationships/hyperlink" Target="http://brettb.net/project/papers/2007%20Scalable%20collaborative%20filtering%20with%20jointly%20derived%20neighborhood%20interpolation%20weights.pdf" TargetMode="External"/><Relationship Id="rId126" Type="http://schemas.openxmlformats.org/officeDocument/2006/relationships/hyperlink" Target="https://www.ri.cmu.edu/pub_files/pub4/urmson_christopher_2008_1/urmson_christopher_2008_1.pdf" TargetMode="External"/><Relationship Id="rId125" Type="http://schemas.openxmlformats.org/officeDocument/2006/relationships/hyperlink" Target="https://proceedings.neurips.cc/paper/2007/file/0d3180d672e08b4c5312dcdafdf6ef36-Paper.pdf" TargetMode="External"/><Relationship Id="rId124" Type="http://schemas.openxmlformats.org/officeDocument/2006/relationships/hyperlink" Target="http://machinelearning.wustl.edu/mlpapers/paper_files/NIPS2006_739.pdf" TargetMode="External"/><Relationship Id="rId123" Type="http://schemas.openxmlformats.org/officeDocument/2006/relationships/hyperlink" Target="https://people.idsia.ch//~juergen/icdar_2007.pdf" TargetMode="External"/><Relationship Id="rId122" Type="http://schemas.openxmlformats.org/officeDocument/2006/relationships/hyperlink" Target="https://www.cs.toronto.edu/~hinton/absps/fastnc.pdf" TargetMode="External"/><Relationship Id="rId121" Type="http://schemas.openxmlformats.org/officeDocument/2006/relationships/hyperlink" Target="https://www.cs.toronto.edu/~hinton/science.pdf" TargetMode="External"/><Relationship Id="rId120" Type="http://schemas.openxmlformats.org/officeDocument/2006/relationships/hyperlink" Target="https://www.cs.toronto.edu/~graves/icml_2006.pdf" TargetMode="External"/><Relationship Id="rId12" Type="http://schemas.openxmlformats.org/officeDocument/2006/relationships/hyperlink" Target="https://ieeexplore.ieee.org/abstract/document/5392560" TargetMode="External"/><Relationship Id="rId119" Type="http://schemas.openxmlformats.org/officeDocument/2006/relationships/hyperlink" Target="https://ieeexplore.ieee.org/document/1640964" TargetMode="External"/><Relationship Id="rId118" Type="http://schemas.openxmlformats.org/officeDocument/2006/relationships/hyperlink" Target="https://hal.archives-ouvertes.fr/hal-00018426/en" TargetMode="External"/><Relationship Id="rId117" Type="http://schemas.openxmlformats.org/officeDocument/2006/relationships/hyperlink" Target="https://inc.ucsd.edu/mplab/users/marni/Igert/Lazebnik_06.pdf" TargetMode="External"/><Relationship Id="rId116" Type="http://schemas.openxmlformats.org/officeDocument/2006/relationships/hyperlink" Target="https://link.springer.com/chapter/10.1007/11744023_34" TargetMode="External"/><Relationship Id="rId115" Type="http://schemas.openxmlformats.org/officeDocument/2006/relationships/hyperlink" Target="https://www.aclweb.org/anthology/P06-1101/" TargetMode="External"/><Relationship Id="rId114" Type="http://schemas.openxmlformats.org/officeDocument/2006/relationships/hyperlink" Target="https://www.sciencedirect.com/science/article/abs/pii/S0893608005001206" TargetMode="External"/><Relationship Id="rId113" Type="http://schemas.openxmlformats.org/officeDocument/2006/relationships/hyperlink" Target="https://ieeexplore.ieee.org/document/1467360" TargetMode="External"/><Relationship Id="rId112" Type="http://schemas.openxmlformats.org/officeDocument/2006/relationships/hyperlink" Target="https://science.sciencemag.org/content/308/5721/523.long" TargetMode="External"/><Relationship Id="rId111" Type="http://schemas.openxmlformats.org/officeDocument/2006/relationships/hyperlink" Target="http://yann.lecun.com/exdb/publis/pdf/chopra-05.pdf" TargetMode="External"/><Relationship Id="rId110" Type="http://schemas.openxmlformats.org/officeDocument/2006/relationships/hyperlink" Target="http://www.iro.umontreal.ca/~mignotte/IFT6150/Articles/Buades-NonLocal.pdf" TargetMode="External"/><Relationship Id="rId11" Type="http://schemas.openxmlformats.org/officeDocument/2006/relationships/hyperlink" Target="https://www.computer.org/csdl/proceedings-article/afips/1959/50550225/12OmNqN6R43" TargetMode="External"/><Relationship Id="rId109" Type="http://schemas.openxmlformats.org/officeDocument/2006/relationships/hyperlink" Target="http://robots.stanford.edu/papers/thrun.stanley05.pdf" TargetMode="External"/><Relationship Id="rId108" Type="http://schemas.openxmlformats.org/officeDocument/2006/relationships/hyperlink" Target="https://www.aclweb.org/anthology/P05-1033.pdf" TargetMode="External"/><Relationship Id="rId107" Type="http://schemas.openxmlformats.org/officeDocument/2006/relationships/hyperlink" Target="https://www.sciencedirect.com/science/article/abs/pii/S0262885604000721" TargetMode="External"/><Relationship Id="rId106" Type="http://schemas.openxmlformats.org/officeDocument/2006/relationships/hyperlink" Target="https://www.sciencedirect.com/science/article/pii/S0031320304000524" TargetMode="External"/><Relationship Id="rId105" Type="http://schemas.openxmlformats.org/officeDocument/2006/relationships/hyperlink" Target="https://papers.nips.cc/paper/2003/file/878d5691c824ee2aaf770f7d36c151d6-Paper.pdf" TargetMode="External"/><Relationship Id="rId104" Type="http://schemas.openxmlformats.org/officeDocument/2006/relationships/hyperlink" Target="https://web.archive.org/web/20050909192933/http://www.darpa.mil/grandchallenge04/TeamTechPapers/RedTeamFinalTP.pdf" TargetMode="External"/><Relationship Id="rId103" Type="http://schemas.openxmlformats.org/officeDocument/2006/relationships/hyperlink" Target="https://www.aclweb.org/anthology/P04-1036/" TargetMode="External"/><Relationship Id="rId102" Type="http://schemas.openxmlformats.org/officeDocument/2006/relationships/hyperlink" Target="https://www.aclweb.org/anthology/N03-1017/" TargetMode="External"/><Relationship Id="rId101" Type="http://schemas.openxmlformats.org/officeDocument/2006/relationships/hyperlink" Target="https://www.jmlr.org/papers/volume3/bengio03a/bengio03a.pdf" TargetMode="External"/><Relationship Id="rId100" Type="http://schemas.openxmlformats.org/officeDocument/2006/relationships/hyperlink" Target="https://jmlr.org/papers/volume3/blei03a/blei03a.pdf" TargetMode="External"/><Relationship Id="rId10" Type="http://schemas.openxmlformats.org/officeDocument/2006/relationships/hyperlink" Target="https://openai.com/blog/ai-and-compute/" TargetMode="Externa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G542"/>
  <sheetViews>
    <sheetView tabSelected="1" workbookViewId="0">
      <pane xSplit="1" ySplit="1" topLeftCell="B128" activePane="bottomRight" state="frozen"/>
      <selection/>
      <selection pane="topRight"/>
      <selection pane="bottomLeft"/>
      <selection pane="bottomRight" activeCell="A529" sqref="A529"/>
    </sheetView>
  </sheetViews>
  <sheetFormatPr defaultColWidth="12.6285714285714" defaultRowHeight="15.75" customHeight="1"/>
  <cols>
    <col min="1" max="1" width="33.5714285714286" customWidth="1"/>
    <col min="2" max="2" width="9.5047619047619" customWidth="1"/>
    <col min="3" max="3" width="16.3809523809524" customWidth="1"/>
    <col min="4" max="4" width="18.5047619047619" customWidth="1"/>
    <col min="5" max="5" width="14.8761904761905" customWidth="1"/>
    <col min="6" max="6" width="9.75238095238095" customWidth="1"/>
    <col min="7" max="7" width="9" customWidth="1"/>
    <col min="8" max="8" width="5.87619047619048" customWidth="1"/>
    <col min="9" max="9" width="16.752380952381" customWidth="1"/>
    <col min="10" max="10" width="20.8761904761905" customWidth="1"/>
    <col min="11" max="11" width="10.1333333333333" customWidth="1"/>
    <col min="12" max="12" width="9" customWidth="1"/>
    <col min="13" max="14" width="8.5047619047619" customWidth="1"/>
    <col min="15" max="15" width="16.247619047619" customWidth="1"/>
    <col min="16" max="16" width="8.75238095238095" customWidth="1"/>
    <col min="17" max="17" width="14" customWidth="1"/>
    <col min="18" max="18" width="10.6285714285714" customWidth="1"/>
    <col min="19" max="19" width="7.87619047619048" customWidth="1"/>
    <col min="20" max="21" width="24.6285714285714" customWidth="1"/>
    <col min="22" max="22" width="23.8761904761905" customWidth="1"/>
    <col min="23" max="23" width="22" customWidth="1"/>
    <col min="24" max="24" width="13.1333333333333" customWidth="1"/>
    <col min="25" max="25" width="21.5047619047619" customWidth="1"/>
    <col min="26" max="26" width="16.5047619047619" customWidth="1"/>
    <col min="27" max="33" width="21.5047619047619" customWidth="1"/>
  </cols>
  <sheetData>
    <row r="1" ht="12.75" spans="1:33">
      <c r="A1" s="351" t="s">
        <v>0</v>
      </c>
      <c r="B1" s="351" t="s">
        <v>1</v>
      </c>
      <c r="C1" s="351" t="s">
        <v>2</v>
      </c>
      <c r="D1" s="351" t="s">
        <v>3</v>
      </c>
      <c r="E1" s="351" t="s">
        <v>4</v>
      </c>
      <c r="F1" s="351" t="s">
        <v>5</v>
      </c>
      <c r="G1" s="351" t="s">
        <v>6</v>
      </c>
      <c r="H1" s="352" t="s">
        <v>7</v>
      </c>
      <c r="I1" s="370" t="s">
        <v>8</v>
      </c>
      <c r="J1" s="351" t="s">
        <v>9</v>
      </c>
      <c r="K1" s="331" t="s">
        <v>10</v>
      </c>
      <c r="L1" s="321" t="s">
        <v>11</v>
      </c>
      <c r="M1" s="331" t="s">
        <v>12</v>
      </c>
      <c r="N1" s="331" t="s">
        <v>13</v>
      </c>
      <c r="O1" s="331" t="s">
        <v>14</v>
      </c>
      <c r="P1" s="333" t="s">
        <v>15</v>
      </c>
      <c r="Q1" s="331" t="s">
        <v>16</v>
      </c>
      <c r="R1" s="321" t="s">
        <v>17</v>
      </c>
      <c r="S1" s="331" t="s">
        <v>18</v>
      </c>
      <c r="T1" s="321" t="s">
        <v>19</v>
      </c>
      <c r="U1" s="321" t="s">
        <v>20</v>
      </c>
      <c r="V1" s="321" t="s">
        <v>21</v>
      </c>
      <c r="W1" s="321" t="s">
        <v>22</v>
      </c>
      <c r="X1" s="321" t="s">
        <v>23</v>
      </c>
      <c r="Y1" s="321" t="s">
        <v>24</v>
      </c>
      <c r="Z1" s="321" t="s">
        <v>25</v>
      </c>
      <c r="AA1" s="321" t="s">
        <v>26</v>
      </c>
      <c r="AB1" s="321" t="s">
        <v>27</v>
      </c>
      <c r="AC1" s="321" t="s">
        <v>28</v>
      </c>
      <c r="AD1" s="321" t="s">
        <v>29</v>
      </c>
      <c r="AE1" s="321" t="s">
        <v>30</v>
      </c>
      <c r="AF1" s="321"/>
      <c r="AG1" s="321"/>
    </row>
    <row r="2" ht="12.75" spans="1:33">
      <c r="A2" s="353" t="s">
        <v>31</v>
      </c>
      <c r="B2" s="192" t="s">
        <v>32</v>
      </c>
      <c r="C2" s="192" t="s">
        <v>33</v>
      </c>
      <c r="D2" s="192" t="s">
        <v>34</v>
      </c>
      <c r="E2" s="192" t="s">
        <v>35</v>
      </c>
      <c r="F2" s="192" t="s">
        <v>34</v>
      </c>
      <c r="G2" s="354">
        <v>45000</v>
      </c>
      <c r="H2" s="355">
        <v>2023</v>
      </c>
      <c r="I2" s="353" t="s">
        <v>36</v>
      </c>
      <c r="J2" s="371" t="s">
        <v>37</v>
      </c>
      <c r="K2" s="200"/>
      <c r="L2" s="372" t="s">
        <v>38</v>
      </c>
      <c r="M2" s="197" t="s">
        <v>39</v>
      </c>
      <c r="N2" s="373"/>
      <c r="O2" s="373">
        <v>2.1e+25</v>
      </c>
      <c r="P2" s="374"/>
      <c r="Q2" s="242"/>
      <c r="R2" s="204"/>
      <c r="S2" s="204"/>
      <c r="T2" s="204"/>
      <c r="U2" s="204"/>
      <c r="V2" s="204"/>
      <c r="W2" s="204"/>
      <c r="X2" s="204"/>
      <c r="Y2" s="204"/>
      <c r="Z2" s="204"/>
      <c r="AA2" s="394"/>
      <c r="AB2" s="372" t="s">
        <v>39</v>
      </c>
      <c r="AC2" s="372"/>
      <c r="AD2" s="372"/>
      <c r="AE2" s="372"/>
      <c r="AF2" s="372"/>
      <c r="AG2" s="372"/>
    </row>
    <row r="3" ht="12.75" spans="1:33">
      <c r="A3" s="356" t="s">
        <v>40</v>
      </c>
      <c r="B3" s="215" t="s">
        <v>41</v>
      </c>
      <c r="C3" s="215" t="s">
        <v>42</v>
      </c>
      <c r="D3" s="215" t="s">
        <v>43</v>
      </c>
      <c r="E3" s="215" t="s">
        <v>44</v>
      </c>
      <c r="F3" s="215" t="s">
        <v>45</v>
      </c>
      <c r="G3" s="357">
        <v>44839</v>
      </c>
      <c r="H3" s="358">
        <v>2022</v>
      </c>
      <c r="I3" s="356" t="s">
        <v>46</v>
      </c>
      <c r="J3" s="375" t="s">
        <v>47</v>
      </c>
      <c r="K3" s="203"/>
      <c r="L3" s="376"/>
      <c r="M3" s="199" t="s">
        <v>48</v>
      </c>
      <c r="N3" s="377">
        <v>1800000000</v>
      </c>
      <c r="O3" s="377"/>
      <c r="P3" s="378"/>
      <c r="Q3" s="382"/>
      <c r="R3" s="205"/>
      <c r="S3" s="205"/>
      <c r="T3" s="205"/>
      <c r="U3" s="205"/>
      <c r="V3" s="205"/>
      <c r="W3" s="205"/>
      <c r="X3" s="205"/>
      <c r="Y3" s="205"/>
      <c r="Z3" s="205"/>
      <c r="AA3" s="395" t="s">
        <v>49</v>
      </c>
      <c r="AB3" s="376" t="s">
        <v>39</v>
      </c>
      <c r="AC3" s="376"/>
      <c r="AD3" s="376"/>
      <c r="AE3" s="376"/>
      <c r="AF3" s="376"/>
      <c r="AG3" s="376"/>
    </row>
    <row r="4" ht="12.75" spans="1:33">
      <c r="A4" s="353" t="s">
        <v>50</v>
      </c>
      <c r="B4" s="192" t="s">
        <v>51</v>
      </c>
      <c r="C4" s="359" t="s">
        <v>52</v>
      </c>
      <c r="D4" s="192" t="s">
        <v>53</v>
      </c>
      <c r="E4" s="192" t="s">
        <v>35</v>
      </c>
      <c r="F4" s="192" t="s">
        <v>54</v>
      </c>
      <c r="G4" s="354">
        <v>44741</v>
      </c>
      <c r="H4" s="355">
        <v>2022</v>
      </c>
      <c r="I4" s="353" t="s">
        <v>55</v>
      </c>
      <c r="J4" s="371" t="s">
        <v>56</v>
      </c>
      <c r="K4" s="200"/>
      <c r="L4" s="372" t="s">
        <v>38</v>
      </c>
      <c r="M4" s="197" t="str">
        <f t="shared" ref="M4:M41" si="0">IFERROR(_xlfn.IFS(K4&gt;=1000,"Yes",NOT(ISBLANK(L4)),"Yes",,"No"),"No")</f>
        <v>Yes</v>
      </c>
      <c r="N4" s="373">
        <v>540350000000</v>
      </c>
      <c r="O4" s="373">
        <f>IFERROR(__xludf.DUMMYFUNCTION("IMPORTRANGE(""https://docs.google.com/spreadsheets/d/1VyWzu2tudKe2DDDngzAnnqIvFdn9yxLCS-r73KztqoA/edit"",""Sheet1!E10"")"),2.7414947368421E+24)</f>
        <v>2.7414947368421e+24</v>
      </c>
      <c r="P4" s="374" t="s">
        <v>57</v>
      </c>
      <c r="Q4" s="242">
        <f>(780000000000+38500000000)*0.75</f>
        <v>613875000000</v>
      </c>
      <c r="R4" s="200">
        <f>Q4/0.75</f>
        <v>818500000000</v>
      </c>
      <c r="S4" s="204"/>
      <c r="T4" s="204"/>
      <c r="U4" s="204"/>
      <c r="V4" s="204"/>
      <c r="W4" s="204"/>
      <c r="X4" s="204"/>
      <c r="Y4" s="204"/>
      <c r="Z4" s="204"/>
      <c r="AA4" s="394">
        <v>3267257.74977208</v>
      </c>
      <c r="AB4" s="372" t="s">
        <v>39</v>
      </c>
      <c r="AC4" s="372"/>
      <c r="AD4" s="372" t="str">
        <f t="shared" ref="AD4:AD9" si="1">_xlfn.IFS($E4="Academia","Academia",$E4="Research Collective","TO MANUALLY ADJUST",TRUE,"Industry")</f>
        <v>Industry</v>
      </c>
      <c r="AE4" s="372" t="s">
        <v>58</v>
      </c>
      <c r="AF4" s="372"/>
      <c r="AG4" s="372"/>
    </row>
    <row r="5" ht="12.75" spans="1:33">
      <c r="A5" s="356" t="s">
        <v>59</v>
      </c>
      <c r="B5" s="215" t="s">
        <v>51</v>
      </c>
      <c r="C5" s="215" t="s">
        <v>33</v>
      </c>
      <c r="D5" s="215" t="s">
        <v>53</v>
      </c>
      <c r="E5" s="215" t="s">
        <v>35</v>
      </c>
      <c r="F5" s="215" t="s">
        <v>60</v>
      </c>
      <c r="G5" s="357">
        <v>44655</v>
      </c>
      <c r="H5" s="358">
        <v>2022</v>
      </c>
      <c r="I5" s="356" t="s">
        <v>61</v>
      </c>
      <c r="J5" s="375" t="s">
        <v>62</v>
      </c>
      <c r="K5" s="377">
        <v>228</v>
      </c>
      <c r="L5" s="376" t="s">
        <v>38</v>
      </c>
      <c r="M5" s="199" t="str">
        <f t="shared" si="0"/>
        <v>Yes</v>
      </c>
      <c r="N5" s="377">
        <v>540350000000</v>
      </c>
      <c r="O5" s="377">
        <v>2.5272e+24</v>
      </c>
      <c r="P5" s="378"/>
      <c r="Q5" s="382">
        <f>780000000000*0.75</f>
        <v>585000000000</v>
      </c>
      <c r="R5" s="205"/>
      <c r="S5" s="205"/>
      <c r="T5" s="205"/>
      <c r="U5" s="205"/>
      <c r="V5" s="205"/>
      <c r="W5" s="205"/>
      <c r="X5" s="205"/>
      <c r="Y5" s="205"/>
      <c r="Z5" s="205"/>
      <c r="AA5" s="395">
        <v>3232806.53266529</v>
      </c>
      <c r="AB5" s="376" t="s">
        <v>39</v>
      </c>
      <c r="AC5" s="376"/>
      <c r="AD5" s="376" t="str">
        <f t="shared" si="1"/>
        <v>Industry</v>
      </c>
      <c r="AE5" s="376" t="s">
        <v>63</v>
      </c>
      <c r="AF5" s="376"/>
      <c r="AG5" s="376"/>
    </row>
    <row r="6" ht="12.75" spans="1:33">
      <c r="A6" s="353" t="s">
        <v>64</v>
      </c>
      <c r="B6" s="192" t="s">
        <v>51</v>
      </c>
      <c r="C6" s="192" t="s">
        <v>33</v>
      </c>
      <c r="D6" s="192" t="s">
        <v>65</v>
      </c>
      <c r="E6" s="192" t="s">
        <v>35</v>
      </c>
      <c r="F6" s="192" t="s">
        <v>66</v>
      </c>
      <c r="G6" s="354">
        <v>44683</v>
      </c>
      <c r="H6" s="355">
        <v>2022</v>
      </c>
      <c r="I6" s="353" t="s">
        <v>67</v>
      </c>
      <c r="J6" s="371" t="s">
        <v>68</v>
      </c>
      <c r="K6" s="200"/>
      <c r="L6" s="372"/>
      <c r="M6" s="197" t="str">
        <f t="shared" si="0"/>
        <v>No</v>
      </c>
      <c r="N6" s="373">
        <v>175000000000</v>
      </c>
      <c r="O6" s="373">
        <v>7.56e+23</v>
      </c>
      <c r="P6" s="374"/>
      <c r="Q6" s="242">
        <f>180000000000*0.75</f>
        <v>135000000000</v>
      </c>
      <c r="R6" s="204"/>
      <c r="S6" s="204"/>
      <c r="T6" s="204"/>
      <c r="U6" s="204"/>
      <c r="V6" s="204"/>
      <c r="W6" s="204"/>
      <c r="X6" s="204"/>
      <c r="Y6" s="204"/>
      <c r="Z6" s="204"/>
      <c r="AA6" s="394">
        <v>1654082.50447642</v>
      </c>
      <c r="AB6" s="372" t="s">
        <v>39</v>
      </c>
      <c r="AC6" s="372"/>
      <c r="AD6" s="372" t="str">
        <f t="shared" si="1"/>
        <v>Industry</v>
      </c>
      <c r="AE6" s="372" t="s">
        <v>69</v>
      </c>
      <c r="AF6" s="372"/>
      <c r="AG6" s="372"/>
    </row>
    <row r="7" ht="12.75" spans="1:33">
      <c r="A7" s="356" t="s">
        <v>70</v>
      </c>
      <c r="B7" s="215" t="s">
        <v>51</v>
      </c>
      <c r="C7" s="215" t="s">
        <v>33</v>
      </c>
      <c r="D7" s="215" t="s">
        <v>71</v>
      </c>
      <c r="E7" s="215" t="s">
        <v>35</v>
      </c>
      <c r="F7" s="215" t="s">
        <v>72</v>
      </c>
      <c r="G7" s="357">
        <v>44649</v>
      </c>
      <c r="H7" s="360">
        <v>2022</v>
      </c>
      <c r="I7" s="356" t="s">
        <v>73</v>
      </c>
      <c r="J7" s="375" t="s">
        <v>74</v>
      </c>
      <c r="K7" s="379"/>
      <c r="L7" s="184" t="s">
        <v>38</v>
      </c>
      <c r="M7" s="199" t="str">
        <f t="shared" si="0"/>
        <v>Yes</v>
      </c>
      <c r="N7" s="199">
        <v>70000000000</v>
      </c>
      <c r="O7" s="199">
        <v>5.76e+23</v>
      </c>
      <c r="P7" s="380"/>
      <c r="Q7" s="391">
        <f>1400000000000*0.75</f>
        <v>1050000000000</v>
      </c>
      <c r="R7" s="184"/>
      <c r="S7" s="199"/>
      <c r="T7" s="184"/>
      <c r="U7" s="184"/>
      <c r="V7" s="184"/>
      <c r="W7" s="184"/>
      <c r="X7" s="184"/>
      <c r="Y7" s="184"/>
      <c r="Z7" s="184"/>
      <c r="AA7" s="396">
        <v>753491.57852839</v>
      </c>
      <c r="AB7" s="376" t="s">
        <v>39</v>
      </c>
      <c r="AC7" s="376"/>
      <c r="AD7" s="376" t="str">
        <f t="shared" si="1"/>
        <v>Industry</v>
      </c>
      <c r="AE7" s="376" t="s">
        <v>75</v>
      </c>
      <c r="AF7" s="376"/>
      <c r="AG7" s="376"/>
    </row>
    <row r="8" ht="12.75" spans="1:33">
      <c r="A8" s="353" t="s">
        <v>76</v>
      </c>
      <c r="B8" s="192" t="s">
        <v>77</v>
      </c>
      <c r="C8" s="192" t="s">
        <v>78</v>
      </c>
      <c r="D8" s="192" t="s">
        <v>53</v>
      </c>
      <c r="E8" s="192" t="s">
        <v>35</v>
      </c>
      <c r="F8" s="192" t="s">
        <v>79</v>
      </c>
      <c r="G8" s="354">
        <v>44734</v>
      </c>
      <c r="H8" s="355">
        <v>2022</v>
      </c>
      <c r="I8" s="353" t="s">
        <v>80</v>
      </c>
      <c r="J8" s="371" t="s">
        <v>81</v>
      </c>
      <c r="K8" s="200"/>
      <c r="L8" s="372" t="s">
        <v>38</v>
      </c>
      <c r="M8" s="197" t="str">
        <f t="shared" si="0"/>
        <v>Yes</v>
      </c>
      <c r="N8" s="373">
        <v>20000000000</v>
      </c>
      <c r="O8" s="373">
        <f>(16*(4096*4096*4*2*100+100*100*64+2*100*4096+2*100*16384*4096*2)+64*(4096*4096*4*2*2*1024+1024*1024*64+2*1024*4096+2*1024*16384*4096*2))*3*8192*450000</f>
        <v>3.96289537619263e+23</v>
      </c>
      <c r="P8" s="381" t="s">
        <v>82</v>
      </c>
      <c r="Q8" s="242">
        <f>400000000+400000000+4000000000</f>
        <v>4800000000</v>
      </c>
      <c r="R8" s="204"/>
      <c r="S8" s="204"/>
      <c r="T8" s="204"/>
      <c r="U8" s="204"/>
      <c r="V8" s="204"/>
      <c r="W8" s="204"/>
      <c r="X8" s="204"/>
      <c r="Y8" s="204"/>
      <c r="Z8" s="204"/>
      <c r="AA8" s="394">
        <v>486659.76703549</v>
      </c>
      <c r="AB8" s="372" t="s">
        <v>39</v>
      </c>
      <c r="AC8" s="372"/>
      <c r="AD8" s="372" t="str">
        <f t="shared" si="1"/>
        <v>Industry</v>
      </c>
      <c r="AE8" s="372" t="s">
        <v>83</v>
      </c>
      <c r="AF8" s="372"/>
      <c r="AG8" s="372"/>
    </row>
    <row r="9" ht="12.75" spans="1:33">
      <c r="A9" s="356" t="s">
        <v>84</v>
      </c>
      <c r="B9" s="215" t="s">
        <v>51</v>
      </c>
      <c r="C9" s="215"/>
      <c r="D9" s="215" t="s">
        <v>85</v>
      </c>
      <c r="E9" s="215" t="s">
        <v>35</v>
      </c>
      <c r="F9" s="215" t="s">
        <v>86</v>
      </c>
      <c r="G9" s="361">
        <v>44602</v>
      </c>
      <c r="H9" s="360">
        <f>IF(INT(RIGHT(G9,4))&lt;1,"",INT(RIGHT(G9,4)))</f>
        <v>4602</v>
      </c>
      <c r="I9" s="356" t="s">
        <v>87</v>
      </c>
      <c r="J9" s="375" t="s">
        <v>88</v>
      </c>
      <c r="K9" s="379"/>
      <c r="L9" s="184" t="s">
        <v>89</v>
      </c>
      <c r="M9" s="199" t="str">
        <f t="shared" si="0"/>
        <v>Yes</v>
      </c>
      <c r="N9" s="199">
        <f>137000000000</f>
        <v>137000000000</v>
      </c>
      <c r="O9" s="377">
        <f>3.55E+23</f>
        <v>3.55e+23</v>
      </c>
      <c r="P9" s="380" t="s">
        <v>90</v>
      </c>
      <c r="Q9" s="199">
        <f>1560000000</f>
        <v>1560000000</v>
      </c>
      <c r="R9" s="184"/>
      <c r="S9" s="199"/>
      <c r="T9" s="184"/>
      <c r="U9" s="184"/>
      <c r="V9" s="184"/>
      <c r="W9" s="184"/>
      <c r="X9" s="184"/>
      <c r="Y9" s="184"/>
      <c r="Z9" s="184"/>
      <c r="AA9" s="396">
        <v>484957.204278073</v>
      </c>
      <c r="AB9" s="376" t="s">
        <v>39</v>
      </c>
      <c r="AC9" s="376"/>
      <c r="AD9" s="376" t="str">
        <f t="shared" si="1"/>
        <v>Industry</v>
      </c>
      <c r="AE9" s="376" t="s">
        <v>91</v>
      </c>
      <c r="AF9" s="376"/>
      <c r="AG9" s="376"/>
    </row>
    <row r="10" ht="12.75" spans="1:33">
      <c r="A10" s="353" t="s">
        <v>92</v>
      </c>
      <c r="B10" s="192" t="s">
        <v>51</v>
      </c>
      <c r="C10" s="192" t="s">
        <v>33</v>
      </c>
      <c r="D10" s="192" t="s">
        <v>93</v>
      </c>
      <c r="E10" s="192" t="s">
        <v>35</v>
      </c>
      <c r="F10" s="192"/>
      <c r="G10" s="354" t="s">
        <v>94</v>
      </c>
      <c r="H10" s="355">
        <v>2022</v>
      </c>
      <c r="I10" s="192"/>
      <c r="J10" s="371" t="s">
        <v>95</v>
      </c>
      <c r="K10" s="373"/>
      <c r="L10" s="372"/>
      <c r="M10" s="197" t="str">
        <f t="shared" si="0"/>
        <v>No</v>
      </c>
      <c r="N10" s="242">
        <v>100000000000</v>
      </c>
      <c r="O10" s="242">
        <v>2.2e+23</v>
      </c>
      <c r="P10" s="381"/>
      <c r="Q10" s="373"/>
      <c r="R10" s="372"/>
      <c r="S10" s="372"/>
      <c r="T10" s="372"/>
      <c r="U10" s="372"/>
      <c r="V10" s="372"/>
      <c r="W10" s="372"/>
      <c r="X10" s="372"/>
      <c r="Y10" s="372"/>
      <c r="Z10" s="372"/>
      <c r="AA10" s="397" t="s">
        <v>49</v>
      </c>
      <c r="AB10" s="372"/>
      <c r="AC10" s="204"/>
      <c r="AD10" s="372" t="s">
        <v>35</v>
      </c>
      <c r="AE10" s="372"/>
      <c r="AF10" s="372"/>
      <c r="AG10" s="372"/>
    </row>
    <row r="11" ht="12.75" spans="1:33">
      <c r="A11" s="356" t="s">
        <v>96</v>
      </c>
      <c r="B11" s="215" t="s">
        <v>51</v>
      </c>
      <c r="C11" s="215" t="s">
        <v>33</v>
      </c>
      <c r="D11" s="215" t="s">
        <v>97</v>
      </c>
      <c r="E11" s="215" t="s">
        <v>35</v>
      </c>
      <c r="F11" s="215" t="s">
        <v>98</v>
      </c>
      <c r="G11" s="357">
        <v>44775</v>
      </c>
      <c r="H11" s="358">
        <v>2022</v>
      </c>
      <c r="I11" s="215" t="s">
        <v>99</v>
      </c>
      <c r="J11" s="375" t="s">
        <v>100</v>
      </c>
      <c r="K11" s="377"/>
      <c r="L11" s="376" t="s">
        <v>38</v>
      </c>
      <c r="M11" s="199" t="str">
        <f t="shared" si="0"/>
        <v>Yes</v>
      </c>
      <c r="N11" s="382">
        <v>19750000000</v>
      </c>
      <c r="O11" s="382">
        <f>154000000000000*15360*24*60*60</f>
        <v>2.04374016e+23</v>
      </c>
      <c r="P11" s="383" t="s">
        <v>101</v>
      </c>
      <c r="Q11" s="377"/>
      <c r="R11" s="376"/>
      <c r="S11" s="376"/>
      <c r="T11" s="376">
        <f>120*24</f>
        <v>2880</v>
      </c>
      <c r="U11" s="376">
        <f>120*128*24</f>
        <v>368640</v>
      </c>
      <c r="V11" s="376"/>
      <c r="W11" s="376"/>
      <c r="X11" s="376"/>
      <c r="Y11" s="376"/>
      <c r="Z11" s="376"/>
      <c r="AA11" s="398" t="s">
        <v>49</v>
      </c>
      <c r="AB11" s="376"/>
      <c r="AC11" s="376"/>
      <c r="AD11" s="376" t="s">
        <v>35</v>
      </c>
      <c r="AE11" s="376" t="s">
        <v>102</v>
      </c>
      <c r="AF11" s="376"/>
      <c r="AG11" s="376"/>
    </row>
    <row r="12" ht="12.75" spans="1:33">
      <c r="A12" s="353" t="s">
        <v>103</v>
      </c>
      <c r="B12" s="192" t="s">
        <v>51</v>
      </c>
      <c r="C12" s="192" t="s">
        <v>104</v>
      </c>
      <c r="D12" s="192" t="s">
        <v>105</v>
      </c>
      <c r="E12" s="192" t="s">
        <v>106</v>
      </c>
      <c r="F12" s="192" t="s">
        <v>107</v>
      </c>
      <c r="G12" s="362">
        <v>44873</v>
      </c>
      <c r="H12" s="355">
        <v>2022</v>
      </c>
      <c r="I12" s="192" t="s">
        <v>108</v>
      </c>
      <c r="J12" s="371" t="s">
        <v>109</v>
      </c>
      <c r="K12" s="373"/>
      <c r="L12" s="372"/>
      <c r="M12" s="197" t="str">
        <f t="shared" si="0"/>
        <v>No</v>
      </c>
      <c r="N12" s="242">
        <v>176000000000</v>
      </c>
      <c r="O12" s="242">
        <v>1.8e+23</v>
      </c>
      <c r="P12" s="381" t="s">
        <v>110</v>
      </c>
      <c r="Q12" s="373"/>
      <c r="R12" s="372"/>
      <c r="S12" s="372"/>
      <c r="T12" s="372"/>
      <c r="U12" s="372"/>
      <c r="V12" s="372"/>
      <c r="W12" s="372"/>
      <c r="X12" s="372"/>
      <c r="Y12" s="372"/>
      <c r="Z12" s="372"/>
      <c r="AA12" s="397" t="s">
        <v>49</v>
      </c>
      <c r="AB12" s="372" t="s">
        <v>39</v>
      </c>
      <c r="AC12" s="372"/>
      <c r="AD12" s="372"/>
      <c r="AE12" s="372"/>
      <c r="AF12" s="372"/>
      <c r="AG12" s="372"/>
    </row>
    <row r="13" ht="12.75" spans="1:33">
      <c r="A13" s="356" t="s">
        <v>111</v>
      </c>
      <c r="B13" s="215" t="s">
        <v>51</v>
      </c>
      <c r="C13" s="215"/>
      <c r="D13" s="215" t="s">
        <v>112</v>
      </c>
      <c r="E13" s="215" t="s">
        <v>106</v>
      </c>
      <c r="F13" s="215" t="s">
        <v>113</v>
      </c>
      <c r="G13" s="357">
        <v>44601</v>
      </c>
      <c r="H13" s="360">
        <v>2022</v>
      </c>
      <c r="I13" s="356" t="s">
        <v>114</v>
      </c>
      <c r="J13" s="375" t="s">
        <v>115</v>
      </c>
      <c r="K13" s="384">
        <v>45</v>
      </c>
      <c r="L13" s="184" t="s">
        <v>89</v>
      </c>
      <c r="M13" s="199" t="str">
        <f t="shared" si="0"/>
        <v>Yes</v>
      </c>
      <c r="N13" s="199">
        <f>20*10^9</f>
        <v>20000000000</v>
      </c>
      <c r="O13" s="199">
        <f>3*30*24*3600*96*0.4*312000000000000</f>
        <v>9.31627008e+22</v>
      </c>
      <c r="P13" s="380" t="s">
        <v>116</v>
      </c>
      <c r="Q13" s="199">
        <f>885.837*200*10^6</f>
        <v>177167400000</v>
      </c>
      <c r="R13" s="184"/>
      <c r="S13" s="199"/>
      <c r="T13" s="184"/>
      <c r="U13" s="184"/>
      <c r="V13" s="184"/>
      <c r="W13" s="184"/>
      <c r="X13" s="184"/>
      <c r="Y13" s="184"/>
      <c r="Z13" s="184"/>
      <c r="AA13" s="395">
        <v>202407.464363562</v>
      </c>
      <c r="AB13" s="376" t="s">
        <v>39</v>
      </c>
      <c r="AC13" s="376"/>
      <c r="AD13" s="376" t="s">
        <v>35</v>
      </c>
      <c r="AE13" s="376"/>
      <c r="AF13" s="376"/>
      <c r="AG13" s="376"/>
    </row>
    <row r="14" ht="12.75" spans="1:33">
      <c r="A14" s="353" t="s">
        <v>117</v>
      </c>
      <c r="B14" s="192" t="s">
        <v>77</v>
      </c>
      <c r="C14" s="192" t="s">
        <v>78</v>
      </c>
      <c r="D14" s="192" t="s">
        <v>118</v>
      </c>
      <c r="E14" s="192" t="s">
        <v>35</v>
      </c>
      <c r="F14" s="192" t="s">
        <v>119</v>
      </c>
      <c r="G14" s="354">
        <v>44664</v>
      </c>
      <c r="H14" s="355">
        <v>2022</v>
      </c>
      <c r="I14" s="353" t="s">
        <v>120</v>
      </c>
      <c r="J14" s="371" t="s">
        <v>121</v>
      </c>
      <c r="K14" s="200"/>
      <c r="L14" s="372" t="s">
        <v>122</v>
      </c>
      <c r="M14" s="197" t="str">
        <f t="shared" si="0"/>
        <v>Yes</v>
      </c>
      <c r="N14" s="373">
        <v>1450000000</v>
      </c>
      <c r="O14" s="373">
        <f>5E+22</f>
        <v>5e+22</v>
      </c>
      <c r="P14" s="381" t="s">
        <v>123</v>
      </c>
      <c r="Q14" s="373">
        <v>400000000</v>
      </c>
      <c r="R14" s="204"/>
      <c r="S14" s="204"/>
      <c r="T14" s="204"/>
      <c r="U14" s="204"/>
      <c r="V14" s="204"/>
      <c r="W14" s="204"/>
      <c r="X14" s="204"/>
      <c r="Y14" s="204"/>
      <c r="Z14" s="204"/>
      <c r="AA14" s="394" t="s">
        <v>49</v>
      </c>
      <c r="AB14" s="372" t="s">
        <v>39</v>
      </c>
      <c r="AC14" s="372"/>
      <c r="AD14" s="372"/>
      <c r="AE14" s="372" t="s">
        <v>124</v>
      </c>
      <c r="AF14" s="372"/>
      <c r="AG14" s="372"/>
    </row>
    <row r="15" ht="12.75" spans="1:33">
      <c r="A15" s="356" t="s">
        <v>125</v>
      </c>
      <c r="B15" s="215" t="s">
        <v>126</v>
      </c>
      <c r="C15" s="215" t="s">
        <v>127</v>
      </c>
      <c r="D15" s="215" t="s">
        <v>34</v>
      </c>
      <c r="E15" s="215" t="s">
        <v>35</v>
      </c>
      <c r="F15" s="215" t="s">
        <v>128</v>
      </c>
      <c r="G15" s="357">
        <v>44825</v>
      </c>
      <c r="H15" s="358">
        <v>2022</v>
      </c>
      <c r="I15" s="356" t="s">
        <v>129</v>
      </c>
      <c r="J15" s="375" t="s">
        <v>130</v>
      </c>
      <c r="K15" s="203"/>
      <c r="L15" s="376" t="s">
        <v>38</v>
      </c>
      <c r="M15" s="199" t="str">
        <f t="shared" si="0"/>
        <v>Yes</v>
      </c>
      <c r="N15" s="377">
        <v>1550000000</v>
      </c>
      <c r="O15" s="377">
        <v>4.65e+22</v>
      </c>
      <c r="P15" s="378"/>
      <c r="Q15" s="377">
        <v>9302400000</v>
      </c>
      <c r="R15" s="205"/>
      <c r="S15" s="205"/>
      <c r="T15" s="205"/>
      <c r="U15" s="205"/>
      <c r="V15" s="205"/>
      <c r="W15" s="205"/>
      <c r="X15" s="205"/>
      <c r="Y15" s="205"/>
      <c r="Z15" s="205"/>
      <c r="AA15" s="395" t="s">
        <v>49</v>
      </c>
      <c r="AB15" s="376" t="s">
        <v>39</v>
      </c>
      <c r="AC15" s="376"/>
      <c r="AD15" s="376"/>
      <c r="AE15" s="376" t="s">
        <v>131</v>
      </c>
      <c r="AF15" s="376"/>
      <c r="AG15" s="376"/>
    </row>
    <row r="16" ht="12.75" spans="1:33">
      <c r="A16" s="353" t="s">
        <v>132</v>
      </c>
      <c r="B16" s="192" t="s">
        <v>51</v>
      </c>
      <c r="C16" s="359"/>
      <c r="D16" s="192" t="s">
        <v>133</v>
      </c>
      <c r="E16" s="192" t="s">
        <v>134</v>
      </c>
      <c r="F16" s="192"/>
      <c r="G16" s="354">
        <v>44777</v>
      </c>
      <c r="H16" s="355">
        <v>2022</v>
      </c>
      <c r="I16" s="353" t="s">
        <v>135</v>
      </c>
      <c r="J16" s="371" t="s">
        <v>136</v>
      </c>
      <c r="K16" s="200"/>
      <c r="L16" s="372"/>
      <c r="M16" s="197" t="str">
        <f t="shared" si="0"/>
        <v>No</v>
      </c>
      <c r="N16" s="373">
        <v>130000000000</v>
      </c>
      <c r="O16" s="373">
        <v>4.6e+22</v>
      </c>
      <c r="P16" s="374"/>
      <c r="Q16" s="200"/>
      <c r="R16" s="204"/>
      <c r="S16" s="204"/>
      <c r="T16" s="204"/>
      <c r="U16" s="204"/>
      <c r="V16" s="204"/>
      <c r="W16" s="204"/>
      <c r="X16" s="204"/>
      <c r="Y16" s="204"/>
      <c r="Z16" s="204"/>
      <c r="AA16" s="394" t="s">
        <v>49</v>
      </c>
      <c r="AB16" s="372"/>
      <c r="AC16" s="372"/>
      <c r="AD16" s="372" t="s">
        <v>35</v>
      </c>
      <c r="AE16" s="372"/>
      <c r="AF16" s="372"/>
      <c r="AG16" s="372"/>
    </row>
    <row r="17" ht="12.75" spans="1:33">
      <c r="A17" s="356" t="s">
        <v>137</v>
      </c>
      <c r="B17" s="215" t="s">
        <v>51</v>
      </c>
      <c r="C17" s="215" t="s">
        <v>138</v>
      </c>
      <c r="D17" s="215" t="s">
        <v>71</v>
      </c>
      <c r="E17" s="215" t="s">
        <v>35</v>
      </c>
      <c r="F17" s="215" t="s">
        <v>139</v>
      </c>
      <c r="G17" s="361">
        <v>44594</v>
      </c>
      <c r="H17" s="360">
        <f>IF(INT(RIGHT(G17,4))&lt;1,"",INT(RIGHT(G17,4)))</f>
        <v>4594</v>
      </c>
      <c r="I17" s="356" t="s">
        <v>140</v>
      </c>
      <c r="J17" s="375" t="s">
        <v>141</v>
      </c>
      <c r="K17" s="384">
        <v>75</v>
      </c>
      <c r="L17" s="184" t="s">
        <v>142</v>
      </c>
      <c r="M17" s="199" t="str">
        <f t="shared" si="0"/>
        <v>Yes</v>
      </c>
      <c r="N17" s="199"/>
      <c r="O17" s="199">
        <f>332000000000000*0.565*25000*24*3600</f>
        <v>4.051728e+23</v>
      </c>
      <c r="P17" s="380"/>
      <c r="Q17" s="199"/>
      <c r="R17" s="184"/>
      <c r="S17" s="199"/>
      <c r="T17" s="184"/>
      <c r="U17" s="184"/>
      <c r="V17" s="184"/>
      <c r="W17" s="184"/>
      <c r="X17" s="184"/>
      <c r="Y17" s="184"/>
      <c r="Z17" s="184"/>
      <c r="AA17" s="396" t="s">
        <v>49</v>
      </c>
      <c r="AB17" s="376" t="s">
        <v>39</v>
      </c>
      <c r="AC17" s="376"/>
      <c r="AD17" s="376" t="str">
        <f t="shared" ref="AD17:AD20" si="2">_xlfn.IFS($E17="Academia","Academia",$E17="Research Collective","TO MANUALLY ADJUST",TRUE,"Industry")</f>
        <v>Industry</v>
      </c>
      <c r="AE17" s="376"/>
      <c r="AF17" s="376"/>
      <c r="AG17" s="376"/>
    </row>
    <row r="18" ht="12.75" spans="1:33">
      <c r="A18" s="353" t="s">
        <v>143</v>
      </c>
      <c r="B18" s="192" t="s">
        <v>51</v>
      </c>
      <c r="C18" s="359" t="s">
        <v>144</v>
      </c>
      <c r="D18" s="192" t="s">
        <v>65</v>
      </c>
      <c r="E18" s="192" t="s">
        <v>35</v>
      </c>
      <c r="F18" s="192" t="s">
        <v>145</v>
      </c>
      <c r="G18" s="354">
        <v>44748</v>
      </c>
      <c r="H18" s="355">
        <v>2022</v>
      </c>
      <c r="I18" s="353" t="s">
        <v>146</v>
      </c>
      <c r="J18" s="371" t="s">
        <v>147</v>
      </c>
      <c r="K18" s="373">
        <v>19</v>
      </c>
      <c r="L18" s="204" t="s">
        <v>38</v>
      </c>
      <c r="M18" s="197" t="str">
        <f t="shared" si="0"/>
        <v>Yes</v>
      </c>
      <c r="N18" s="200">
        <v>54500000000</v>
      </c>
      <c r="O18" s="200">
        <f>312000000000000*3600*51968*0.3</f>
        <v>1.751113728e+22</v>
      </c>
      <c r="P18" s="374"/>
      <c r="Q18" s="200">
        <f>18000000000*20</f>
        <v>360000000000</v>
      </c>
      <c r="R18" s="204"/>
      <c r="S18" s="204"/>
      <c r="T18" s="204"/>
      <c r="U18" s="204"/>
      <c r="V18" s="204"/>
      <c r="W18" s="204"/>
      <c r="X18" s="204"/>
      <c r="Y18" s="204"/>
      <c r="Z18" s="204"/>
      <c r="AA18" s="394">
        <v>39175.6382639152</v>
      </c>
      <c r="AB18" s="372" t="s">
        <v>39</v>
      </c>
      <c r="AC18" s="372"/>
      <c r="AD18" s="372" t="str">
        <f t="shared" si="2"/>
        <v>Industry</v>
      </c>
      <c r="AE18" s="372" t="s">
        <v>148</v>
      </c>
      <c r="AF18" s="372"/>
      <c r="AG18" s="372"/>
    </row>
    <row r="19" ht="12.75" spans="1:33">
      <c r="A19" s="356" t="s">
        <v>149</v>
      </c>
      <c r="B19" s="215" t="s">
        <v>51</v>
      </c>
      <c r="C19" s="215"/>
      <c r="D19" s="215" t="s">
        <v>150</v>
      </c>
      <c r="E19" s="215" t="s">
        <v>35</v>
      </c>
      <c r="F19" s="215" t="s">
        <v>151</v>
      </c>
      <c r="G19" s="361">
        <v>44585</v>
      </c>
      <c r="H19" s="360">
        <f>IF(INT(RIGHT(G19,4))&lt;1,"",INT(RIGHT(G19,4)))</f>
        <v>4585</v>
      </c>
      <c r="I19" s="356" t="s">
        <v>152</v>
      </c>
      <c r="J19" s="375" t="s">
        <v>153</v>
      </c>
      <c r="K19" s="384">
        <v>39</v>
      </c>
      <c r="L19" s="184"/>
      <c r="M19" s="199" t="str">
        <f t="shared" si="0"/>
        <v>No</v>
      </c>
      <c r="N19" s="199">
        <v>1900000000</v>
      </c>
      <c r="O19" s="199">
        <v>7.1e+21</v>
      </c>
      <c r="P19" s="380" t="s">
        <v>154</v>
      </c>
      <c r="Q19" s="391">
        <f>866.423753*200*10^6</f>
        <v>173284750600</v>
      </c>
      <c r="R19" s="184"/>
      <c r="S19" s="199"/>
      <c r="T19" s="184"/>
      <c r="U19" s="184"/>
      <c r="V19" s="184"/>
      <c r="W19" s="184"/>
      <c r="X19" s="184"/>
      <c r="Y19" s="184"/>
      <c r="Z19" s="184"/>
      <c r="AA19" s="396">
        <v>9690.72466888913</v>
      </c>
      <c r="AB19" s="376"/>
      <c r="AC19" s="376"/>
      <c r="AD19" s="376" t="str">
        <f t="shared" si="2"/>
        <v>Industry</v>
      </c>
      <c r="AE19" s="376" t="s">
        <v>155</v>
      </c>
      <c r="AF19" s="376"/>
      <c r="AG19" s="376"/>
    </row>
    <row r="20" ht="12.75" spans="1:33">
      <c r="A20" s="353" t="s">
        <v>156</v>
      </c>
      <c r="B20" s="192" t="s">
        <v>32</v>
      </c>
      <c r="C20" s="359"/>
      <c r="D20" s="192" t="s">
        <v>71</v>
      </c>
      <c r="E20" s="192" t="s">
        <v>35</v>
      </c>
      <c r="F20" s="192" t="s">
        <v>157</v>
      </c>
      <c r="G20" s="354">
        <v>44693</v>
      </c>
      <c r="H20" s="355">
        <v>2022</v>
      </c>
      <c r="I20" s="353" t="s">
        <v>158</v>
      </c>
      <c r="J20" s="371" t="s">
        <v>159</v>
      </c>
      <c r="K20" s="200"/>
      <c r="L20" s="182" t="s">
        <v>89</v>
      </c>
      <c r="M20" s="197" t="str">
        <f t="shared" si="0"/>
        <v>Yes</v>
      </c>
      <c r="N20" s="373">
        <v>1180000000</v>
      </c>
      <c r="O20" s="373">
        <v>5.44e+21</v>
      </c>
      <c r="P20" s="374"/>
      <c r="Q20" s="200"/>
      <c r="R20" s="204"/>
      <c r="S20" s="204"/>
      <c r="T20" s="204"/>
      <c r="U20" s="204"/>
      <c r="V20" s="204"/>
      <c r="W20" s="204"/>
      <c r="X20" s="204"/>
      <c r="Y20" s="204"/>
      <c r="Z20" s="204"/>
      <c r="AA20" s="394">
        <v>6781.08229491861</v>
      </c>
      <c r="AB20" s="372"/>
      <c r="AC20" s="372"/>
      <c r="AD20" s="372" t="str">
        <f t="shared" si="2"/>
        <v>Industry</v>
      </c>
      <c r="AE20" s="372" t="s">
        <v>160</v>
      </c>
      <c r="AF20" s="372"/>
      <c r="AG20" s="372"/>
    </row>
    <row r="21" ht="12.75" spans="1:33">
      <c r="A21" s="356" t="s">
        <v>161</v>
      </c>
      <c r="B21" s="215" t="s">
        <v>51</v>
      </c>
      <c r="C21" s="215" t="s">
        <v>33</v>
      </c>
      <c r="D21" s="215" t="s">
        <v>162</v>
      </c>
      <c r="E21" s="215" t="s">
        <v>134</v>
      </c>
      <c r="F21" s="215" t="s">
        <v>163</v>
      </c>
      <c r="G21" s="357" t="s">
        <v>164</v>
      </c>
      <c r="H21" s="358">
        <v>2022</v>
      </c>
      <c r="I21" s="215" t="s">
        <v>165</v>
      </c>
      <c r="J21" s="375" t="s">
        <v>166</v>
      </c>
      <c r="K21" s="377"/>
      <c r="L21" s="376"/>
      <c r="M21" s="199" t="str">
        <f t="shared" si="0"/>
        <v>No</v>
      </c>
      <c r="N21" s="382">
        <v>3500000000</v>
      </c>
      <c r="O21" s="382">
        <v>1.3e+21</v>
      </c>
      <c r="P21" s="383"/>
      <c r="Q21" s="377"/>
      <c r="R21" s="376"/>
      <c r="S21" s="376"/>
      <c r="T21" s="376"/>
      <c r="U21" s="376"/>
      <c r="V21" s="376"/>
      <c r="W21" s="376"/>
      <c r="X21" s="376"/>
      <c r="Y21" s="376"/>
      <c r="Z21" s="376"/>
      <c r="AA21" s="398" t="s">
        <v>49</v>
      </c>
      <c r="AB21" s="376" t="s">
        <v>39</v>
      </c>
      <c r="AC21" s="376"/>
      <c r="AD21" s="376"/>
      <c r="AE21" s="376" t="s">
        <v>167</v>
      </c>
      <c r="AF21" s="376"/>
      <c r="AG21" s="376"/>
    </row>
    <row r="22" ht="12.75" spans="1:33">
      <c r="A22" s="353" t="s">
        <v>168</v>
      </c>
      <c r="B22" s="192" t="s">
        <v>51</v>
      </c>
      <c r="C22" s="192"/>
      <c r="D22" s="192" t="s">
        <v>169</v>
      </c>
      <c r="E22" s="192" t="s">
        <v>44</v>
      </c>
      <c r="F22" s="192" t="s">
        <v>170</v>
      </c>
      <c r="G22" s="354">
        <v>44665</v>
      </c>
      <c r="H22" s="363">
        <v>2022</v>
      </c>
      <c r="I22" s="353" t="s">
        <v>171</v>
      </c>
      <c r="J22" s="371" t="s">
        <v>172</v>
      </c>
      <c r="K22" s="236">
        <v>0</v>
      </c>
      <c r="L22" s="182" t="s">
        <v>38</v>
      </c>
      <c r="M22" s="197" t="str">
        <f t="shared" si="0"/>
        <v>Yes</v>
      </c>
      <c r="N22" s="197">
        <f>3.5*10^9</f>
        <v>3500000000</v>
      </c>
      <c r="O22" s="197">
        <f>32*20.41*3600*28000000000000*0.33</f>
        <v>2.172538368e+19</v>
      </c>
      <c r="P22" s="385" t="s">
        <v>173</v>
      </c>
      <c r="Q22" s="392"/>
      <c r="R22" s="182"/>
      <c r="S22" s="197"/>
      <c r="T22" s="182"/>
      <c r="U22" s="182">
        <v>20.41</v>
      </c>
      <c r="V22" s="182"/>
      <c r="W22" s="182"/>
      <c r="X22" s="182"/>
      <c r="Y22" s="182"/>
      <c r="Z22" s="182"/>
      <c r="AA22" s="399">
        <v>80.2939765306011</v>
      </c>
      <c r="AB22" s="372" t="s">
        <v>39</v>
      </c>
      <c r="AC22" s="372"/>
      <c r="AD22" s="372" t="str">
        <f>_xlfn.IFS($E22="Academia","Academia",$E22="Research Collective","TO MANUALLY ADJUST",TRUE,"Industry")</f>
        <v>Industry</v>
      </c>
      <c r="AE22" s="372" t="s">
        <v>174</v>
      </c>
      <c r="AF22" s="372"/>
      <c r="AG22" s="372"/>
    </row>
    <row r="23" ht="12.75" spans="1:30">
      <c r="A23" s="364" t="s">
        <v>175</v>
      </c>
      <c r="B23" s="186" t="s">
        <v>32</v>
      </c>
      <c r="C23" s="186" t="s">
        <v>176</v>
      </c>
      <c r="D23" s="186" t="s">
        <v>85</v>
      </c>
      <c r="E23" s="186" t="s">
        <v>35</v>
      </c>
      <c r="F23" s="186" t="s">
        <v>177</v>
      </c>
      <c r="G23" s="365">
        <v>44718</v>
      </c>
      <c r="H23" s="366">
        <v>2022</v>
      </c>
      <c r="I23" s="186" t="s">
        <v>178</v>
      </c>
      <c r="J23" s="386" t="s">
        <v>179</v>
      </c>
      <c r="K23" s="186">
        <v>15</v>
      </c>
      <c r="L23" s="387"/>
      <c r="M23" s="199" t="str">
        <f t="shared" si="0"/>
        <v>No</v>
      </c>
      <c r="N23" s="388">
        <v>5600000000</v>
      </c>
      <c r="O23" s="388">
        <v>200000000000</v>
      </c>
      <c r="AA23" s="400" t="s">
        <v>49</v>
      </c>
      <c r="AD23" s="186" t="s">
        <v>35</v>
      </c>
    </row>
    <row r="24" ht="12.75" spans="1:33">
      <c r="A24" s="353" t="s">
        <v>180</v>
      </c>
      <c r="B24" s="192" t="s">
        <v>41</v>
      </c>
      <c r="C24" s="192"/>
      <c r="D24" s="192" t="s">
        <v>169</v>
      </c>
      <c r="E24" s="192" t="s">
        <v>35</v>
      </c>
      <c r="F24" s="192" t="s">
        <v>181</v>
      </c>
      <c r="G24" s="367">
        <v>44581</v>
      </c>
      <c r="H24" s="363">
        <f t="shared" ref="H24:H28" si="3">IF(INT(RIGHT(G24,4))&lt;1,"",INT(RIGHT(G24,4)))</f>
        <v>4581</v>
      </c>
      <c r="I24" s="353" t="s">
        <v>182</v>
      </c>
      <c r="J24" s="371" t="s">
        <v>183</v>
      </c>
      <c r="K24" s="238">
        <v>180</v>
      </c>
      <c r="L24" s="182" t="s">
        <v>38</v>
      </c>
      <c r="M24" s="197" t="str">
        <f t="shared" si="0"/>
        <v>Yes</v>
      </c>
      <c r="N24" s="197">
        <f t="shared" ref="N24:N26" si="4">24*(4*3*1024*1024+2*2*(4*1024*1024+1024+4*1024))</f>
        <v>705134592</v>
      </c>
      <c r="O24" s="197"/>
      <c r="P24" s="385" t="s">
        <v>184</v>
      </c>
      <c r="Q24" s="197">
        <v>1281167</v>
      </c>
      <c r="R24" s="182"/>
      <c r="S24" s="197"/>
      <c r="T24" s="182"/>
      <c r="U24" s="182"/>
      <c r="V24" s="182"/>
      <c r="W24" s="182"/>
      <c r="X24" s="182"/>
      <c r="Y24" s="182"/>
      <c r="Z24" s="182"/>
      <c r="AA24" s="399" t="s">
        <v>49</v>
      </c>
      <c r="AB24" s="372" t="s">
        <v>39</v>
      </c>
      <c r="AC24" s="372"/>
      <c r="AD24" s="372" t="str">
        <f t="shared" ref="AD24:AD28" si="5">_xlfn.IFS($E24="Academia","Academia",$E24="Research Collective","TO MANUALLY ADJUST",TRUE,"Industry")</f>
        <v>Industry</v>
      </c>
      <c r="AE24" s="372"/>
      <c r="AF24" s="372"/>
      <c r="AG24" s="372"/>
    </row>
    <row r="25" ht="12.75" spans="1:33">
      <c r="A25" s="356" t="s">
        <v>185</v>
      </c>
      <c r="B25" s="215" t="s">
        <v>126</v>
      </c>
      <c r="C25" s="215"/>
      <c r="D25" s="215" t="s">
        <v>169</v>
      </c>
      <c r="E25" s="215" t="s">
        <v>35</v>
      </c>
      <c r="F25" s="215" t="s">
        <v>181</v>
      </c>
      <c r="G25" s="361">
        <v>44581</v>
      </c>
      <c r="H25" s="360">
        <f t="shared" si="3"/>
        <v>4581</v>
      </c>
      <c r="I25" s="356" t="s">
        <v>182</v>
      </c>
      <c r="J25" s="375" t="s">
        <v>183</v>
      </c>
      <c r="K25" s="384">
        <v>180</v>
      </c>
      <c r="L25" s="184" t="s">
        <v>38</v>
      </c>
      <c r="M25" s="199" t="str">
        <f t="shared" si="0"/>
        <v>Yes</v>
      </c>
      <c r="N25" s="199">
        <f t="shared" si="4"/>
        <v>705134592</v>
      </c>
      <c r="O25" s="199"/>
      <c r="P25" s="380" t="s">
        <v>186</v>
      </c>
      <c r="Q25" s="199">
        <v>13132800</v>
      </c>
      <c r="R25" s="184"/>
      <c r="S25" s="199"/>
      <c r="T25" s="184"/>
      <c r="U25" s="184"/>
      <c r="V25" s="184"/>
      <c r="W25" s="184"/>
      <c r="X25" s="184"/>
      <c r="Y25" s="184"/>
      <c r="Z25" s="184"/>
      <c r="AA25" s="396" t="s">
        <v>49</v>
      </c>
      <c r="AB25" s="376" t="s">
        <v>39</v>
      </c>
      <c r="AC25" s="376"/>
      <c r="AD25" s="376" t="str">
        <f t="shared" si="5"/>
        <v>Industry</v>
      </c>
      <c r="AE25" s="376"/>
      <c r="AF25" s="376"/>
      <c r="AG25" s="376"/>
    </row>
    <row r="26" ht="12.75" spans="1:33">
      <c r="A26" s="353" t="s">
        <v>187</v>
      </c>
      <c r="B26" s="192" t="s">
        <v>51</v>
      </c>
      <c r="C26" s="192"/>
      <c r="D26" s="192" t="s">
        <v>169</v>
      </c>
      <c r="E26" s="192" t="s">
        <v>35</v>
      </c>
      <c r="F26" s="192" t="s">
        <v>181</v>
      </c>
      <c r="G26" s="367">
        <v>44581</v>
      </c>
      <c r="H26" s="363">
        <f t="shared" si="3"/>
        <v>4581</v>
      </c>
      <c r="I26" s="353" t="s">
        <v>182</v>
      </c>
      <c r="J26" s="371" t="s">
        <v>183</v>
      </c>
      <c r="K26" s="238">
        <v>180</v>
      </c>
      <c r="L26" s="182" t="s">
        <v>38</v>
      </c>
      <c r="M26" s="197" t="str">
        <f t="shared" si="0"/>
        <v>Yes</v>
      </c>
      <c r="N26" s="197">
        <f t="shared" si="4"/>
        <v>705134592</v>
      </c>
      <c r="O26" s="197"/>
      <c r="P26" s="385" t="s">
        <v>188</v>
      </c>
      <c r="Q26" s="393">
        <v>3300000000</v>
      </c>
      <c r="R26" s="182"/>
      <c r="S26" s="197"/>
      <c r="T26" s="182"/>
      <c r="U26" s="182"/>
      <c r="V26" s="182"/>
      <c r="W26" s="182"/>
      <c r="X26" s="182"/>
      <c r="Y26" s="182"/>
      <c r="Z26" s="182"/>
      <c r="AA26" s="399" t="s">
        <v>49</v>
      </c>
      <c r="AB26" s="372" t="s">
        <v>39</v>
      </c>
      <c r="AC26" s="372"/>
      <c r="AD26" s="372" t="str">
        <f t="shared" si="5"/>
        <v>Industry</v>
      </c>
      <c r="AE26" s="372"/>
      <c r="AF26" s="372"/>
      <c r="AG26" s="372"/>
    </row>
    <row r="27" ht="12.75" spans="1:33">
      <c r="A27" s="356" t="s">
        <v>189</v>
      </c>
      <c r="B27" s="215" t="s">
        <v>51</v>
      </c>
      <c r="C27" s="215"/>
      <c r="D27" s="215" t="s">
        <v>34</v>
      </c>
      <c r="E27" s="215" t="s">
        <v>35</v>
      </c>
      <c r="F27" s="215" t="s">
        <v>190</v>
      </c>
      <c r="G27" s="361">
        <v>44588</v>
      </c>
      <c r="H27" s="360">
        <f t="shared" si="3"/>
        <v>4588</v>
      </c>
      <c r="I27" s="356" t="s">
        <v>191</v>
      </c>
      <c r="J27" s="375" t="s">
        <v>192</v>
      </c>
      <c r="K27" s="384">
        <v>149</v>
      </c>
      <c r="L27" s="184" t="s">
        <v>89</v>
      </c>
      <c r="M27" s="199" t="str">
        <f t="shared" si="0"/>
        <v>Yes</v>
      </c>
      <c r="N27" s="199"/>
      <c r="O27" s="199"/>
      <c r="P27" s="380"/>
      <c r="Q27" s="199">
        <v>33207</v>
      </c>
      <c r="R27" s="184"/>
      <c r="S27" s="199"/>
      <c r="T27" s="184"/>
      <c r="U27" s="184"/>
      <c r="V27" s="184"/>
      <c r="W27" s="184"/>
      <c r="X27" s="184"/>
      <c r="Y27" s="184"/>
      <c r="Z27" s="184"/>
      <c r="AA27" s="396" t="s">
        <v>49</v>
      </c>
      <c r="AB27" s="376" t="s">
        <v>39</v>
      </c>
      <c r="AC27" s="376"/>
      <c r="AD27" s="376" t="str">
        <f t="shared" si="5"/>
        <v>Industry</v>
      </c>
      <c r="AE27" s="376"/>
      <c r="AF27" s="376"/>
      <c r="AG27" s="376"/>
    </row>
    <row r="28" ht="12.75" spans="1:33">
      <c r="A28" s="353" t="s">
        <v>193</v>
      </c>
      <c r="B28" s="192" t="s">
        <v>51</v>
      </c>
      <c r="C28" s="192"/>
      <c r="D28" s="192" t="s">
        <v>71</v>
      </c>
      <c r="E28" s="192" t="s">
        <v>35</v>
      </c>
      <c r="F28" s="192" t="s">
        <v>194</v>
      </c>
      <c r="G28" s="367">
        <v>44599</v>
      </c>
      <c r="H28" s="363">
        <f t="shared" si="3"/>
        <v>4599</v>
      </c>
      <c r="I28" s="353" t="s">
        <v>195</v>
      </c>
      <c r="J28" s="371" t="s">
        <v>196</v>
      </c>
      <c r="K28" s="238">
        <v>59</v>
      </c>
      <c r="L28" s="182"/>
      <c r="M28" s="197" t="str">
        <f t="shared" si="0"/>
        <v>No</v>
      </c>
      <c r="N28" s="197">
        <v>7500000000</v>
      </c>
      <c r="O28" s="197"/>
      <c r="P28" s="385"/>
      <c r="Q28" s="393">
        <f>2000000000000*0.75</f>
        <v>1500000000000</v>
      </c>
      <c r="R28" s="182"/>
      <c r="S28" s="197"/>
      <c r="T28" s="182"/>
      <c r="U28" s="182"/>
      <c r="V28" s="182"/>
      <c r="W28" s="182"/>
      <c r="X28" s="182"/>
      <c r="Y28" s="182"/>
      <c r="Z28" s="182"/>
      <c r="AA28" s="399" t="s">
        <v>49</v>
      </c>
      <c r="AB28" s="372" t="s">
        <v>39</v>
      </c>
      <c r="AC28" s="372" t="s">
        <v>197</v>
      </c>
      <c r="AD28" s="372" t="str">
        <f t="shared" si="5"/>
        <v>Industry</v>
      </c>
      <c r="AE28" s="372"/>
      <c r="AF28" s="372"/>
      <c r="AG28" s="372"/>
    </row>
    <row r="29" ht="12.75" spans="1:33">
      <c r="A29" s="356" t="s">
        <v>198</v>
      </c>
      <c r="B29" s="215" t="s">
        <v>199</v>
      </c>
      <c r="C29" s="215" t="s">
        <v>200</v>
      </c>
      <c r="D29" s="215" t="s">
        <v>71</v>
      </c>
      <c r="E29" s="215" t="s">
        <v>35</v>
      </c>
      <c r="F29" s="215" t="s">
        <v>201</v>
      </c>
      <c r="G29" s="357">
        <v>44606</v>
      </c>
      <c r="H29" s="358">
        <v>2022</v>
      </c>
      <c r="I29" s="356" t="s">
        <v>202</v>
      </c>
      <c r="J29" s="375" t="s">
        <v>203</v>
      </c>
      <c r="K29" s="203"/>
      <c r="L29" s="205"/>
      <c r="M29" s="199" t="str">
        <f t="shared" si="0"/>
        <v>No</v>
      </c>
      <c r="N29" s="205"/>
      <c r="O29" s="203"/>
      <c r="P29" s="378"/>
      <c r="Q29" s="203"/>
      <c r="R29" s="205"/>
      <c r="S29" s="205"/>
      <c r="T29" s="205"/>
      <c r="U29" s="205"/>
      <c r="V29" s="205"/>
      <c r="W29" s="205"/>
      <c r="X29" s="205"/>
      <c r="Y29" s="205"/>
      <c r="Z29" s="205"/>
      <c r="AA29" s="395" t="s">
        <v>49</v>
      </c>
      <c r="AB29" s="376"/>
      <c r="AC29" s="376"/>
      <c r="AD29" s="376"/>
      <c r="AE29" s="376"/>
      <c r="AF29" s="376"/>
      <c r="AG29" s="376"/>
    </row>
    <row r="30" ht="12.75" spans="1:33">
      <c r="A30" s="353" t="s">
        <v>204</v>
      </c>
      <c r="B30" s="192" t="s">
        <v>51</v>
      </c>
      <c r="C30" s="192" t="s">
        <v>33</v>
      </c>
      <c r="D30" s="192" t="s">
        <v>205</v>
      </c>
      <c r="E30" s="192" t="s">
        <v>35</v>
      </c>
      <c r="F30" s="192" t="s">
        <v>206</v>
      </c>
      <c r="G30" s="354">
        <v>44621</v>
      </c>
      <c r="H30" s="363">
        <f t="shared" ref="H30:H31" si="6">IF(INT(RIGHT(G30,4))&lt;1,"",INT(RIGHT(G30,4)))</f>
        <v>4621</v>
      </c>
      <c r="I30" s="353" t="s">
        <v>207</v>
      </c>
      <c r="J30" s="371" t="s">
        <v>208</v>
      </c>
      <c r="K30" s="236"/>
      <c r="L30" s="182"/>
      <c r="M30" s="197" t="str">
        <f t="shared" si="0"/>
        <v>No</v>
      </c>
      <c r="N30" s="197">
        <v>3200000000</v>
      </c>
      <c r="O30" s="197"/>
      <c r="P30" s="385"/>
      <c r="Q30" s="197">
        <v>12000000000</v>
      </c>
      <c r="R30" s="182"/>
      <c r="S30" s="197"/>
      <c r="T30" s="182"/>
      <c r="U30" s="182"/>
      <c r="V30" s="182"/>
      <c r="W30" s="182"/>
      <c r="X30" s="182"/>
      <c r="Y30" s="182"/>
      <c r="Z30" s="182"/>
      <c r="AA30" s="399" t="s">
        <v>49</v>
      </c>
      <c r="AB30" s="372"/>
      <c r="AC30" s="372"/>
      <c r="AD30" s="372" t="str">
        <f t="shared" ref="AD30:AD38" si="7">_xlfn.IFS($E30="Academia","Academia",$E30="Research Collective","TO MANUALLY ADJUST",TRUE,"Industry")</f>
        <v>Industry</v>
      </c>
      <c r="AE30" s="372"/>
      <c r="AF30" s="372"/>
      <c r="AG30" s="372"/>
    </row>
    <row r="31" ht="12.75" spans="1:33">
      <c r="A31" s="356" t="s">
        <v>209</v>
      </c>
      <c r="B31" s="215" t="s">
        <v>51</v>
      </c>
      <c r="C31" s="215" t="s">
        <v>210</v>
      </c>
      <c r="D31" s="215" t="s">
        <v>34</v>
      </c>
      <c r="E31" s="215" t="s">
        <v>35</v>
      </c>
      <c r="F31" s="215" t="s">
        <v>211</v>
      </c>
      <c r="G31" s="361">
        <v>44622</v>
      </c>
      <c r="H31" s="360">
        <f t="shared" si="6"/>
        <v>4622</v>
      </c>
      <c r="I31" s="356" t="s">
        <v>212</v>
      </c>
      <c r="J31" s="375" t="s">
        <v>213</v>
      </c>
      <c r="K31" s="379"/>
      <c r="L31" s="184"/>
      <c r="M31" s="199" t="str">
        <f t="shared" si="0"/>
        <v>No</v>
      </c>
      <c r="N31" s="199"/>
      <c r="O31" s="199"/>
      <c r="P31" s="380"/>
      <c r="Q31" s="199"/>
      <c r="R31" s="184"/>
      <c r="S31" s="199"/>
      <c r="T31" s="184"/>
      <c r="U31" s="184"/>
      <c r="V31" s="184"/>
      <c r="W31" s="184"/>
      <c r="X31" s="184"/>
      <c r="Y31" s="184"/>
      <c r="Z31" s="184"/>
      <c r="AA31" s="396" t="s">
        <v>49</v>
      </c>
      <c r="AB31" s="376"/>
      <c r="AC31" s="376"/>
      <c r="AD31" s="376" t="str">
        <f t="shared" si="7"/>
        <v>Industry</v>
      </c>
      <c r="AE31" s="376"/>
      <c r="AF31" s="376"/>
      <c r="AG31" s="376"/>
    </row>
    <row r="32" ht="12.75" spans="1:33">
      <c r="A32" s="353" t="s">
        <v>214</v>
      </c>
      <c r="B32" s="192"/>
      <c r="C32" s="192"/>
      <c r="D32" s="192" t="s">
        <v>215</v>
      </c>
      <c r="E32" s="192" t="s">
        <v>134</v>
      </c>
      <c r="F32" s="192" t="s">
        <v>216</v>
      </c>
      <c r="G32" s="354">
        <v>44648</v>
      </c>
      <c r="H32" s="363">
        <v>2022</v>
      </c>
      <c r="I32" s="353" t="s">
        <v>217</v>
      </c>
      <c r="J32" s="371" t="s">
        <v>218</v>
      </c>
      <c r="K32" s="238">
        <v>12</v>
      </c>
      <c r="L32" s="182"/>
      <c r="M32" s="197" t="str">
        <f t="shared" si="0"/>
        <v>No</v>
      </c>
      <c r="N32" s="197">
        <f>14.5*10^12</f>
        <v>14500000000000</v>
      </c>
      <c r="O32" s="197"/>
      <c r="P32" s="385"/>
      <c r="Q32" s="392"/>
      <c r="R32" s="182"/>
      <c r="S32" s="197"/>
      <c r="T32" s="182"/>
      <c r="U32" s="182"/>
      <c r="V32" s="182"/>
      <c r="W32" s="182"/>
      <c r="X32" s="182"/>
      <c r="Y32" s="182"/>
      <c r="Z32" s="182"/>
      <c r="AA32" s="399" t="s">
        <v>49</v>
      </c>
      <c r="AB32" s="372" t="s">
        <v>39</v>
      </c>
      <c r="AC32" s="372"/>
      <c r="AD32" s="372" t="str">
        <f t="shared" si="7"/>
        <v>Academia</v>
      </c>
      <c r="AE32" s="372"/>
      <c r="AF32" s="372"/>
      <c r="AG32" s="372"/>
    </row>
    <row r="33" ht="12.75" spans="1:33">
      <c r="A33" s="356" t="s">
        <v>219</v>
      </c>
      <c r="B33" s="215" t="s">
        <v>77</v>
      </c>
      <c r="C33" s="215"/>
      <c r="D33" s="215" t="s">
        <v>34</v>
      </c>
      <c r="E33" s="215" t="s">
        <v>35</v>
      </c>
      <c r="F33" s="215" t="s">
        <v>220</v>
      </c>
      <c r="G33" s="357">
        <v>44657</v>
      </c>
      <c r="H33" s="360">
        <v>2022</v>
      </c>
      <c r="I33" s="356" t="s">
        <v>221</v>
      </c>
      <c r="J33" s="375" t="s">
        <v>222</v>
      </c>
      <c r="K33" s="379"/>
      <c r="L33" s="184" t="s">
        <v>38</v>
      </c>
      <c r="M33" s="199" t="str">
        <f t="shared" si="0"/>
        <v>Yes</v>
      </c>
      <c r="N33" s="199">
        <v>3500000000</v>
      </c>
      <c r="O33" s="199"/>
      <c r="P33" s="380" t="s">
        <v>223</v>
      </c>
      <c r="Q33" s="391">
        <v>650000000</v>
      </c>
      <c r="R33" s="184"/>
      <c r="S33" s="199"/>
      <c r="T33" s="184"/>
      <c r="U33" s="184"/>
      <c r="V33" s="184"/>
      <c r="W33" s="184"/>
      <c r="X33" s="184"/>
      <c r="Y33" s="184"/>
      <c r="Z33" s="184"/>
      <c r="AA33" s="396" t="s">
        <v>49</v>
      </c>
      <c r="AB33" s="376" t="s">
        <v>39</v>
      </c>
      <c r="AC33" s="376"/>
      <c r="AD33" s="376" t="str">
        <f t="shared" si="7"/>
        <v>Industry</v>
      </c>
      <c r="AE33" s="376"/>
      <c r="AF33" s="376"/>
      <c r="AG33" s="376"/>
    </row>
    <row r="34" ht="12.75" spans="1:33">
      <c r="A34" s="353" t="s">
        <v>224</v>
      </c>
      <c r="B34" s="192" t="s">
        <v>32</v>
      </c>
      <c r="C34" s="359"/>
      <c r="D34" s="192" t="s">
        <v>71</v>
      </c>
      <c r="E34" s="192" t="s">
        <v>35</v>
      </c>
      <c r="F34" s="192" t="s">
        <v>225</v>
      </c>
      <c r="G34" s="354">
        <v>44680</v>
      </c>
      <c r="H34" s="363">
        <v>2022</v>
      </c>
      <c r="I34" s="353" t="s">
        <v>226</v>
      </c>
      <c r="J34" s="371" t="s">
        <v>227</v>
      </c>
      <c r="K34" s="236"/>
      <c r="L34" s="182" t="s">
        <v>38</v>
      </c>
      <c r="M34" s="197" t="str">
        <f t="shared" si="0"/>
        <v>Yes</v>
      </c>
      <c r="N34" s="197">
        <v>80000000000</v>
      </c>
      <c r="O34" s="197"/>
      <c r="P34" s="385"/>
      <c r="Q34" s="393"/>
      <c r="R34" s="182"/>
      <c r="S34" s="197"/>
      <c r="T34" s="182"/>
      <c r="U34" s="182"/>
      <c r="V34" s="182"/>
      <c r="W34" s="182"/>
      <c r="X34" s="182"/>
      <c r="Y34" s="182"/>
      <c r="Z34" s="182"/>
      <c r="AA34" s="399" t="s">
        <v>49</v>
      </c>
      <c r="AB34" s="372"/>
      <c r="AC34" s="372"/>
      <c r="AD34" s="372" t="str">
        <f t="shared" si="7"/>
        <v>Industry</v>
      </c>
      <c r="AE34" s="372"/>
      <c r="AF34" s="372"/>
      <c r="AG34" s="372"/>
    </row>
    <row r="35" ht="12.75" spans="1:33">
      <c r="A35" s="356" t="s">
        <v>228</v>
      </c>
      <c r="B35" s="215" t="s">
        <v>51</v>
      </c>
      <c r="C35" s="368"/>
      <c r="D35" s="215" t="s">
        <v>229</v>
      </c>
      <c r="E35" s="215" t="s">
        <v>35</v>
      </c>
      <c r="F35" s="215" t="s">
        <v>230</v>
      </c>
      <c r="G35" s="357">
        <v>44684</v>
      </c>
      <c r="H35" s="358">
        <v>2022</v>
      </c>
      <c r="I35" s="356" t="s">
        <v>231</v>
      </c>
      <c r="J35" s="375" t="s">
        <v>232</v>
      </c>
      <c r="K35" s="203"/>
      <c r="L35" s="205"/>
      <c r="M35" s="199" t="str">
        <f t="shared" si="0"/>
        <v>No</v>
      </c>
      <c r="N35" s="377">
        <v>7000000000</v>
      </c>
      <c r="O35" s="377"/>
      <c r="P35" s="378"/>
      <c r="Q35" s="203"/>
      <c r="R35" s="205"/>
      <c r="S35" s="205"/>
      <c r="T35" s="205"/>
      <c r="U35" s="205"/>
      <c r="V35" s="205"/>
      <c r="W35" s="205"/>
      <c r="X35" s="205"/>
      <c r="Y35" s="205"/>
      <c r="Z35" s="205"/>
      <c r="AA35" s="395" t="s">
        <v>49</v>
      </c>
      <c r="AB35" s="376"/>
      <c r="AC35" s="376"/>
      <c r="AD35" s="376" t="str">
        <f t="shared" si="7"/>
        <v>Industry</v>
      </c>
      <c r="AE35" s="376"/>
      <c r="AF35" s="376"/>
      <c r="AG35" s="376"/>
    </row>
    <row r="36" ht="12.75" spans="1:33">
      <c r="A36" s="353" t="s">
        <v>233</v>
      </c>
      <c r="B36" s="192" t="s">
        <v>51</v>
      </c>
      <c r="C36" s="359"/>
      <c r="D36" s="192" t="s">
        <v>53</v>
      </c>
      <c r="E36" s="192" t="s">
        <v>35</v>
      </c>
      <c r="F36" s="192" t="s">
        <v>234</v>
      </c>
      <c r="G36" s="354">
        <v>44691</v>
      </c>
      <c r="H36" s="355">
        <v>2022</v>
      </c>
      <c r="I36" s="353" t="s">
        <v>235</v>
      </c>
      <c r="J36" s="371" t="s">
        <v>236</v>
      </c>
      <c r="K36" s="373">
        <v>19</v>
      </c>
      <c r="L36" s="372" t="s">
        <v>38</v>
      </c>
      <c r="M36" s="197" t="str">
        <f t="shared" si="0"/>
        <v>Yes</v>
      </c>
      <c r="N36" s="373">
        <v>20000000000</v>
      </c>
      <c r="O36" s="373"/>
      <c r="P36" s="374"/>
      <c r="Q36" s="200"/>
      <c r="R36" s="204"/>
      <c r="S36" s="204"/>
      <c r="T36" s="204"/>
      <c r="U36" s="204"/>
      <c r="V36" s="204"/>
      <c r="W36" s="204"/>
      <c r="X36" s="204"/>
      <c r="Y36" s="204"/>
      <c r="Z36" s="204"/>
      <c r="AA36" s="394" t="s">
        <v>49</v>
      </c>
      <c r="AB36" s="372"/>
      <c r="AC36" s="372"/>
      <c r="AD36" s="372" t="str">
        <f t="shared" si="7"/>
        <v>Industry</v>
      </c>
      <c r="AE36" s="372"/>
      <c r="AF36" s="372"/>
      <c r="AG36" s="372"/>
    </row>
    <row r="37" ht="12.75" spans="1:33">
      <c r="A37" s="356" t="s">
        <v>237</v>
      </c>
      <c r="B37" s="215" t="s">
        <v>41</v>
      </c>
      <c r="C37" s="368"/>
      <c r="D37" s="215" t="s">
        <v>53</v>
      </c>
      <c r="E37" s="215" t="s">
        <v>35</v>
      </c>
      <c r="F37" s="215" t="s">
        <v>238</v>
      </c>
      <c r="G37" s="357">
        <v>44704</v>
      </c>
      <c r="H37" s="358">
        <v>2022</v>
      </c>
      <c r="I37" s="356" t="s">
        <v>239</v>
      </c>
      <c r="J37" s="375" t="s">
        <v>240</v>
      </c>
      <c r="K37" s="203"/>
      <c r="L37" s="205"/>
      <c r="M37" s="199" t="str">
        <f t="shared" si="0"/>
        <v>No</v>
      </c>
      <c r="N37" s="205"/>
      <c r="O37" s="203"/>
      <c r="P37" s="378"/>
      <c r="Q37" s="203"/>
      <c r="R37" s="205"/>
      <c r="S37" s="205"/>
      <c r="T37" s="205"/>
      <c r="U37" s="205"/>
      <c r="V37" s="205"/>
      <c r="W37" s="205"/>
      <c r="X37" s="205"/>
      <c r="Y37" s="205"/>
      <c r="Z37" s="205"/>
      <c r="AA37" s="395" t="s">
        <v>49</v>
      </c>
      <c r="AB37" s="376" t="s">
        <v>39</v>
      </c>
      <c r="AC37" s="376"/>
      <c r="AD37" s="376" t="str">
        <f t="shared" si="7"/>
        <v>Industry</v>
      </c>
      <c r="AE37" s="376"/>
      <c r="AF37" s="376"/>
      <c r="AG37" s="376"/>
    </row>
    <row r="38" ht="12.75" spans="1:33">
      <c r="A38" s="353" t="s">
        <v>241</v>
      </c>
      <c r="B38" s="192" t="s">
        <v>32</v>
      </c>
      <c r="C38" s="359"/>
      <c r="D38" s="192" t="s">
        <v>205</v>
      </c>
      <c r="E38" s="192" t="s">
        <v>35</v>
      </c>
      <c r="F38" s="192" t="s">
        <v>242</v>
      </c>
      <c r="G38" s="354">
        <v>44725</v>
      </c>
      <c r="H38" s="355">
        <v>2022</v>
      </c>
      <c r="I38" s="353" t="s">
        <v>243</v>
      </c>
      <c r="J38" s="371" t="s">
        <v>244</v>
      </c>
      <c r="K38" s="200"/>
      <c r="L38" s="372" t="s">
        <v>38</v>
      </c>
      <c r="M38" s="197" t="str">
        <f t="shared" si="0"/>
        <v>Yes</v>
      </c>
      <c r="N38" s="204"/>
      <c r="O38" s="200"/>
      <c r="P38" s="374"/>
      <c r="Q38" s="200"/>
      <c r="R38" s="204"/>
      <c r="S38" s="204"/>
      <c r="T38" s="204"/>
      <c r="U38" s="204"/>
      <c r="V38" s="204"/>
      <c r="W38" s="204"/>
      <c r="X38" s="204"/>
      <c r="Y38" s="204"/>
      <c r="Z38" s="204"/>
      <c r="AA38" s="394" t="s">
        <v>49</v>
      </c>
      <c r="AB38" s="372" t="s">
        <v>39</v>
      </c>
      <c r="AC38" s="372"/>
      <c r="AD38" s="372" t="str">
        <f t="shared" si="7"/>
        <v>Industry</v>
      </c>
      <c r="AE38" s="372"/>
      <c r="AF38" s="372"/>
      <c r="AG38" s="372"/>
    </row>
    <row r="39" ht="12.75" spans="1:33">
      <c r="A39" s="356" t="s">
        <v>245</v>
      </c>
      <c r="B39" s="215" t="s">
        <v>246</v>
      </c>
      <c r="C39" s="368"/>
      <c r="D39" s="215" t="s">
        <v>65</v>
      </c>
      <c r="E39" s="215" t="s">
        <v>35</v>
      </c>
      <c r="F39" s="215" t="s">
        <v>247</v>
      </c>
      <c r="G39" s="357">
        <v>44833</v>
      </c>
      <c r="H39" s="358">
        <v>2022</v>
      </c>
      <c r="I39" s="356" t="s">
        <v>248</v>
      </c>
      <c r="J39" s="375" t="s">
        <v>249</v>
      </c>
      <c r="K39" s="203"/>
      <c r="L39" s="376" t="s">
        <v>38</v>
      </c>
      <c r="M39" s="199" t="str">
        <f t="shared" si="0"/>
        <v>Yes</v>
      </c>
      <c r="N39" s="205"/>
      <c r="O39" s="203"/>
      <c r="P39" s="378"/>
      <c r="Q39" s="203"/>
      <c r="R39" s="205"/>
      <c r="S39" s="205"/>
      <c r="T39" s="205"/>
      <c r="U39" s="205"/>
      <c r="V39" s="205"/>
      <c r="W39" s="205"/>
      <c r="X39" s="205"/>
      <c r="Y39" s="205"/>
      <c r="Z39" s="205"/>
      <c r="AA39" s="395" t="s">
        <v>49</v>
      </c>
      <c r="AB39" s="376" t="s">
        <v>39</v>
      </c>
      <c r="AC39" s="376"/>
      <c r="AD39" s="376"/>
      <c r="AE39" s="376"/>
      <c r="AF39" s="376"/>
      <c r="AG39" s="376"/>
    </row>
    <row r="40" ht="12.75" spans="1:33">
      <c r="A40" s="353" t="s">
        <v>250</v>
      </c>
      <c r="B40" s="192" t="s">
        <v>51</v>
      </c>
      <c r="C40" s="192" t="s">
        <v>33</v>
      </c>
      <c r="D40" s="192" t="s">
        <v>65</v>
      </c>
      <c r="E40" s="192" t="s">
        <v>35</v>
      </c>
      <c r="F40" s="192" t="s">
        <v>251</v>
      </c>
      <c r="G40" s="354">
        <v>44880</v>
      </c>
      <c r="H40" s="355">
        <v>2022</v>
      </c>
      <c r="I40" s="353" t="s">
        <v>252</v>
      </c>
      <c r="J40" s="371" t="s">
        <v>253</v>
      </c>
      <c r="K40" s="200"/>
      <c r="L40" s="204"/>
      <c r="M40" s="197" t="str">
        <f t="shared" si="0"/>
        <v>No</v>
      </c>
      <c r="N40" s="373">
        <v>120000000000</v>
      </c>
      <c r="O40" s="200"/>
      <c r="P40" s="381" t="s">
        <v>254</v>
      </c>
      <c r="Q40" s="200"/>
      <c r="R40" s="204"/>
      <c r="S40" s="204"/>
      <c r="T40" s="204"/>
      <c r="U40" s="204"/>
      <c r="V40" s="204"/>
      <c r="W40" s="204"/>
      <c r="X40" s="204"/>
      <c r="Y40" s="204"/>
      <c r="Z40" s="204"/>
      <c r="AA40" s="394" t="s">
        <v>49</v>
      </c>
      <c r="AB40" s="372" t="s">
        <v>39</v>
      </c>
      <c r="AC40" s="372"/>
      <c r="AD40" s="372"/>
      <c r="AE40" s="372"/>
      <c r="AF40" s="372"/>
      <c r="AG40" s="372"/>
    </row>
    <row r="41" ht="12.75" spans="1:33">
      <c r="A41" s="356" t="s">
        <v>255</v>
      </c>
      <c r="B41" s="215" t="s">
        <v>256</v>
      </c>
      <c r="C41" s="215" t="s">
        <v>257</v>
      </c>
      <c r="D41" s="215" t="s">
        <v>65</v>
      </c>
      <c r="E41" s="215" t="s">
        <v>35</v>
      </c>
      <c r="F41" s="215"/>
      <c r="G41" s="357">
        <v>44887</v>
      </c>
      <c r="H41" s="358">
        <v>2022</v>
      </c>
      <c r="I41" s="356" t="s">
        <v>258</v>
      </c>
      <c r="J41" s="375" t="s">
        <v>259</v>
      </c>
      <c r="K41" s="203"/>
      <c r="L41" s="205"/>
      <c r="M41" s="199" t="str">
        <f t="shared" si="0"/>
        <v>No</v>
      </c>
      <c r="N41" s="377"/>
      <c r="O41" s="203"/>
      <c r="P41" s="383" t="s">
        <v>260</v>
      </c>
      <c r="Q41" s="203"/>
      <c r="R41" s="205"/>
      <c r="S41" s="205"/>
      <c r="T41" s="205"/>
      <c r="U41" s="205"/>
      <c r="V41" s="205"/>
      <c r="W41" s="205"/>
      <c r="X41" s="205"/>
      <c r="Y41" s="205"/>
      <c r="Z41" s="205"/>
      <c r="AA41" s="395" t="s">
        <v>49</v>
      </c>
      <c r="AB41" s="376"/>
      <c r="AC41" s="376"/>
      <c r="AD41" s="376"/>
      <c r="AE41" s="376"/>
      <c r="AF41" s="376"/>
      <c r="AG41" s="376"/>
    </row>
    <row r="42" ht="12.75" spans="1:33">
      <c r="A42" s="353" t="s">
        <v>261</v>
      </c>
      <c r="B42" s="192" t="s">
        <v>41</v>
      </c>
      <c r="C42" s="192" t="s">
        <v>42</v>
      </c>
      <c r="D42" s="192" t="s">
        <v>262</v>
      </c>
      <c r="E42" s="192" t="s">
        <v>35</v>
      </c>
      <c r="F42" s="192" t="s">
        <v>263</v>
      </c>
      <c r="G42" s="367">
        <v>44839</v>
      </c>
      <c r="H42" s="363">
        <v>2022</v>
      </c>
      <c r="I42" s="353" t="s">
        <v>264</v>
      </c>
      <c r="J42" s="371" t="s">
        <v>265</v>
      </c>
      <c r="K42" s="238"/>
      <c r="L42" s="182"/>
      <c r="M42" s="197" t="s">
        <v>48</v>
      </c>
      <c r="N42" s="197">
        <v>11600000000</v>
      </c>
      <c r="O42" s="389"/>
      <c r="P42" s="385"/>
      <c r="Q42" s="197"/>
      <c r="R42" s="182"/>
      <c r="S42" s="197"/>
      <c r="T42" s="182"/>
      <c r="U42" s="182"/>
      <c r="V42" s="182"/>
      <c r="W42" s="182"/>
      <c r="X42" s="182"/>
      <c r="Y42" s="182"/>
      <c r="Z42" s="182"/>
      <c r="AA42" s="399" t="s">
        <v>49</v>
      </c>
      <c r="AB42" s="372"/>
      <c r="AC42" s="372"/>
      <c r="AD42" s="372"/>
      <c r="AE42" s="372"/>
      <c r="AF42" s="372"/>
      <c r="AG42" s="372"/>
    </row>
    <row r="43" ht="12.75" spans="1:33">
      <c r="A43" s="356" t="s">
        <v>266</v>
      </c>
      <c r="B43" s="215" t="s">
        <v>51</v>
      </c>
      <c r="C43" s="215" t="s">
        <v>267</v>
      </c>
      <c r="D43" s="215" t="s">
        <v>268</v>
      </c>
      <c r="E43" s="215" t="s">
        <v>44</v>
      </c>
      <c r="F43" s="215" t="s">
        <v>269</v>
      </c>
      <c r="G43" s="361">
        <v>44295</v>
      </c>
      <c r="H43" s="360">
        <f t="shared" ref="H43:H47" si="8">IF(INT(RIGHT(G43,4))&lt;1,"",INT(RIGHT(G43,4)))</f>
        <v>4295</v>
      </c>
      <c r="I43" s="356" t="s">
        <v>270</v>
      </c>
      <c r="J43" s="375" t="s">
        <v>271</v>
      </c>
      <c r="K43" s="379">
        <f>43+65</f>
        <v>108</v>
      </c>
      <c r="L43" s="184"/>
      <c r="M43" s="199" t="str">
        <f t="shared" ref="M43:M538" si="9">IFERROR(_xlfn.IFS(K43&gt;=1000,"Yes",NOT(ISBLANK(L43)),"Yes",,"No"),"No")</f>
        <v>No</v>
      </c>
      <c r="N43" s="199">
        <v>1000000000000</v>
      </c>
      <c r="O43" s="199"/>
      <c r="P43" s="380"/>
      <c r="Q43" s="199"/>
      <c r="R43" s="184"/>
      <c r="S43" s="199"/>
      <c r="T43" s="184"/>
      <c r="U43" s="184"/>
      <c r="V43" s="184"/>
      <c r="W43" s="184"/>
      <c r="X43" s="184"/>
      <c r="Y43" s="184"/>
      <c r="Z43" s="184"/>
      <c r="AA43" s="396" t="s">
        <v>49</v>
      </c>
      <c r="AB43" s="376" t="s">
        <v>39</v>
      </c>
      <c r="AC43" s="376"/>
      <c r="AD43" s="376" t="str">
        <f t="shared" ref="AD43:AD47" si="10">_xlfn.IFS($E43="Academia","Academia",$E43="Research Collective","TO MANUALLY ADJUST",TRUE,"Industry")</f>
        <v>Industry</v>
      </c>
      <c r="AE43" s="376"/>
      <c r="AF43" s="376"/>
      <c r="AG43" s="376"/>
    </row>
    <row r="44" ht="12.75" spans="1:33">
      <c r="A44" s="353" t="s">
        <v>272</v>
      </c>
      <c r="B44" s="192" t="s">
        <v>51</v>
      </c>
      <c r="C44" s="192"/>
      <c r="D44" s="192" t="s">
        <v>273</v>
      </c>
      <c r="E44" s="192" t="s">
        <v>35</v>
      </c>
      <c r="F44" s="192" t="s">
        <v>274</v>
      </c>
      <c r="G44" s="367">
        <v>44480</v>
      </c>
      <c r="H44" s="363">
        <f t="shared" si="8"/>
        <v>4480</v>
      </c>
      <c r="I44" s="353" t="s">
        <v>275</v>
      </c>
      <c r="J44" s="371" t="s">
        <v>276</v>
      </c>
      <c r="K44" s="238">
        <v>114</v>
      </c>
      <c r="L44" s="182"/>
      <c r="M44" s="197" t="str">
        <f t="shared" si="9"/>
        <v>No</v>
      </c>
      <c r="N44" s="197">
        <f>530000000000</f>
        <v>530000000000</v>
      </c>
      <c r="O44" s="197">
        <f>1.3542E+24</f>
        <v>1.3542e+24</v>
      </c>
      <c r="P44" s="385"/>
      <c r="Q44" s="197">
        <f>270000000000*0.75</f>
        <v>202500000000</v>
      </c>
      <c r="R44" s="182"/>
      <c r="S44" s="197"/>
      <c r="T44" s="182"/>
      <c r="U44" s="182"/>
      <c r="V44" s="182"/>
      <c r="W44" s="182"/>
      <c r="X44" s="182"/>
      <c r="Y44" s="182"/>
      <c r="Z44" s="182"/>
      <c r="AA44" s="399">
        <v>3046994.0871934</v>
      </c>
      <c r="AB44" s="372" t="s">
        <v>39</v>
      </c>
      <c r="AC44" s="372"/>
      <c r="AD44" s="372" t="str">
        <f t="shared" si="10"/>
        <v>Industry</v>
      </c>
      <c r="AE44" s="372" t="s">
        <v>277</v>
      </c>
      <c r="AF44" s="372"/>
      <c r="AG44" s="372"/>
    </row>
    <row r="45" ht="12.75" spans="1:33">
      <c r="A45" s="356" t="s">
        <v>278</v>
      </c>
      <c r="B45" s="215" t="s">
        <v>51</v>
      </c>
      <c r="C45" s="215" t="s">
        <v>33</v>
      </c>
      <c r="D45" s="215" t="s">
        <v>71</v>
      </c>
      <c r="E45" s="215" t="s">
        <v>35</v>
      </c>
      <c r="F45" s="215" t="s">
        <v>279</v>
      </c>
      <c r="G45" s="361">
        <v>44538</v>
      </c>
      <c r="H45" s="360">
        <f t="shared" si="8"/>
        <v>4538</v>
      </c>
      <c r="I45" s="356" t="s">
        <v>280</v>
      </c>
      <c r="J45" s="375" t="s">
        <v>281</v>
      </c>
      <c r="K45" s="384">
        <v>176</v>
      </c>
      <c r="L45" s="184"/>
      <c r="M45" s="199" t="str">
        <f t="shared" si="9"/>
        <v>No</v>
      </c>
      <c r="N45" s="199">
        <v>280000000000</v>
      </c>
      <c r="O45" s="199">
        <f>631000000*1000000000000000</f>
        <v>6.31e+23</v>
      </c>
      <c r="P45" s="380"/>
      <c r="Q45" s="391">
        <f>300000000000*0.75</f>
        <v>225000000000</v>
      </c>
      <c r="R45" s="184"/>
      <c r="S45" s="199"/>
      <c r="T45" s="184"/>
      <c r="U45" s="184"/>
      <c r="V45" s="184"/>
      <c r="W45" s="184"/>
      <c r="X45" s="184"/>
      <c r="Y45" s="184"/>
      <c r="Z45" s="184"/>
      <c r="AA45" s="396">
        <v>891638.804314709</v>
      </c>
      <c r="AB45" s="376" t="s">
        <v>39</v>
      </c>
      <c r="AC45" s="376"/>
      <c r="AD45" s="376" t="str">
        <f t="shared" si="10"/>
        <v>Industry</v>
      </c>
      <c r="AE45" s="376" t="s">
        <v>282</v>
      </c>
      <c r="AF45" s="376"/>
      <c r="AG45" s="376"/>
    </row>
    <row r="46" ht="12.75" spans="1:33">
      <c r="A46" s="353" t="s">
        <v>283</v>
      </c>
      <c r="B46" s="192" t="s">
        <v>51</v>
      </c>
      <c r="C46" s="192"/>
      <c r="D46" s="192" t="s">
        <v>284</v>
      </c>
      <c r="E46" s="192" t="s">
        <v>35</v>
      </c>
      <c r="F46" s="192" t="s">
        <v>285</v>
      </c>
      <c r="G46" s="367">
        <v>44481</v>
      </c>
      <c r="H46" s="363">
        <f t="shared" si="8"/>
        <v>4481</v>
      </c>
      <c r="I46" s="353" t="s">
        <v>286</v>
      </c>
      <c r="J46" s="371" t="s">
        <v>287</v>
      </c>
      <c r="K46" s="238">
        <v>12</v>
      </c>
      <c r="L46" s="182"/>
      <c r="M46" s="197" t="str">
        <f t="shared" si="9"/>
        <v>No</v>
      </c>
      <c r="N46" s="197">
        <f>245000000000</f>
        <v>245000000000</v>
      </c>
      <c r="O46" s="197">
        <v>4.097e+23</v>
      </c>
      <c r="P46" s="385"/>
      <c r="Q46" s="393">
        <f>5000*167*10^6</f>
        <v>835000000000</v>
      </c>
      <c r="R46" s="182"/>
      <c r="S46" s="197"/>
      <c r="T46" s="182"/>
      <c r="U46" s="182"/>
      <c r="V46" s="182"/>
      <c r="W46" s="182"/>
      <c r="X46" s="182"/>
      <c r="Y46" s="182"/>
      <c r="Z46" s="182"/>
      <c r="AA46" s="399">
        <v>606364.74789733</v>
      </c>
      <c r="AB46" s="372" t="s">
        <v>39</v>
      </c>
      <c r="AC46" s="372"/>
      <c r="AD46" s="372" t="str">
        <f t="shared" si="10"/>
        <v>Industry</v>
      </c>
      <c r="AE46" s="372" t="s">
        <v>288</v>
      </c>
      <c r="AF46" s="372"/>
      <c r="AG46" s="372"/>
    </row>
    <row r="47" ht="12.75" spans="1:33">
      <c r="A47" s="356" t="s">
        <v>289</v>
      </c>
      <c r="B47" s="215" t="s">
        <v>51</v>
      </c>
      <c r="C47" s="215"/>
      <c r="D47" s="215" t="s">
        <v>290</v>
      </c>
      <c r="E47" s="215" t="s">
        <v>35</v>
      </c>
      <c r="F47" s="215" t="s">
        <v>291</v>
      </c>
      <c r="G47" s="361">
        <v>44419</v>
      </c>
      <c r="H47" s="360">
        <f t="shared" si="8"/>
        <v>4419</v>
      </c>
      <c r="I47" s="356" t="s">
        <v>292</v>
      </c>
      <c r="J47" s="375" t="s">
        <v>293</v>
      </c>
      <c r="K47" s="384">
        <v>55</v>
      </c>
      <c r="L47" s="184"/>
      <c r="M47" s="199" t="str">
        <f t="shared" si="9"/>
        <v>No</v>
      </c>
      <c r="N47" s="199">
        <v>178000000000</v>
      </c>
      <c r="O47" s="199">
        <v>3.7e+23</v>
      </c>
      <c r="P47" s="380"/>
      <c r="Q47" s="391">
        <f>300000000000*0.75</f>
        <v>225000000000</v>
      </c>
      <c r="R47" s="184"/>
      <c r="S47" s="199"/>
      <c r="T47" s="184"/>
      <c r="U47" s="184"/>
      <c r="V47" s="184"/>
      <c r="W47" s="184"/>
      <c r="X47" s="184"/>
      <c r="Y47" s="184"/>
      <c r="Z47" s="184"/>
      <c r="AA47" s="396">
        <v>805277.008758257</v>
      </c>
      <c r="AB47" s="376" t="s">
        <v>39</v>
      </c>
      <c r="AC47" s="376"/>
      <c r="AD47" s="376" t="str">
        <f t="shared" si="10"/>
        <v>Industry</v>
      </c>
      <c r="AE47" s="376" t="s">
        <v>294</v>
      </c>
      <c r="AF47" s="376"/>
      <c r="AG47" s="376"/>
    </row>
    <row r="48" ht="12.75" spans="1:33">
      <c r="A48" s="353" t="s">
        <v>295</v>
      </c>
      <c r="B48" s="192" t="s">
        <v>51</v>
      </c>
      <c r="C48" s="192" t="s">
        <v>33</v>
      </c>
      <c r="D48" s="192" t="s">
        <v>284</v>
      </c>
      <c r="E48" s="192" t="s">
        <v>35</v>
      </c>
      <c r="F48" s="192"/>
      <c r="G48" s="362">
        <v>44510</v>
      </c>
      <c r="H48" s="355">
        <v>2021</v>
      </c>
      <c r="I48" s="192"/>
      <c r="J48" s="371" t="s">
        <v>296</v>
      </c>
      <c r="K48" s="373"/>
      <c r="L48" s="372"/>
      <c r="M48" s="197" t="str">
        <f t="shared" si="9"/>
        <v>No</v>
      </c>
      <c r="N48" s="242">
        <v>245700000000</v>
      </c>
      <c r="O48" s="242">
        <f>4095*10^15*24*3600</f>
        <v>3.53808e+23</v>
      </c>
      <c r="P48" s="381"/>
      <c r="Q48" s="373"/>
      <c r="R48" s="372"/>
      <c r="S48" s="372"/>
      <c r="T48" s="372"/>
      <c r="U48" s="372"/>
      <c r="V48" s="372"/>
      <c r="W48" s="372"/>
      <c r="X48" s="372"/>
      <c r="Y48" s="372"/>
      <c r="Z48" s="372"/>
      <c r="AA48" s="397" t="s">
        <v>49</v>
      </c>
      <c r="AB48" s="372"/>
      <c r="AC48" s="372"/>
      <c r="AD48" s="372"/>
      <c r="AE48" s="372"/>
      <c r="AF48" s="372"/>
      <c r="AG48" s="372"/>
    </row>
    <row r="49" ht="12.75" spans="1:33">
      <c r="A49" s="356" t="s">
        <v>297</v>
      </c>
      <c r="B49" s="215" t="s">
        <v>32</v>
      </c>
      <c r="C49" s="215" t="s">
        <v>298</v>
      </c>
      <c r="D49" s="215" t="s">
        <v>299</v>
      </c>
      <c r="E49" s="215" t="s">
        <v>35</v>
      </c>
      <c r="F49" s="215" t="s">
        <v>300</v>
      </c>
      <c r="G49" s="361">
        <v>44358</v>
      </c>
      <c r="H49" s="360">
        <f t="shared" ref="H49:H55" si="11">IF(INT(RIGHT(G49,4))&lt;1,"",INT(RIGHT(G49,4)))</f>
        <v>4358</v>
      </c>
      <c r="I49" s="356" t="s">
        <v>301</v>
      </c>
      <c r="J49" s="375" t="s">
        <v>302</v>
      </c>
      <c r="K49" s="384">
        <v>641</v>
      </c>
      <c r="L49" s="184"/>
      <c r="M49" s="199" t="str">
        <f t="shared" si="9"/>
        <v>No</v>
      </c>
      <c r="N49" s="199">
        <v>820000000</v>
      </c>
      <c r="O49" s="199">
        <v>2.15e+23</v>
      </c>
      <c r="P49" s="380"/>
      <c r="Q49" s="199">
        <v>1600000000</v>
      </c>
      <c r="R49" s="184"/>
      <c r="S49" s="199"/>
      <c r="T49" s="184"/>
      <c r="U49" s="184"/>
      <c r="V49" s="184"/>
      <c r="W49" s="184"/>
      <c r="X49" s="184"/>
      <c r="Y49" s="184"/>
      <c r="Z49" s="184"/>
      <c r="AA49" s="396">
        <v>357760.32532239</v>
      </c>
      <c r="AB49" s="376" t="s">
        <v>39</v>
      </c>
      <c r="AC49" s="376"/>
      <c r="AD49" s="376" t="str">
        <f t="shared" ref="AD49:AD55" si="12">_xlfn.IFS($E49="Academia","Academia",$E49="Research Collective","TO MANUALLY ADJUST",TRUE,"Industry")</f>
        <v>Industry</v>
      </c>
      <c r="AE49" s="376" t="s">
        <v>303</v>
      </c>
      <c r="AF49" s="376"/>
      <c r="AG49" s="376"/>
    </row>
    <row r="50" ht="12.75" spans="1:33">
      <c r="A50" s="353" t="s">
        <v>304</v>
      </c>
      <c r="B50" s="192" t="s">
        <v>41</v>
      </c>
      <c r="C50" s="192" t="s">
        <v>305</v>
      </c>
      <c r="D50" s="192" t="s">
        <v>306</v>
      </c>
      <c r="E50" s="192" t="s">
        <v>35</v>
      </c>
      <c r="F50" s="192" t="s">
        <v>307</v>
      </c>
      <c r="G50" s="367">
        <v>44256</v>
      </c>
      <c r="H50" s="363">
        <f t="shared" si="11"/>
        <v>4256</v>
      </c>
      <c r="I50" s="353" t="s">
        <v>308</v>
      </c>
      <c r="J50" s="371" t="s">
        <v>309</v>
      </c>
      <c r="K50" s="238">
        <v>393</v>
      </c>
      <c r="L50" s="182" t="s">
        <v>38</v>
      </c>
      <c r="M50" s="197" t="str">
        <f t="shared" si="9"/>
        <v>Yes</v>
      </c>
      <c r="N50" s="197">
        <v>480000000</v>
      </c>
      <c r="O50" s="197">
        <v>2.12e+23</v>
      </c>
      <c r="P50" s="385" t="s">
        <v>184</v>
      </c>
      <c r="Q50" s="197">
        <v>130000000</v>
      </c>
      <c r="R50" s="182"/>
      <c r="S50" s="197"/>
      <c r="T50" s="182"/>
      <c r="U50" s="182"/>
      <c r="V50" s="182"/>
      <c r="W50" s="182"/>
      <c r="X50" s="182"/>
      <c r="Y50" s="182"/>
      <c r="Z50" s="182"/>
      <c r="AA50" s="399">
        <v>369462.818207485</v>
      </c>
      <c r="AB50" s="372" t="s">
        <v>39</v>
      </c>
      <c r="AC50" s="372"/>
      <c r="AD50" s="372" t="str">
        <f t="shared" si="12"/>
        <v>Industry</v>
      </c>
      <c r="AE50" s="372" t="s">
        <v>310</v>
      </c>
      <c r="AF50" s="372"/>
      <c r="AG50" s="372"/>
    </row>
    <row r="51" ht="12.75" spans="1:33">
      <c r="A51" s="356" t="s">
        <v>311</v>
      </c>
      <c r="B51" s="215" t="s">
        <v>51</v>
      </c>
      <c r="C51" s="215" t="s">
        <v>267</v>
      </c>
      <c r="D51" s="215" t="s">
        <v>262</v>
      </c>
      <c r="E51" s="215" t="s">
        <v>35</v>
      </c>
      <c r="F51" s="215" t="s">
        <v>312</v>
      </c>
      <c r="G51" s="361">
        <v>44207</v>
      </c>
      <c r="H51" s="360">
        <f t="shared" si="11"/>
        <v>4207</v>
      </c>
      <c r="I51" s="356" t="s">
        <v>313</v>
      </c>
      <c r="J51" s="375" t="s">
        <v>314</v>
      </c>
      <c r="K51" s="384">
        <v>511</v>
      </c>
      <c r="L51" s="184"/>
      <c r="M51" s="199" t="str">
        <f t="shared" si="9"/>
        <v>No</v>
      </c>
      <c r="N51" s="199">
        <v>1600000000000</v>
      </c>
      <c r="O51" s="199">
        <v>8.22e+22</v>
      </c>
      <c r="P51" s="380"/>
      <c r="Q51" s="391">
        <f>576*10^9*0.75</f>
        <v>432000000000</v>
      </c>
      <c r="R51" s="184"/>
      <c r="S51" s="199"/>
      <c r="T51" s="184"/>
      <c r="U51" s="184"/>
      <c r="V51" s="184"/>
      <c r="W51" s="184"/>
      <c r="X51" s="184"/>
      <c r="Y51" s="184"/>
      <c r="Z51" s="184"/>
      <c r="AA51" s="396">
        <v>149825.603595328</v>
      </c>
      <c r="AB51" s="376" t="s">
        <v>39</v>
      </c>
      <c r="AC51" s="376" t="s">
        <v>315</v>
      </c>
      <c r="AD51" s="376" t="str">
        <f t="shared" si="12"/>
        <v>Industry</v>
      </c>
      <c r="AE51" s="376" t="s">
        <v>316</v>
      </c>
      <c r="AF51" s="376"/>
      <c r="AG51" s="376"/>
    </row>
    <row r="52" ht="12.75" spans="1:33">
      <c r="A52" s="353" t="s">
        <v>317</v>
      </c>
      <c r="B52" s="192" t="s">
        <v>256</v>
      </c>
      <c r="C52" s="192" t="s">
        <v>318</v>
      </c>
      <c r="D52" s="192" t="s">
        <v>71</v>
      </c>
      <c r="E52" s="192" t="s">
        <v>35</v>
      </c>
      <c r="F52" s="192" t="s">
        <v>319</v>
      </c>
      <c r="G52" s="367">
        <v>44404</v>
      </c>
      <c r="H52" s="363">
        <f t="shared" si="11"/>
        <v>4404</v>
      </c>
      <c r="I52" s="353" t="s">
        <v>320</v>
      </c>
      <c r="J52" s="371" t="s">
        <v>321</v>
      </c>
      <c r="K52" s="238">
        <v>64</v>
      </c>
      <c r="L52" s="182"/>
      <c r="M52" s="197" t="str">
        <f t="shared" si="9"/>
        <v>No</v>
      </c>
      <c r="N52" s="197">
        <v>3500000</v>
      </c>
      <c r="O52" s="197">
        <v>7.8e+22</v>
      </c>
      <c r="P52" s="385" t="s">
        <v>322</v>
      </c>
      <c r="Q52" s="197">
        <v>390000000000</v>
      </c>
      <c r="R52" s="182"/>
      <c r="S52" s="197"/>
      <c r="T52" s="182"/>
      <c r="U52" s="182"/>
      <c r="V52" s="182"/>
      <c r="W52" s="204"/>
      <c r="X52" s="182"/>
      <c r="Y52" s="182"/>
      <c r="Z52" s="182"/>
      <c r="AA52" s="399">
        <v>122418.966962561</v>
      </c>
      <c r="AB52" s="372" t="s">
        <v>39</v>
      </c>
      <c r="AC52" s="372"/>
      <c r="AD52" s="372" t="str">
        <f t="shared" si="12"/>
        <v>Industry</v>
      </c>
      <c r="AE52" s="372" t="s">
        <v>323</v>
      </c>
      <c r="AF52" s="372"/>
      <c r="AG52" s="372"/>
    </row>
    <row r="53" ht="12.75" spans="1:33">
      <c r="A53" s="356" t="s">
        <v>324</v>
      </c>
      <c r="B53" s="215" t="s">
        <v>199</v>
      </c>
      <c r="C53" s="215" t="s">
        <v>325</v>
      </c>
      <c r="D53" s="215" t="s">
        <v>326</v>
      </c>
      <c r="E53" s="215" t="s">
        <v>327</v>
      </c>
      <c r="F53" s="215" t="s">
        <v>328</v>
      </c>
      <c r="G53" s="361">
        <v>44320</v>
      </c>
      <c r="H53" s="360">
        <f t="shared" si="11"/>
        <v>4320</v>
      </c>
      <c r="I53" s="356" t="s">
        <v>329</v>
      </c>
      <c r="J53" s="375" t="s">
        <v>330</v>
      </c>
      <c r="K53" s="384">
        <v>396</v>
      </c>
      <c r="L53" s="184"/>
      <c r="M53" s="199" t="str">
        <f t="shared" si="9"/>
        <v>No</v>
      </c>
      <c r="N53" s="199">
        <v>11000000000</v>
      </c>
      <c r="O53" s="199">
        <v>7.37e+22</v>
      </c>
      <c r="P53" s="380" t="s">
        <v>331</v>
      </c>
      <c r="Q53" s="391">
        <f>393*10^9</f>
        <v>393000000000</v>
      </c>
      <c r="R53" s="184"/>
      <c r="S53" s="199"/>
      <c r="T53" s="184"/>
      <c r="U53" s="184"/>
      <c r="V53" s="184"/>
      <c r="W53" s="184"/>
      <c r="X53" s="184"/>
      <c r="Y53" s="184"/>
      <c r="Z53" s="184"/>
      <c r="AA53" s="396">
        <v>123918.362790999</v>
      </c>
      <c r="AB53" s="376" t="s">
        <v>39</v>
      </c>
      <c r="AC53" s="376"/>
      <c r="AD53" s="376" t="str">
        <f t="shared" si="12"/>
        <v>Industry</v>
      </c>
      <c r="AE53" s="376" t="s">
        <v>332</v>
      </c>
      <c r="AF53" s="376"/>
      <c r="AG53" s="376"/>
    </row>
    <row r="54" ht="12.75" spans="1:33">
      <c r="A54" s="353" t="s">
        <v>333</v>
      </c>
      <c r="B54" s="192" t="s">
        <v>51</v>
      </c>
      <c r="C54" s="192"/>
      <c r="D54" s="192" t="s">
        <v>334</v>
      </c>
      <c r="E54" s="192" t="s">
        <v>35</v>
      </c>
      <c r="F54" s="192"/>
      <c r="G54" s="354">
        <v>44341</v>
      </c>
      <c r="H54" s="363">
        <f t="shared" si="11"/>
        <v>4341</v>
      </c>
      <c r="I54" s="353" t="s">
        <v>335</v>
      </c>
      <c r="J54" s="371" t="s">
        <v>336</v>
      </c>
      <c r="K54" s="236"/>
      <c r="L54" s="182"/>
      <c r="M54" s="197" t="str">
        <f t="shared" si="9"/>
        <v>No</v>
      </c>
      <c r="N54" s="197">
        <v>204000000000</v>
      </c>
      <c r="O54" s="197">
        <v>6.3e+22</v>
      </c>
      <c r="P54" s="385"/>
      <c r="Q54" s="393">
        <v>560000000000</v>
      </c>
      <c r="R54" s="182"/>
      <c r="S54" s="197"/>
      <c r="T54" s="182"/>
      <c r="U54" s="182"/>
      <c r="V54" s="182"/>
      <c r="W54" s="182"/>
      <c r="X54" s="182"/>
      <c r="Y54" s="182"/>
      <c r="Z54" s="182"/>
      <c r="AA54" s="399">
        <v>103802.314398667</v>
      </c>
      <c r="AB54" s="372" t="s">
        <v>39</v>
      </c>
      <c r="AC54" s="372"/>
      <c r="AD54" s="372" t="str">
        <f t="shared" si="12"/>
        <v>Industry</v>
      </c>
      <c r="AE54" s="372"/>
      <c r="AF54" s="372"/>
      <c r="AG54" s="372"/>
    </row>
    <row r="55" ht="12.75" spans="1:33">
      <c r="A55" s="356" t="s">
        <v>337</v>
      </c>
      <c r="B55" s="215" t="s">
        <v>51</v>
      </c>
      <c r="C55" s="215"/>
      <c r="D55" s="215" t="s">
        <v>338</v>
      </c>
      <c r="E55" s="215" t="s">
        <v>35</v>
      </c>
      <c r="F55" s="215" t="s">
        <v>339</v>
      </c>
      <c r="G55" s="361">
        <v>44311</v>
      </c>
      <c r="H55" s="360">
        <f t="shared" si="11"/>
        <v>4311</v>
      </c>
      <c r="I55" s="356" t="s">
        <v>340</v>
      </c>
      <c r="J55" s="375" t="s">
        <v>341</v>
      </c>
      <c r="K55" s="384">
        <v>65</v>
      </c>
      <c r="L55" s="184"/>
      <c r="M55" s="199" t="str">
        <f t="shared" si="9"/>
        <v>No</v>
      </c>
      <c r="N55" s="199">
        <v>207000000000</v>
      </c>
      <c r="O55" s="199">
        <v>5.83e+22</v>
      </c>
      <c r="P55" s="380" t="s">
        <v>342</v>
      </c>
      <c r="Q55" s="391">
        <f>1000*200*10^6</f>
        <v>200000000000</v>
      </c>
      <c r="R55" s="184"/>
      <c r="S55" s="199"/>
      <c r="T55" s="184"/>
      <c r="U55" s="184"/>
      <c r="V55" s="184"/>
      <c r="W55" s="184"/>
      <c r="X55" s="184"/>
      <c r="Y55" s="184"/>
      <c r="Z55" s="184"/>
      <c r="AA55" s="396">
        <v>97802.0583215743</v>
      </c>
      <c r="AB55" s="376" t="s">
        <v>39</v>
      </c>
      <c r="AC55" s="376" t="s">
        <v>343</v>
      </c>
      <c r="AD55" s="376" t="str">
        <f t="shared" si="12"/>
        <v>Industry</v>
      </c>
      <c r="AE55" s="376" t="s">
        <v>344</v>
      </c>
      <c r="AF55" s="376"/>
      <c r="AG55" s="376"/>
    </row>
    <row r="56" spans="1:33">
      <c r="A56" s="353" t="s">
        <v>345</v>
      </c>
      <c r="B56" s="192" t="s">
        <v>51</v>
      </c>
      <c r="C56" s="192" t="s">
        <v>33</v>
      </c>
      <c r="D56" s="192" t="s">
        <v>53</v>
      </c>
      <c r="E56" s="192" t="s">
        <v>35</v>
      </c>
      <c r="F56" s="192" t="s">
        <v>346</v>
      </c>
      <c r="G56" s="369">
        <v>44264</v>
      </c>
      <c r="H56" s="355">
        <v>2021</v>
      </c>
      <c r="I56" s="192" t="s">
        <v>347</v>
      </c>
      <c r="J56" s="371" t="s">
        <v>348</v>
      </c>
      <c r="K56" s="373">
        <v>240</v>
      </c>
      <c r="L56" s="372"/>
      <c r="M56" s="197" t="str">
        <f t="shared" si="9"/>
        <v>No</v>
      </c>
      <c r="N56" s="242">
        <v>137000000000</v>
      </c>
      <c r="O56" s="242">
        <f>(960000000000000000000/0.02)*1.02</f>
        <v>4.896e+22</v>
      </c>
      <c r="P56" s="381"/>
      <c r="Q56" s="373">
        <v>1870000000000</v>
      </c>
      <c r="R56" s="372"/>
      <c r="S56" s="372"/>
      <c r="T56" s="372"/>
      <c r="U56" s="372"/>
      <c r="V56" s="372"/>
      <c r="W56" s="372"/>
      <c r="X56" s="372"/>
      <c r="Y56" s="372"/>
      <c r="Z56" s="372"/>
      <c r="AA56" s="397" t="s">
        <v>49</v>
      </c>
      <c r="AB56" s="372"/>
      <c r="AC56" s="372"/>
      <c r="AD56" s="372" t="s">
        <v>35</v>
      </c>
      <c r="AE56" s="372" t="s">
        <v>349</v>
      </c>
      <c r="AF56" s="372"/>
      <c r="AG56" s="372"/>
    </row>
    <row r="57" ht="12.75" spans="1:33">
      <c r="A57" s="356" t="s">
        <v>350</v>
      </c>
      <c r="B57" s="215" t="s">
        <v>77</v>
      </c>
      <c r="C57" s="215" t="s">
        <v>78</v>
      </c>
      <c r="D57" s="215" t="s">
        <v>34</v>
      </c>
      <c r="E57" s="215" t="s">
        <v>35</v>
      </c>
      <c r="F57" s="215" t="s">
        <v>351</v>
      </c>
      <c r="G57" s="361">
        <v>44201</v>
      </c>
      <c r="H57" s="360">
        <f t="shared" ref="H57:H59" si="13">IF(INT(RIGHT(G57,4))&lt;1,"",INT(RIGHT(G57,4)))</f>
        <v>4201</v>
      </c>
      <c r="I57" s="356" t="s">
        <v>352</v>
      </c>
      <c r="J57" s="375" t="s">
        <v>353</v>
      </c>
      <c r="K57" s="384">
        <v>982</v>
      </c>
      <c r="L57" s="184" t="s">
        <v>122</v>
      </c>
      <c r="M57" s="199" t="str">
        <f t="shared" si="9"/>
        <v>Yes</v>
      </c>
      <c r="N57" s="199">
        <v>12000000000</v>
      </c>
      <c r="O57" s="199">
        <v>4.7e+22</v>
      </c>
      <c r="P57" s="380"/>
      <c r="Q57" s="199">
        <v>250000000</v>
      </c>
      <c r="R57" s="184"/>
      <c r="S57" s="199"/>
      <c r="T57" s="184"/>
      <c r="U57" s="184"/>
      <c r="V57" s="184"/>
      <c r="W57" s="184"/>
      <c r="X57" s="184"/>
      <c r="Y57" s="184"/>
      <c r="Z57" s="184"/>
      <c r="AA57" s="396">
        <v>171537.131679011</v>
      </c>
      <c r="AB57" s="376" t="s">
        <v>39</v>
      </c>
      <c r="AC57" s="376"/>
      <c r="AD57" s="376" t="str">
        <f>_xlfn.IFS($E57="Academia","Academia",$E57="Research Collective","TO MANUALLY ADJUST",TRUE,"Industry")</f>
        <v>Industry</v>
      </c>
      <c r="AE57" s="376" t="s">
        <v>354</v>
      </c>
      <c r="AF57" s="376"/>
      <c r="AG57" s="376"/>
    </row>
    <row r="58" ht="12.75" spans="1:33">
      <c r="A58" s="353" t="s">
        <v>355</v>
      </c>
      <c r="B58" s="192" t="s">
        <v>51</v>
      </c>
      <c r="C58" s="192"/>
      <c r="D58" s="192" t="s">
        <v>356</v>
      </c>
      <c r="E58" s="192" t="s">
        <v>35</v>
      </c>
      <c r="F58" s="192"/>
      <c r="G58" s="367">
        <v>44305</v>
      </c>
      <c r="H58" s="363">
        <f t="shared" si="13"/>
        <v>4305</v>
      </c>
      <c r="I58" s="353"/>
      <c r="J58" s="371" t="s">
        <v>357</v>
      </c>
      <c r="K58" s="238"/>
      <c r="L58" s="182" t="s">
        <v>38</v>
      </c>
      <c r="M58" s="197" t="str">
        <f t="shared" si="9"/>
        <v>Yes</v>
      </c>
      <c r="N58" s="197">
        <v>27000000000</v>
      </c>
      <c r="O58" s="197">
        <f>128*310000000000000*35*24*60*60*0.3</f>
        <v>3.5997696e+22</v>
      </c>
      <c r="P58" s="385"/>
      <c r="Q58" s="197"/>
      <c r="R58" s="182"/>
      <c r="S58" s="197"/>
      <c r="T58" s="182"/>
      <c r="U58" s="182"/>
      <c r="V58" s="182"/>
      <c r="W58" s="182"/>
      <c r="X58" s="182"/>
      <c r="Y58" s="182"/>
      <c r="Z58" s="182"/>
      <c r="AA58" s="399" t="s">
        <v>49</v>
      </c>
      <c r="AB58" s="372"/>
      <c r="AC58" s="372"/>
      <c r="AD58" s="372"/>
      <c r="AE58" s="372"/>
      <c r="AF58" s="372"/>
      <c r="AG58" s="372"/>
    </row>
    <row r="59" ht="12.75" spans="1:33">
      <c r="A59" s="356" t="s">
        <v>358</v>
      </c>
      <c r="B59" s="215" t="s">
        <v>77</v>
      </c>
      <c r="C59" s="215" t="s">
        <v>78</v>
      </c>
      <c r="D59" s="215" t="s">
        <v>359</v>
      </c>
      <c r="E59" s="215" t="s">
        <v>360</v>
      </c>
      <c r="F59" s="215" t="s">
        <v>361</v>
      </c>
      <c r="G59" s="361">
        <v>44342</v>
      </c>
      <c r="H59" s="360">
        <f t="shared" si="13"/>
        <v>4342</v>
      </c>
      <c r="I59" s="356" t="s">
        <v>362</v>
      </c>
      <c r="J59" s="375" t="s">
        <v>363</v>
      </c>
      <c r="K59" s="384">
        <v>141</v>
      </c>
      <c r="L59" s="184"/>
      <c r="M59" s="199" t="str">
        <f t="shared" si="9"/>
        <v>No</v>
      </c>
      <c r="N59" s="199">
        <v>4000000000</v>
      </c>
      <c r="O59" s="199">
        <v>2.68e+22</v>
      </c>
      <c r="P59" s="380"/>
      <c r="Q59" s="391">
        <v>30000000</v>
      </c>
      <c r="R59" s="184"/>
      <c r="S59" s="199"/>
      <c r="T59" s="184"/>
      <c r="U59" s="184"/>
      <c r="V59" s="184"/>
      <c r="W59" s="184"/>
      <c r="X59" s="184"/>
      <c r="Y59" s="184"/>
      <c r="Z59" s="184"/>
      <c r="AA59" s="396">
        <v>44452.3918799278</v>
      </c>
      <c r="AB59" s="376" t="s">
        <v>39</v>
      </c>
      <c r="AC59" s="376"/>
      <c r="AD59" s="376" t="str">
        <f>_xlfn.IFS($E59="Academia","Academia",$E59="Research Collective","TO MANUALLY ADJUST",TRUE,"Industry")</f>
        <v>Industry</v>
      </c>
      <c r="AE59" s="376" t="s">
        <v>364</v>
      </c>
      <c r="AF59" s="376"/>
      <c r="AG59" s="376"/>
    </row>
    <row r="60" ht="12.75" spans="1:33">
      <c r="A60" s="353" t="s">
        <v>365</v>
      </c>
      <c r="B60" s="192" t="s">
        <v>51</v>
      </c>
      <c r="C60" s="192" t="s">
        <v>33</v>
      </c>
      <c r="D60" s="192" t="s">
        <v>366</v>
      </c>
      <c r="E60" s="192" t="s">
        <v>367</v>
      </c>
      <c r="F60" s="192" t="s">
        <v>368</v>
      </c>
      <c r="G60" s="354" t="s">
        <v>369</v>
      </c>
      <c r="H60" s="355">
        <v>2021</v>
      </c>
      <c r="I60" s="192"/>
      <c r="J60" s="371" t="s">
        <v>370</v>
      </c>
      <c r="K60" s="373"/>
      <c r="L60" s="372"/>
      <c r="M60" s="197" t="str">
        <f t="shared" si="9"/>
        <v>No</v>
      </c>
      <c r="N60" s="242">
        <v>11000000000</v>
      </c>
      <c r="O60" s="242">
        <f>35000000000000000000*512</f>
        <v>1.792e+22</v>
      </c>
      <c r="P60" s="381"/>
      <c r="Q60" s="373"/>
      <c r="R60" s="372"/>
      <c r="S60" s="372"/>
      <c r="T60" s="372"/>
      <c r="U60" s="372"/>
      <c r="V60" s="372"/>
      <c r="W60" s="372"/>
      <c r="X60" s="372"/>
      <c r="Y60" s="372"/>
      <c r="Z60" s="372"/>
      <c r="AA60" s="397" t="s">
        <v>49</v>
      </c>
      <c r="AB60" s="372"/>
      <c r="AC60" s="372"/>
      <c r="AD60" s="372"/>
      <c r="AE60" s="372" t="s">
        <v>371</v>
      </c>
      <c r="AF60" s="372"/>
      <c r="AG60" s="372"/>
    </row>
    <row r="61" customHeight="1" spans="1:33">
      <c r="A61" s="356" t="s">
        <v>372</v>
      </c>
      <c r="B61" s="215" t="s">
        <v>51</v>
      </c>
      <c r="C61" s="215"/>
      <c r="D61" s="215"/>
      <c r="E61" s="215" t="s">
        <v>373</v>
      </c>
      <c r="F61" s="215" t="s">
        <v>374</v>
      </c>
      <c r="G61" s="361">
        <v>44317</v>
      </c>
      <c r="H61" s="360">
        <f t="shared" ref="H61:H67" si="14">IF(INT(RIGHT(G61,4))&lt;1,"",INT(RIGHT(G61,4)))</f>
        <v>4317</v>
      </c>
      <c r="I61" s="390" t="s">
        <v>375</v>
      </c>
      <c r="J61" s="375" t="s">
        <v>376</v>
      </c>
      <c r="K61" s="379"/>
      <c r="L61" s="184"/>
      <c r="M61" s="199" t="str">
        <f t="shared" si="9"/>
        <v>No</v>
      </c>
      <c r="N61" s="199">
        <v>6053381344</v>
      </c>
      <c r="O61" s="199">
        <v>1.5e+22</v>
      </c>
      <c r="P61" s="380"/>
      <c r="Q61" s="391">
        <f>800*200*10^6</f>
        <v>160000000000</v>
      </c>
      <c r="R61" s="184"/>
      <c r="S61" s="199"/>
      <c r="T61" s="184"/>
      <c r="U61" s="184"/>
      <c r="V61" s="184"/>
      <c r="W61" s="184"/>
      <c r="X61" s="184"/>
      <c r="Y61" s="184"/>
      <c r="Z61" s="184"/>
      <c r="AA61" s="395">
        <v>25176.8016041484</v>
      </c>
      <c r="AB61" s="376" t="s">
        <v>39</v>
      </c>
      <c r="AC61" s="376"/>
      <c r="AD61" s="376" t="s">
        <v>35</v>
      </c>
      <c r="AE61" s="376"/>
      <c r="AF61" s="376"/>
      <c r="AG61" s="376"/>
    </row>
    <row r="62" ht="12.75" spans="1:33">
      <c r="A62" s="353" t="s">
        <v>377</v>
      </c>
      <c r="B62" s="192" t="s">
        <v>32</v>
      </c>
      <c r="C62" s="192" t="s">
        <v>378</v>
      </c>
      <c r="D62" s="192" t="s">
        <v>379</v>
      </c>
      <c r="E62" s="192" t="s">
        <v>35</v>
      </c>
      <c r="F62" s="192" t="s">
        <v>380</v>
      </c>
      <c r="G62" s="367">
        <v>44201</v>
      </c>
      <c r="H62" s="363">
        <f t="shared" si="14"/>
        <v>4201</v>
      </c>
      <c r="I62" s="353" t="s">
        <v>381</v>
      </c>
      <c r="J62" s="371" t="s">
        <v>382</v>
      </c>
      <c r="K62" s="238">
        <v>2924</v>
      </c>
      <c r="L62" s="182"/>
      <c r="M62" s="197" t="str">
        <f t="shared" si="9"/>
        <v>Yes</v>
      </c>
      <c r="N62" s="197">
        <f>307000000+63000000</f>
        <v>370000000</v>
      </c>
      <c r="O62" s="238">
        <v>1.05e+22</v>
      </c>
      <c r="P62" s="385" t="s">
        <v>383</v>
      </c>
      <c r="Q62" s="197">
        <v>400000000</v>
      </c>
      <c r="R62" s="182"/>
      <c r="S62" s="197">
        <v>110000000</v>
      </c>
      <c r="T62" s="182"/>
      <c r="U62" s="182">
        <v>86016</v>
      </c>
      <c r="V62" s="182"/>
      <c r="W62" s="182"/>
      <c r="X62" s="182"/>
      <c r="Y62" s="182"/>
      <c r="Z62" s="182"/>
      <c r="AA62" s="399">
        <v>40146.9882653005</v>
      </c>
      <c r="AB62" s="372" t="s">
        <v>39</v>
      </c>
      <c r="AC62" s="372"/>
      <c r="AD62" s="372" t="str">
        <f>_xlfn.IFS($E62="Academia","Academia",$E62="Research Collective","TO MANUALLY ADJUST",TRUE,"Industry")</f>
        <v>Industry</v>
      </c>
      <c r="AE62" s="372" t="s">
        <v>384</v>
      </c>
      <c r="AF62" s="372"/>
      <c r="AG62" s="372"/>
    </row>
    <row r="63" ht="12.75" spans="1:33">
      <c r="A63" s="356" t="s">
        <v>385</v>
      </c>
      <c r="B63" s="215" t="s">
        <v>51</v>
      </c>
      <c r="C63" s="215"/>
      <c r="D63" s="215" t="s">
        <v>112</v>
      </c>
      <c r="E63" s="215" t="s">
        <v>373</v>
      </c>
      <c r="F63" s="215"/>
      <c r="G63" s="361">
        <v>44276</v>
      </c>
      <c r="H63" s="360">
        <f t="shared" si="14"/>
        <v>4276</v>
      </c>
      <c r="I63" s="356" t="s">
        <v>385</v>
      </c>
      <c r="J63" s="375" t="s">
        <v>386</v>
      </c>
      <c r="K63" s="379"/>
      <c r="L63" s="184"/>
      <c r="M63" s="199" t="str">
        <f t="shared" si="9"/>
        <v>No</v>
      </c>
      <c r="N63" s="199">
        <v>2700000000</v>
      </c>
      <c r="O63" s="199">
        <v>7.9e+21</v>
      </c>
      <c r="P63" s="380" t="s">
        <v>116</v>
      </c>
      <c r="Q63" s="199">
        <f>825*1024^3</f>
        <v>885837004800</v>
      </c>
      <c r="R63" s="184"/>
      <c r="S63" s="199"/>
      <c r="T63" s="184"/>
      <c r="U63" s="184"/>
      <c r="V63" s="184"/>
      <c r="W63" s="184"/>
      <c r="X63" s="184"/>
      <c r="Y63" s="184"/>
      <c r="Z63" s="184"/>
      <c r="AA63" s="395">
        <v>13685.989184888</v>
      </c>
      <c r="AB63" s="376" t="s">
        <v>39</v>
      </c>
      <c r="AC63" s="376"/>
      <c r="AD63" s="376" t="s">
        <v>35</v>
      </c>
      <c r="AE63" s="376"/>
      <c r="AF63" s="376"/>
      <c r="AG63" s="376"/>
    </row>
    <row r="64" ht="12.75" spans="1:33">
      <c r="A64" s="353" t="s">
        <v>387</v>
      </c>
      <c r="B64" s="192" t="s">
        <v>32</v>
      </c>
      <c r="C64" s="206"/>
      <c r="D64" s="192" t="s">
        <v>388</v>
      </c>
      <c r="E64" s="192" t="s">
        <v>389</v>
      </c>
      <c r="F64" s="192"/>
      <c r="G64" s="354">
        <v>44256</v>
      </c>
      <c r="H64" s="363">
        <f t="shared" si="14"/>
        <v>4256</v>
      </c>
      <c r="I64" s="353" t="s">
        <v>390</v>
      </c>
      <c r="J64" s="371" t="s">
        <v>391</v>
      </c>
      <c r="K64" s="236"/>
      <c r="L64" s="182"/>
      <c r="M64" s="197" t="str">
        <f t="shared" si="9"/>
        <v>No</v>
      </c>
      <c r="N64" s="197">
        <f>1000000000</f>
        <v>1000000000</v>
      </c>
      <c r="O64" s="197">
        <f>128*310000000000000*7*24*60*60*0.3</f>
        <v>7.1995392e+21</v>
      </c>
      <c r="P64" s="385"/>
      <c r="Q64" s="197"/>
      <c r="R64" s="182"/>
      <c r="S64" s="197"/>
      <c r="T64" s="182"/>
      <c r="U64" s="182"/>
      <c r="V64" s="182"/>
      <c r="W64" s="182"/>
      <c r="X64" s="182"/>
      <c r="Y64" s="182"/>
      <c r="Z64" s="182"/>
      <c r="AA64" s="399" t="s">
        <v>49</v>
      </c>
      <c r="AB64" s="372" t="s">
        <v>39</v>
      </c>
      <c r="AC64" s="372"/>
      <c r="AD64" s="372" t="str">
        <f t="shared" ref="AD64:AD67" si="15">_xlfn.IFS($E64="Academia","Academia",$E64="Research Collective","TO MANUALLY ADJUST",TRUE,"Industry")</f>
        <v>Industry</v>
      </c>
      <c r="AE64" s="372"/>
      <c r="AF64" s="372"/>
      <c r="AG64" s="372"/>
    </row>
    <row r="65" ht="12.75" spans="1:33">
      <c r="A65" s="356" t="s">
        <v>392</v>
      </c>
      <c r="B65" s="215" t="s">
        <v>51</v>
      </c>
      <c r="C65" s="215"/>
      <c r="D65" s="215" t="s">
        <v>393</v>
      </c>
      <c r="E65" s="215" t="s">
        <v>35</v>
      </c>
      <c r="F65" s="215" t="s">
        <v>394</v>
      </c>
      <c r="G65" s="361">
        <v>44357</v>
      </c>
      <c r="H65" s="360">
        <f t="shared" si="14"/>
        <v>4357</v>
      </c>
      <c r="I65" s="356" t="s">
        <v>395</v>
      </c>
      <c r="J65" s="375" t="s">
        <v>396</v>
      </c>
      <c r="K65" s="384">
        <v>661</v>
      </c>
      <c r="L65" s="184"/>
      <c r="M65" s="199" t="str">
        <f t="shared" si="9"/>
        <v>No</v>
      </c>
      <c r="N65" s="199">
        <v>1500000000</v>
      </c>
      <c r="O65" s="377">
        <v>6e+21</v>
      </c>
      <c r="P65" s="380"/>
      <c r="Q65" s="391">
        <f>78*200*10^6</f>
        <v>15600000000</v>
      </c>
      <c r="R65" s="184"/>
      <c r="S65" s="199"/>
      <c r="T65" s="184"/>
      <c r="U65" s="184"/>
      <c r="V65" s="184"/>
      <c r="W65" s="184" t="s">
        <v>397</v>
      </c>
      <c r="X65" s="184"/>
      <c r="Y65" s="184"/>
      <c r="Z65" s="184"/>
      <c r="AA65" s="396" t="s">
        <v>49</v>
      </c>
      <c r="AB65" s="376" t="s">
        <v>39</v>
      </c>
      <c r="AC65" s="376"/>
      <c r="AD65" s="376" t="str">
        <f t="shared" si="15"/>
        <v>Industry</v>
      </c>
      <c r="AE65" s="376" t="s">
        <v>398</v>
      </c>
      <c r="AF65" s="376"/>
      <c r="AG65" s="376"/>
    </row>
    <row r="66" ht="12.75" spans="1:33">
      <c r="A66" s="353" t="s">
        <v>399</v>
      </c>
      <c r="B66" s="192" t="s">
        <v>51</v>
      </c>
      <c r="C66" s="192"/>
      <c r="D66" s="192" t="s">
        <v>400</v>
      </c>
      <c r="E66" s="192" t="s">
        <v>35</v>
      </c>
      <c r="F66" s="192" t="s">
        <v>401</v>
      </c>
      <c r="G66" s="367">
        <v>44404</v>
      </c>
      <c r="H66" s="363">
        <f t="shared" si="14"/>
        <v>4404</v>
      </c>
      <c r="I66" s="353" t="s">
        <v>402</v>
      </c>
      <c r="J66" s="371" t="s">
        <v>403</v>
      </c>
      <c r="K66" s="238">
        <v>458</v>
      </c>
      <c r="L66" s="182" t="s">
        <v>38</v>
      </c>
      <c r="M66" s="197" t="str">
        <f t="shared" si="9"/>
        <v>Yes</v>
      </c>
      <c r="N66" s="197">
        <v>1000000000</v>
      </c>
      <c r="O66" s="197">
        <v>5.54e+21</v>
      </c>
      <c r="P66" s="385" t="s">
        <v>404</v>
      </c>
      <c r="Q66" s="393">
        <v>820800000</v>
      </c>
      <c r="R66" s="182"/>
      <c r="S66" s="197"/>
      <c r="T66" s="182"/>
      <c r="U66" s="182"/>
      <c r="V66" s="182"/>
      <c r="W66" s="182"/>
      <c r="X66" s="182"/>
      <c r="Y66" s="182"/>
      <c r="Z66" s="182"/>
      <c r="AA66" s="399">
        <v>8632.10664479602</v>
      </c>
      <c r="AB66" s="372" t="s">
        <v>39</v>
      </c>
      <c r="AC66" s="372"/>
      <c r="AD66" s="372" t="str">
        <f t="shared" si="15"/>
        <v>Industry</v>
      </c>
      <c r="AE66" s="372" t="s">
        <v>405</v>
      </c>
      <c r="AF66" s="372"/>
      <c r="AG66" s="372"/>
    </row>
    <row r="67" ht="12.75" spans="1:33">
      <c r="A67" s="356" t="s">
        <v>406</v>
      </c>
      <c r="B67" s="215" t="s">
        <v>32</v>
      </c>
      <c r="C67" s="215"/>
      <c r="D67" s="215" t="s">
        <v>407</v>
      </c>
      <c r="E67" s="215" t="s">
        <v>35</v>
      </c>
      <c r="F67" s="215" t="s">
        <v>408</v>
      </c>
      <c r="G67" s="361">
        <v>44477</v>
      </c>
      <c r="H67" s="360">
        <f t="shared" si="14"/>
        <v>4477</v>
      </c>
      <c r="I67" s="356" t="s">
        <v>409</v>
      </c>
      <c r="J67" s="375" t="s">
        <v>410</v>
      </c>
      <c r="K67" s="384">
        <v>17</v>
      </c>
      <c r="L67" s="184"/>
      <c r="M67" s="199" t="str">
        <f t="shared" si="9"/>
        <v>No</v>
      </c>
      <c r="N67" s="199">
        <v>10000000000000</v>
      </c>
      <c r="O67" s="199">
        <v>5.53e+21</v>
      </c>
      <c r="P67" s="380" t="s">
        <v>411</v>
      </c>
      <c r="Q67" s="199">
        <v>8000000000</v>
      </c>
      <c r="R67" s="184"/>
      <c r="S67" s="199"/>
      <c r="T67" s="184"/>
      <c r="U67" s="184">
        <v>122880</v>
      </c>
      <c r="V67" s="184"/>
      <c r="W67" s="184"/>
      <c r="X67" s="184"/>
      <c r="Y67" s="184"/>
      <c r="Z67" s="184"/>
      <c r="AA67" s="396">
        <v>20073.4941326502</v>
      </c>
      <c r="AB67" s="376" t="s">
        <v>39</v>
      </c>
      <c r="AC67" s="376"/>
      <c r="AD67" s="376" t="str">
        <f t="shared" si="15"/>
        <v>Industry</v>
      </c>
      <c r="AE67" s="376" t="s">
        <v>412</v>
      </c>
      <c r="AF67" s="376"/>
      <c r="AG67" s="376"/>
    </row>
    <row r="68" ht="12.75" spans="1:33">
      <c r="A68" s="353" t="s">
        <v>413</v>
      </c>
      <c r="B68" s="192" t="s">
        <v>32</v>
      </c>
      <c r="C68" s="192"/>
      <c r="D68" s="192" t="s">
        <v>414</v>
      </c>
      <c r="E68" s="192" t="s">
        <v>35</v>
      </c>
      <c r="F68" s="192" t="s">
        <v>415</v>
      </c>
      <c r="G68" s="367">
        <v>44524</v>
      </c>
      <c r="H68" s="363">
        <v>2021</v>
      </c>
      <c r="I68" s="353" t="s">
        <v>416</v>
      </c>
      <c r="J68" s="371" t="s">
        <v>417</v>
      </c>
      <c r="K68" s="238">
        <v>36</v>
      </c>
      <c r="L68" s="182" t="s">
        <v>38</v>
      </c>
      <c r="M68" s="197" t="str">
        <f t="shared" si="9"/>
        <v>Yes</v>
      </c>
      <c r="N68" s="197">
        <v>870000000</v>
      </c>
      <c r="O68" s="197">
        <f>140000000000000000*3600*24*0.4</f>
        <v>4.8384e+21</v>
      </c>
      <c r="P68" s="385" t="s">
        <v>418</v>
      </c>
      <c r="Q68" s="393"/>
      <c r="R68" s="182"/>
      <c r="S68" s="197"/>
      <c r="T68" s="182"/>
      <c r="U68" s="182"/>
      <c r="V68" s="182"/>
      <c r="W68" s="182"/>
      <c r="X68" s="182"/>
      <c r="Y68" s="182"/>
      <c r="Z68" s="182"/>
      <c r="AA68" s="399">
        <v>10446.8368703773</v>
      </c>
      <c r="AB68" s="372" t="s">
        <v>39</v>
      </c>
      <c r="AC68" s="372"/>
      <c r="AD68" s="372" t="s">
        <v>35</v>
      </c>
      <c r="AE68" s="372" t="s">
        <v>419</v>
      </c>
      <c r="AF68" s="372"/>
      <c r="AG68" s="372"/>
    </row>
    <row r="69" ht="12.75" spans="1:33">
      <c r="A69" s="356" t="s">
        <v>420</v>
      </c>
      <c r="B69" s="215" t="s">
        <v>41</v>
      </c>
      <c r="C69" s="215"/>
      <c r="D69" s="215" t="s">
        <v>421</v>
      </c>
      <c r="E69" s="215" t="s">
        <v>44</v>
      </c>
      <c r="F69" s="215" t="s">
        <v>422</v>
      </c>
      <c r="G69" s="361">
        <v>44406</v>
      </c>
      <c r="H69" s="360">
        <f t="shared" ref="H69:H72" si="16">IF(INT(RIGHT(G69,4))&lt;1,"",INT(RIGHT(G69,4)))</f>
        <v>4406</v>
      </c>
      <c r="I69" s="356" t="s">
        <v>423</v>
      </c>
      <c r="J69" s="375" t="s">
        <v>424</v>
      </c>
      <c r="K69" s="384">
        <v>138</v>
      </c>
      <c r="L69" s="184"/>
      <c r="M69" s="199" t="str">
        <f t="shared" si="9"/>
        <v>No</v>
      </c>
      <c r="N69" s="199">
        <v>1300000000</v>
      </c>
      <c r="O69" s="199">
        <v>4.42e+21</v>
      </c>
      <c r="P69" s="380"/>
      <c r="Q69" s="199">
        <v>1000000000</v>
      </c>
      <c r="R69" s="184"/>
      <c r="S69" s="199"/>
      <c r="T69" s="184"/>
      <c r="U69" s="184"/>
      <c r="V69" s="184"/>
      <c r="W69" s="184"/>
      <c r="X69" s="184"/>
      <c r="Y69" s="184"/>
      <c r="Z69" s="184"/>
      <c r="AA69" s="396">
        <v>16058.7953061202</v>
      </c>
      <c r="AB69" s="376" t="s">
        <v>39</v>
      </c>
      <c r="AC69" s="376"/>
      <c r="AD69" s="376" t="str">
        <f t="shared" ref="AD69:AD72" si="17">_xlfn.IFS($E69="Academia","Academia",$E69="Research Collective","TO MANUALLY ADJUST",TRUE,"Industry")</f>
        <v>Industry</v>
      </c>
      <c r="AE69" s="376" t="s">
        <v>425</v>
      </c>
      <c r="AF69" s="376"/>
      <c r="AG69" s="376"/>
    </row>
    <row r="70" ht="12.75" spans="1:33">
      <c r="A70" s="353" t="s">
        <v>426</v>
      </c>
      <c r="B70" s="192" t="s">
        <v>41</v>
      </c>
      <c r="C70" s="359"/>
      <c r="D70" s="192" t="s">
        <v>150</v>
      </c>
      <c r="E70" s="192" t="s">
        <v>35</v>
      </c>
      <c r="F70" s="192" t="s">
        <v>427</v>
      </c>
      <c r="G70" s="367">
        <v>44355</v>
      </c>
      <c r="H70" s="363">
        <f t="shared" si="16"/>
        <v>4355</v>
      </c>
      <c r="I70" s="353" t="s">
        <v>428</v>
      </c>
      <c r="J70" s="371" t="s">
        <v>429</v>
      </c>
      <c r="K70" s="238">
        <v>302</v>
      </c>
      <c r="L70" s="182"/>
      <c r="M70" s="197" t="str">
        <f t="shared" si="9"/>
        <v>No</v>
      </c>
      <c r="N70" s="197">
        <v>1800000000</v>
      </c>
      <c r="O70" s="197">
        <v>3.4e+21</v>
      </c>
      <c r="P70" s="385" t="s">
        <v>430</v>
      </c>
      <c r="Q70" s="197">
        <v>3000000000</v>
      </c>
      <c r="R70" s="182"/>
      <c r="S70" s="197"/>
      <c r="T70" s="182"/>
      <c r="U70" s="182"/>
      <c r="V70" s="182"/>
      <c r="W70" s="182"/>
      <c r="X70" s="182"/>
      <c r="Y70" s="182"/>
      <c r="Z70" s="182"/>
      <c r="AA70" s="399">
        <v>5541.83721088954</v>
      </c>
      <c r="AB70" s="372" t="s">
        <v>431</v>
      </c>
      <c r="AC70" s="372"/>
      <c r="AD70" s="372" t="str">
        <f t="shared" si="17"/>
        <v>Industry</v>
      </c>
      <c r="AE70" s="372" t="s">
        <v>432</v>
      </c>
      <c r="AF70" s="372"/>
      <c r="AG70" s="372"/>
    </row>
    <row r="71" ht="12.75" spans="1:33">
      <c r="A71" s="356" t="s">
        <v>433</v>
      </c>
      <c r="B71" s="215" t="s">
        <v>434</v>
      </c>
      <c r="C71" s="215"/>
      <c r="D71" s="215" t="s">
        <v>435</v>
      </c>
      <c r="E71" s="215" t="s">
        <v>35</v>
      </c>
      <c r="F71" s="215" t="s">
        <v>436</v>
      </c>
      <c r="G71" s="361">
        <v>44454</v>
      </c>
      <c r="H71" s="360">
        <f t="shared" si="16"/>
        <v>4454</v>
      </c>
      <c r="I71" s="356" t="s">
        <v>437</v>
      </c>
      <c r="J71" s="375" t="s">
        <v>438</v>
      </c>
      <c r="K71" s="384">
        <v>10</v>
      </c>
      <c r="L71" s="184"/>
      <c r="M71" s="199" t="str">
        <f t="shared" si="9"/>
        <v>No</v>
      </c>
      <c r="N71" s="199">
        <v>3000000000000</v>
      </c>
      <c r="O71" s="199">
        <v>1.1e+21</v>
      </c>
      <c r="P71" s="380"/>
      <c r="Q71" s="199"/>
      <c r="R71" s="184"/>
      <c r="S71" s="199"/>
      <c r="T71" s="184"/>
      <c r="U71" s="184"/>
      <c r="V71" s="184"/>
      <c r="W71" s="184"/>
      <c r="X71" s="184"/>
      <c r="Y71" s="184"/>
      <c r="Z71" s="184"/>
      <c r="AA71" s="396">
        <v>2394.06678279481</v>
      </c>
      <c r="AB71" s="376"/>
      <c r="AC71" s="376"/>
      <c r="AD71" s="376" t="str">
        <f t="shared" si="17"/>
        <v>Industry</v>
      </c>
      <c r="AE71" s="376" t="s">
        <v>439</v>
      </c>
      <c r="AF71" s="376"/>
      <c r="AG71" s="376"/>
    </row>
    <row r="72" ht="12.75" spans="1:33">
      <c r="A72" s="353" t="s">
        <v>440</v>
      </c>
      <c r="B72" s="192" t="s">
        <v>51</v>
      </c>
      <c r="C72" s="206"/>
      <c r="D72" s="192" t="s">
        <v>388</v>
      </c>
      <c r="E72" s="192" t="s">
        <v>389</v>
      </c>
      <c r="F72" s="192"/>
      <c r="G72" s="354">
        <v>44256</v>
      </c>
      <c r="H72" s="363">
        <f t="shared" si="16"/>
        <v>4256</v>
      </c>
      <c r="I72" s="353" t="s">
        <v>390</v>
      </c>
      <c r="J72" s="371" t="s">
        <v>391</v>
      </c>
      <c r="K72" s="236"/>
      <c r="L72" s="182"/>
      <c r="M72" s="197" t="str">
        <f t="shared" si="9"/>
        <v>No</v>
      </c>
      <c r="N72" s="197">
        <v>2600000000</v>
      </c>
      <c r="O72" s="197">
        <f>64*28000000000000*14*24*60*60*0.3</f>
        <v>6.5028096e+20</v>
      </c>
      <c r="P72" s="385"/>
      <c r="Q72" s="197"/>
      <c r="R72" s="182"/>
      <c r="S72" s="197"/>
      <c r="T72" s="182"/>
      <c r="U72" s="182"/>
      <c r="V72" s="182"/>
      <c r="W72" s="182"/>
      <c r="X72" s="182"/>
      <c r="Y72" s="182"/>
      <c r="Z72" s="182"/>
      <c r="AA72" s="399" t="s">
        <v>49</v>
      </c>
      <c r="AB72" s="372" t="s">
        <v>39</v>
      </c>
      <c r="AC72" s="372"/>
      <c r="AD72" s="372" t="str">
        <f t="shared" si="17"/>
        <v>Industry</v>
      </c>
      <c r="AE72" s="372"/>
      <c r="AF72" s="372"/>
      <c r="AG72" s="372"/>
    </row>
    <row r="73" ht="12.75" spans="1:33">
      <c r="A73" s="356" t="s">
        <v>441</v>
      </c>
      <c r="B73" s="215" t="s">
        <v>51</v>
      </c>
      <c r="C73" s="215" t="s">
        <v>33</v>
      </c>
      <c r="D73" s="215" t="s">
        <v>442</v>
      </c>
      <c r="E73" s="215" t="s">
        <v>327</v>
      </c>
      <c r="F73" s="215" t="s">
        <v>443</v>
      </c>
      <c r="G73" s="357" t="s">
        <v>444</v>
      </c>
      <c r="H73" s="358">
        <v>2021</v>
      </c>
      <c r="I73" s="215"/>
      <c r="J73" s="375" t="s">
        <v>445</v>
      </c>
      <c r="K73" s="377"/>
      <c r="L73" s="376"/>
      <c r="M73" s="199" t="str">
        <f t="shared" si="9"/>
        <v>No</v>
      </c>
      <c r="N73" s="382">
        <v>1500000000</v>
      </c>
      <c r="O73" s="382">
        <f>3*10^15*3600*24</f>
        <v>2.592e+20</v>
      </c>
      <c r="P73" s="383"/>
      <c r="Q73" s="377"/>
      <c r="R73" s="376"/>
      <c r="S73" s="376"/>
      <c r="T73" s="376"/>
      <c r="U73" s="376"/>
      <c r="V73" s="376"/>
      <c r="W73" s="376"/>
      <c r="X73" s="376"/>
      <c r="Y73" s="376"/>
      <c r="Z73" s="376"/>
      <c r="AA73" s="398" t="s">
        <v>49</v>
      </c>
      <c r="AB73" s="376" t="s">
        <v>39</v>
      </c>
      <c r="AC73" s="376"/>
      <c r="AD73" s="376"/>
      <c r="AE73" s="376" t="s">
        <v>446</v>
      </c>
      <c r="AF73" s="376"/>
      <c r="AG73" s="376"/>
    </row>
    <row r="74" ht="12.75" spans="1:33">
      <c r="A74" s="353" t="s">
        <v>447</v>
      </c>
      <c r="B74" s="192" t="s">
        <v>32</v>
      </c>
      <c r="C74" s="206"/>
      <c r="D74" s="192" t="s">
        <v>388</v>
      </c>
      <c r="E74" s="192" t="s">
        <v>389</v>
      </c>
      <c r="F74" s="192"/>
      <c r="G74" s="354">
        <v>44256</v>
      </c>
      <c r="H74" s="363">
        <f t="shared" ref="H74:H96" si="18">IF(INT(RIGHT(G74,4))&lt;1,"",INT(RIGHT(G74,4)))</f>
        <v>4256</v>
      </c>
      <c r="I74" s="353" t="s">
        <v>390</v>
      </c>
      <c r="J74" s="371" t="s">
        <v>391</v>
      </c>
      <c r="K74" s="236"/>
      <c r="L74" s="182"/>
      <c r="M74" s="197" t="str">
        <f t="shared" si="9"/>
        <v>No</v>
      </c>
      <c r="N74" s="197">
        <f>11300000000</f>
        <v>11300000000</v>
      </c>
      <c r="O74" s="197">
        <f>64*28000000000000*2.5*24*60*60*0.3</f>
        <v>1.161216e+20</v>
      </c>
      <c r="P74" s="385"/>
      <c r="Q74" s="197"/>
      <c r="R74" s="182"/>
      <c r="S74" s="197"/>
      <c r="T74" s="182"/>
      <c r="U74" s="182"/>
      <c r="V74" s="182"/>
      <c r="W74" s="182"/>
      <c r="X74" s="182"/>
      <c r="Y74" s="182"/>
      <c r="Z74" s="182"/>
      <c r="AA74" s="399" t="s">
        <v>49</v>
      </c>
      <c r="AB74" s="372" t="s">
        <v>39</v>
      </c>
      <c r="AC74" s="372"/>
      <c r="AD74" s="372" t="str">
        <f t="shared" ref="AD74:AD96" si="19">_xlfn.IFS($E74="Academia","Academia",$E74="Research Collective","TO MANUALLY ADJUST",TRUE,"Industry")</f>
        <v>Industry</v>
      </c>
      <c r="AE74" s="372"/>
      <c r="AF74" s="372"/>
      <c r="AG74" s="372"/>
    </row>
    <row r="75" ht="12.75" spans="1:33">
      <c r="A75" s="356" t="s">
        <v>448</v>
      </c>
      <c r="B75" s="215" t="s">
        <v>41</v>
      </c>
      <c r="C75" s="215"/>
      <c r="D75" s="215" t="s">
        <v>449</v>
      </c>
      <c r="E75" s="215" t="s">
        <v>450</v>
      </c>
      <c r="F75" s="375" t="s">
        <v>451</v>
      </c>
      <c r="G75" s="361">
        <v>44342</v>
      </c>
      <c r="H75" s="360">
        <f t="shared" si="18"/>
        <v>4342</v>
      </c>
      <c r="I75" s="356" t="s">
        <v>452</v>
      </c>
      <c r="J75" s="375" t="s">
        <v>453</v>
      </c>
      <c r="K75" s="384">
        <v>5734</v>
      </c>
      <c r="L75" s="184" t="s">
        <v>454</v>
      </c>
      <c r="M75" s="199" t="str">
        <f t="shared" si="9"/>
        <v>Yes</v>
      </c>
      <c r="N75" s="199"/>
      <c r="O75" s="382">
        <f>17.9*10^9*300*1.28*10^6*3.5</f>
        <v>2.40576e+19</v>
      </c>
      <c r="P75" s="380" t="s">
        <v>455</v>
      </c>
      <c r="Q75" s="199">
        <f>1.28*10^6</f>
        <v>1280000</v>
      </c>
      <c r="R75" s="184"/>
      <c r="S75" s="199"/>
      <c r="T75" s="184"/>
      <c r="U75" s="184"/>
      <c r="V75" s="184"/>
      <c r="W75" s="184"/>
      <c r="X75" s="184"/>
      <c r="Y75" s="184"/>
      <c r="Z75" s="184"/>
      <c r="AA75" s="396">
        <v>39.5132372266025</v>
      </c>
      <c r="AB75" s="376" t="s">
        <v>39</v>
      </c>
      <c r="AC75" s="376"/>
      <c r="AD75" s="376" t="str">
        <f t="shared" si="19"/>
        <v>Industry</v>
      </c>
      <c r="AE75" s="376" t="s">
        <v>456</v>
      </c>
      <c r="AF75" s="376"/>
      <c r="AG75" s="376"/>
    </row>
    <row r="76" ht="12.75" spans="1:33">
      <c r="A76" s="353" t="s">
        <v>457</v>
      </c>
      <c r="B76" s="192" t="s">
        <v>51</v>
      </c>
      <c r="C76" s="359"/>
      <c r="D76" s="192" t="s">
        <v>458</v>
      </c>
      <c r="E76" s="192" t="s">
        <v>35</v>
      </c>
      <c r="F76" s="192" t="s">
        <v>459</v>
      </c>
      <c r="G76" s="367">
        <v>44382</v>
      </c>
      <c r="H76" s="363">
        <f t="shared" si="18"/>
        <v>4382</v>
      </c>
      <c r="I76" s="353" t="s">
        <v>460</v>
      </c>
      <c r="J76" s="371" t="s">
        <v>461</v>
      </c>
      <c r="K76" s="238">
        <v>100</v>
      </c>
      <c r="L76" s="182"/>
      <c r="M76" s="197" t="str">
        <f t="shared" si="9"/>
        <v>No</v>
      </c>
      <c r="N76" s="197">
        <v>10000000000</v>
      </c>
      <c r="O76" s="197">
        <f>8*120000000000000*(4*60*60)*0.17</f>
        <v>2.35008e+18</v>
      </c>
      <c r="P76" s="385"/>
      <c r="Q76" s="393">
        <f>4000*167*10^6</f>
        <v>668000000000</v>
      </c>
      <c r="R76" s="182"/>
      <c r="S76" s="197"/>
      <c r="T76" s="182"/>
      <c r="U76" s="182"/>
      <c r="V76" s="182"/>
      <c r="W76" s="182"/>
      <c r="X76" s="182"/>
      <c r="Y76" s="182"/>
      <c r="Z76" s="182"/>
      <c r="AA76" s="399">
        <v>3.83122736808708</v>
      </c>
      <c r="AB76" s="372" t="s">
        <v>39</v>
      </c>
      <c r="AC76" s="372" t="s">
        <v>462</v>
      </c>
      <c r="AD76" s="372" t="str">
        <f t="shared" si="19"/>
        <v>Industry</v>
      </c>
      <c r="AE76" s="372"/>
      <c r="AF76" s="372"/>
      <c r="AG76" s="372"/>
    </row>
    <row r="77" ht="12.75" spans="1:33">
      <c r="A77" s="356" t="s">
        <v>463</v>
      </c>
      <c r="B77" s="215" t="s">
        <v>77</v>
      </c>
      <c r="C77" s="215"/>
      <c r="D77" s="215" t="s">
        <v>464</v>
      </c>
      <c r="E77" s="215" t="s">
        <v>134</v>
      </c>
      <c r="F77" s="215" t="s">
        <v>465</v>
      </c>
      <c r="G77" s="361">
        <v>44358</v>
      </c>
      <c r="H77" s="360">
        <f t="shared" si="18"/>
        <v>4358</v>
      </c>
      <c r="I77" s="356" t="s">
        <v>466</v>
      </c>
      <c r="J77" s="375" t="s">
        <v>467</v>
      </c>
      <c r="K77" s="384">
        <v>918</v>
      </c>
      <c r="L77" s="184" t="s">
        <v>38</v>
      </c>
      <c r="M77" s="199" t="str">
        <f t="shared" si="9"/>
        <v>Yes</v>
      </c>
      <c r="N77" s="199">
        <v>256000000</v>
      </c>
      <c r="O77" s="199">
        <v>1.6e+18</v>
      </c>
      <c r="P77" s="380"/>
      <c r="Q77" s="199">
        <f>3033042</f>
        <v>3033042</v>
      </c>
      <c r="R77" s="184"/>
      <c r="S77" s="199"/>
      <c r="T77" s="184"/>
      <c r="U77" s="184"/>
      <c r="V77" s="184"/>
      <c r="W77" s="184"/>
      <c r="X77" s="184"/>
      <c r="Y77" s="184"/>
      <c r="Z77" s="184"/>
      <c r="AA77" s="396">
        <v>2.60189327507192</v>
      </c>
      <c r="AB77" s="376"/>
      <c r="AC77" s="376"/>
      <c r="AD77" s="376" t="str">
        <f t="shared" si="19"/>
        <v>Academia</v>
      </c>
      <c r="AE77" s="376"/>
      <c r="AF77" s="376"/>
      <c r="AG77" s="376"/>
    </row>
    <row r="78" ht="12.75" spans="1:33">
      <c r="A78" s="353" t="s">
        <v>468</v>
      </c>
      <c r="B78" s="192" t="s">
        <v>51</v>
      </c>
      <c r="C78" s="192"/>
      <c r="D78" s="192" t="s">
        <v>469</v>
      </c>
      <c r="E78" s="192" t="s">
        <v>35</v>
      </c>
      <c r="F78" s="192" t="s">
        <v>470</v>
      </c>
      <c r="G78" s="354">
        <v>44553</v>
      </c>
      <c r="H78" s="363">
        <f t="shared" si="18"/>
        <v>4553</v>
      </c>
      <c r="I78" s="353" t="s">
        <v>471</v>
      </c>
      <c r="J78" s="371" t="s">
        <v>472</v>
      </c>
      <c r="K78" s="238">
        <v>11</v>
      </c>
      <c r="L78" s="182"/>
      <c r="M78" s="197" t="str">
        <f t="shared" si="9"/>
        <v>No</v>
      </c>
      <c r="N78" s="197">
        <v>260000000000</v>
      </c>
      <c r="O78" s="197">
        <v>314000000000</v>
      </c>
      <c r="P78" s="385" t="s">
        <v>473</v>
      </c>
      <c r="Q78" s="197">
        <f>4000*167000000</f>
        <v>668000000000</v>
      </c>
      <c r="R78" s="182"/>
      <c r="S78" s="197"/>
      <c r="T78" s="182"/>
      <c r="U78" s="182"/>
      <c r="V78" s="182"/>
      <c r="W78" s="182"/>
      <c r="X78" s="182"/>
      <c r="Y78" s="182"/>
      <c r="Z78" s="182"/>
      <c r="AA78" s="399" t="s">
        <v>49</v>
      </c>
      <c r="AB78" s="372"/>
      <c r="AC78" s="372"/>
      <c r="AD78" s="372" t="str">
        <f t="shared" si="19"/>
        <v>Industry</v>
      </c>
      <c r="AE78" s="372"/>
      <c r="AF78" s="372"/>
      <c r="AG78" s="372"/>
    </row>
    <row r="79" ht="12.75" spans="1:33">
      <c r="A79" s="356" t="s">
        <v>474</v>
      </c>
      <c r="B79" s="215" t="s">
        <v>32</v>
      </c>
      <c r="C79" s="215" t="s">
        <v>378</v>
      </c>
      <c r="D79" s="215" t="s">
        <v>379</v>
      </c>
      <c r="E79" s="215" t="s">
        <v>35</v>
      </c>
      <c r="F79" s="215" t="s">
        <v>380</v>
      </c>
      <c r="G79" s="361">
        <v>44201</v>
      </c>
      <c r="H79" s="360">
        <f t="shared" si="18"/>
        <v>4201</v>
      </c>
      <c r="I79" s="356" t="s">
        <v>381</v>
      </c>
      <c r="J79" s="375" t="s">
        <v>382</v>
      </c>
      <c r="K79" s="384">
        <v>2924</v>
      </c>
      <c r="L79" s="184"/>
      <c r="M79" s="199" t="str">
        <f t="shared" si="9"/>
        <v>Yes</v>
      </c>
      <c r="N79" s="199">
        <f>25600000+63000000</f>
        <v>88600000</v>
      </c>
      <c r="O79" s="403"/>
      <c r="P79" s="380" t="s">
        <v>383</v>
      </c>
      <c r="Q79" s="199">
        <v>400000000</v>
      </c>
      <c r="R79" s="184"/>
      <c r="S79" s="199">
        <v>7000000</v>
      </c>
      <c r="T79" s="205"/>
      <c r="U79" s="205"/>
      <c r="V79" s="184"/>
      <c r="W79" s="184"/>
      <c r="X79" s="184"/>
      <c r="Y79" s="184"/>
      <c r="Z79" s="184"/>
      <c r="AA79" s="396" t="s">
        <v>49</v>
      </c>
      <c r="AB79" s="376"/>
      <c r="AC79" s="376"/>
      <c r="AD79" s="376" t="str">
        <f t="shared" si="19"/>
        <v>Industry</v>
      </c>
      <c r="AE79" s="376"/>
      <c r="AF79" s="376"/>
      <c r="AG79" s="376"/>
    </row>
    <row r="80" ht="12.75" spans="1:33">
      <c r="A80" s="353" t="s">
        <v>475</v>
      </c>
      <c r="B80" s="192" t="s">
        <v>126</v>
      </c>
      <c r="C80" s="192" t="s">
        <v>476</v>
      </c>
      <c r="D80" s="192" t="s">
        <v>477</v>
      </c>
      <c r="E80" s="192" t="s">
        <v>35</v>
      </c>
      <c r="F80" s="192" t="s">
        <v>478</v>
      </c>
      <c r="G80" s="367">
        <v>44206</v>
      </c>
      <c r="H80" s="363">
        <f t="shared" si="18"/>
        <v>4206</v>
      </c>
      <c r="I80" s="353" t="s">
        <v>479</v>
      </c>
      <c r="J80" s="371" t="s">
        <v>480</v>
      </c>
      <c r="K80" s="238">
        <v>41</v>
      </c>
      <c r="L80" s="182"/>
      <c r="M80" s="197" t="str">
        <f t="shared" si="9"/>
        <v>No</v>
      </c>
      <c r="N80" s="197">
        <v>8000000000</v>
      </c>
      <c r="O80" s="200"/>
      <c r="P80" s="385"/>
      <c r="Q80" s="393">
        <v>42626880000</v>
      </c>
      <c r="R80" s="182"/>
      <c r="S80" s="197"/>
      <c r="T80" s="182"/>
      <c r="U80" s="182"/>
      <c r="V80" s="182"/>
      <c r="W80" s="182"/>
      <c r="X80" s="182"/>
      <c r="Y80" s="182"/>
      <c r="Z80" s="182"/>
      <c r="AA80" s="399" t="s">
        <v>49</v>
      </c>
      <c r="AB80" s="372"/>
      <c r="AC80" s="372"/>
      <c r="AD80" s="372" t="str">
        <f t="shared" si="19"/>
        <v>Industry</v>
      </c>
      <c r="AE80" s="372"/>
      <c r="AF80" s="372"/>
      <c r="AG80" s="372"/>
    </row>
    <row r="81" ht="12.75" spans="1:33">
      <c r="A81" s="356" t="s">
        <v>481</v>
      </c>
      <c r="B81" s="215" t="s">
        <v>256</v>
      </c>
      <c r="C81" s="215" t="s">
        <v>482</v>
      </c>
      <c r="D81" s="215" t="s">
        <v>483</v>
      </c>
      <c r="E81" s="215" t="s">
        <v>134</v>
      </c>
      <c r="F81" s="215" t="s">
        <v>484</v>
      </c>
      <c r="G81" s="361">
        <v>44245</v>
      </c>
      <c r="H81" s="360">
        <f t="shared" si="18"/>
        <v>4245</v>
      </c>
      <c r="I81" s="356" t="s">
        <v>485</v>
      </c>
      <c r="J81" s="375" t="s">
        <v>486</v>
      </c>
      <c r="K81" s="384">
        <v>3</v>
      </c>
      <c r="L81" s="184" t="s">
        <v>142</v>
      </c>
      <c r="M81" s="199" t="str">
        <f t="shared" si="9"/>
        <v>Yes</v>
      </c>
      <c r="N81" s="199">
        <f>32*4*8*8+64*32*4*4+64*64*3*3+512*3136</f>
        <v>1683456</v>
      </c>
      <c r="O81" s="203"/>
      <c r="P81" s="378"/>
      <c r="Q81" s="203"/>
      <c r="R81" s="205"/>
      <c r="S81" s="203"/>
      <c r="T81" s="205"/>
      <c r="U81" s="205"/>
      <c r="V81" s="205"/>
      <c r="W81" s="376"/>
      <c r="X81" s="184"/>
      <c r="Y81" s="184"/>
      <c r="Z81" s="184"/>
      <c r="AA81" s="396" t="s">
        <v>49</v>
      </c>
      <c r="AB81" s="376"/>
      <c r="AC81" s="376"/>
      <c r="AD81" s="376" t="str">
        <f t="shared" si="19"/>
        <v>Academia</v>
      </c>
      <c r="AE81" s="376"/>
      <c r="AF81" s="376"/>
      <c r="AG81" s="376"/>
    </row>
    <row r="82" ht="12.75" spans="1:33">
      <c r="A82" s="353" t="s">
        <v>487</v>
      </c>
      <c r="B82" s="192" t="s">
        <v>32</v>
      </c>
      <c r="C82" s="401"/>
      <c r="D82" s="192" t="s">
        <v>488</v>
      </c>
      <c r="E82" s="192" t="s">
        <v>44</v>
      </c>
      <c r="F82" s="192" t="s">
        <v>489</v>
      </c>
      <c r="G82" s="367">
        <v>44256</v>
      </c>
      <c r="H82" s="363">
        <f t="shared" si="18"/>
        <v>4256</v>
      </c>
      <c r="I82" s="353" t="s">
        <v>490</v>
      </c>
      <c r="J82" s="371" t="s">
        <v>491</v>
      </c>
      <c r="K82" s="238">
        <v>76</v>
      </c>
      <c r="L82" s="182"/>
      <c r="M82" s="197" t="str">
        <f t="shared" si="9"/>
        <v>No</v>
      </c>
      <c r="N82" s="197">
        <v>10000000000</v>
      </c>
      <c r="O82" s="197"/>
      <c r="P82" s="385"/>
      <c r="Q82" s="392">
        <v>1900000000000</v>
      </c>
      <c r="R82" s="182"/>
      <c r="S82" s="197"/>
      <c r="T82" s="182"/>
      <c r="U82" s="182"/>
      <c r="V82" s="182"/>
      <c r="W82" s="182"/>
      <c r="X82" s="182"/>
      <c r="Y82" s="182"/>
      <c r="Z82" s="182"/>
      <c r="AA82" s="399" t="s">
        <v>49</v>
      </c>
      <c r="AB82" s="372"/>
      <c r="AC82" s="372"/>
      <c r="AD82" s="372" t="str">
        <f t="shared" si="19"/>
        <v>Industry</v>
      </c>
      <c r="AE82" s="372"/>
      <c r="AF82" s="372"/>
      <c r="AG82" s="372"/>
    </row>
    <row r="83" ht="12.75" spans="1:33">
      <c r="A83" s="356" t="s">
        <v>492</v>
      </c>
      <c r="B83" s="215" t="s">
        <v>32</v>
      </c>
      <c r="C83" s="402"/>
      <c r="D83" s="215" t="s">
        <v>488</v>
      </c>
      <c r="E83" s="215" t="s">
        <v>44</v>
      </c>
      <c r="F83" s="215" t="s">
        <v>489</v>
      </c>
      <c r="G83" s="357">
        <v>44256</v>
      </c>
      <c r="H83" s="360">
        <f t="shared" si="18"/>
        <v>4256</v>
      </c>
      <c r="I83" s="356" t="s">
        <v>490</v>
      </c>
      <c r="J83" s="375" t="s">
        <v>491</v>
      </c>
      <c r="K83" s="384">
        <v>76</v>
      </c>
      <c r="L83" s="184"/>
      <c r="M83" s="199" t="str">
        <f t="shared" si="9"/>
        <v>No</v>
      </c>
      <c r="N83" s="199">
        <v>100000000000</v>
      </c>
      <c r="O83" s="199"/>
      <c r="P83" s="380"/>
      <c r="Q83" s="404">
        <v>1900000000000</v>
      </c>
      <c r="R83" s="184"/>
      <c r="S83" s="199"/>
      <c r="T83" s="184"/>
      <c r="U83" s="184"/>
      <c r="V83" s="184"/>
      <c r="W83" s="184"/>
      <c r="X83" s="184"/>
      <c r="Y83" s="184"/>
      <c r="Z83" s="184"/>
      <c r="AA83" s="396" t="s">
        <v>49</v>
      </c>
      <c r="AB83" s="376"/>
      <c r="AC83" s="376"/>
      <c r="AD83" s="376" t="str">
        <f t="shared" si="19"/>
        <v>Industry</v>
      </c>
      <c r="AE83" s="376"/>
      <c r="AF83" s="376"/>
      <c r="AG83" s="376"/>
    </row>
    <row r="84" ht="12.75" spans="1:33">
      <c r="A84" s="353" t="s">
        <v>493</v>
      </c>
      <c r="B84" s="192" t="s">
        <v>199</v>
      </c>
      <c r="C84" s="192" t="s">
        <v>325</v>
      </c>
      <c r="D84" s="192" t="s">
        <v>388</v>
      </c>
      <c r="E84" s="192" t="s">
        <v>389</v>
      </c>
      <c r="F84" s="192"/>
      <c r="G84" s="354">
        <v>44256</v>
      </c>
      <c r="H84" s="363">
        <f t="shared" si="18"/>
        <v>4256</v>
      </c>
      <c r="I84" s="353" t="s">
        <v>390</v>
      </c>
      <c r="J84" s="371" t="s">
        <v>391</v>
      </c>
      <c r="K84" s="236"/>
      <c r="L84" s="182"/>
      <c r="M84" s="197" t="str">
        <f t="shared" si="9"/>
        <v>No</v>
      </c>
      <c r="N84" s="197"/>
      <c r="O84" s="197"/>
      <c r="P84" s="385"/>
      <c r="Q84" s="197"/>
      <c r="R84" s="182"/>
      <c r="S84" s="197"/>
      <c r="T84" s="182"/>
      <c r="U84" s="182"/>
      <c r="V84" s="182"/>
      <c r="W84" s="182"/>
      <c r="X84" s="182"/>
      <c r="Y84" s="182"/>
      <c r="Z84" s="182"/>
      <c r="AA84" s="399" t="s">
        <v>49</v>
      </c>
      <c r="AB84" s="372" t="s">
        <v>39</v>
      </c>
      <c r="AC84" s="372"/>
      <c r="AD84" s="372" t="str">
        <f t="shared" si="19"/>
        <v>Industry</v>
      </c>
      <c r="AE84" s="372"/>
      <c r="AF84" s="372"/>
      <c r="AG84" s="372"/>
    </row>
    <row r="85" ht="12.75" spans="1:33">
      <c r="A85" s="356" t="s">
        <v>494</v>
      </c>
      <c r="B85" s="215" t="s">
        <v>51</v>
      </c>
      <c r="C85" s="215"/>
      <c r="D85" s="215" t="s">
        <v>400</v>
      </c>
      <c r="E85" s="215" t="s">
        <v>35</v>
      </c>
      <c r="F85" s="215" t="s">
        <v>495</v>
      </c>
      <c r="G85" s="361">
        <v>44260</v>
      </c>
      <c r="H85" s="360">
        <f t="shared" si="18"/>
        <v>4260</v>
      </c>
      <c r="I85" s="356" t="s">
        <v>496</v>
      </c>
      <c r="J85" s="375" t="s">
        <v>497</v>
      </c>
      <c r="K85" s="384">
        <v>503</v>
      </c>
      <c r="L85" s="184" t="s">
        <v>38</v>
      </c>
      <c r="M85" s="199" t="str">
        <f t="shared" si="9"/>
        <v>Yes</v>
      </c>
      <c r="N85" s="199">
        <v>9400000000</v>
      </c>
      <c r="O85" s="199"/>
      <c r="P85" s="380"/>
      <c r="Q85" s="199"/>
      <c r="R85" s="184"/>
      <c r="S85" s="199"/>
      <c r="T85" s="184"/>
      <c r="U85" s="184"/>
      <c r="V85" s="184"/>
      <c r="W85" s="184"/>
      <c r="X85" s="184"/>
      <c r="Y85" s="184"/>
      <c r="Z85" s="184"/>
      <c r="AA85" s="396" t="s">
        <v>49</v>
      </c>
      <c r="AB85" s="376"/>
      <c r="AC85" s="376"/>
      <c r="AD85" s="376" t="str">
        <f t="shared" si="19"/>
        <v>Industry</v>
      </c>
      <c r="AE85" s="376"/>
      <c r="AF85" s="376"/>
      <c r="AG85" s="376"/>
    </row>
    <row r="86" ht="12.75" spans="1:33">
      <c r="A86" s="353" t="s">
        <v>498</v>
      </c>
      <c r="B86" s="192" t="s">
        <v>32</v>
      </c>
      <c r="C86" s="192"/>
      <c r="D86" s="192" t="s">
        <v>356</v>
      </c>
      <c r="E86" s="192" t="s">
        <v>35</v>
      </c>
      <c r="F86" s="192" t="s">
        <v>499</v>
      </c>
      <c r="G86" s="367">
        <v>44260</v>
      </c>
      <c r="H86" s="363">
        <f t="shared" si="18"/>
        <v>4260</v>
      </c>
      <c r="I86" s="353" t="s">
        <v>500</v>
      </c>
      <c r="J86" s="371" t="s">
        <v>501</v>
      </c>
      <c r="K86" s="238">
        <v>76</v>
      </c>
      <c r="L86" s="182" t="s">
        <v>38</v>
      </c>
      <c r="M86" s="197" t="str">
        <f t="shared" si="9"/>
        <v>Yes</v>
      </c>
      <c r="N86" s="197">
        <v>1000000000000</v>
      </c>
      <c r="O86" s="197"/>
      <c r="P86" s="385" t="s">
        <v>502</v>
      </c>
      <c r="Q86" s="197">
        <v>1900000000000</v>
      </c>
      <c r="R86" s="182"/>
      <c r="S86" s="197"/>
      <c r="T86" s="182"/>
      <c r="U86" s="182"/>
      <c r="V86" s="182"/>
      <c r="W86" s="182"/>
      <c r="X86" s="182"/>
      <c r="Y86" s="182"/>
      <c r="Z86" s="182"/>
      <c r="AA86" s="399" t="s">
        <v>49</v>
      </c>
      <c r="AB86" s="372" t="s">
        <v>39</v>
      </c>
      <c r="AC86" s="372"/>
      <c r="AD86" s="372" t="str">
        <f t="shared" si="19"/>
        <v>Industry</v>
      </c>
      <c r="AE86" s="372"/>
      <c r="AF86" s="372"/>
      <c r="AG86" s="372"/>
    </row>
    <row r="87" ht="12.75" spans="1:33">
      <c r="A87" s="356" t="s">
        <v>503</v>
      </c>
      <c r="B87" s="215" t="s">
        <v>434</v>
      </c>
      <c r="C87" s="207"/>
      <c r="D87" s="215" t="s">
        <v>504</v>
      </c>
      <c r="E87" s="215" t="s">
        <v>35</v>
      </c>
      <c r="F87" s="215" t="s">
        <v>505</v>
      </c>
      <c r="G87" s="361">
        <v>44298</v>
      </c>
      <c r="H87" s="360">
        <f t="shared" si="18"/>
        <v>4298</v>
      </c>
      <c r="I87" s="356" t="s">
        <v>437</v>
      </c>
      <c r="J87" s="375" t="s">
        <v>438</v>
      </c>
      <c r="K87" s="384">
        <v>10</v>
      </c>
      <c r="L87" s="184"/>
      <c r="M87" s="199" t="str">
        <f t="shared" si="9"/>
        <v>No</v>
      </c>
      <c r="N87" s="199">
        <f>12000000000000</f>
        <v>12000000000000</v>
      </c>
      <c r="O87" s="199"/>
      <c r="P87" s="380"/>
      <c r="Q87" s="199"/>
      <c r="R87" s="184"/>
      <c r="S87" s="199"/>
      <c r="T87" s="184"/>
      <c r="U87" s="184"/>
      <c r="V87" s="184"/>
      <c r="W87" s="184"/>
      <c r="X87" s="184"/>
      <c r="Y87" s="184"/>
      <c r="Z87" s="184"/>
      <c r="AA87" s="396" t="s">
        <v>49</v>
      </c>
      <c r="AB87" s="376"/>
      <c r="AC87" s="376"/>
      <c r="AD87" s="376" t="str">
        <f t="shared" si="19"/>
        <v>Industry</v>
      </c>
      <c r="AE87" s="376"/>
      <c r="AF87" s="376"/>
      <c r="AG87" s="376"/>
    </row>
    <row r="88" ht="12.75" spans="1:33">
      <c r="A88" s="353" t="s">
        <v>506</v>
      </c>
      <c r="B88" s="192" t="s">
        <v>32</v>
      </c>
      <c r="C88" s="359"/>
      <c r="D88" s="192" t="s">
        <v>388</v>
      </c>
      <c r="E88" s="192" t="s">
        <v>389</v>
      </c>
      <c r="F88" s="192" t="s">
        <v>507</v>
      </c>
      <c r="G88" s="367">
        <v>44348</v>
      </c>
      <c r="H88" s="363">
        <f t="shared" si="18"/>
        <v>4348</v>
      </c>
      <c r="I88" s="353" t="s">
        <v>508</v>
      </c>
      <c r="J88" s="371" t="s">
        <v>509</v>
      </c>
      <c r="K88" s="236"/>
      <c r="L88" s="182"/>
      <c r="M88" s="197" t="str">
        <f t="shared" si="9"/>
        <v>No</v>
      </c>
      <c r="N88" s="197">
        <f>1750000000000</f>
        <v>1750000000000</v>
      </c>
      <c r="O88" s="197"/>
      <c r="P88" s="385"/>
      <c r="Q88" s="197"/>
      <c r="R88" s="182"/>
      <c r="S88" s="197"/>
      <c r="T88" s="182"/>
      <c r="U88" s="182"/>
      <c r="V88" s="182"/>
      <c r="W88" s="182"/>
      <c r="X88" s="182"/>
      <c r="Y88" s="182"/>
      <c r="Z88" s="182"/>
      <c r="AA88" s="399" t="s">
        <v>49</v>
      </c>
      <c r="AB88" s="372"/>
      <c r="AC88" s="372"/>
      <c r="AD88" s="372" t="str">
        <f t="shared" si="19"/>
        <v>Industry</v>
      </c>
      <c r="AE88" s="372"/>
      <c r="AF88" s="372"/>
      <c r="AG88" s="372"/>
    </row>
    <row r="89" ht="12.75" spans="1:33">
      <c r="A89" s="356" t="s">
        <v>510</v>
      </c>
      <c r="B89" s="215" t="s">
        <v>51</v>
      </c>
      <c r="C89" s="215" t="s">
        <v>511</v>
      </c>
      <c r="D89" s="215" t="s">
        <v>379</v>
      </c>
      <c r="E89" s="215" t="s">
        <v>35</v>
      </c>
      <c r="F89" s="215" t="s">
        <v>512</v>
      </c>
      <c r="G89" s="361">
        <v>44384</v>
      </c>
      <c r="H89" s="360">
        <f t="shared" si="18"/>
        <v>4384</v>
      </c>
      <c r="I89" s="356" t="s">
        <v>513</v>
      </c>
      <c r="J89" s="375" t="s">
        <v>514</v>
      </c>
      <c r="K89" s="384">
        <v>301</v>
      </c>
      <c r="L89" s="184" t="s">
        <v>122</v>
      </c>
      <c r="M89" s="199" t="str">
        <f t="shared" si="9"/>
        <v>Yes</v>
      </c>
      <c r="N89" s="199">
        <v>12000000000</v>
      </c>
      <c r="O89" s="199"/>
      <c r="P89" s="380"/>
      <c r="Q89" s="391">
        <f>159*200*10^6</f>
        <v>31800000000</v>
      </c>
      <c r="R89" s="184"/>
      <c r="S89" s="199"/>
      <c r="T89" s="184"/>
      <c r="U89" s="184"/>
      <c r="V89" s="184"/>
      <c r="W89" s="184"/>
      <c r="X89" s="184"/>
      <c r="Y89" s="184"/>
      <c r="Z89" s="184"/>
      <c r="AA89" s="396" t="s">
        <v>49</v>
      </c>
      <c r="AB89" s="376" t="s">
        <v>39</v>
      </c>
      <c r="AC89" s="376"/>
      <c r="AD89" s="376" t="str">
        <f t="shared" si="19"/>
        <v>Industry</v>
      </c>
      <c r="AE89" s="376"/>
      <c r="AF89" s="376"/>
      <c r="AG89" s="376"/>
    </row>
    <row r="90" ht="12.75" spans="1:33">
      <c r="A90" s="353" t="s">
        <v>515</v>
      </c>
      <c r="B90" s="192" t="s">
        <v>51</v>
      </c>
      <c r="C90" s="192"/>
      <c r="D90" s="192" t="s">
        <v>400</v>
      </c>
      <c r="E90" s="192" t="s">
        <v>35</v>
      </c>
      <c r="F90" s="192" t="s">
        <v>516</v>
      </c>
      <c r="G90" s="367">
        <v>44425</v>
      </c>
      <c r="H90" s="363">
        <f t="shared" si="18"/>
        <v>4425</v>
      </c>
      <c r="I90" s="353" t="s">
        <v>517</v>
      </c>
      <c r="J90" s="371" t="s">
        <v>518</v>
      </c>
      <c r="K90" s="238">
        <v>18</v>
      </c>
      <c r="L90" s="182" t="s">
        <v>38</v>
      </c>
      <c r="M90" s="197" t="str">
        <f t="shared" si="9"/>
        <v>Yes</v>
      </c>
      <c r="N90" s="197">
        <v>10700000000</v>
      </c>
      <c r="O90" s="197"/>
      <c r="P90" s="385" t="s">
        <v>519</v>
      </c>
      <c r="Q90" s="393">
        <f>167000000000*0.75</f>
        <v>125250000000</v>
      </c>
      <c r="R90" s="182"/>
      <c r="S90" s="197"/>
      <c r="T90" s="182"/>
      <c r="U90" s="182"/>
      <c r="V90" s="182"/>
      <c r="W90" s="182"/>
      <c r="X90" s="182"/>
      <c r="Y90" s="182"/>
      <c r="Z90" s="182"/>
      <c r="AA90" s="399" t="s">
        <v>49</v>
      </c>
      <c r="AB90" s="372"/>
      <c r="AC90" s="372"/>
      <c r="AD90" s="372" t="str">
        <f t="shared" si="19"/>
        <v>Industry</v>
      </c>
      <c r="AE90" s="372"/>
      <c r="AF90" s="372"/>
      <c r="AG90" s="372"/>
    </row>
    <row r="91" ht="12.75" spans="1:33">
      <c r="A91" s="356" t="s">
        <v>345</v>
      </c>
      <c r="B91" s="215" t="s">
        <v>51</v>
      </c>
      <c r="C91" s="215"/>
      <c r="D91" s="215" t="s">
        <v>53</v>
      </c>
      <c r="E91" s="215" t="s">
        <v>35</v>
      </c>
      <c r="F91" s="215" t="s">
        <v>520</v>
      </c>
      <c r="G91" s="361">
        <v>44442</v>
      </c>
      <c r="H91" s="360">
        <f t="shared" si="18"/>
        <v>4442</v>
      </c>
      <c r="I91" s="356" t="s">
        <v>521</v>
      </c>
      <c r="J91" s="375" t="s">
        <v>522</v>
      </c>
      <c r="K91" s="384">
        <v>240</v>
      </c>
      <c r="L91" s="184" t="s">
        <v>38</v>
      </c>
      <c r="M91" s="199" t="str">
        <f t="shared" si="9"/>
        <v>Yes</v>
      </c>
      <c r="N91" s="199">
        <v>137000000000</v>
      </c>
      <c r="O91" s="199"/>
      <c r="P91" s="380"/>
      <c r="Q91" s="391">
        <f>2.49*10^12*0.75</f>
        <v>1867500000000</v>
      </c>
      <c r="R91" s="184"/>
      <c r="S91" s="199"/>
      <c r="T91" s="184"/>
      <c r="U91" s="184"/>
      <c r="V91" s="184"/>
      <c r="W91" s="184"/>
      <c r="X91" s="184"/>
      <c r="Y91" s="184"/>
      <c r="Z91" s="184"/>
      <c r="AA91" s="396" t="s">
        <v>49</v>
      </c>
      <c r="AB91" s="376" t="s">
        <v>39</v>
      </c>
      <c r="AC91" s="376"/>
      <c r="AD91" s="376" t="str">
        <f t="shared" si="19"/>
        <v>Industry</v>
      </c>
      <c r="AE91" s="376"/>
      <c r="AF91" s="376"/>
      <c r="AG91" s="376"/>
    </row>
    <row r="92" ht="12.75" spans="1:33">
      <c r="A92" s="353" t="s">
        <v>523</v>
      </c>
      <c r="B92" s="192" t="s">
        <v>524</v>
      </c>
      <c r="C92" s="192"/>
      <c r="D92" s="192" t="s">
        <v>525</v>
      </c>
      <c r="E92" s="192" t="s">
        <v>35</v>
      </c>
      <c r="F92" s="192" t="s">
        <v>526</v>
      </c>
      <c r="G92" s="367">
        <v>44443</v>
      </c>
      <c r="H92" s="363">
        <f t="shared" si="18"/>
        <v>4443</v>
      </c>
      <c r="I92" s="353" t="s">
        <v>527</v>
      </c>
      <c r="J92" s="371" t="s">
        <v>528</v>
      </c>
      <c r="K92" s="236">
        <v>26</v>
      </c>
      <c r="L92" s="182" t="s">
        <v>122</v>
      </c>
      <c r="M92" s="197" t="str">
        <f t="shared" si="9"/>
        <v>Yes</v>
      </c>
      <c r="N92" s="197">
        <v>135000000000</v>
      </c>
      <c r="O92" s="200"/>
      <c r="P92" s="385"/>
      <c r="Q92" s="197"/>
      <c r="R92" s="182"/>
      <c r="S92" s="197"/>
      <c r="T92" s="182"/>
      <c r="U92" s="182"/>
      <c r="V92" s="182"/>
      <c r="W92" s="182"/>
      <c r="X92" s="182"/>
      <c r="Y92" s="182"/>
      <c r="Z92" s="182"/>
      <c r="AA92" s="399" t="s">
        <v>49</v>
      </c>
      <c r="AB92" s="372"/>
      <c r="AC92" s="372"/>
      <c r="AD92" s="372" t="str">
        <f t="shared" si="19"/>
        <v>Industry</v>
      </c>
      <c r="AE92" s="372"/>
      <c r="AF92" s="372"/>
      <c r="AG92" s="372"/>
    </row>
    <row r="93" ht="12.75" spans="1:33">
      <c r="A93" s="356" t="s">
        <v>365</v>
      </c>
      <c r="B93" s="215" t="s">
        <v>51</v>
      </c>
      <c r="C93" s="215"/>
      <c r="D93" s="215" t="s">
        <v>529</v>
      </c>
      <c r="E93" s="215" t="s">
        <v>44</v>
      </c>
      <c r="F93" s="215" t="s">
        <v>530</v>
      </c>
      <c r="G93" s="361">
        <v>44484</v>
      </c>
      <c r="H93" s="360">
        <f t="shared" si="18"/>
        <v>4484</v>
      </c>
      <c r="I93" s="356" t="s">
        <v>531</v>
      </c>
      <c r="J93" s="375" t="s">
        <v>370</v>
      </c>
      <c r="K93" s="384">
        <v>243</v>
      </c>
      <c r="L93" s="184"/>
      <c r="M93" s="199" t="str">
        <f t="shared" si="9"/>
        <v>No</v>
      </c>
      <c r="N93" s="199">
        <v>11000000000</v>
      </c>
      <c r="O93" s="199"/>
      <c r="P93" s="380"/>
      <c r="Q93" s="199"/>
      <c r="R93" s="184"/>
      <c r="S93" s="199"/>
      <c r="T93" s="184"/>
      <c r="U93" s="184"/>
      <c r="V93" s="184"/>
      <c r="W93" s="184"/>
      <c r="X93" s="184"/>
      <c r="Y93" s="184"/>
      <c r="Z93" s="184"/>
      <c r="AA93" s="396" t="s">
        <v>49</v>
      </c>
      <c r="AB93" s="376"/>
      <c r="AC93" s="376"/>
      <c r="AD93" s="376" t="str">
        <f t="shared" si="19"/>
        <v>Industry</v>
      </c>
      <c r="AE93" s="376"/>
      <c r="AF93" s="376"/>
      <c r="AG93" s="376"/>
    </row>
    <row r="94" ht="12.75" spans="1:33">
      <c r="A94" s="353" t="s">
        <v>532</v>
      </c>
      <c r="B94" s="192" t="s">
        <v>32</v>
      </c>
      <c r="C94" s="192"/>
      <c r="D94" s="192" t="s">
        <v>533</v>
      </c>
      <c r="E94" s="192" t="s">
        <v>534</v>
      </c>
      <c r="F94" s="192" t="s">
        <v>535</v>
      </c>
      <c r="G94" s="367">
        <v>44490</v>
      </c>
      <c r="H94" s="363">
        <f t="shared" si="18"/>
        <v>4490</v>
      </c>
      <c r="I94" s="353" t="s">
        <v>536</v>
      </c>
      <c r="J94" s="371" t="s">
        <v>537</v>
      </c>
      <c r="K94" s="238">
        <v>20</v>
      </c>
      <c r="L94" s="182"/>
      <c r="M94" s="197" t="str">
        <f t="shared" si="9"/>
        <v>No</v>
      </c>
      <c r="N94" s="197"/>
      <c r="O94" s="197"/>
      <c r="P94" s="385"/>
      <c r="Q94" s="197">
        <v>15000000</v>
      </c>
      <c r="R94" s="182"/>
      <c r="S94" s="197"/>
      <c r="T94" s="182"/>
      <c r="U94" s="182"/>
      <c r="V94" s="182"/>
      <c r="W94" s="182"/>
      <c r="X94" s="182"/>
      <c r="Y94" s="182"/>
      <c r="Z94" s="182"/>
      <c r="AA94" s="399" t="s">
        <v>49</v>
      </c>
      <c r="AB94" s="372"/>
      <c r="AC94" s="372"/>
      <c r="AD94" s="372" t="str">
        <f t="shared" si="19"/>
        <v>Industry</v>
      </c>
      <c r="AE94" s="372"/>
      <c r="AF94" s="372"/>
      <c r="AG94" s="372"/>
    </row>
    <row r="95" ht="12.75" spans="1:33">
      <c r="A95" s="356" t="s">
        <v>538</v>
      </c>
      <c r="B95" s="215" t="s">
        <v>256</v>
      </c>
      <c r="C95" s="215"/>
      <c r="D95" s="215" t="s">
        <v>539</v>
      </c>
      <c r="E95" s="215" t="s">
        <v>134</v>
      </c>
      <c r="F95" s="215" t="s">
        <v>540</v>
      </c>
      <c r="G95" s="361">
        <v>44499</v>
      </c>
      <c r="H95" s="360">
        <f t="shared" si="18"/>
        <v>4499</v>
      </c>
      <c r="I95" s="356" t="s">
        <v>541</v>
      </c>
      <c r="J95" s="375" t="s">
        <v>542</v>
      </c>
      <c r="K95" s="384">
        <v>40</v>
      </c>
      <c r="L95" s="184"/>
      <c r="M95" s="199" t="str">
        <f t="shared" si="9"/>
        <v>No</v>
      </c>
      <c r="N95" s="199"/>
      <c r="O95" s="199"/>
      <c r="P95" s="380"/>
      <c r="Q95" s="199"/>
      <c r="R95" s="184"/>
      <c r="S95" s="199"/>
      <c r="T95" s="184"/>
      <c r="U95" s="184"/>
      <c r="V95" s="184"/>
      <c r="W95" s="184"/>
      <c r="X95" s="184"/>
      <c r="Y95" s="184"/>
      <c r="Z95" s="184"/>
      <c r="AA95" s="396" t="s">
        <v>49</v>
      </c>
      <c r="AB95" s="376"/>
      <c r="AC95" s="376"/>
      <c r="AD95" s="376" t="str">
        <f t="shared" si="19"/>
        <v>Academia</v>
      </c>
      <c r="AE95" s="376"/>
      <c r="AF95" s="376"/>
      <c r="AG95" s="376"/>
    </row>
    <row r="96" ht="12.75" spans="1:33">
      <c r="A96" s="353" t="s">
        <v>543</v>
      </c>
      <c r="B96" s="192" t="s">
        <v>51</v>
      </c>
      <c r="C96" s="192"/>
      <c r="D96" s="192" t="s">
        <v>544</v>
      </c>
      <c r="E96" s="192" t="s">
        <v>35</v>
      </c>
      <c r="F96" s="192" t="s">
        <v>545</v>
      </c>
      <c r="G96" s="367">
        <v>44509</v>
      </c>
      <c r="H96" s="363">
        <f t="shared" si="18"/>
        <v>4509</v>
      </c>
      <c r="I96" s="353" t="s">
        <v>546</v>
      </c>
      <c r="J96" s="371" t="s">
        <v>547</v>
      </c>
      <c r="K96" s="238">
        <v>31</v>
      </c>
      <c r="L96" s="182"/>
      <c r="M96" s="197" t="str">
        <f t="shared" si="9"/>
        <v>No</v>
      </c>
      <c r="N96" s="197">
        <v>1600000000</v>
      </c>
      <c r="O96" s="200"/>
      <c r="P96" s="385"/>
      <c r="Q96" s="197">
        <v>2100000000</v>
      </c>
      <c r="R96" s="182"/>
      <c r="S96" s="197"/>
      <c r="T96" s="182"/>
      <c r="U96" s="182"/>
      <c r="V96" s="182"/>
      <c r="W96" s="182"/>
      <c r="X96" s="182"/>
      <c r="Y96" s="182"/>
      <c r="Z96" s="182"/>
      <c r="AA96" s="399" t="s">
        <v>49</v>
      </c>
      <c r="AB96" s="372"/>
      <c r="AC96" s="372"/>
      <c r="AD96" s="372" t="str">
        <f t="shared" si="19"/>
        <v>Industry</v>
      </c>
      <c r="AE96" s="372"/>
      <c r="AF96" s="372"/>
      <c r="AG96" s="372"/>
    </row>
    <row r="97" ht="12.75" spans="1:33">
      <c r="A97" s="356" t="s">
        <v>548</v>
      </c>
      <c r="B97" s="215" t="s">
        <v>256</v>
      </c>
      <c r="C97" s="215"/>
      <c r="D97" s="215" t="s">
        <v>71</v>
      </c>
      <c r="E97" s="215" t="s">
        <v>35</v>
      </c>
      <c r="F97" s="215" t="s">
        <v>549</v>
      </c>
      <c r="G97" s="361">
        <v>44536</v>
      </c>
      <c r="H97" s="360">
        <v>2021</v>
      </c>
      <c r="I97" s="356" t="s">
        <v>548</v>
      </c>
      <c r="J97" s="375" t="s">
        <v>550</v>
      </c>
      <c r="K97" s="384">
        <v>9</v>
      </c>
      <c r="L97" s="184" t="s">
        <v>38</v>
      </c>
      <c r="M97" s="199" t="str">
        <f t="shared" si="9"/>
        <v>Yes</v>
      </c>
      <c r="N97" s="199"/>
      <c r="O97" s="199"/>
      <c r="P97" s="380"/>
      <c r="Q97" s="391"/>
      <c r="R97" s="184"/>
      <c r="S97" s="199"/>
      <c r="T97" s="184"/>
      <c r="U97" s="184"/>
      <c r="V97" s="184"/>
      <c r="W97" s="184"/>
      <c r="X97" s="184"/>
      <c r="Y97" s="184"/>
      <c r="Z97" s="184"/>
      <c r="AA97" s="396" t="s">
        <v>49</v>
      </c>
      <c r="AB97" s="376"/>
      <c r="AC97" s="376"/>
      <c r="AD97" s="376" t="s">
        <v>35</v>
      </c>
      <c r="AE97" s="376"/>
      <c r="AF97" s="376"/>
      <c r="AG97" s="376"/>
    </row>
    <row r="98" ht="12.75" spans="1:33">
      <c r="A98" s="353" t="s">
        <v>551</v>
      </c>
      <c r="B98" s="192" t="s">
        <v>77</v>
      </c>
      <c r="C98" s="192"/>
      <c r="D98" s="192" t="s">
        <v>34</v>
      </c>
      <c r="E98" s="192" t="s">
        <v>35</v>
      </c>
      <c r="F98" s="192" t="s">
        <v>552</v>
      </c>
      <c r="G98" s="367">
        <v>44550</v>
      </c>
      <c r="H98" s="363">
        <f>IF(INT(RIGHT(G98,4))&lt;1,"",INT(RIGHT(G98,4)))</f>
        <v>4550</v>
      </c>
      <c r="I98" s="353" t="s">
        <v>553</v>
      </c>
      <c r="J98" s="371" t="s">
        <v>554</v>
      </c>
      <c r="K98" s="238">
        <v>238</v>
      </c>
      <c r="L98" s="182"/>
      <c r="M98" s="197" t="str">
        <f t="shared" si="9"/>
        <v>No</v>
      </c>
      <c r="N98" s="197">
        <v>3500000000</v>
      </c>
      <c r="O98" s="197"/>
      <c r="P98" s="385"/>
      <c r="Q98" s="197">
        <v>250000000</v>
      </c>
      <c r="R98" s="182"/>
      <c r="S98" s="197"/>
      <c r="T98" s="182"/>
      <c r="U98" s="182"/>
      <c r="V98" s="182"/>
      <c r="W98" s="182"/>
      <c r="X98" s="182"/>
      <c r="Y98" s="182"/>
      <c r="Z98" s="182"/>
      <c r="AA98" s="399" t="s">
        <v>49</v>
      </c>
      <c r="AB98" s="372"/>
      <c r="AC98" s="372"/>
      <c r="AD98" s="372" t="str">
        <f>_xlfn.IFS($E98="Academia","Academia",$E98="Research Collective","TO MANUALLY ADJUST",TRUE,"Industry")</f>
        <v>Industry</v>
      </c>
      <c r="AE98" s="372"/>
      <c r="AF98" s="372"/>
      <c r="AG98" s="372"/>
    </row>
    <row r="99" ht="12.75" spans="1:33">
      <c r="A99" s="356" t="s">
        <v>555</v>
      </c>
      <c r="B99" s="215" t="s">
        <v>51</v>
      </c>
      <c r="C99" s="215"/>
      <c r="D99" s="215" t="s">
        <v>65</v>
      </c>
      <c r="E99" s="215" t="s">
        <v>35</v>
      </c>
      <c r="F99" s="215" t="s">
        <v>556</v>
      </c>
      <c r="G99" s="357">
        <v>44550</v>
      </c>
      <c r="H99" s="358">
        <v>2021</v>
      </c>
      <c r="I99" s="356" t="s">
        <v>557</v>
      </c>
      <c r="J99" s="375" t="s">
        <v>558</v>
      </c>
      <c r="K99" s="384">
        <v>12</v>
      </c>
      <c r="L99" s="376" t="s">
        <v>142</v>
      </c>
      <c r="M99" s="199" t="str">
        <f t="shared" si="9"/>
        <v>Yes</v>
      </c>
      <c r="N99" s="377">
        <v>7500000000</v>
      </c>
      <c r="O99" s="203"/>
      <c r="P99" s="383" t="s">
        <v>559</v>
      </c>
      <c r="Q99" s="377">
        <v>1740000000</v>
      </c>
      <c r="R99" s="205"/>
      <c r="S99" s="205"/>
      <c r="T99" s="205"/>
      <c r="U99" s="205"/>
      <c r="V99" s="205"/>
      <c r="W99" s="205"/>
      <c r="X99" s="205"/>
      <c r="Y99" s="205"/>
      <c r="Z99" s="205"/>
      <c r="AA99" s="395" t="s">
        <v>49</v>
      </c>
      <c r="AB99" s="376" t="s">
        <v>39</v>
      </c>
      <c r="AC99" s="376"/>
      <c r="AD99" s="376" t="s">
        <v>35</v>
      </c>
      <c r="AE99" s="376"/>
      <c r="AF99" s="376"/>
      <c r="AG99" s="376"/>
    </row>
    <row r="100" ht="12.75" spans="1:33">
      <c r="A100" s="353" t="s">
        <v>560</v>
      </c>
      <c r="B100" s="192" t="s">
        <v>32</v>
      </c>
      <c r="C100" s="192" t="s">
        <v>561</v>
      </c>
      <c r="D100" s="192" t="s">
        <v>469</v>
      </c>
      <c r="E100" s="192" t="s">
        <v>35</v>
      </c>
      <c r="F100" s="192" t="s">
        <v>562</v>
      </c>
      <c r="G100" s="354">
        <v>44561</v>
      </c>
      <c r="H100" s="355">
        <v>2021</v>
      </c>
      <c r="I100" s="353" t="s">
        <v>563</v>
      </c>
      <c r="J100" s="371" t="s">
        <v>564</v>
      </c>
      <c r="K100" s="373">
        <v>12</v>
      </c>
      <c r="L100" s="204"/>
      <c r="M100" s="197" t="str">
        <f t="shared" si="9"/>
        <v>No</v>
      </c>
      <c r="N100" s="373">
        <v>10000000000</v>
      </c>
      <c r="O100" s="373"/>
      <c r="P100" s="381"/>
      <c r="Q100" s="373">
        <v>145000000</v>
      </c>
      <c r="R100" s="204"/>
      <c r="S100" s="204"/>
      <c r="T100" s="204"/>
      <c r="U100" s="204"/>
      <c r="V100" s="204"/>
      <c r="W100" s="204"/>
      <c r="X100" s="204"/>
      <c r="Y100" s="204"/>
      <c r="Z100" s="204"/>
      <c r="AA100" s="394" t="s">
        <v>49</v>
      </c>
      <c r="AB100" s="372" t="s">
        <v>39</v>
      </c>
      <c r="AC100" s="372"/>
      <c r="AD100" s="372"/>
      <c r="AE100" s="372"/>
      <c r="AF100" s="372"/>
      <c r="AG100" s="372"/>
    </row>
    <row r="101" ht="12.75" spans="1:33">
      <c r="A101" s="356" t="s">
        <v>565</v>
      </c>
      <c r="B101" s="215" t="s">
        <v>51</v>
      </c>
      <c r="C101" s="215" t="s">
        <v>267</v>
      </c>
      <c r="D101" s="215" t="s">
        <v>34</v>
      </c>
      <c r="E101" s="215" t="s">
        <v>35</v>
      </c>
      <c r="F101" s="215" t="s">
        <v>566</v>
      </c>
      <c r="G101" s="361">
        <v>43979</v>
      </c>
      <c r="H101" s="360">
        <f t="shared" ref="H101:H115" si="20">IF(INT(RIGHT(G101,4))&lt;1,"",INT(RIGHT(G101,4)))</f>
        <v>3979</v>
      </c>
      <c r="I101" s="356" t="s">
        <v>567</v>
      </c>
      <c r="J101" s="375" t="s">
        <v>568</v>
      </c>
      <c r="K101" s="379">
        <v>1534</v>
      </c>
      <c r="L101" s="184" t="s">
        <v>454</v>
      </c>
      <c r="M101" s="199" t="str">
        <f t="shared" si="9"/>
        <v>Yes</v>
      </c>
      <c r="N101" s="199">
        <v>175000000000</v>
      </c>
      <c r="O101" s="199">
        <v>3.14e+23</v>
      </c>
      <c r="P101" s="380" t="s">
        <v>569</v>
      </c>
      <c r="Q101" s="199">
        <v>374000000000</v>
      </c>
      <c r="R101" s="184"/>
      <c r="S101" s="199">
        <v>740000000000000</v>
      </c>
      <c r="T101" s="207"/>
      <c r="U101" s="207"/>
      <c r="V101" s="184"/>
      <c r="W101" s="184" t="s">
        <v>570</v>
      </c>
      <c r="X101" s="184"/>
      <c r="Y101" s="184"/>
      <c r="Z101" s="184"/>
      <c r="AA101" s="396">
        <v>1131415.12384028</v>
      </c>
      <c r="AB101" s="376" t="s">
        <v>39</v>
      </c>
      <c r="AC101" s="376"/>
      <c r="AD101" s="376" t="str">
        <f t="shared" ref="AD101:AD115" si="21">_xlfn.IFS($E101="Academia","Academia",$E101="Research Collective","TO MANUALLY ADJUST",TRUE,"Industry")</f>
        <v>Industry</v>
      </c>
      <c r="AE101" s="376" t="s">
        <v>571</v>
      </c>
      <c r="AF101" s="376"/>
      <c r="AG101" s="376"/>
    </row>
    <row r="102" ht="12.75" spans="1:33">
      <c r="A102" s="353" t="s">
        <v>572</v>
      </c>
      <c r="B102" s="192" t="s">
        <v>51</v>
      </c>
      <c r="C102" s="192" t="s">
        <v>267</v>
      </c>
      <c r="D102" s="192" t="s">
        <v>299</v>
      </c>
      <c r="E102" s="192" t="s">
        <v>35</v>
      </c>
      <c r="F102" s="192" t="s">
        <v>573</v>
      </c>
      <c r="G102" s="367">
        <v>43858</v>
      </c>
      <c r="H102" s="363">
        <f t="shared" si="20"/>
        <v>3858</v>
      </c>
      <c r="I102" s="353" t="s">
        <v>574</v>
      </c>
      <c r="J102" s="371" t="s">
        <v>575</v>
      </c>
      <c r="K102" s="238">
        <v>615</v>
      </c>
      <c r="L102" s="182"/>
      <c r="M102" s="197" t="str">
        <f t="shared" si="9"/>
        <v>No</v>
      </c>
      <c r="N102" s="197">
        <v>2600000000</v>
      </c>
      <c r="O102" s="197">
        <v>1.12e+23</v>
      </c>
      <c r="P102" s="385"/>
      <c r="Q102" s="197">
        <v>40000000000</v>
      </c>
      <c r="R102" s="182"/>
      <c r="S102" s="197"/>
      <c r="T102" s="182"/>
      <c r="U102" s="182"/>
      <c r="V102" s="182"/>
      <c r="W102" s="182"/>
      <c r="X102" s="182"/>
      <c r="Y102" s="182"/>
      <c r="Z102" s="182"/>
      <c r="AA102" s="399">
        <v>263099.940265426</v>
      </c>
      <c r="AB102" s="372" t="s">
        <v>39</v>
      </c>
      <c r="AC102" s="372" t="s">
        <v>576</v>
      </c>
      <c r="AD102" s="372" t="str">
        <f t="shared" si="21"/>
        <v>Industry</v>
      </c>
      <c r="AE102" s="372" t="s">
        <v>577</v>
      </c>
      <c r="AF102" s="372"/>
      <c r="AG102" s="372"/>
    </row>
    <row r="103" ht="12.75" spans="1:33">
      <c r="A103" s="356" t="s">
        <v>578</v>
      </c>
      <c r="B103" s="215" t="s">
        <v>77</v>
      </c>
      <c r="C103" s="215" t="s">
        <v>579</v>
      </c>
      <c r="D103" s="215" t="s">
        <v>379</v>
      </c>
      <c r="E103" s="215" t="s">
        <v>35</v>
      </c>
      <c r="F103" s="215" t="s">
        <v>580</v>
      </c>
      <c r="G103" s="361">
        <v>43999</v>
      </c>
      <c r="H103" s="360">
        <f t="shared" si="20"/>
        <v>3999</v>
      </c>
      <c r="I103" s="356" t="s">
        <v>581</v>
      </c>
      <c r="J103" s="375" t="s">
        <v>582</v>
      </c>
      <c r="K103" s="384">
        <v>689</v>
      </c>
      <c r="L103" s="184"/>
      <c r="M103" s="199" t="str">
        <f t="shared" si="9"/>
        <v>No</v>
      </c>
      <c r="N103" s="199">
        <v>6801000000</v>
      </c>
      <c r="O103" s="199">
        <v>3.3e+22</v>
      </c>
      <c r="P103" s="380" t="s">
        <v>583</v>
      </c>
      <c r="Q103" s="199">
        <f>10000000*0.96</f>
        <v>9600000</v>
      </c>
      <c r="R103" s="184"/>
      <c r="S103" s="199"/>
      <c r="T103" s="207"/>
      <c r="U103" s="207"/>
      <c r="V103" s="184"/>
      <c r="W103" s="184"/>
      <c r="X103" s="184"/>
      <c r="Y103" s="184"/>
      <c r="Z103" s="184"/>
      <c r="AA103" s="396">
        <v>120440.964795901</v>
      </c>
      <c r="AB103" s="376" t="s">
        <v>39</v>
      </c>
      <c r="AC103" s="376"/>
      <c r="AD103" s="376" t="str">
        <f t="shared" si="21"/>
        <v>Industry</v>
      </c>
      <c r="AE103" s="376" t="s">
        <v>584</v>
      </c>
      <c r="AF103" s="376"/>
      <c r="AG103" s="376"/>
    </row>
    <row r="104" ht="12.75" spans="1:33">
      <c r="A104" s="353" t="s">
        <v>585</v>
      </c>
      <c r="B104" s="192" t="s">
        <v>51</v>
      </c>
      <c r="C104" s="192" t="s">
        <v>144</v>
      </c>
      <c r="D104" s="192" t="s">
        <v>262</v>
      </c>
      <c r="E104" s="192" t="s">
        <v>35</v>
      </c>
      <c r="F104" s="192" t="s">
        <v>586</v>
      </c>
      <c r="G104" s="367">
        <v>44012</v>
      </c>
      <c r="H104" s="363">
        <f t="shared" si="20"/>
        <v>4012</v>
      </c>
      <c r="I104" s="353" t="s">
        <v>587</v>
      </c>
      <c r="J104" s="371" t="s">
        <v>588</v>
      </c>
      <c r="K104" s="238">
        <v>295</v>
      </c>
      <c r="L104" s="182"/>
      <c r="M104" s="197" t="str">
        <f t="shared" si="9"/>
        <v>No</v>
      </c>
      <c r="N104" s="197">
        <f>2300000000</f>
        <v>2300000000</v>
      </c>
      <c r="O104" s="197">
        <f>2.6*10^22</f>
        <v>2.6e+22</v>
      </c>
      <c r="P104" s="385"/>
      <c r="Q104" s="197">
        <f>13*20*10^9</f>
        <v>260000000000</v>
      </c>
      <c r="R104" s="182"/>
      <c r="S104" s="197"/>
      <c r="T104" s="206"/>
      <c r="U104" s="206"/>
      <c r="V104" s="182"/>
      <c r="W104" s="182"/>
      <c r="X104" s="182"/>
      <c r="Y104" s="182"/>
      <c r="Z104" s="182"/>
      <c r="AA104" s="399">
        <v>55219.614859852</v>
      </c>
      <c r="AB104" s="372" t="s">
        <v>39</v>
      </c>
      <c r="AC104" s="372"/>
      <c r="AD104" s="372" t="str">
        <f t="shared" si="21"/>
        <v>Industry</v>
      </c>
      <c r="AE104" s="372" t="s">
        <v>589</v>
      </c>
      <c r="AF104" s="372"/>
      <c r="AG104" s="372"/>
    </row>
    <row r="105" ht="12.75" spans="1:33">
      <c r="A105" s="356" t="s">
        <v>590</v>
      </c>
      <c r="B105" s="215" t="s">
        <v>51</v>
      </c>
      <c r="C105" s="215" t="s">
        <v>267</v>
      </c>
      <c r="D105" s="215" t="s">
        <v>393</v>
      </c>
      <c r="E105" s="215" t="s">
        <v>35</v>
      </c>
      <c r="F105" s="215" t="s">
        <v>591</v>
      </c>
      <c r="G105" s="361">
        <v>43874</v>
      </c>
      <c r="H105" s="360">
        <f t="shared" si="20"/>
        <v>3874</v>
      </c>
      <c r="I105" s="356" t="s">
        <v>592</v>
      </c>
      <c r="J105" s="375" t="s">
        <v>593</v>
      </c>
      <c r="K105" s="384">
        <v>114</v>
      </c>
      <c r="L105" s="184"/>
      <c r="M105" s="199" t="str">
        <f t="shared" si="9"/>
        <v>No</v>
      </c>
      <c r="N105" s="199">
        <v>17000000000</v>
      </c>
      <c r="O105" s="199">
        <v>1.57e+22</v>
      </c>
      <c r="P105" s="380"/>
      <c r="Q105" s="391">
        <v>34800000000</v>
      </c>
      <c r="R105" s="184"/>
      <c r="S105" s="199">
        <v>36000000000000</v>
      </c>
      <c r="T105" s="184"/>
      <c r="U105" s="184"/>
      <c r="V105" s="184"/>
      <c r="W105" s="184"/>
      <c r="X105" s="184"/>
      <c r="Y105" s="184"/>
      <c r="Z105" s="184" t="s">
        <v>594</v>
      </c>
      <c r="AA105" s="396">
        <v>58395.6192949826</v>
      </c>
      <c r="AB105" s="376" t="s">
        <v>39</v>
      </c>
      <c r="AC105" s="376"/>
      <c r="AD105" s="376" t="str">
        <f t="shared" si="21"/>
        <v>Industry</v>
      </c>
      <c r="AE105" s="376"/>
      <c r="AF105" s="376"/>
      <c r="AG105" s="376"/>
    </row>
    <row r="106" ht="12.75" spans="1:33">
      <c r="A106" s="353" t="s">
        <v>595</v>
      </c>
      <c r="B106" s="192" t="s">
        <v>51</v>
      </c>
      <c r="C106" s="192" t="s">
        <v>144</v>
      </c>
      <c r="D106" s="192" t="s">
        <v>262</v>
      </c>
      <c r="E106" s="192" t="s">
        <v>35</v>
      </c>
      <c r="F106" s="192" t="s">
        <v>586</v>
      </c>
      <c r="G106" s="367">
        <v>44012</v>
      </c>
      <c r="H106" s="363">
        <f t="shared" si="20"/>
        <v>4012</v>
      </c>
      <c r="I106" s="353" t="s">
        <v>587</v>
      </c>
      <c r="J106" s="371" t="s">
        <v>588</v>
      </c>
      <c r="K106" s="238">
        <v>295</v>
      </c>
      <c r="L106" s="182"/>
      <c r="M106" s="197" t="str">
        <f t="shared" si="9"/>
        <v>No</v>
      </c>
      <c r="N106" s="197">
        <v>600000000000</v>
      </c>
      <c r="O106" s="197">
        <v>1.33e+22</v>
      </c>
      <c r="P106" s="385"/>
      <c r="Q106" s="197">
        <f>13*20*10^9</f>
        <v>260000000000</v>
      </c>
      <c r="R106" s="182"/>
      <c r="S106" s="197"/>
      <c r="T106" s="206"/>
      <c r="U106" s="206"/>
      <c r="V106" s="182"/>
      <c r="W106" s="182"/>
      <c r="X106" s="182"/>
      <c r="Y106" s="182"/>
      <c r="Z106" s="182"/>
      <c r="AA106" s="399">
        <v>27609.807429926</v>
      </c>
      <c r="AB106" s="372" t="s">
        <v>39</v>
      </c>
      <c r="AC106" s="372"/>
      <c r="AD106" s="372" t="str">
        <f t="shared" si="21"/>
        <v>Industry</v>
      </c>
      <c r="AE106" s="372" t="s">
        <v>589</v>
      </c>
      <c r="AF106" s="372"/>
      <c r="AG106" s="372"/>
    </row>
    <row r="107" ht="12.75" spans="1:33">
      <c r="A107" s="356" t="s">
        <v>596</v>
      </c>
      <c r="B107" s="215" t="s">
        <v>41</v>
      </c>
      <c r="C107" s="215" t="s">
        <v>597</v>
      </c>
      <c r="D107" s="215" t="s">
        <v>150</v>
      </c>
      <c r="E107" s="215" t="s">
        <v>35</v>
      </c>
      <c r="F107" s="215" t="s">
        <v>598</v>
      </c>
      <c r="G107" s="357">
        <v>44102</v>
      </c>
      <c r="H107" s="360">
        <f t="shared" si="20"/>
        <v>4102</v>
      </c>
      <c r="I107" s="356" t="s">
        <v>599</v>
      </c>
      <c r="J107" s="375" t="s">
        <v>600</v>
      </c>
      <c r="K107" s="384">
        <v>1906</v>
      </c>
      <c r="L107" s="184" t="s">
        <v>454</v>
      </c>
      <c r="M107" s="199" t="str">
        <f t="shared" si="9"/>
        <v>Yes</v>
      </c>
      <c r="N107" s="199"/>
      <c r="O107" s="382">
        <f>12826*10^18</f>
        <v>1.2826e+22</v>
      </c>
      <c r="P107" s="380" t="s">
        <v>455</v>
      </c>
      <c r="Q107" s="199">
        <f>1.28*10^6</f>
        <v>1280000</v>
      </c>
      <c r="R107" s="184"/>
      <c r="S107" s="199"/>
      <c r="T107" s="184"/>
      <c r="U107" s="184"/>
      <c r="V107" s="184"/>
      <c r="W107" s="184"/>
      <c r="X107" s="184"/>
      <c r="Y107" s="184"/>
      <c r="Z107" s="184"/>
      <c r="AA107" s="396">
        <v>25757.4482100601</v>
      </c>
      <c r="AB107" s="376"/>
      <c r="AC107" s="376"/>
      <c r="AD107" s="376" t="str">
        <f t="shared" si="21"/>
        <v>Industry</v>
      </c>
      <c r="AE107" s="376" t="s">
        <v>601</v>
      </c>
      <c r="AF107" s="376"/>
      <c r="AG107" s="376"/>
    </row>
    <row r="108" ht="12.75" spans="1:33">
      <c r="A108" s="353" t="s">
        <v>602</v>
      </c>
      <c r="B108" s="192" t="s">
        <v>77</v>
      </c>
      <c r="C108" s="192" t="s">
        <v>579</v>
      </c>
      <c r="D108" s="192" t="s">
        <v>379</v>
      </c>
      <c r="E108" s="192" t="s">
        <v>35</v>
      </c>
      <c r="F108" s="192" t="s">
        <v>580</v>
      </c>
      <c r="G108" s="367">
        <v>43999</v>
      </c>
      <c r="H108" s="363">
        <f t="shared" si="20"/>
        <v>3999</v>
      </c>
      <c r="I108" s="353" t="s">
        <v>581</v>
      </c>
      <c r="J108" s="371" t="s">
        <v>582</v>
      </c>
      <c r="K108" s="238">
        <v>689</v>
      </c>
      <c r="L108" s="182"/>
      <c r="M108" s="197" t="str">
        <f t="shared" si="9"/>
        <v>No</v>
      </c>
      <c r="N108" s="197">
        <f>1362000000</f>
        <v>1362000000</v>
      </c>
      <c r="O108" s="197">
        <f>8.91*10^21</f>
        <v>8.91e+21</v>
      </c>
      <c r="P108" s="385" t="s">
        <v>583</v>
      </c>
      <c r="Q108" s="197">
        <f>10000000*0.96</f>
        <v>9600000</v>
      </c>
      <c r="R108" s="182"/>
      <c r="S108" s="197"/>
      <c r="T108" s="206"/>
      <c r="U108" s="206"/>
      <c r="V108" s="182"/>
      <c r="W108" s="182"/>
      <c r="X108" s="182"/>
      <c r="Y108" s="182"/>
      <c r="Z108" s="182"/>
      <c r="AA108" s="399">
        <v>32482.563232834</v>
      </c>
      <c r="AB108" s="372" t="s">
        <v>39</v>
      </c>
      <c r="AC108" s="372"/>
      <c r="AD108" s="372" t="str">
        <f t="shared" si="21"/>
        <v>Industry</v>
      </c>
      <c r="AE108" s="372" t="s">
        <v>584</v>
      </c>
      <c r="AF108" s="372"/>
      <c r="AG108" s="372"/>
    </row>
    <row r="109" ht="12.75" spans="1:33">
      <c r="A109" s="356" t="s">
        <v>603</v>
      </c>
      <c r="B109" s="215" t="s">
        <v>51</v>
      </c>
      <c r="C109" s="215"/>
      <c r="D109" s="215" t="s">
        <v>604</v>
      </c>
      <c r="E109" s="215" t="s">
        <v>327</v>
      </c>
      <c r="F109" s="215" t="s">
        <v>605</v>
      </c>
      <c r="G109" s="361">
        <v>43870</v>
      </c>
      <c r="H109" s="360">
        <f t="shared" si="20"/>
        <v>3870</v>
      </c>
      <c r="I109" s="356" t="s">
        <v>606</v>
      </c>
      <c r="J109" s="375" t="s">
        <v>607</v>
      </c>
      <c r="K109" s="379">
        <v>2176</v>
      </c>
      <c r="L109" s="184" t="s">
        <v>454</v>
      </c>
      <c r="M109" s="199" t="str">
        <f t="shared" si="9"/>
        <v>Yes</v>
      </c>
      <c r="N109" s="199">
        <f>235*10^6</f>
        <v>235000000</v>
      </c>
      <c r="O109" s="199">
        <f>34*3600*512*0.33*123000000000000</f>
        <v>2.543726592e+21</v>
      </c>
      <c r="P109" s="380"/>
      <c r="Q109" s="382">
        <v>3300000000</v>
      </c>
      <c r="R109" s="184"/>
      <c r="S109" s="199">
        <v>2500000000000</v>
      </c>
      <c r="T109" s="184"/>
      <c r="U109" s="184">
        <f>34*512</f>
        <v>17408</v>
      </c>
      <c r="V109" s="184"/>
      <c r="W109" s="184"/>
      <c r="X109" s="184"/>
      <c r="Y109" s="184"/>
      <c r="Z109" s="184"/>
      <c r="AA109" s="396">
        <v>5924.431294748</v>
      </c>
      <c r="AB109" s="376" t="s">
        <v>39</v>
      </c>
      <c r="AC109" s="376"/>
      <c r="AD109" s="376" t="str">
        <f t="shared" si="21"/>
        <v>Industry</v>
      </c>
      <c r="AE109" s="376" t="s">
        <v>608</v>
      </c>
      <c r="AF109" s="376"/>
      <c r="AG109" s="376"/>
    </row>
    <row r="110" ht="12.75" spans="1:33">
      <c r="A110" s="353" t="s">
        <v>609</v>
      </c>
      <c r="B110" s="192" t="s">
        <v>51</v>
      </c>
      <c r="C110" s="192"/>
      <c r="D110" s="192" t="s">
        <v>610</v>
      </c>
      <c r="E110" s="192" t="s">
        <v>134</v>
      </c>
      <c r="F110" s="192" t="s">
        <v>611</v>
      </c>
      <c r="G110" s="367">
        <v>44196</v>
      </c>
      <c r="H110" s="363">
        <f t="shared" si="20"/>
        <v>4196</v>
      </c>
      <c r="I110" s="353" t="s">
        <v>612</v>
      </c>
      <c r="J110" s="371" t="s">
        <v>613</v>
      </c>
      <c r="K110" s="238">
        <v>24</v>
      </c>
      <c r="L110" s="182"/>
      <c r="M110" s="197" t="str">
        <f t="shared" si="9"/>
        <v>No</v>
      </c>
      <c r="N110" s="197">
        <v>1500000000</v>
      </c>
      <c r="O110" s="197">
        <v>2e+21</v>
      </c>
      <c r="P110" s="385"/>
      <c r="Q110" s="197">
        <f>8800000000</f>
        <v>8800000000</v>
      </c>
      <c r="R110" s="182"/>
      <c r="S110" s="197"/>
      <c r="T110" s="182"/>
      <c r="U110" s="182"/>
      <c r="V110" s="182"/>
      <c r="W110" s="182"/>
      <c r="X110" s="204"/>
      <c r="Y110" s="182"/>
      <c r="Z110" s="182"/>
      <c r="AA110" s="399">
        <v>3685.43255453402</v>
      </c>
      <c r="AB110" s="372" t="s">
        <v>39</v>
      </c>
      <c r="AC110" s="372"/>
      <c r="AD110" s="372" t="str">
        <f t="shared" si="21"/>
        <v>Academia</v>
      </c>
      <c r="AE110" s="372" t="s">
        <v>614</v>
      </c>
      <c r="AF110" s="372"/>
      <c r="AG110" s="372"/>
    </row>
    <row r="111" ht="12.75" spans="1:33">
      <c r="A111" s="356" t="s">
        <v>615</v>
      </c>
      <c r="B111" s="215" t="s">
        <v>51</v>
      </c>
      <c r="C111" s="215"/>
      <c r="D111" s="215" t="s">
        <v>616</v>
      </c>
      <c r="E111" s="215" t="s">
        <v>134</v>
      </c>
      <c r="F111" s="215" t="s">
        <v>617</v>
      </c>
      <c r="G111" s="361">
        <v>44166</v>
      </c>
      <c r="H111" s="360">
        <f t="shared" si="20"/>
        <v>4166</v>
      </c>
      <c r="I111" s="356" t="s">
        <v>618</v>
      </c>
      <c r="J111" s="375" t="s">
        <v>619</v>
      </c>
      <c r="K111" s="384">
        <v>49</v>
      </c>
      <c r="L111" s="184"/>
      <c r="M111" s="199" t="str">
        <f t="shared" si="9"/>
        <v>No</v>
      </c>
      <c r="N111" s="199">
        <v>2600000000</v>
      </c>
      <c r="O111" s="199">
        <v>1.8e+21</v>
      </c>
      <c r="P111" s="380"/>
      <c r="Q111" s="377">
        <f>100*167*10^6</f>
        <v>16700000000</v>
      </c>
      <c r="R111" s="184"/>
      <c r="S111" s="199"/>
      <c r="T111" s="184"/>
      <c r="U111" s="184"/>
      <c r="V111" s="184"/>
      <c r="W111" s="184"/>
      <c r="X111" s="205"/>
      <c r="Y111" s="184"/>
      <c r="Z111" s="184"/>
      <c r="AA111" s="395">
        <v>6569.50717068554</v>
      </c>
      <c r="AB111" s="376" t="s">
        <v>39</v>
      </c>
      <c r="AC111" s="376" t="s">
        <v>620</v>
      </c>
      <c r="AD111" s="376" t="str">
        <f t="shared" si="21"/>
        <v>Academia</v>
      </c>
      <c r="AE111" s="376" t="s">
        <v>621</v>
      </c>
      <c r="AF111" s="376"/>
      <c r="AG111" s="376"/>
    </row>
    <row r="112" ht="12.75" spans="1:33">
      <c r="A112" s="353" t="s">
        <v>622</v>
      </c>
      <c r="B112" s="192" t="s">
        <v>41</v>
      </c>
      <c r="C112" s="192"/>
      <c r="D112" s="192" t="s">
        <v>623</v>
      </c>
      <c r="E112" s="192" t="s">
        <v>35</v>
      </c>
      <c r="F112" s="192" t="s">
        <v>624</v>
      </c>
      <c r="G112" s="367">
        <v>43950</v>
      </c>
      <c r="H112" s="363">
        <f t="shared" si="20"/>
        <v>3950</v>
      </c>
      <c r="I112" s="353" t="s">
        <v>625</v>
      </c>
      <c r="J112" s="371" t="s">
        <v>626</v>
      </c>
      <c r="K112" s="238">
        <v>733</v>
      </c>
      <c r="L112" s="182"/>
      <c r="M112" s="197" t="str">
        <f t="shared" si="9"/>
        <v>No</v>
      </c>
      <c r="N112" s="197">
        <f>7.7*10^6</f>
        <v>7700000</v>
      </c>
      <c r="O112" s="197">
        <f>4200*24*3600*14900000000000*0.33</f>
        <v>1.78428096e+21</v>
      </c>
      <c r="P112" s="385" t="s">
        <v>627</v>
      </c>
      <c r="Q112" s="197"/>
      <c r="R112" s="182"/>
      <c r="S112" s="197"/>
      <c r="T112" s="182"/>
      <c r="U112" s="182"/>
      <c r="V112" s="182"/>
      <c r="W112" s="182"/>
      <c r="X112" s="182"/>
      <c r="Y112" s="182"/>
      <c r="Z112" s="182"/>
      <c r="AA112" s="399">
        <v>6569.50717068554</v>
      </c>
      <c r="AB112" s="372"/>
      <c r="AC112" s="372"/>
      <c r="AD112" s="372" t="str">
        <f t="shared" si="21"/>
        <v>Industry</v>
      </c>
      <c r="AE112" s="372" t="s">
        <v>628</v>
      </c>
      <c r="AF112" s="372"/>
      <c r="AG112" s="372"/>
    </row>
    <row r="113" ht="12.75" spans="1:33">
      <c r="A113" s="356" t="s">
        <v>629</v>
      </c>
      <c r="B113" s="215" t="s">
        <v>126</v>
      </c>
      <c r="C113" s="215" t="s">
        <v>630</v>
      </c>
      <c r="D113" s="215" t="s">
        <v>435</v>
      </c>
      <c r="E113" s="215" t="s">
        <v>35</v>
      </c>
      <c r="F113" s="215" t="s">
        <v>631</v>
      </c>
      <c r="G113" s="361">
        <v>44126</v>
      </c>
      <c r="H113" s="360">
        <f t="shared" si="20"/>
        <v>4126</v>
      </c>
      <c r="I113" s="356" t="s">
        <v>632</v>
      </c>
      <c r="J113" s="375" t="s">
        <v>633</v>
      </c>
      <c r="K113" s="379">
        <v>410</v>
      </c>
      <c r="L113" s="184" t="s">
        <v>38</v>
      </c>
      <c r="M113" s="199" t="str">
        <f t="shared" si="9"/>
        <v>Yes</v>
      </c>
      <c r="N113" s="199">
        <v>317000000</v>
      </c>
      <c r="O113" s="199">
        <v>4.34e+20</v>
      </c>
      <c r="P113" s="380" t="s">
        <v>404</v>
      </c>
      <c r="Q113" s="199">
        <v>727776000</v>
      </c>
      <c r="R113" s="184"/>
      <c r="S113" s="199"/>
      <c r="T113" s="184"/>
      <c r="U113" s="184"/>
      <c r="V113" s="184"/>
      <c r="W113" s="184"/>
      <c r="X113" s="184"/>
      <c r="Y113" s="184"/>
      <c r="Z113" s="184"/>
      <c r="AA113" s="396">
        <v>1569.38226855265</v>
      </c>
      <c r="AB113" s="376" t="s">
        <v>39</v>
      </c>
      <c r="AC113" s="376"/>
      <c r="AD113" s="376" t="str">
        <f t="shared" si="21"/>
        <v>Industry</v>
      </c>
      <c r="AE113" s="376" t="s">
        <v>634</v>
      </c>
      <c r="AF113" s="376"/>
      <c r="AG113" s="376"/>
    </row>
    <row r="114" ht="12.75" spans="1:33">
      <c r="A114" s="353" t="s">
        <v>635</v>
      </c>
      <c r="B114" s="192" t="s">
        <v>434</v>
      </c>
      <c r="C114" s="192"/>
      <c r="D114" s="192" t="s">
        <v>636</v>
      </c>
      <c r="E114" s="192" t="s">
        <v>35</v>
      </c>
      <c r="F114" s="192" t="s">
        <v>436</v>
      </c>
      <c r="G114" s="367">
        <v>44013</v>
      </c>
      <c r="H114" s="363">
        <f t="shared" si="20"/>
        <v>4013</v>
      </c>
      <c r="I114" s="353" t="s">
        <v>637</v>
      </c>
      <c r="J114" s="371" t="s">
        <v>638</v>
      </c>
      <c r="K114" s="238">
        <v>10</v>
      </c>
      <c r="L114" s="182"/>
      <c r="M114" s="197" t="str">
        <f t="shared" si="9"/>
        <v>No</v>
      </c>
      <c r="N114" s="197">
        <v>1000000000000</v>
      </c>
      <c r="O114" s="197">
        <v>3e+20</v>
      </c>
      <c r="P114" s="385"/>
      <c r="Q114" s="197"/>
      <c r="R114" s="182"/>
      <c r="S114" s="197"/>
      <c r="T114" s="182"/>
      <c r="U114" s="182"/>
      <c r="V114" s="182"/>
      <c r="W114" s="182"/>
      <c r="X114" s="182"/>
      <c r="Y114" s="182"/>
      <c r="Z114" s="182"/>
      <c r="AA114" s="399">
        <v>1094.91786178092</v>
      </c>
      <c r="AB114" s="372"/>
      <c r="AC114" s="372"/>
      <c r="AD114" s="372" t="str">
        <f t="shared" si="21"/>
        <v>Industry</v>
      </c>
      <c r="AE114" s="372" t="s">
        <v>639</v>
      </c>
      <c r="AF114" s="372"/>
      <c r="AG114" s="372"/>
    </row>
    <row r="115" ht="12.75" spans="1:33">
      <c r="A115" s="356" t="s">
        <v>640</v>
      </c>
      <c r="B115" s="215" t="s">
        <v>199</v>
      </c>
      <c r="C115" s="215" t="s">
        <v>641</v>
      </c>
      <c r="D115" s="215" t="s">
        <v>642</v>
      </c>
      <c r="E115" s="215" t="s">
        <v>327</v>
      </c>
      <c r="F115" s="215" t="s">
        <v>643</v>
      </c>
      <c r="G115" s="361">
        <v>43903</v>
      </c>
      <c r="H115" s="360">
        <f t="shared" si="20"/>
        <v>3903</v>
      </c>
      <c r="I115" s="356" t="s">
        <v>644</v>
      </c>
      <c r="J115" s="375" t="s">
        <v>645</v>
      </c>
      <c r="K115" s="384">
        <v>131</v>
      </c>
      <c r="L115" s="184"/>
      <c r="M115" s="199" t="str">
        <f t="shared" si="9"/>
        <v>No</v>
      </c>
      <c r="N115" s="199">
        <v>1200000000</v>
      </c>
      <c r="O115" s="199">
        <v>2.7e+20</v>
      </c>
      <c r="P115" s="380"/>
      <c r="Q115" s="199"/>
      <c r="R115" s="184"/>
      <c r="S115" s="199"/>
      <c r="T115" s="205"/>
      <c r="U115" s="205"/>
      <c r="V115" s="184"/>
      <c r="W115" s="184"/>
      <c r="X115" s="184"/>
      <c r="Y115" s="184"/>
      <c r="Z115" s="184"/>
      <c r="AA115" s="396">
        <v>623.75143437183</v>
      </c>
      <c r="AB115" s="376" t="s">
        <v>39</v>
      </c>
      <c r="AC115" s="376"/>
      <c r="AD115" s="376" t="str">
        <f t="shared" si="21"/>
        <v>Industry</v>
      </c>
      <c r="AE115" s="376" t="s">
        <v>646</v>
      </c>
      <c r="AF115" s="376"/>
      <c r="AG115" s="376"/>
    </row>
    <row r="116" ht="12.75" spans="1:33">
      <c r="A116" s="353" t="s">
        <v>647</v>
      </c>
      <c r="B116" s="192" t="s">
        <v>51</v>
      </c>
      <c r="C116" s="192"/>
      <c r="D116" s="192" t="s">
        <v>648</v>
      </c>
      <c r="E116" s="192"/>
      <c r="F116" s="192" t="s">
        <v>649</v>
      </c>
      <c r="G116" s="354" t="s">
        <v>650</v>
      </c>
      <c r="H116" s="355">
        <v>2020</v>
      </c>
      <c r="I116" s="192" t="s">
        <v>651</v>
      </c>
      <c r="J116" s="371" t="s">
        <v>652</v>
      </c>
      <c r="K116" s="373"/>
      <c r="L116" s="372"/>
      <c r="M116" s="197" t="str">
        <f t="shared" si="9"/>
        <v>No</v>
      </c>
      <c r="N116" s="372"/>
      <c r="O116" s="242">
        <v>2e+20</v>
      </c>
      <c r="P116" s="381"/>
      <c r="Q116" s="373"/>
      <c r="R116" s="372"/>
      <c r="S116" s="372"/>
      <c r="T116" s="372"/>
      <c r="U116" s="372"/>
      <c r="V116" s="372"/>
      <c r="W116" s="372"/>
      <c r="X116" s="372"/>
      <c r="Y116" s="372"/>
      <c r="Z116" s="372"/>
      <c r="AA116" s="397" t="s">
        <v>49</v>
      </c>
      <c r="AB116" s="372" t="s">
        <v>39</v>
      </c>
      <c r="AC116" s="372"/>
      <c r="AD116" s="372"/>
      <c r="AE116" s="372" t="s">
        <v>653</v>
      </c>
      <c r="AF116" s="372"/>
      <c r="AG116" s="372"/>
    </row>
    <row r="117" ht="12.75" spans="1:33">
      <c r="A117" s="356" t="s">
        <v>654</v>
      </c>
      <c r="B117" s="215" t="s">
        <v>51</v>
      </c>
      <c r="C117" s="215" t="s">
        <v>655</v>
      </c>
      <c r="D117" s="215" t="s">
        <v>656</v>
      </c>
      <c r="E117" s="215" t="s">
        <v>134</v>
      </c>
      <c r="F117" s="215" t="s">
        <v>657</v>
      </c>
      <c r="G117" s="361">
        <v>44158</v>
      </c>
      <c r="H117" s="360">
        <f t="shared" ref="H117:H158" si="22">IF(INT(RIGHT(G117,4))&lt;1,"",INT(RIGHT(G117,4)))</f>
        <v>4158</v>
      </c>
      <c r="I117" s="356" t="s">
        <v>658</v>
      </c>
      <c r="J117" s="375" t="s">
        <v>659</v>
      </c>
      <c r="K117" s="384">
        <v>256</v>
      </c>
      <c r="L117" s="184"/>
      <c r="M117" s="199" t="str">
        <f t="shared" si="9"/>
        <v>No</v>
      </c>
      <c r="N117" s="199">
        <v>110000000</v>
      </c>
      <c r="O117" s="199">
        <v>1.24e+20</v>
      </c>
      <c r="P117" s="380" t="s">
        <v>660</v>
      </c>
      <c r="Q117" s="199">
        <v>3300000000</v>
      </c>
      <c r="R117" s="184"/>
      <c r="S117" s="199"/>
      <c r="T117" s="184"/>
      <c r="U117" s="184"/>
      <c r="V117" s="184"/>
      <c r="W117" s="184"/>
      <c r="X117" s="184"/>
      <c r="Y117" s="184"/>
      <c r="Z117" s="184"/>
      <c r="AA117" s="396">
        <v>437.967144712369</v>
      </c>
      <c r="AB117" s="376" t="s">
        <v>39</v>
      </c>
      <c r="AC117" s="376"/>
      <c r="AD117" s="376" t="str">
        <f t="shared" ref="AD117:AD158" si="23">_xlfn.IFS($E117="Academia","Academia",$E117="Research Collective","TO MANUALLY ADJUST",TRUE,"Industry")</f>
        <v>Academia</v>
      </c>
      <c r="AE117" s="376" t="s">
        <v>661</v>
      </c>
      <c r="AF117" s="376"/>
      <c r="AG117" s="376"/>
    </row>
    <row r="118" ht="12.75" spans="1:33">
      <c r="A118" s="353" t="s">
        <v>662</v>
      </c>
      <c r="B118" s="192" t="s">
        <v>199</v>
      </c>
      <c r="C118" s="192" t="s">
        <v>663</v>
      </c>
      <c r="D118" s="192" t="s">
        <v>71</v>
      </c>
      <c r="E118" s="192" t="s">
        <v>35</v>
      </c>
      <c r="F118" s="192" t="s">
        <v>664</v>
      </c>
      <c r="G118" s="367">
        <v>43845</v>
      </c>
      <c r="H118" s="363">
        <f t="shared" si="22"/>
        <v>3845</v>
      </c>
      <c r="I118" s="353" t="s">
        <v>665</v>
      </c>
      <c r="J118" s="371" t="s">
        <v>666</v>
      </c>
      <c r="K118" s="236">
        <v>840</v>
      </c>
      <c r="L118" s="182" t="s">
        <v>142</v>
      </c>
      <c r="M118" s="197" t="str">
        <f t="shared" si="9"/>
        <v>Yes</v>
      </c>
      <c r="N118" s="197">
        <v>69000000</v>
      </c>
      <c r="O118" s="197">
        <v>1e+20</v>
      </c>
      <c r="P118" s="385"/>
      <c r="Q118" s="389"/>
      <c r="R118" s="182"/>
      <c r="S118" s="197"/>
      <c r="T118" s="182"/>
      <c r="U118" s="182"/>
      <c r="V118" s="182"/>
      <c r="W118" s="182"/>
      <c r="X118" s="182"/>
      <c r="Y118" s="372"/>
      <c r="Z118" s="372" t="s">
        <v>667</v>
      </c>
      <c r="AA118" s="394">
        <v>241.593133715473</v>
      </c>
      <c r="AB118" s="372" t="s">
        <v>39</v>
      </c>
      <c r="AC118" s="372"/>
      <c r="AD118" s="372" t="str">
        <f t="shared" si="23"/>
        <v>Industry</v>
      </c>
      <c r="AE118" s="372" t="s">
        <v>668</v>
      </c>
      <c r="AF118" s="372"/>
      <c r="AG118" s="372"/>
    </row>
    <row r="119" ht="12.75" spans="1:33">
      <c r="A119" s="356" t="s">
        <v>669</v>
      </c>
      <c r="B119" s="215" t="s">
        <v>51</v>
      </c>
      <c r="C119" s="215" t="s">
        <v>267</v>
      </c>
      <c r="D119" s="215" t="s">
        <v>670</v>
      </c>
      <c r="E119" s="215" t="s">
        <v>327</v>
      </c>
      <c r="F119" s="215" t="s">
        <v>671</v>
      </c>
      <c r="G119" s="361">
        <v>43868</v>
      </c>
      <c r="H119" s="360">
        <f t="shared" si="22"/>
        <v>3868</v>
      </c>
      <c r="I119" s="356" t="s">
        <v>672</v>
      </c>
      <c r="J119" s="375" t="s">
        <v>673</v>
      </c>
      <c r="K119" s="384">
        <v>123</v>
      </c>
      <c r="L119" s="184"/>
      <c r="M119" s="199" t="str">
        <f t="shared" si="9"/>
        <v>No</v>
      </c>
      <c r="N119" s="199">
        <v>66000000</v>
      </c>
      <c r="O119" s="199"/>
      <c r="P119" s="380"/>
      <c r="Q119" s="199"/>
      <c r="R119" s="184"/>
      <c r="S119" s="199">
        <v>11300000000</v>
      </c>
      <c r="T119" s="184"/>
      <c r="U119" s="184"/>
      <c r="V119" s="184"/>
      <c r="W119" s="184"/>
      <c r="X119" s="184"/>
      <c r="Y119" s="184"/>
      <c r="Z119" s="184"/>
      <c r="AA119" s="396" t="s">
        <v>49</v>
      </c>
      <c r="AB119" s="376"/>
      <c r="AC119" s="376"/>
      <c r="AD119" s="376" t="str">
        <f t="shared" si="23"/>
        <v>Industry</v>
      </c>
      <c r="AE119" s="376"/>
      <c r="AF119" s="376"/>
      <c r="AG119" s="376"/>
    </row>
    <row r="120" customHeight="1" spans="1:33">
      <c r="A120" s="353" t="s">
        <v>674</v>
      </c>
      <c r="B120" s="192" t="s">
        <v>32</v>
      </c>
      <c r="C120" s="359"/>
      <c r="D120" s="192" t="s">
        <v>71</v>
      </c>
      <c r="E120" s="192" t="s">
        <v>35</v>
      </c>
      <c r="F120" s="192" t="s">
        <v>675</v>
      </c>
      <c r="G120" s="367">
        <v>43869</v>
      </c>
      <c r="H120" s="363">
        <f t="shared" si="22"/>
        <v>3869</v>
      </c>
      <c r="I120" s="353" t="s">
        <v>676</v>
      </c>
      <c r="J120" s="371" t="s">
        <v>677</v>
      </c>
      <c r="K120" s="238">
        <v>143</v>
      </c>
      <c r="L120" s="182"/>
      <c r="M120" s="197" t="str">
        <f t="shared" si="9"/>
        <v>No</v>
      </c>
      <c r="N120" s="197"/>
      <c r="O120" s="197"/>
      <c r="P120" s="385"/>
      <c r="Q120" s="197"/>
      <c r="R120" s="182"/>
      <c r="S120" s="197"/>
      <c r="T120" s="182"/>
      <c r="U120" s="182"/>
      <c r="V120" s="182"/>
      <c r="W120" s="182"/>
      <c r="X120" s="182"/>
      <c r="Y120" s="182"/>
      <c r="Z120" s="182"/>
      <c r="AA120" s="399" t="s">
        <v>49</v>
      </c>
      <c r="AB120" s="372"/>
      <c r="AC120" s="372"/>
      <c r="AD120" s="372" t="str">
        <f t="shared" si="23"/>
        <v>Industry</v>
      </c>
      <c r="AE120" s="372"/>
      <c r="AF120" s="372"/>
      <c r="AG120" s="372"/>
    </row>
    <row r="121" ht="12.75" spans="1:33">
      <c r="A121" s="356" t="s">
        <v>678</v>
      </c>
      <c r="B121" s="215" t="s">
        <v>77</v>
      </c>
      <c r="C121" s="215" t="s">
        <v>579</v>
      </c>
      <c r="D121" s="215" t="s">
        <v>150</v>
      </c>
      <c r="E121" s="215" t="s">
        <v>35</v>
      </c>
      <c r="F121" s="215" t="s">
        <v>679</v>
      </c>
      <c r="G121" s="361">
        <v>43874</v>
      </c>
      <c r="H121" s="360">
        <f t="shared" si="22"/>
        <v>3874</v>
      </c>
      <c r="I121" s="356" t="s">
        <v>680</v>
      </c>
      <c r="J121" s="375" t="s">
        <v>681</v>
      </c>
      <c r="K121" s="379">
        <v>2164</v>
      </c>
      <c r="L121" s="184" t="s">
        <v>454</v>
      </c>
      <c r="M121" s="199" t="str">
        <f t="shared" si="9"/>
        <v>Yes</v>
      </c>
      <c r="N121" s="199">
        <v>375000000</v>
      </c>
      <c r="O121" s="199"/>
      <c r="P121" s="380"/>
      <c r="Q121" s="199"/>
      <c r="R121" s="184"/>
      <c r="S121" s="199"/>
      <c r="T121" s="184"/>
      <c r="U121" s="184"/>
      <c r="V121" s="184"/>
      <c r="W121" s="184"/>
      <c r="X121" s="184"/>
      <c r="Y121" s="184"/>
      <c r="Z121" s="184"/>
      <c r="AA121" s="396" t="s">
        <v>49</v>
      </c>
      <c r="AB121" s="376"/>
      <c r="AC121" s="376"/>
      <c r="AD121" s="376" t="str">
        <f t="shared" si="23"/>
        <v>Industry</v>
      </c>
      <c r="AE121" s="376"/>
      <c r="AF121" s="376"/>
      <c r="AG121" s="376"/>
    </row>
    <row r="122" ht="12.75" spans="1:33">
      <c r="A122" s="353" t="s">
        <v>647</v>
      </c>
      <c r="B122" s="192" t="s">
        <v>51</v>
      </c>
      <c r="C122" s="192" t="s">
        <v>267</v>
      </c>
      <c r="D122" s="192" t="s">
        <v>682</v>
      </c>
      <c r="E122" s="192" t="s">
        <v>327</v>
      </c>
      <c r="F122" s="192" t="s">
        <v>649</v>
      </c>
      <c r="G122" s="367">
        <v>43913</v>
      </c>
      <c r="H122" s="363">
        <f t="shared" si="22"/>
        <v>3913</v>
      </c>
      <c r="I122" s="353" t="s">
        <v>683</v>
      </c>
      <c r="J122" s="371" t="s">
        <v>652</v>
      </c>
      <c r="K122" s="236">
        <v>842</v>
      </c>
      <c r="L122" s="182"/>
      <c r="M122" s="197" t="str">
        <f t="shared" si="9"/>
        <v>No</v>
      </c>
      <c r="N122" s="197">
        <v>335000000</v>
      </c>
      <c r="O122" s="197"/>
      <c r="P122" s="385"/>
      <c r="Q122" s="197"/>
      <c r="R122" s="182"/>
      <c r="S122" s="197">
        <v>79000000000</v>
      </c>
      <c r="T122" s="204"/>
      <c r="U122" s="204"/>
      <c r="V122" s="182"/>
      <c r="W122" s="182"/>
      <c r="X122" s="182"/>
      <c r="Y122" s="182"/>
      <c r="Z122" s="182"/>
      <c r="AA122" s="399" t="s">
        <v>49</v>
      </c>
      <c r="AB122" s="372"/>
      <c r="AC122" s="372"/>
      <c r="AD122" s="372" t="str">
        <f t="shared" si="23"/>
        <v>Industry</v>
      </c>
      <c r="AE122" s="372"/>
      <c r="AF122" s="372"/>
      <c r="AG122" s="372"/>
    </row>
    <row r="123" ht="12.75" spans="1:33">
      <c r="A123" s="356" t="s">
        <v>684</v>
      </c>
      <c r="B123" s="215" t="s">
        <v>199</v>
      </c>
      <c r="C123" s="215" t="s">
        <v>685</v>
      </c>
      <c r="D123" s="215" t="s">
        <v>85</v>
      </c>
      <c r="E123" s="215" t="s">
        <v>35</v>
      </c>
      <c r="F123" s="215" t="s">
        <v>686</v>
      </c>
      <c r="G123" s="361">
        <v>43914</v>
      </c>
      <c r="H123" s="360">
        <f t="shared" si="22"/>
        <v>3914</v>
      </c>
      <c r="I123" s="356" t="s">
        <v>687</v>
      </c>
      <c r="J123" s="375" t="s">
        <v>688</v>
      </c>
      <c r="K123" s="384">
        <v>135</v>
      </c>
      <c r="L123" s="184"/>
      <c r="M123" s="199" t="str">
        <f t="shared" si="9"/>
        <v>No</v>
      </c>
      <c r="N123" s="199"/>
      <c r="O123" s="199"/>
      <c r="P123" s="380"/>
      <c r="Q123" s="199"/>
      <c r="R123" s="184"/>
      <c r="S123" s="199"/>
      <c r="T123" s="205"/>
      <c r="U123" s="205"/>
      <c r="V123" s="184"/>
      <c r="W123" s="184"/>
      <c r="X123" s="184"/>
      <c r="Y123" s="184"/>
      <c r="Z123" s="184"/>
      <c r="AA123" s="396" t="s">
        <v>49</v>
      </c>
      <c r="AB123" s="376"/>
      <c r="AC123" s="376"/>
      <c r="AD123" s="376" t="str">
        <f t="shared" si="23"/>
        <v>Industry</v>
      </c>
      <c r="AE123" s="376"/>
      <c r="AF123" s="376"/>
      <c r="AG123" s="376"/>
    </row>
    <row r="124" ht="12.75" spans="1:33">
      <c r="A124" s="353" t="s">
        <v>689</v>
      </c>
      <c r="B124" s="192" t="s">
        <v>256</v>
      </c>
      <c r="C124" s="192" t="s">
        <v>690</v>
      </c>
      <c r="D124" s="192" t="s">
        <v>71</v>
      </c>
      <c r="E124" s="192" t="s">
        <v>35</v>
      </c>
      <c r="F124" s="192" t="s">
        <v>691</v>
      </c>
      <c r="G124" s="367">
        <v>43920</v>
      </c>
      <c r="H124" s="363">
        <f t="shared" si="22"/>
        <v>3920</v>
      </c>
      <c r="I124" s="353" t="s">
        <v>692</v>
      </c>
      <c r="J124" s="371" t="s">
        <v>693</v>
      </c>
      <c r="K124" s="238">
        <v>345</v>
      </c>
      <c r="L124" s="182"/>
      <c r="M124" s="197" t="str">
        <f t="shared" si="9"/>
        <v>No</v>
      </c>
      <c r="N124" s="197"/>
      <c r="O124" s="197"/>
      <c r="P124" s="385"/>
      <c r="Q124" s="197"/>
      <c r="R124" s="182"/>
      <c r="S124" s="197"/>
      <c r="T124" s="204"/>
      <c r="U124" s="204"/>
      <c r="V124" s="182"/>
      <c r="W124" s="182"/>
      <c r="X124" s="182"/>
      <c r="Y124" s="182"/>
      <c r="Z124" s="182"/>
      <c r="AA124" s="399" t="s">
        <v>49</v>
      </c>
      <c r="AB124" s="372"/>
      <c r="AC124" s="372"/>
      <c r="AD124" s="372" t="str">
        <f t="shared" si="23"/>
        <v>Industry</v>
      </c>
      <c r="AE124" s="372"/>
      <c r="AF124" s="372"/>
      <c r="AG124" s="372"/>
    </row>
    <row r="125" ht="12.75" spans="1:33">
      <c r="A125" s="356"/>
      <c r="B125" s="215" t="s">
        <v>41</v>
      </c>
      <c r="C125" s="215" t="s">
        <v>694</v>
      </c>
      <c r="D125" s="215" t="s">
        <v>695</v>
      </c>
      <c r="E125" s="215" t="s">
        <v>134</v>
      </c>
      <c r="F125" s="215" t="s">
        <v>696</v>
      </c>
      <c r="G125" s="361">
        <v>43924</v>
      </c>
      <c r="H125" s="360">
        <f t="shared" si="22"/>
        <v>3924</v>
      </c>
      <c r="I125" s="356" t="s">
        <v>697</v>
      </c>
      <c r="J125" s="375" t="s">
        <v>698</v>
      </c>
      <c r="K125" s="384">
        <v>1420</v>
      </c>
      <c r="L125" s="184"/>
      <c r="M125" s="199" t="str">
        <f t="shared" si="9"/>
        <v>Yes</v>
      </c>
      <c r="N125" s="199"/>
      <c r="O125" s="199"/>
      <c r="P125" s="380"/>
      <c r="Q125" s="199"/>
      <c r="R125" s="184"/>
      <c r="S125" s="199"/>
      <c r="T125" s="205"/>
      <c r="U125" s="205"/>
      <c r="V125" s="184"/>
      <c r="W125" s="184"/>
      <c r="X125" s="184"/>
      <c r="Y125" s="184"/>
      <c r="Z125" s="184"/>
      <c r="AA125" s="396" t="s">
        <v>49</v>
      </c>
      <c r="AB125" s="376"/>
      <c r="AC125" s="376"/>
      <c r="AD125" s="376" t="str">
        <f t="shared" si="23"/>
        <v>Academia</v>
      </c>
      <c r="AE125" s="376"/>
      <c r="AF125" s="376"/>
      <c r="AG125" s="376"/>
    </row>
    <row r="126" ht="12.75" spans="1:33">
      <c r="A126" s="353" t="s">
        <v>699</v>
      </c>
      <c r="B126" s="192" t="s">
        <v>51</v>
      </c>
      <c r="C126" s="192" t="s">
        <v>267</v>
      </c>
      <c r="D126" s="192" t="s">
        <v>700</v>
      </c>
      <c r="E126" s="192" t="s">
        <v>44</v>
      </c>
      <c r="F126" s="192" t="s">
        <v>701</v>
      </c>
      <c r="G126" s="367">
        <v>43927</v>
      </c>
      <c r="H126" s="363">
        <f t="shared" si="22"/>
        <v>3927</v>
      </c>
      <c r="I126" s="353" t="s">
        <v>702</v>
      </c>
      <c r="J126" s="371" t="s">
        <v>703</v>
      </c>
      <c r="K126" s="238">
        <v>392</v>
      </c>
      <c r="L126" s="182"/>
      <c r="M126" s="197" t="str">
        <f t="shared" si="9"/>
        <v>No</v>
      </c>
      <c r="N126" s="197">
        <v>25300000</v>
      </c>
      <c r="O126" s="197"/>
      <c r="P126" s="385"/>
      <c r="Q126" s="197"/>
      <c r="R126" s="182"/>
      <c r="S126" s="197">
        <v>5360000000</v>
      </c>
      <c r="T126" s="204"/>
      <c r="U126" s="204"/>
      <c r="V126" s="182"/>
      <c r="W126" s="182"/>
      <c r="X126" s="182"/>
      <c r="Y126" s="182"/>
      <c r="Z126" s="182"/>
      <c r="AA126" s="399" t="s">
        <v>49</v>
      </c>
      <c r="AB126" s="372"/>
      <c r="AC126" s="372"/>
      <c r="AD126" s="372" t="str">
        <f t="shared" si="23"/>
        <v>Industry</v>
      </c>
      <c r="AE126" s="372"/>
      <c r="AF126" s="372"/>
      <c r="AG126" s="372"/>
    </row>
    <row r="127" ht="12.75" spans="1:33">
      <c r="A127" s="356" t="s">
        <v>704</v>
      </c>
      <c r="B127" s="215" t="s">
        <v>256</v>
      </c>
      <c r="C127" s="215" t="s">
        <v>482</v>
      </c>
      <c r="D127" s="215" t="s">
        <v>464</v>
      </c>
      <c r="E127" s="215" t="s">
        <v>134</v>
      </c>
      <c r="F127" s="215" t="s">
        <v>705</v>
      </c>
      <c r="G127" s="361">
        <v>43929</v>
      </c>
      <c r="H127" s="360">
        <f t="shared" si="22"/>
        <v>3929</v>
      </c>
      <c r="I127" s="356" t="s">
        <v>706</v>
      </c>
      <c r="J127" s="375" t="s">
        <v>707</v>
      </c>
      <c r="K127" s="384">
        <v>290</v>
      </c>
      <c r="L127" s="376" t="s">
        <v>142</v>
      </c>
      <c r="M127" s="199" t="str">
        <f t="shared" si="9"/>
        <v>Yes</v>
      </c>
      <c r="N127" s="199">
        <f>32*32*3*3*4+5*5*32*1024+1024*50</f>
        <v>907264</v>
      </c>
      <c r="O127" s="203"/>
      <c r="P127" s="378"/>
      <c r="Q127" s="203"/>
      <c r="R127" s="205"/>
      <c r="S127" s="203"/>
      <c r="T127" s="205"/>
      <c r="U127" s="205"/>
      <c r="V127" s="205"/>
      <c r="W127" s="376"/>
      <c r="X127" s="184"/>
      <c r="Y127" s="184"/>
      <c r="Z127" s="184"/>
      <c r="AA127" s="396" t="s">
        <v>49</v>
      </c>
      <c r="AB127" s="376"/>
      <c r="AC127" s="376"/>
      <c r="AD127" s="376" t="str">
        <f t="shared" si="23"/>
        <v>Academia</v>
      </c>
      <c r="AE127" s="376"/>
      <c r="AF127" s="376"/>
      <c r="AG127" s="376"/>
    </row>
    <row r="128" ht="12.75" spans="1:33">
      <c r="A128" s="353" t="s">
        <v>708</v>
      </c>
      <c r="B128" s="192" t="s">
        <v>256</v>
      </c>
      <c r="C128" s="192" t="s">
        <v>690</v>
      </c>
      <c r="D128" s="192" t="s">
        <v>709</v>
      </c>
      <c r="E128" s="192" t="s">
        <v>35</v>
      </c>
      <c r="F128" s="192" t="s">
        <v>710</v>
      </c>
      <c r="G128" s="367">
        <v>43948</v>
      </c>
      <c r="H128" s="363">
        <f t="shared" si="22"/>
        <v>3948</v>
      </c>
      <c r="I128" s="353" t="s">
        <v>711</v>
      </c>
      <c r="J128" s="371" t="s">
        <v>712</v>
      </c>
      <c r="K128" s="238">
        <v>179</v>
      </c>
      <c r="L128" s="182"/>
      <c r="M128" s="197" t="str">
        <f t="shared" si="9"/>
        <v>No</v>
      </c>
      <c r="N128" s="197"/>
      <c r="O128" s="197"/>
      <c r="P128" s="385"/>
      <c r="Q128" s="197"/>
      <c r="R128" s="182"/>
      <c r="S128" s="197"/>
      <c r="T128" s="204"/>
      <c r="U128" s="204"/>
      <c r="V128" s="182"/>
      <c r="W128" s="182"/>
      <c r="X128" s="182"/>
      <c r="Y128" s="182"/>
      <c r="Z128" s="182"/>
      <c r="AA128" s="399" t="s">
        <v>49</v>
      </c>
      <c r="AB128" s="372"/>
      <c r="AC128" s="372"/>
      <c r="AD128" s="372" t="str">
        <f t="shared" si="23"/>
        <v>Industry</v>
      </c>
      <c r="AE128" s="372"/>
      <c r="AF128" s="372"/>
      <c r="AG128" s="372"/>
    </row>
    <row r="129" ht="12.75" spans="1:33">
      <c r="A129" s="356" t="s">
        <v>713</v>
      </c>
      <c r="B129" s="215" t="s">
        <v>51</v>
      </c>
      <c r="C129" s="215" t="s">
        <v>267</v>
      </c>
      <c r="D129" s="215" t="s">
        <v>714</v>
      </c>
      <c r="E129" s="215" t="s">
        <v>134</v>
      </c>
      <c r="F129" s="215" t="s">
        <v>715</v>
      </c>
      <c r="G129" s="361">
        <v>43992</v>
      </c>
      <c r="H129" s="360">
        <f t="shared" si="22"/>
        <v>3992</v>
      </c>
      <c r="I129" s="356" t="s">
        <v>716</v>
      </c>
      <c r="J129" s="375" t="s">
        <v>717</v>
      </c>
      <c r="K129" s="384">
        <v>62</v>
      </c>
      <c r="L129" s="184"/>
      <c r="M129" s="199" t="str">
        <f t="shared" si="9"/>
        <v>No</v>
      </c>
      <c r="N129" s="199">
        <v>51100000</v>
      </c>
      <c r="O129" s="199"/>
      <c r="P129" s="380"/>
      <c r="Q129" s="199"/>
      <c r="R129" s="184"/>
      <c r="S129" s="199">
        <v>7420000000</v>
      </c>
      <c r="T129" s="207"/>
      <c r="U129" s="207"/>
      <c r="V129" s="184"/>
      <c r="W129" s="184"/>
      <c r="X129" s="184"/>
      <c r="Y129" s="184"/>
      <c r="Z129" s="184"/>
      <c r="AA129" s="396" t="s">
        <v>49</v>
      </c>
      <c r="AB129" s="376"/>
      <c r="AC129" s="376"/>
      <c r="AD129" s="376" t="str">
        <f t="shared" si="23"/>
        <v>Academia</v>
      </c>
      <c r="AE129" s="376"/>
      <c r="AF129" s="376"/>
      <c r="AG129" s="376"/>
    </row>
    <row r="130" ht="12.75" spans="1:33">
      <c r="A130" s="353" t="s">
        <v>718</v>
      </c>
      <c r="B130" s="192" t="s">
        <v>199</v>
      </c>
      <c r="C130" s="192"/>
      <c r="D130" s="192" t="s">
        <v>719</v>
      </c>
      <c r="E130" s="192" t="s">
        <v>134</v>
      </c>
      <c r="F130" s="192" t="s">
        <v>720</v>
      </c>
      <c r="G130" s="367">
        <v>44028</v>
      </c>
      <c r="H130" s="363">
        <f t="shared" si="22"/>
        <v>4028</v>
      </c>
      <c r="I130" s="353" t="s">
        <v>721</v>
      </c>
      <c r="J130" s="371" t="s">
        <v>722</v>
      </c>
      <c r="K130" s="238">
        <v>182</v>
      </c>
      <c r="L130" s="182"/>
      <c r="M130" s="197" t="str">
        <f t="shared" si="9"/>
        <v>No</v>
      </c>
      <c r="N130" s="197"/>
      <c r="O130" s="197"/>
      <c r="P130" s="385"/>
      <c r="Q130" s="197"/>
      <c r="R130" s="182"/>
      <c r="S130" s="197"/>
      <c r="T130" s="182"/>
      <c r="U130" s="182"/>
      <c r="V130" s="182"/>
      <c r="W130" s="182"/>
      <c r="X130" s="182"/>
      <c r="Y130" s="182"/>
      <c r="Z130" s="182"/>
      <c r="AA130" s="399" t="s">
        <v>49</v>
      </c>
      <c r="AB130" s="372"/>
      <c r="AC130" s="372"/>
      <c r="AD130" s="372" t="str">
        <f t="shared" si="23"/>
        <v>Academia</v>
      </c>
      <c r="AE130" s="372"/>
      <c r="AF130" s="372"/>
      <c r="AG130" s="372"/>
    </row>
    <row r="131" ht="12.75" spans="1:33">
      <c r="A131" s="356" t="s">
        <v>723</v>
      </c>
      <c r="B131" s="215" t="s">
        <v>41</v>
      </c>
      <c r="C131" s="215" t="s">
        <v>724</v>
      </c>
      <c r="D131" s="215" t="s">
        <v>150</v>
      </c>
      <c r="E131" s="215" t="s">
        <v>35</v>
      </c>
      <c r="F131" s="215" t="s">
        <v>725</v>
      </c>
      <c r="G131" s="361">
        <v>44039</v>
      </c>
      <c r="H131" s="360">
        <f t="shared" si="22"/>
        <v>4039</v>
      </c>
      <c r="I131" s="356" t="s">
        <v>726</v>
      </c>
      <c r="J131" s="375" t="s">
        <v>727</v>
      </c>
      <c r="K131" s="379">
        <v>706</v>
      </c>
      <c r="L131" s="184"/>
      <c r="M131" s="199" t="str">
        <f t="shared" si="9"/>
        <v>No</v>
      </c>
      <c r="N131" s="199">
        <v>52000000</v>
      </c>
      <c r="O131" s="203"/>
      <c r="P131" s="380"/>
      <c r="Q131" s="199"/>
      <c r="R131" s="184"/>
      <c r="S131" s="199">
        <v>325000000000</v>
      </c>
      <c r="T131" s="184"/>
      <c r="U131" s="184"/>
      <c r="V131" s="184"/>
      <c r="W131" s="184"/>
      <c r="X131" s="184"/>
      <c r="Y131" s="184"/>
      <c r="Z131" s="184"/>
      <c r="AA131" s="396" t="s">
        <v>49</v>
      </c>
      <c r="AB131" s="376"/>
      <c r="AC131" s="376"/>
      <c r="AD131" s="376" t="str">
        <f t="shared" si="23"/>
        <v>Industry</v>
      </c>
      <c r="AE131" s="376"/>
      <c r="AF131" s="376"/>
      <c r="AG131" s="376"/>
    </row>
    <row r="132" ht="12.75" spans="1:33">
      <c r="A132" s="353" t="s">
        <v>728</v>
      </c>
      <c r="B132" s="192" t="s">
        <v>51</v>
      </c>
      <c r="C132" s="192" t="s">
        <v>729</v>
      </c>
      <c r="D132" s="192" t="s">
        <v>469</v>
      </c>
      <c r="E132" s="192" t="s">
        <v>35</v>
      </c>
      <c r="F132" s="192" t="s">
        <v>573</v>
      </c>
      <c r="G132" s="367">
        <v>44049</v>
      </c>
      <c r="H132" s="363">
        <f t="shared" si="22"/>
        <v>4049</v>
      </c>
      <c r="I132" s="353" t="s">
        <v>730</v>
      </c>
      <c r="J132" s="371" t="s">
        <v>731</v>
      </c>
      <c r="K132" s="238">
        <v>92</v>
      </c>
      <c r="L132" s="182"/>
      <c r="M132" s="197" t="str">
        <f t="shared" si="9"/>
        <v>No</v>
      </c>
      <c r="N132" s="197">
        <f>340*10^6</f>
        <v>340000000</v>
      </c>
      <c r="O132" s="197"/>
      <c r="P132" s="385"/>
      <c r="Q132" s="197"/>
      <c r="R132" s="182"/>
      <c r="S132" s="197"/>
      <c r="T132" s="182"/>
      <c r="U132" s="182"/>
      <c r="V132" s="182"/>
      <c r="W132" s="182" t="s">
        <v>732</v>
      </c>
      <c r="X132" s="182"/>
      <c r="Y132" s="182"/>
      <c r="Z132" s="182"/>
      <c r="AA132" s="399" t="s">
        <v>49</v>
      </c>
      <c r="AB132" s="372"/>
      <c r="AC132" s="372"/>
      <c r="AD132" s="372" t="str">
        <f t="shared" si="23"/>
        <v>Industry</v>
      </c>
      <c r="AE132" s="372"/>
      <c r="AF132" s="372"/>
      <c r="AG132" s="372"/>
    </row>
    <row r="133" ht="12.75" spans="1:33">
      <c r="A133" s="356" t="s">
        <v>733</v>
      </c>
      <c r="B133" s="215" t="s">
        <v>41</v>
      </c>
      <c r="C133" s="215" t="s">
        <v>597</v>
      </c>
      <c r="D133" s="215" t="s">
        <v>150</v>
      </c>
      <c r="E133" s="215" t="s">
        <v>35</v>
      </c>
      <c r="F133" s="215" t="s">
        <v>598</v>
      </c>
      <c r="G133" s="361">
        <v>44126</v>
      </c>
      <c r="H133" s="360">
        <f t="shared" si="22"/>
        <v>4126</v>
      </c>
      <c r="I133" s="356" t="s">
        <v>599</v>
      </c>
      <c r="J133" s="375" t="s">
        <v>734</v>
      </c>
      <c r="K133" s="379">
        <v>729</v>
      </c>
      <c r="L133" s="184"/>
      <c r="M133" s="199" t="str">
        <f t="shared" si="9"/>
        <v>No</v>
      </c>
      <c r="N133" s="377">
        <v>86000000</v>
      </c>
      <c r="O133" s="203"/>
      <c r="P133" s="378"/>
      <c r="Q133" s="203"/>
      <c r="R133" s="205"/>
      <c r="S133" s="203"/>
      <c r="T133" s="205"/>
      <c r="U133" s="205"/>
      <c r="V133" s="376" t="s">
        <v>735</v>
      </c>
      <c r="W133" s="205"/>
      <c r="X133" s="184"/>
      <c r="Y133" s="376"/>
      <c r="Z133" s="376" t="s">
        <v>667</v>
      </c>
      <c r="AA133" s="395" t="s">
        <v>49</v>
      </c>
      <c r="AB133" s="376"/>
      <c r="AC133" s="376"/>
      <c r="AD133" s="376" t="str">
        <f t="shared" si="23"/>
        <v>Industry</v>
      </c>
      <c r="AE133" s="376"/>
      <c r="AF133" s="376"/>
      <c r="AG133" s="376"/>
    </row>
    <row r="134" ht="12.75" spans="1:33">
      <c r="A134" s="353" t="s">
        <v>736</v>
      </c>
      <c r="B134" s="192" t="s">
        <v>41</v>
      </c>
      <c r="C134" s="192" t="s">
        <v>597</v>
      </c>
      <c r="D134" s="192" t="s">
        <v>150</v>
      </c>
      <c r="E134" s="192" t="s">
        <v>35</v>
      </c>
      <c r="F134" s="192" t="s">
        <v>598</v>
      </c>
      <c r="G134" s="367">
        <v>44126</v>
      </c>
      <c r="H134" s="363">
        <f t="shared" si="22"/>
        <v>4126</v>
      </c>
      <c r="I134" s="353" t="s">
        <v>599</v>
      </c>
      <c r="J134" s="371" t="s">
        <v>734</v>
      </c>
      <c r="K134" s="236">
        <v>729</v>
      </c>
      <c r="L134" s="182"/>
      <c r="M134" s="197" t="str">
        <f t="shared" si="9"/>
        <v>No</v>
      </c>
      <c r="N134" s="197">
        <v>632000000</v>
      </c>
      <c r="O134" s="197"/>
      <c r="P134" s="385"/>
      <c r="Q134" s="197"/>
      <c r="R134" s="182"/>
      <c r="S134" s="197"/>
      <c r="T134" s="182"/>
      <c r="U134" s="182"/>
      <c r="V134" s="372" t="s">
        <v>737</v>
      </c>
      <c r="W134" s="182"/>
      <c r="X134" s="182"/>
      <c r="Y134" s="182"/>
      <c r="Z134" s="182"/>
      <c r="AA134" s="399" t="s">
        <v>49</v>
      </c>
      <c r="AB134" s="372"/>
      <c r="AC134" s="372"/>
      <c r="AD134" s="372" t="str">
        <f t="shared" si="23"/>
        <v>Industry</v>
      </c>
      <c r="AE134" s="372"/>
      <c r="AF134" s="372"/>
      <c r="AG134" s="372"/>
    </row>
    <row r="135" ht="12.75" spans="1:33">
      <c r="A135" s="356" t="s">
        <v>738</v>
      </c>
      <c r="B135" s="215"/>
      <c r="C135" s="368"/>
      <c r="D135" s="215" t="s">
        <v>739</v>
      </c>
      <c r="E135" s="215" t="s">
        <v>35</v>
      </c>
      <c r="F135" s="215" t="s">
        <v>740</v>
      </c>
      <c r="G135" s="361">
        <v>44130</v>
      </c>
      <c r="H135" s="360">
        <f t="shared" si="22"/>
        <v>4130</v>
      </c>
      <c r="I135" s="356" t="s">
        <v>741</v>
      </c>
      <c r="J135" s="375" t="s">
        <v>742</v>
      </c>
      <c r="K135" s="379">
        <v>457</v>
      </c>
      <c r="L135" s="184"/>
      <c r="M135" s="199" t="str">
        <f t="shared" si="9"/>
        <v>No</v>
      </c>
      <c r="N135" s="199">
        <v>795000000</v>
      </c>
      <c r="O135" s="199"/>
      <c r="P135" s="380"/>
      <c r="Q135" s="404">
        <v>1280000</v>
      </c>
      <c r="R135" s="184"/>
      <c r="S135" s="199"/>
      <c r="T135" s="184"/>
      <c r="U135" s="184"/>
      <c r="V135" s="184"/>
      <c r="W135" s="184"/>
      <c r="X135" s="184"/>
      <c r="Y135" s="184"/>
      <c r="Z135" s="184"/>
      <c r="AA135" s="396" t="s">
        <v>49</v>
      </c>
      <c r="AB135" s="376"/>
      <c r="AC135" s="376"/>
      <c r="AD135" s="376" t="str">
        <f t="shared" si="23"/>
        <v>Industry</v>
      </c>
      <c r="AE135" s="376"/>
      <c r="AF135" s="376"/>
      <c r="AG135" s="376"/>
    </row>
    <row r="136" ht="12.75" spans="1:33">
      <c r="A136" s="353" t="s">
        <v>743</v>
      </c>
      <c r="B136" s="192" t="s">
        <v>199</v>
      </c>
      <c r="C136" s="192" t="s">
        <v>663</v>
      </c>
      <c r="D136" s="192" t="s">
        <v>71</v>
      </c>
      <c r="E136" s="192" t="s">
        <v>35</v>
      </c>
      <c r="F136" s="192" t="s">
        <v>744</v>
      </c>
      <c r="G136" s="367">
        <v>44165</v>
      </c>
      <c r="H136" s="363">
        <f t="shared" si="22"/>
        <v>4165</v>
      </c>
      <c r="I136" s="353" t="s">
        <v>745</v>
      </c>
      <c r="J136" s="371" t="s">
        <v>746</v>
      </c>
      <c r="K136" s="238">
        <v>24</v>
      </c>
      <c r="L136" s="182" t="s">
        <v>747</v>
      </c>
      <c r="M136" s="197" t="str">
        <f t="shared" si="9"/>
        <v>Yes</v>
      </c>
      <c r="N136" s="197"/>
      <c r="O136" s="406"/>
      <c r="P136" s="385"/>
      <c r="Q136" s="197"/>
      <c r="R136" s="182"/>
      <c r="S136" s="197"/>
      <c r="T136" s="182"/>
      <c r="U136" s="182"/>
      <c r="V136" s="182"/>
      <c r="W136" s="182"/>
      <c r="X136" s="182"/>
      <c r="Y136" s="182"/>
      <c r="Z136" s="182"/>
      <c r="AA136" s="399" t="s">
        <v>49</v>
      </c>
      <c r="AB136" s="372"/>
      <c r="AC136" s="372"/>
      <c r="AD136" s="372" t="str">
        <f t="shared" si="23"/>
        <v>Industry</v>
      </c>
      <c r="AE136" s="372"/>
      <c r="AF136" s="372"/>
      <c r="AG136" s="372"/>
    </row>
    <row r="137" ht="12.75" spans="1:33">
      <c r="A137" s="356" t="s">
        <v>748</v>
      </c>
      <c r="B137" s="215" t="s">
        <v>77</v>
      </c>
      <c r="C137" s="215" t="s">
        <v>78</v>
      </c>
      <c r="D137" s="215" t="s">
        <v>749</v>
      </c>
      <c r="E137" s="215" t="s">
        <v>134</v>
      </c>
      <c r="F137" s="215" t="s">
        <v>750</v>
      </c>
      <c r="G137" s="361">
        <v>44182</v>
      </c>
      <c r="H137" s="360">
        <f t="shared" si="22"/>
        <v>4182</v>
      </c>
      <c r="I137" s="356" t="s">
        <v>751</v>
      </c>
      <c r="J137" s="375" t="s">
        <v>752</v>
      </c>
      <c r="K137" s="384">
        <v>494</v>
      </c>
      <c r="L137" s="184"/>
      <c r="M137" s="199" t="str">
        <f t="shared" si="9"/>
        <v>No</v>
      </c>
      <c r="N137" s="199"/>
      <c r="O137" s="199"/>
      <c r="P137" s="380"/>
      <c r="Q137" s="199"/>
      <c r="R137" s="184"/>
      <c r="S137" s="199"/>
      <c r="T137" s="184"/>
      <c r="U137" s="184"/>
      <c r="V137" s="184"/>
      <c r="W137" s="184"/>
      <c r="X137" s="184"/>
      <c r="Y137" s="184"/>
      <c r="Z137" s="184"/>
      <c r="AA137" s="396" t="s">
        <v>49</v>
      </c>
      <c r="AB137" s="376"/>
      <c r="AC137" s="376"/>
      <c r="AD137" s="376" t="str">
        <f t="shared" si="23"/>
        <v>Academia</v>
      </c>
      <c r="AE137" s="376"/>
      <c r="AF137" s="376"/>
      <c r="AG137" s="376"/>
    </row>
    <row r="138" ht="12.75" spans="1:33">
      <c r="A138" s="353" t="s">
        <v>753</v>
      </c>
      <c r="B138" s="192" t="s">
        <v>256</v>
      </c>
      <c r="C138" s="192" t="s">
        <v>754</v>
      </c>
      <c r="D138" s="192" t="s">
        <v>71</v>
      </c>
      <c r="E138" s="192" t="s">
        <v>35</v>
      </c>
      <c r="F138" s="192" t="s">
        <v>755</v>
      </c>
      <c r="G138" s="367">
        <v>43768</v>
      </c>
      <c r="H138" s="363">
        <f t="shared" si="22"/>
        <v>3768</v>
      </c>
      <c r="I138" s="353" t="s">
        <v>756</v>
      </c>
      <c r="J138" s="371" t="s">
        <v>757</v>
      </c>
      <c r="K138" s="236">
        <v>1044</v>
      </c>
      <c r="L138" s="182" t="s">
        <v>454</v>
      </c>
      <c r="M138" s="197" t="str">
        <f t="shared" si="9"/>
        <v>Yes</v>
      </c>
      <c r="N138" s="197">
        <v>139000000</v>
      </c>
      <c r="O138" s="197">
        <v>2.02e+23</v>
      </c>
      <c r="P138" s="385"/>
      <c r="Q138" s="197"/>
      <c r="R138" s="182"/>
      <c r="S138" s="197"/>
      <c r="T138" s="182"/>
      <c r="U138" s="182"/>
      <c r="V138" s="182"/>
      <c r="W138" s="182"/>
      <c r="X138" s="182"/>
      <c r="Y138" s="182"/>
      <c r="Z138" s="182"/>
      <c r="AA138" s="399">
        <v>512765.269878946</v>
      </c>
      <c r="AB138" s="372"/>
      <c r="AC138" s="372"/>
      <c r="AD138" s="372" t="str">
        <f t="shared" si="23"/>
        <v>Industry</v>
      </c>
      <c r="AE138" s="372" t="s">
        <v>758</v>
      </c>
      <c r="AF138" s="372"/>
      <c r="AG138" s="372"/>
    </row>
    <row r="139" customHeight="1" spans="1:33">
      <c r="A139" s="356" t="s">
        <v>759</v>
      </c>
      <c r="B139" s="215" t="s">
        <v>256</v>
      </c>
      <c r="C139" s="215" t="s">
        <v>760</v>
      </c>
      <c r="D139" s="215" t="s">
        <v>34</v>
      </c>
      <c r="E139" s="215" t="s">
        <v>35</v>
      </c>
      <c r="F139" s="215" t="s">
        <v>761</v>
      </c>
      <c r="G139" s="361">
        <v>43812</v>
      </c>
      <c r="H139" s="360">
        <f t="shared" si="22"/>
        <v>3812</v>
      </c>
      <c r="I139" s="356" t="s">
        <v>762</v>
      </c>
      <c r="J139" s="375" t="s">
        <v>763</v>
      </c>
      <c r="K139" s="379">
        <v>454</v>
      </c>
      <c r="L139" s="184" t="s">
        <v>142</v>
      </c>
      <c r="M139" s="199" t="str">
        <f t="shared" si="9"/>
        <v>Yes</v>
      </c>
      <c r="N139" s="199">
        <v>159000000</v>
      </c>
      <c r="O139" s="199">
        <v>6.7e+22</v>
      </c>
      <c r="P139" s="380"/>
      <c r="Q139" s="199">
        <f>220076*(983040+3145728)/2</f>
        <v>454321373184</v>
      </c>
      <c r="R139" s="184"/>
      <c r="S139" s="199"/>
      <c r="T139" s="207"/>
      <c r="U139" s="207"/>
      <c r="V139" s="184"/>
      <c r="W139" s="184"/>
      <c r="X139" s="184"/>
      <c r="Y139" s="184"/>
      <c r="Z139" s="184"/>
      <c r="AA139" s="396">
        <v>166042.114482332</v>
      </c>
      <c r="AB139" s="376" t="s">
        <v>39</v>
      </c>
      <c r="AC139" s="376"/>
      <c r="AD139" s="376" t="str">
        <f t="shared" si="23"/>
        <v>Industry</v>
      </c>
      <c r="AE139" s="376" t="s">
        <v>764</v>
      </c>
      <c r="AF139" s="376"/>
      <c r="AG139" s="376"/>
    </row>
    <row r="140" ht="12.75" spans="1:33">
      <c r="A140" s="353" t="s">
        <v>765</v>
      </c>
      <c r="B140" s="192" t="s">
        <v>51</v>
      </c>
      <c r="C140" s="359"/>
      <c r="D140" s="192" t="s">
        <v>766</v>
      </c>
      <c r="E140" s="192" t="s">
        <v>35</v>
      </c>
      <c r="F140" s="192" t="s">
        <v>767</v>
      </c>
      <c r="G140" s="367">
        <v>43725</v>
      </c>
      <c r="H140" s="363">
        <f t="shared" si="22"/>
        <v>3725</v>
      </c>
      <c r="I140" s="353" t="s">
        <v>768</v>
      </c>
      <c r="J140" s="371" t="s">
        <v>769</v>
      </c>
      <c r="K140" s="238">
        <v>557</v>
      </c>
      <c r="L140" s="182"/>
      <c r="M140" s="197" t="str">
        <f t="shared" si="9"/>
        <v>No</v>
      </c>
      <c r="N140" s="197">
        <v>3900000000</v>
      </c>
      <c r="O140" s="197">
        <v>5.68e+22</v>
      </c>
      <c r="P140" s="385"/>
      <c r="Q140" s="393">
        <v>34800000000</v>
      </c>
      <c r="R140" s="182"/>
      <c r="S140" s="197"/>
      <c r="T140" s="182"/>
      <c r="U140" s="182"/>
      <c r="V140" s="182"/>
      <c r="W140" s="182"/>
      <c r="X140" s="182"/>
      <c r="Y140" s="182"/>
      <c r="Z140" s="182"/>
      <c r="AA140" s="399">
        <v>208034.393738375</v>
      </c>
      <c r="AB140" s="372" t="s">
        <v>39</v>
      </c>
      <c r="AC140" s="372"/>
      <c r="AD140" s="372" t="str">
        <f t="shared" si="23"/>
        <v>Industry</v>
      </c>
      <c r="AE140" s="372" t="s">
        <v>770</v>
      </c>
      <c r="AF140" s="372"/>
      <c r="AG140" s="372"/>
    </row>
    <row r="141" ht="12.75" spans="1:33">
      <c r="A141" s="356" t="s">
        <v>771</v>
      </c>
      <c r="B141" s="215" t="s">
        <v>51</v>
      </c>
      <c r="C141" s="215" t="s">
        <v>267</v>
      </c>
      <c r="D141" s="215" t="s">
        <v>85</v>
      </c>
      <c r="E141" s="215" t="s">
        <v>35</v>
      </c>
      <c r="F141" s="215" t="s">
        <v>772</v>
      </c>
      <c r="G141" s="361">
        <v>43761</v>
      </c>
      <c r="H141" s="360">
        <f t="shared" si="22"/>
        <v>3761</v>
      </c>
      <c r="I141" s="356" t="s">
        <v>773</v>
      </c>
      <c r="J141" s="375" t="s">
        <v>774</v>
      </c>
      <c r="K141" s="379">
        <v>1540</v>
      </c>
      <c r="L141" s="184" t="s">
        <v>454</v>
      </c>
      <c r="M141" s="199" t="str">
        <f t="shared" si="9"/>
        <v>Yes</v>
      </c>
      <c r="N141" s="199">
        <v>11000000000</v>
      </c>
      <c r="O141" s="199">
        <v>4.05e+22</v>
      </c>
      <c r="P141" s="380" t="s">
        <v>775</v>
      </c>
      <c r="Q141" s="391">
        <v>150000000000</v>
      </c>
      <c r="R141" s="184"/>
      <c r="S141" s="199"/>
      <c r="T141" s="184"/>
      <c r="U141" s="184"/>
      <c r="V141" s="184"/>
      <c r="W141" s="184"/>
      <c r="X141" s="184"/>
      <c r="Y141" s="184"/>
      <c r="Z141" s="184"/>
      <c r="AA141" s="396">
        <v>105686.200097103</v>
      </c>
      <c r="AB141" s="376" t="s">
        <v>39</v>
      </c>
      <c r="AC141" s="376" t="s">
        <v>776</v>
      </c>
      <c r="AD141" s="376" t="str">
        <f t="shared" si="23"/>
        <v>Industry</v>
      </c>
      <c r="AE141" s="376" t="s">
        <v>777</v>
      </c>
      <c r="AF141" s="376"/>
      <c r="AG141" s="376"/>
    </row>
    <row r="142" customHeight="1" spans="1:33">
      <c r="A142" s="353" t="s">
        <v>778</v>
      </c>
      <c r="B142" s="192" t="s">
        <v>256</v>
      </c>
      <c r="C142" s="192" t="s">
        <v>760</v>
      </c>
      <c r="D142" s="192" t="s">
        <v>34</v>
      </c>
      <c r="E142" s="192" t="s">
        <v>35</v>
      </c>
      <c r="F142" s="192" t="s">
        <v>779</v>
      </c>
      <c r="G142" s="367">
        <v>43812</v>
      </c>
      <c r="H142" s="363">
        <f t="shared" si="22"/>
        <v>3812</v>
      </c>
      <c r="I142" s="353" t="s">
        <v>762</v>
      </c>
      <c r="J142" s="371" t="s">
        <v>780</v>
      </c>
      <c r="K142" s="238">
        <v>1001</v>
      </c>
      <c r="L142" s="182" t="s">
        <v>142</v>
      </c>
      <c r="M142" s="197" t="str">
        <f t="shared" si="9"/>
        <v>Yes</v>
      </c>
      <c r="N142" s="197">
        <v>159000000</v>
      </c>
      <c r="O142" s="197">
        <v>1.3e+22</v>
      </c>
      <c r="P142" s="385"/>
      <c r="Q142" s="197">
        <f>54000*983040</f>
        <v>53084160000</v>
      </c>
      <c r="R142" s="182"/>
      <c r="S142" s="197"/>
      <c r="T142" s="206"/>
      <c r="U142" s="206"/>
      <c r="V142" s="182"/>
      <c r="W142" s="182"/>
      <c r="X142" s="182"/>
      <c r="Y142" s="182"/>
      <c r="Z142" s="182"/>
      <c r="AA142" s="399">
        <v>32217.1266906017</v>
      </c>
      <c r="AB142" s="372" t="s">
        <v>39</v>
      </c>
      <c r="AC142" s="372"/>
      <c r="AD142" s="372" t="str">
        <f t="shared" si="23"/>
        <v>Industry</v>
      </c>
      <c r="AE142" s="372" t="s">
        <v>781</v>
      </c>
      <c r="AF142" s="372"/>
      <c r="AG142" s="372"/>
    </row>
    <row r="143" ht="12.75" spans="1:33">
      <c r="A143" s="356" t="s">
        <v>782</v>
      </c>
      <c r="B143" s="215" t="s">
        <v>51</v>
      </c>
      <c r="C143" s="215" t="s">
        <v>267</v>
      </c>
      <c r="D143" s="215" t="s">
        <v>85</v>
      </c>
      <c r="E143" s="215" t="s">
        <v>35</v>
      </c>
      <c r="F143" s="215" t="s">
        <v>772</v>
      </c>
      <c r="G143" s="361">
        <v>43761</v>
      </c>
      <c r="H143" s="360">
        <f t="shared" si="22"/>
        <v>3761</v>
      </c>
      <c r="I143" s="356" t="s">
        <v>773</v>
      </c>
      <c r="J143" s="375" t="s">
        <v>774</v>
      </c>
      <c r="K143" s="379">
        <v>1540</v>
      </c>
      <c r="L143" s="184" t="s">
        <v>454</v>
      </c>
      <c r="M143" s="199" t="str">
        <f t="shared" si="9"/>
        <v>Yes</v>
      </c>
      <c r="N143" s="199">
        <v>3000000000</v>
      </c>
      <c r="O143" s="199">
        <v>1.04e+22</v>
      </c>
      <c r="P143" s="380" t="s">
        <v>775</v>
      </c>
      <c r="Q143" s="391">
        <v>150000000000</v>
      </c>
      <c r="R143" s="184"/>
      <c r="S143" s="199"/>
      <c r="T143" s="184"/>
      <c r="U143" s="184"/>
      <c r="V143" s="184"/>
      <c r="W143" s="184"/>
      <c r="X143" s="184"/>
      <c r="Y143" s="184"/>
      <c r="Z143" s="184"/>
      <c r="AA143" s="396">
        <v>25777.1219749032</v>
      </c>
      <c r="AB143" s="376" t="s">
        <v>39</v>
      </c>
      <c r="AC143" s="376" t="s">
        <v>776</v>
      </c>
      <c r="AD143" s="376" t="str">
        <f t="shared" si="23"/>
        <v>Industry</v>
      </c>
      <c r="AE143" s="376" t="s">
        <v>777</v>
      </c>
      <c r="AF143" s="376"/>
      <c r="AG143" s="376"/>
    </row>
    <row r="144" ht="12.75" spans="1:33">
      <c r="A144" s="353" t="s">
        <v>783</v>
      </c>
      <c r="B144" s="192" t="s">
        <v>51</v>
      </c>
      <c r="C144" s="359"/>
      <c r="D144" s="192" t="s">
        <v>766</v>
      </c>
      <c r="E144" s="192" t="s">
        <v>35</v>
      </c>
      <c r="F144" s="192" t="s">
        <v>767</v>
      </c>
      <c r="G144" s="367">
        <v>43725</v>
      </c>
      <c r="H144" s="363">
        <f t="shared" si="22"/>
        <v>3725</v>
      </c>
      <c r="I144" s="353" t="s">
        <v>768</v>
      </c>
      <c r="J144" s="371" t="s">
        <v>769</v>
      </c>
      <c r="K144" s="238">
        <v>557</v>
      </c>
      <c r="L144" s="182"/>
      <c r="M144" s="197" t="str">
        <f t="shared" si="9"/>
        <v>No</v>
      </c>
      <c r="N144" s="197">
        <v>8300000000</v>
      </c>
      <c r="O144" s="197">
        <f>9.1E+21</f>
        <v>9.1e+21</v>
      </c>
      <c r="P144" s="385"/>
      <c r="Q144" s="393">
        <v>34800000000</v>
      </c>
      <c r="R144" s="182"/>
      <c r="S144" s="197">
        <v>18000000000000</v>
      </c>
      <c r="T144" s="182"/>
      <c r="U144" s="182"/>
      <c r="V144" s="182"/>
      <c r="W144" s="182"/>
      <c r="X144" s="182"/>
      <c r="Y144" s="182"/>
      <c r="Z144" s="182"/>
      <c r="AA144" s="399">
        <v>33212.5084740213</v>
      </c>
      <c r="AB144" s="372" t="s">
        <v>39</v>
      </c>
      <c r="AC144" s="372"/>
      <c r="AD144" s="372" t="str">
        <f t="shared" si="23"/>
        <v>Industry</v>
      </c>
      <c r="AE144" s="372" t="s">
        <v>770</v>
      </c>
      <c r="AF144" s="372"/>
      <c r="AG144" s="372"/>
    </row>
    <row r="145" ht="12.75" spans="1:33">
      <c r="A145" s="356" t="s">
        <v>784</v>
      </c>
      <c r="B145" s="215" t="s">
        <v>256</v>
      </c>
      <c r="C145" s="215" t="s">
        <v>785</v>
      </c>
      <c r="D145" s="215" t="s">
        <v>71</v>
      </c>
      <c r="E145" s="215" t="s">
        <v>35</v>
      </c>
      <c r="F145" s="215" t="s">
        <v>786</v>
      </c>
      <c r="G145" s="361">
        <v>43616</v>
      </c>
      <c r="H145" s="360">
        <f t="shared" si="22"/>
        <v>3616</v>
      </c>
      <c r="I145" s="356" t="s">
        <v>787</v>
      </c>
      <c r="J145" s="375" t="s">
        <v>788</v>
      </c>
      <c r="K145" s="379">
        <v>425</v>
      </c>
      <c r="L145" s="184"/>
      <c r="M145" s="199" t="str">
        <f t="shared" si="9"/>
        <v>No</v>
      </c>
      <c r="N145" s="199">
        <f>32*(8*8*3+1)+64*(4*4*32+1)+64*(3*3*64+1)+64*(3*3*64+1)+(84*84*64+1)*256+(256+1)*128+(128+1)*3+4*(799+2*32)*((512+(32*2)+3*32+5*2+3)+(799+2*32)+1)+2*(256+1)*256+4*(512+2*32)*((512+(32*2)+3*32+5*2+3)+(512+2*32)+1)+2*(256+1)*256+6*(512+1)*256+(256+1)*5+3*(256+1)*3+2*(256+1)*2+(512+1)*256+(256+1)*1+(512+1)*32*7*7+32*(9*9+1)+5*(4*4+1)+3*2*(4*4+1)+2*2*(4*4+1)+1*(4*4+1)</f>
        <v>126001330</v>
      </c>
      <c r="O145" s="199">
        <v>7.26e+21</v>
      </c>
      <c r="P145" s="380"/>
      <c r="Q145" s="199"/>
      <c r="R145" s="184"/>
      <c r="S145" s="199">
        <v>1210000000000</v>
      </c>
      <c r="T145" s="184"/>
      <c r="U145" s="184"/>
      <c r="V145" s="184"/>
      <c r="W145" s="184"/>
      <c r="X145" s="184"/>
      <c r="Y145" s="184"/>
      <c r="Z145" s="184"/>
      <c r="AA145" s="396">
        <v>21045.016545808</v>
      </c>
      <c r="AB145" s="376" t="s">
        <v>39</v>
      </c>
      <c r="AC145" s="376"/>
      <c r="AD145" s="376" t="str">
        <f t="shared" si="23"/>
        <v>Industry</v>
      </c>
      <c r="AE145" s="376"/>
      <c r="AF145" s="376"/>
      <c r="AG145" s="376"/>
    </row>
    <row r="146" ht="12.75" spans="1:33">
      <c r="A146" s="353" t="s">
        <v>789</v>
      </c>
      <c r="B146" s="192" t="s">
        <v>41</v>
      </c>
      <c r="C146" s="192" t="s">
        <v>790</v>
      </c>
      <c r="D146" s="192" t="s">
        <v>791</v>
      </c>
      <c r="E146" s="192" t="s">
        <v>35</v>
      </c>
      <c r="F146" s="192" t="s">
        <v>792</v>
      </c>
      <c r="G146" s="367">
        <v>43614</v>
      </c>
      <c r="H146" s="363">
        <f t="shared" si="22"/>
        <v>3614</v>
      </c>
      <c r="I146" s="353" t="s">
        <v>793</v>
      </c>
      <c r="J146" s="371" t="s">
        <v>794</v>
      </c>
      <c r="K146" s="236">
        <v>1429</v>
      </c>
      <c r="L146" s="182" t="s">
        <v>454</v>
      </c>
      <c r="M146" s="197" t="str">
        <f t="shared" si="9"/>
        <v>Yes</v>
      </c>
      <c r="N146" s="197">
        <f>4.9*10^6</f>
        <v>4900000</v>
      </c>
      <c r="O146" s="197">
        <f t="shared" ref="O146:O147" si="24">1.5*10^21</f>
        <v>1.5e+21</v>
      </c>
      <c r="P146" s="385" t="s">
        <v>795</v>
      </c>
      <c r="Q146" s="197">
        <v>118000</v>
      </c>
      <c r="R146" s="182"/>
      <c r="S146" s="197"/>
      <c r="T146" s="182"/>
      <c r="U146" s="182"/>
      <c r="V146" s="182"/>
      <c r="W146" s="182"/>
      <c r="X146" s="182"/>
      <c r="Y146" s="182"/>
      <c r="Z146" s="182"/>
      <c r="AA146" s="399">
        <v>4330.99721777198</v>
      </c>
      <c r="AB146" s="372"/>
      <c r="AC146" s="372"/>
      <c r="AD146" s="372" t="str">
        <f t="shared" si="23"/>
        <v>Industry</v>
      </c>
      <c r="AE146" s="372" t="s">
        <v>796</v>
      </c>
      <c r="AF146" s="372"/>
      <c r="AG146" s="372"/>
    </row>
    <row r="147" ht="12.75" spans="1:33">
      <c r="A147" s="356" t="s">
        <v>797</v>
      </c>
      <c r="B147" s="215" t="s">
        <v>41</v>
      </c>
      <c r="C147" s="215" t="s">
        <v>790</v>
      </c>
      <c r="D147" s="215" t="s">
        <v>791</v>
      </c>
      <c r="E147" s="215" t="s">
        <v>35</v>
      </c>
      <c r="F147" s="215" t="s">
        <v>792</v>
      </c>
      <c r="G147" s="361">
        <v>43614</v>
      </c>
      <c r="H147" s="360">
        <f t="shared" si="22"/>
        <v>3614</v>
      </c>
      <c r="I147" s="356" t="s">
        <v>793</v>
      </c>
      <c r="J147" s="375" t="s">
        <v>794</v>
      </c>
      <c r="K147" s="379">
        <v>1429</v>
      </c>
      <c r="L147" s="184" t="s">
        <v>454</v>
      </c>
      <c r="M147" s="199" t="str">
        <f t="shared" si="9"/>
        <v>Yes</v>
      </c>
      <c r="N147" s="199">
        <f>5.2*10^6</f>
        <v>5200000</v>
      </c>
      <c r="O147" s="199">
        <f t="shared" si="24"/>
        <v>1.5e+21</v>
      </c>
      <c r="P147" s="380" t="s">
        <v>184</v>
      </c>
      <c r="Q147" s="199">
        <f>1.28*10^6</f>
        <v>1280000</v>
      </c>
      <c r="R147" s="184"/>
      <c r="S147" s="199"/>
      <c r="T147" s="184"/>
      <c r="U147" s="184"/>
      <c r="V147" s="184"/>
      <c r="W147" s="184"/>
      <c r="X147" s="184"/>
      <c r="Y147" s="184"/>
      <c r="Z147" s="184"/>
      <c r="AA147" s="396">
        <v>4330.99721777198</v>
      </c>
      <c r="AB147" s="376"/>
      <c r="AC147" s="376"/>
      <c r="AD147" s="376" t="str">
        <f t="shared" si="23"/>
        <v>Industry</v>
      </c>
      <c r="AE147" s="408" t="s">
        <v>796</v>
      </c>
      <c r="AF147" s="376"/>
      <c r="AG147" s="376"/>
    </row>
    <row r="148" ht="12.75" spans="1:33">
      <c r="A148" s="353" t="s">
        <v>798</v>
      </c>
      <c r="B148" s="192" t="s">
        <v>51</v>
      </c>
      <c r="C148" s="359"/>
      <c r="D148" s="192" t="s">
        <v>34</v>
      </c>
      <c r="E148" s="192" t="s">
        <v>35</v>
      </c>
      <c r="F148" s="192" t="s">
        <v>799</v>
      </c>
      <c r="G148" s="367">
        <v>43510</v>
      </c>
      <c r="H148" s="363">
        <f t="shared" si="22"/>
        <v>3510</v>
      </c>
      <c r="I148" s="353" t="s">
        <v>800</v>
      </c>
      <c r="J148" s="371" t="s">
        <v>801</v>
      </c>
      <c r="K148" s="236">
        <v>1701</v>
      </c>
      <c r="L148" s="182" t="s">
        <v>454</v>
      </c>
      <c r="M148" s="197" t="str">
        <f t="shared" si="9"/>
        <v>Yes</v>
      </c>
      <c r="N148" s="197">
        <v>1500000000</v>
      </c>
      <c r="O148" s="197">
        <f>3400000000000/2048*3*100*Q148</f>
        <v>1.494140625e+21</v>
      </c>
      <c r="P148" s="385"/>
      <c r="Q148" s="197">
        <v>3000000000</v>
      </c>
      <c r="R148" s="182"/>
      <c r="S148" s="197">
        <v>3400000000000</v>
      </c>
      <c r="T148" s="206"/>
      <c r="U148" s="206"/>
      <c r="V148" s="182"/>
      <c r="W148" s="182">
        <v>40</v>
      </c>
      <c r="X148" s="182"/>
      <c r="Y148" s="182"/>
      <c r="Z148" s="182"/>
      <c r="AA148" s="399">
        <v>4692.88689188115</v>
      </c>
      <c r="AB148" s="372" t="s">
        <v>39</v>
      </c>
      <c r="AC148" s="372"/>
      <c r="AD148" s="372" t="str">
        <f t="shared" si="23"/>
        <v>Industry</v>
      </c>
      <c r="AE148" s="372" t="s">
        <v>802</v>
      </c>
      <c r="AF148" s="372"/>
      <c r="AG148" s="372"/>
    </row>
    <row r="149" customHeight="1" spans="1:33">
      <c r="A149" s="356" t="s">
        <v>803</v>
      </c>
      <c r="B149" s="215" t="s">
        <v>804</v>
      </c>
      <c r="C149" s="215"/>
      <c r="D149" s="215" t="s">
        <v>379</v>
      </c>
      <c r="E149" s="215" t="s">
        <v>35</v>
      </c>
      <c r="F149" s="215" t="s">
        <v>805</v>
      </c>
      <c r="G149" s="361">
        <v>43753</v>
      </c>
      <c r="H149" s="360">
        <f t="shared" si="22"/>
        <v>3753</v>
      </c>
      <c r="I149" s="356" t="s">
        <v>806</v>
      </c>
      <c r="J149" s="375" t="s">
        <v>807</v>
      </c>
      <c r="K149" s="384">
        <v>518</v>
      </c>
      <c r="L149" s="184"/>
      <c r="M149" s="199" t="str">
        <f t="shared" si="9"/>
        <v>No</v>
      </c>
      <c r="N149" s="199">
        <f>13863132+13638657+267776</f>
        <v>27769565</v>
      </c>
      <c r="O149" s="199">
        <v>8.54e+20</v>
      </c>
      <c r="P149" s="380"/>
      <c r="Q149" s="391">
        <v>62400000</v>
      </c>
      <c r="R149" s="184"/>
      <c r="S149" s="199"/>
      <c r="T149" s="184"/>
      <c r="U149" s="184"/>
      <c r="V149" s="184"/>
      <c r="W149" s="184"/>
      <c r="X149" s="184"/>
      <c r="Y149" s="184"/>
      <c r="Z149" s="184"/>
      <c r="AA149" s="396">
        <v>3102.26727504595</v>
      </c>
      <c r="AB149" s="376"/>
      <c r="AC149" s="376"/>
      <c r="AD149" s="376" t="str">
        <f t="shared" si="23"/>
        <v>Industry</v>
      </c>
      <c r="AE149" s="376" t="s">
        <v>808</v>
      </c>
      <c r="AF149" s="376"/>
      <c r="AG149" s="376"/>
    </row>
    <row r="150" ht="12.75" spans="1:33">
      <c r="A150" s="353" t="s">
        <v>809</v>
      </c>
      <c r="B150" s="192" t="s">
        <v>256</v>
      </c>
      <c r="C150" s="192" t="s">
        <v>482</v>
      </c>
      <c r="D150" s="192" t="s">
        <v>71</v>
      </c>
      <c r="E150" s="192" t="s">
        <v>35</v>
      </c>
      <c r="F150" s="192" t="s">
        <v>810</v>
      </c>
      <c r="G150" s="367">
        <v>43788</v>
      </c>
      <c r="H150" s="363">
        <f t="shared" si="22"/>
        <v>3788</v>
      </c>
      <c r="I150" s="353" t="s">
        <v>811</v>
      </c>
      <c r="J150" s="371" t="s">
        <v>812</v>
      </c>
      <c r="K150" s="236">
        <v>412</v>
      </c>
      <c r="L150" s="372" t="s">
        <v>142</v>
      </c>
      <c r="M150" s="197" t="str">
        <f t="shared" si="9"/>
        <v>Yes</v>
      </c>
      <c r="N150" s="197">
        <f>(256*3*3*128)+(256*256*3*3*2*15)+(256*256*3*3*2*16)</f>
        <v>36864000</v>
      </c>
      <c r="O150" s="197">
        <v>4.8e+19</v>
      </c>
      <c r="P150" s="374"/>
      <c r="Q150" s="373">
        <v>20000000000</v>
      </c>
      <c r="R150" s="204"/>
      <c r="S150" s="200"/>
      <c r="T150" s="204"/>
      <c r="U150" s="204"/>
      <c r="V150" s="204"/>
      <c r="W150" s="372"/>
      <c r="X150" s="182"/>
      <c r="Y150" s="182"/>
      <c r="Z150" s="182"/>
      <c r="AA150" s="399">
        <v>121.179038227546</v>
      </c>
      <c r="AB150" s="372" t="s">
        <v>39</v>
      </c>
      <c r="AC150" s="372"/>
      <c r="AD150" s="372" t="str">
        <f t="shared" si="23"/>
        <v>Industry</v>
      </c>
      <c r="AE150" s="372" t="s">
        <v>813</v>
      </c>
      <c r="AF150" s="372"/>
      <c r="AG150" s="372"/>
    </row>
    <row r="151" ht="12.75" spans="1:33">
      <c r="A151" s="356" t="s">
        <v>814</v>
      </c>
      <c r="B151" s="215" t="s">
        <v>41</v>
      </c>
      <c r="C151" s="215"/>
      <c r="D151" s="215" t="s">
        <v>815</v>
      </c>
      <c r="E151" s="215" t="s">
        <v>134</v>
      </c>
      <c r="F151" s="215" t="s">
        <v>816</v>
      </c>
      <c r="G151" s="361">
        <v>43519</v>
      </c>
      <c r="H151" s="360">
        <f t="shared" si="22"/>
        <v>3519</v>
      </c>
      <c r="I151" s="356" t="s">
        <v>817</v>
      </c>
      <c r="J151" s="375" t="s">
        <v>818</v>
      </c>
      <c r="K151" s="379">
        <v>996</v>
      </c>
      <c r="L151" s="184"/>
      <c r="M151" s="199" t="str">
        <f t="shared" si="9"/>
        <v>No</v>
      </c>
      <c r="N151" s="199"/>
      <c r="O151" s="199">
        <f>156000000000000*200*3600*0.33</f>
        <v>3.70656e+19</v>
      </c>
      <c r="P151" s="380" t="s">
        <v>184</v>
      </c>
      <c r="Q151" s="199">
        <f>1.28*10^6</f>
        <v>1280000</v>
      </c>
      <c r="R151" s="184"/>
      <c r="S151" s="199">
        <f>0.33*156000000000000*5.1/1000</f>
        <v>262548000000</v>
      </c>
      <c r="T151" s="184"/>
      <c r="U151" s="184">
        <v>200</v>
      </c>
      <c r="V151" s="184">
        <v>5.1</v>
      </c>
      <c r="W151" s="184"/>
      <c r="X151" s="184"/>
      <c r="Y151" s="184"/>
      <c r="Z151" s="184"/>
      <c r="AA151" s="396">
        <v>135.039869619647</v>
      </c>
      <c r="AB151" s="376"/>
      <c r="AC151" s="376"/>
      <c r="AD151" s="376" t="str">
        <f t="shared" si="23"/>
        <v>Academia</v>
      </c>
      <c r="AE151" s="376" t="s">
        <v>819</v>
      </c>
      <c r="AF151" s="376"/>
      <c r="AG151" s="376"/>
    </row>
    <row r="152" ht="12.75" spans="1:33">
      <c r="A152" s="353" t="s">
        <v>820</v>
      </c>
      <c r="B152" s="192" t="s">
        <v>41</v>
      </c>
      <c r="C152" s="192" t="s">
        <v>821</v>
      </c>
      <c r="D152" s="192" t="s">
        <v>815</v>
      </c>
      <c r="E152" s="192" t="s">
        <v>134</v>
      </c>
      <c r="F152" s="192" t="s">
        <v>822</v>
      </c>
      <c r="G152" s="367">
        <v>43714</v>
      </c>
      <c r="H152" s="363">
        <f t="shared" si="22"/>
        <v>3714</v>
      </c>
      <c r="I152" s="353" t="s">
        <v>823</v>
      </c>
      <c r="J152" s="371" t="s">
        <v>824</v>
      </c>
      <c r="K152" s="236">
        <v>2393</v>
      </c>
      <c r="L152" s="182" t="s">
        <v>454</v>
      </c>
      <c r="M152" s="197" t="str">
        <f t="shared" si="9"/>
        <v>Yes</v>
      </c>
      <c r="N152" s="197">
        <f>38*10^6</f>
        <v>38000000</v>
      </c>
      <c r="O152" s="197">
        <f>1.94*10^19</f>
        <v>1.94e+19</v>
      </c>
      <c r="P152" s="385" t="s">
        <v>825</v>
      </c>
      <c r="Q152" s="393">
        <v>50000</v>
      </c>
      <c r="R152" s="182"/>
      <c r="S152" s="197"/>
      <c r="T152" s="182"/>
      <c r="U152" s="182">
        <f>4.5*24</f>
        <v>108</v>
      </c>
      <c r="V152" s="182"/>
      <c r="W152" s="182"/>
      <c r="X152" s="182"/>
      <c r="Y152" s="182"/>
      <c r="Z152" s="182"/>
      <c r="AA152" s="399">
        <v>50.7853597195102</v>
      </c>
      <c r="AB152" s="372"/>
      <c r="AC152" s="372"/>
      <c r="AD152" s="372" t="str">
        <f t="shared" si="23"/>
        <v>Academia</v>
      </c>
      <c r="AE152" s="372" t="s">
        <v>826</v>
      </c>
      <c r="AF152" s="372"/>
      <c r="AG152" s="372"/>
    </row>
    <row r="153" ht="12.75" spans="1:33">
      <c r="A153" s="356" t="s">
        <v>827</v>
      </c>
      <c r="B153" s="215" t="s">
        <v>41</v>
      </c>
      <c r="C153" s="215" t="s">
        <v>828</v>
      </c>
      <c r="D153" s="215" t="s">
        <v>829</v>
      </c>
      <c r="E153" s="215" t="s">
        <v>360</v>
      </c>
      <c r="F153" s="215" t="s">
        <v>830</v>
      </c>
      <c r="G153" s="361">
        <v>43740</v>
      </c>
      <c r="H153" s="360">
        <f t="shared" si="22"/>
        <v>3740</v>
      </c>
      <c r="I153" s="356" t="s">
        <v>831</v>
      </c>
      <c r="J153" s="375" t="s">
        <v>832</v>
      </c>
      <c r="K153" s="384">
        <v>72</v>
      </c>
      <c r="L153" s="184"/>
      <c r="M153" s="199" t="str">
        <f t="shared" si="9"/>
        <v>No</v>
      </c>
      <c r="N153" s="199">
        <f>5.79*10^8</f>
        <v>579000000</v>
      </c>
      <c r="O153" s="199">
        <f>7.6*10^18</f>
        <v>7.6e+18</v>
      </c>
      <c r="P153" s="380" t="s">
        <v>184</v>
      </c>
      <c r="Q153" s="199"/>
      <c r="R153" s="184"/>
      <c r="S153" s="199"/>
      <c r="T153" s="184"/>
      <c r="U153" s="184"/>
      <c r="V153" s="184"/>
      <c r="W153" s="184"/>
      <c r="X153" s="184"/>
      <c r="Y153" s="184"/>
      <c r="Z153" s="184"/>
      <c r="AA153" s="396">
        <v>24.1016174472636</v>
      </c>
      <c r="AB153" s="376"/>
      <c r="AC153" s="376"/>
      <c r="AD153" s="376" t="str">
        <f t="shared" si="23"/>
        <v>Industry</v>
      </c>
      <c r="AE153" s="376"/>
      <c r="AF153" s="376"/>
      <c r="AG153" s="376"/>
    </row>
    <row r="154" ht="12.75" spans="1:33">
      <c r="A154" s="353" t="s">
        <v>833</v>
      </c>
      <c r="B154" s="192" t="s">
        <v>434</v>
      </c>
      <c r="C154" s="192"/>
      <c r="D154" s="192" t="s">
        <v>504</v>
      </c>
      <c r="E154" s="192" t="s">
        <v>35</v>
      </c>
      <c r="F154" s="192" t="s">
        <v>834</v>
      </c>
      <c r="G154" s="367">
        <v>43616</v>
      </c>
      <c r="H154" s="363">
        <f t="shared" si="22"/>
        <v>3616</v>
      </c>
      <c r="I154" s="353" t="s">
        <v>835</v>
      </c>
      <c r="J154" s="371" t="s">
        <v>836</v>
      </c>
      <c r="K154" s="238">
        <v>345</v>
      </c>
      <c r="L154" s="182"/>
      <c r="M154" s="197" t="str">
        <f t="shared" si="9"/>
        <v>No</v>
      </c>
      <c r="N154" s="197">
        <v>100000000000</v>
      </c>
      <c r="O154" s="197">
        <v>4e+18</v>
      </c>
      <c r="P154" s="385"/>
      <c r="Q154" s="197"/>
      <c r="R154" s="182"/>
      <c r="S154" s="197"/>
      <c r="T154" s="182"/>
      <c r="U154" s="182"/>
      <c r="V154" s="182"/>
      <c r="W154" s="182"/>
      <c r="X154" s="182"/>
      <c r="Y154" s="182"/>
      <c r="Z154" s="182"/>
      <c r="AA154" s="399">
        <v>14.5989048237456</v>
      </c>
      <c r="AB154" s="372"/>
      <c r="AC154" s="372"/>
      <c r="AD154" s="372" t="str">
        <f t="shared" si="23"/>
        <v>Industry</v>
      </c>
      <c r="AE154" s="372"/>
      <c r="AF154" s="372"/>
      <c r="AG154" s="372"/>
    </row>
    <row r="155" ht="12.75" spans="1:33">
      <c r="A155" s="356" t="s">
        <v>837</v>
      </c>
      <c r="B155" s="215"/>
      <c r="C155" s="368"/>
      <c r="D155" s="215" t="s">
        <v>838</v>
      </c>
      <c r="E155" s="215" t="s">
        <v>134</v>
      </c>
      <c r="F155" s="215" t="s">
        <v>839</v>
      </c>
      <c r="G155" s="361">
        <v>43559</v>
      </c>
      <c r="H155" s="360">
        <f t="shared" si="22"/>
        <v>3559</v>
      </c>
      <c r="I155" s="356" t="s">
        <v>840</v>
      </c>
      <c r="J155" s="375" t="s">
        <v>841</v>
      </c>
      <c r="K155" s="384">
        <v>167</v>
      </c>
      <c r="L155" s="184"/>
      <c r="M155" s="199" t="str">
        <f t="shared" si="9"/>
        <v>No</v>
      </c>
      <c r="N155" s="199"/>
      <c r="O155" s="199">
        <v>2.56e+18</v>
      </c>
      <c r="P155" s="380"/>
      <c r="Q155" s="199"/>
      <c r="R155" s="184"/>
      <c r="S155" s="199">
        <v>3660000000000</v>
      </c>
      <c r="T155" s="184"/>
      <c r="U155" s="184"/>
      <c r="V155" s="184"/>
      <c r="W155" s="184"/>
      <c r="X155" s="184"/>
      <c r="Y155" s="184"/>
      <c r="Z155" s="184"/>
      <c r="AA155" s="396">
        <v>7.83251862333082</v>
      </c>
      <c r="AB155" s="376"/>
      <c r="AC155" s="376"/>
      <c r="AD155" s="376" t="str">
        <f t="shared" si="23"/>
        <v>Academia</v>
      </c>
      <c r="AE155" s="376"/>
      <c r="AF155" s="376"/>
      <c r="AG155" s="376"/>
    </row>
    <row r="156" ht="12.75" spans="1:33">
      <c r="A156" s="353" t="s">
        <v>842</v>
      </c>
      <c r="B156" s="192" t="s">
        <v>41</v>
      </c>
      <c r="C156" s="192" t="s">
        <v>176</v>
      </c>
      <c r="D156" s="192" t="s">
        <v>843</v>
      </c>
      <c r="E156" s="192" t="s">
        <v>134</v>
      </c>
      <c r="F156" s="192" t="s">
        <v>844</v>
      </c>
      <c r="G156" s="367">
        <v>43469</v>
      </c>
      <c r="H156" s="363">
        <f t="shared" si="22"/>
        <v>3469</v>
      </c>
      <c r="I156" s="353" t="s">
        <v>845</v>
      </c>
      <c r="J156" s="371" t="s">
        <v>846</v>
      </c>
      <c r="K156" s="236">
        <v>2061</v>
      </c>
      <c r="L156" s="182" t="s">
        <v>454</v>
      </c>
      <c r="M156" s="197" t="str">
        <f t="shared" si="9"/>
        <v>Yes</v>
      </c>
      <c r="N156" s="405">
        <v>36500000</v>
      </c>
      <c r="O156" s="197">
        <v>2.47e+18</v>
      </c>
      <c r="P156" s="385" t="s">
        <v>847</v>
      </c>
      <c r="Q156" s="197">
        <v>50000</v>
      </c>
      <c r="R156" s="182"/>
      <c r="S156" s="405">
        <v>1730000000</v>
      </c>
      <c r="T156" s="182"/>
      <c r="U156" s="182"/>
      <c r="V156" s="182"/>
      <c r="W156" s="182"/>
      <c r="X156" s="182"/>
      <c r="Y156" s="182"/>
      <c r="Z156" s="182"/>
      <c r="AA156" s="399">
        <v>8.07288264431363</v>
      </c>
      <c r="AB156" s="372"/>
      <c r="AC156" s="372"/>
      <c r="AD156" s="372" t="str">
        <f t="shared" si="23"/>
        <v>Academia</v>
      </c>
      <c r="AE156" s="372"/>
      <c r="AF156" s="372"/>
      <c r="AG156" s="372"/>
    </row>
    <row r="157" ht="12.75" spans="1:33">
      <c r="A157" s="356" t="s">
        <v>848</v>
      </c>
      <c r="B157" s="215" t="s">
        <v>256</v>
      </c>
      <c r="C157" s="215" t="s">
        <v>848</v>
      </c>
      <c r="D157" s="215" t="s">
        <v>34</v>
      </c>
      <c r="E157" s="215" t="s">
        <v>35</v>
      </c>
      <c r="F157" s="215" t="s">
        <v>849</v>
      </c>
      <c r="G157" s="361">
        <v>43725</v>
      </c>
      <c r="H157" s="360">
        <f t="shared" si="22"/>
        <v>3725</v>
      </c>
      <c r="I157" s="356" t="s">
        <v>850</v>
      </c>
      <c r="J157" s="375" t="s">
        <v>851</v>
      </c>
      <c r="K157" s="384">
        <v>500</v>
      </c>
      <c r="L157" s="184"/>
      <c r="M157" s="199" t="str">
        <f t="shared" si="9"/>
        <v>No</v>
      </c>
      <c r="N157" s="199">
        <v>1600000</v>
      </c>
      <c r="O157" s="199">
        <v>3.04e+17</v>
      </c>
      <c r="P157" s="380"/>
      <c r="Q157" s="391">
        <v>31700000000</v>
      </c>
      <c r="R157" s="184"/>
      <c r="S157" s="199"/>
      <c r="T157" s="184"/>
      <c r="U157" s="184"/>
      <c r="V157" s="184"/>
      <c r="W157" s="184"/>
      <c r="X157" s="184"/>
      <c r="Y157" s="184"/>
      <c r="Z157" s="184"/>
      <c r="AA157" s="396">
        <v>0.79509660347948</v>
      </c>
      <c r="AB157" s="376"/>
      <c r="AC157" s="376"/>
      <c r="AD157" s="376" t="str">
        <f t="shared" si="23"/>
        <v>Industry</v>
      </c>
      <c r="AE157" s="376"/>
      <c r="AF157" s="376"/>
      <c r="AG157" s="376"/>
    </row>
    <row r="158" ht="12.75" spans="1:33">
      <c r="A158" s="353" t="s">
        <v>852</v>
      </c>
      <c r="B158" s="192" t="s">
        <v>256</v>
      </c>
      <c r="C158" s="192" t="s">
        <v>853</v>
      </c>
      <c r="D158" s="192" t="s">
        <v>854</v>
      </c>
      <c r="E158" s="192" t="s">
        <v>44</v>
      </c>
      <c r="F158" s="192"/>
      <c r="G158" s="367">
        <v>43497</v>
      </c>
      <c r="H158" s="363">
        <f t="shared" si="22"/>
        <v>3497</v>
      </c>
      <c r="I158" s="353" t="s">
        <v>855</v>
      </c>
      <c r="J158" s="371" t="s">
        <v>856</v>
      </c>
      <c r="K158" s="238">
        <v>229</v>
      </c>
      <c r="L158" s="182"/>
      <c r="M158" s="197" t="str">
        <f t="shared" si="9"/>
        <v>No</v>
      </c>
      <c r="N158" s="197">
        <v>764000</v>
      </c>
      <c r="O158" s="197">
        <v>9.16e+16</v>
      </c>
      <c r="P158" s="385"/>
      <c r="Q158" s="197"/>
      <c r="R158" s="182"/>
      <c r="S158" s="197"/>
      <c r="T158" s="204"/>
      <c r="U158" s="204"/>
      <c r="V158" s="182"/>
      <c r="W158" s="182"/>
      <c r="X158" s="182"/>
      <c r="Y158" s="182"/>
      <c r="Z158" s="182"/>
      <c r="AA158" s="399">
        <v>0.33577481094615</v>
      </c>
      <c r="AB158" s="372"/>
      <c r="AC158" s="372"/>
      <c r="AD158" s="372" t="str">
        <f t="shared" si="23"/>
        <v>Industry</v>
      </c>
      <c r="AE158" s="372"/>
      <c r="AF158" s="372"/>
      <c r="AG158" s="372"/>
    </row>
    <row r="159" ht="12.75" spans="1:33">
      <c r="A159" s="356" t="s">
        <v>857</v>
      </c>
      <c r="B159" s="215" t="s">
        <v>256</v>
      </c>
      <c r="C159" s="215" t="s">
        <v>858</v>
      </c>
      <c r="D159" s="215" t="s">
        <v>400</v>
      </c>
      <c r="E159" s="215" t="s">
        <v>367</v>
      </c>
      <c r="F159" s="215" t="s">
        <v>859</v>
      </c>
      <c r="G159" s="357">
        <v>43657</v>
      </c>
      <c r="H159" s="358">
        <v>2019</v>
      </c>
      <c r="I159" s="356" t="s">
        <v>860</v>
      </c>
      <c r="J159" s="375" t="s">
        <v>861</v>
      </c>
      <c r="K159" s="377">
        <v>575</v>
      </c>
      <c r="L159" s="205"/>
      <c r="M159" s="199" t="str">
        <f t="shared" si="9"/>
        <v>No</v>
      </c>
      <c r="N159" s="377"/>
      <c r="O159" s="377">
        <v>6.6e+16</v>
      </c>
      <c r="P159" s="383"/>
      <c r="Q159" s="203"/>
      <c r="R159" s="205"/>
      <c r="S159" s="205"/>
      <c r="T159" s="205"/>
      <c r="U159" s="205"/>
      <c r="V159" s="205"/>
      <c r="W159" s="205"/>
      <c r="X159" s="205"/>
      <c r="Y159" s="205"/>
      <c r="Z159" s="205"/>
      <c r="AA159" s="395" t="s">
        <v>49</v>
      </c>
      <c r="AB159" s="376"/>
      <c r="AC159" s="376"/>
      <c r="AD159" s="376"/>
      <c r="AE159" s="376"/>
      <c r="AF159" s="376"/>
      <c r="AG159" s="376"/>
    </row>
    <row r="160" ht="12.75" spans="1:33">
      <c r="A160" s="353" t="s">
        <v>862</v>
      </c>
      <c r="B160" s="192" t="s">
        <v>51</v>
      </c>
      <c r="C160" s="192" t="s">
        <v>863</v>
      </c>
      <c r="D160" s="192" t="s">
        <v>864</v>
      </c>
      <c r="E160" s="192" t="s">
        <v>44</v>
      </c>
      <c r="F160" s="192" t="s">
        <v>865</v>
      </c>
      <c r="G160" s="367">
        <v>43466</v>
      </c>
      <c r="H160" s="363">
        <f t="shared" ref="H160:H183" si="25">IF(INT(RIGHT(G160,4))&lt;1,"",INT(RIGHT(G160,4)))</f>
        <v>3466</v>
      </c>
      <c r="I160" s="353" t="s">
        <v>866</v>
      </c>
      <c r="J160" s="371" t="s">
        <v>867</v>
      </c>
      <c r="K160" s="238">
        <v>308</v>
      </c>
      <c r="L160" s="182"/>
      <c r="M160" s="197" t="str">
        <f t="shared" si="9"/>
        <v>No</v>
      </c>
      <c r="N160" s="197">
        <v>465000000</v>
      </c>
      <c r="O160" s="197"/>
      <c r="P160" s="385"/>
      <c r="Q160" s="197"/>
      <c r="R160" s="182"/>
      <c r="S160" s="197"/>
      <c r="T160" s="182"/>
      <c r="U160" s="182"/>
      <c r="V160" s="182"/>
      <c r="W160" s="182"/>
      <c r="X160" s="182"/>
      <c r="Y160" s="182"/>
      <c r="Z160" s="182"/>
      <c r="AA160" s="399" t="s">
        <v>49</v>
      </c>
      <c r="AB160" s="372"/>
      <c r="AC160" s="372"/>
      <c r="AD160" s="372" t="str">
        <f t="shared" ref="AD160:AD336" si="26">_xlfn.IFS($E160="Academia","Academia",$E160="Research Collective","TO MANUALLY ADJUST",TRUE,"Industry")</f>
        <v>Industry</v>
      </c>
      <c r="AE160" s="372"/>
      <c r="AF160" s="372"/>
      <c r="AG160" s="372"/>
    </row>
    <row r="161" ht="12.75" spans="1:33">
      <c r="A161" s="356" t="s">
        <v>868</v>
      </c>
      <c r="B161" s="215" t="s">
        <v>51</v>
      </c>
      <c r="C161" s="215"/>
      <c r="D161" s="215" t="s">
        <v>393</v>
      </c>
      <c r="E161" s="215" t="s">
        <v>35</v>
      </c>
      <c r="F161" s="215" t="s">
        <v>869</v>
      </c>
      <c r="G161" s="361">
        <v>43496</v>
      </c>
      <c r="H161" s="360">
        <f t="shared" si="25"/>
        <v>3496</v>
      </c>
      <c r="I161" s="356" t="s">
        <v>870</v>
      </c>
      <c r="J161" s="375" t="s">
        <v>871</v>
      </c>
      <c r="K161" s="379">
        <v>553</v>
      </c>
      <c r="L161" s="184"/>
      <c r="M161" s="199" t="str">
        <f t="shared" si="9"/>
        <v>No</v>
      </c>
      <c r="N161" s="199">
        <v>330000000</v>
      </c>
      <c r="O161" s="199"/>
      <c r="P161" s="380"/>
      <c r="Q161" s="199"/>
      <c r="R161" s="184"/>
      <c r="S161" s="199"/>
      <c r="T161" s="205"/>
      <c r="U161" s="205"/>
      <c r="V161" s="184"/>
      <c r="W161" s="184"/>
      <c r="X161" s="184"/>
      <c r="Y161" s="184"/>
      <c r="Z161" s="184" t="s">
        <v>872</v>
      </c>
      <c r="AA161" s="396" t="s">
        <v>49</v>
      </c>
      <c r="AB161" s="376"/>
      <c r="AC161" s="376" t="s">
        <v>873</v>
      </c>
      <c r="AD161" s="376" t="str">
        <f t="shared" si="26"/>
        <v>Industry</v>
      </c>
      <c r="AE161" s="376"/>
      <c r="AF161" s="376"/>
      <c r="AG161" s="376"/>
    </row>
    <row r="162" ht="12.75" spans="1:33">
      <c r="A162" s="353"/>
      <c r="B162" s="192" t="s">
        <v>51</v>
      </c>
      <c r="C162" s="192" t="s">
        <v>874</v>
      </c>
      <c r="D162" s="192" t="s">
        <v>262</v>
      </c>
      <c r="E162" s="192" t="s">
        <v>35</v>
      </c>
      <c r="F162" s="192" t="s">
        <v>875</v>
      </c>
      <c r="G162" s="367">
        <v>43573</v>
      </c>
      <c r="H162" s="363">
        <f t="shared" si="25"/>
        <v>3573</v>
      </c>
      <c r="I162" s="353" t="s">
        <v>876</v>
      </c>
      <c r="J162" s="371" t="s">
        <v>877</v>
      </c>
      <c r="K162" s="238">
        <v>1409</v>
      </c>
      <c r="L162" s="182" t="s">
        <v>454</v>
      </c>
      <c r="M162" s="197" t="str">
        <f t="shared" si="9"/>
        <v>Yes</v>
      </c>
      <c r="N162" s="197"/>
      <c r="O162" s="197"/>
      <c r="P162" s="385"/>
      <c r="Q162" s="197"/>
      <c r="R162" s="182"/>
      <c r="S162" s="197"/>
      <c r="T162" s="182"/>
      <c r="U162" s="182"/>
      <c r="V162" s="182"/>
      <c r="W162" s="182"/>
      <c r="X162" s="182"/>
      <c r="Y162" s="182"/>
      <c r="Z162" s="182" t="s">
        <v>872</v>
      </c>
      <c r="AA162" s="399" t="s">
        <v>49</v>
      </c>
      <c r="AB162" s="372"/>
      <c r="AC162" s="372"/>
      <c r="AD162" s="372" t="str">
        <f t="shared" si="26"/>
        <v>Industry</v>
      </c>
      <c r="AE162" s="372"/>
      <c r="AF162" s="372"/>
      <c r="AG162" s="372"/>
    </row>
    <row r="163" ht="12.75" spans="1:33">
      <c r="A163" s="356"/>
      <c r="B163" s="215" t="s">
        <v>41</v>
      </c>
      <c r="C163" s="215" t="s">
        <v>878</v>
      </c>
      <c r="D163" s="215" t="s">
        <v>879</v>
      </c>
      <c r="E163" s="215" t="s">
        <v>360</v>
      </c>
      <c r="F163" s="215" t="s">
        <v>880</v>
      </c>
      <c r="G163" s="361">
        <v>43576</v>
      </c>
      <c r="H163" s="360">
        <f t="shared" si="25"/>
        <v>3576</v>
      </c>
      <c r="I163" s="356" t="s">
        <v>881</v>
      </c>
      <c r="J163" s="375" t="s">
        <v>882</v>
      </c>
      <c r="K163" s="384">
        <v>1988</v>
      </c>
      <c r="L163" s="184"/>
      <c r="M163" s="199" t="str">
        <f t="shared" si="9"/>
        <v>Yes</v>
      </c>
      <c r="N163" s="199"/>
      <c r="O163" s="199"/>
      <c r="P163" s="380"/>
      <c r="R163" s="184"/>
      <c r="S163" s="199"/>
      <c r="T163" s="184"/>
      <c r="U163" s="184"/>
      <c r="V163" s="184"/>
      <c r="W163" s="184"/>
      <c r="X163" s="184"/>
      <c r="Y163" s="184"/>
      <c r="Z163" s="184"/>
      <c r="AA163" s="396" t="s">
        <v>49</v>
      </c>
      <c r="AB163" s="376"/>
      <c r="AC163" s="376"/>
      <c r="AD163" s="376" t="str">
        <f t="shared" si="26"/>
        <v>Industry</v>
      </c>
      <c r="AE163" s="376"/>
      <c r="AF163" s="376"/>
      <c r="AG163" s="376"/>
    </row>
    <row r="164" ht="12.75" spans="1:33">
      <c r="A164" s="353" t="s">
        <v>883</v>
      </c>
      <c r="B164" s="192" t="s">
        <v>41</v>
      </c>
      <c r="C164" s="192" t="s">
        <v>176</v>
      </c>
      <c r="D164" s="192" t="s">
        <v>34</v>
      </c>
      <c r="E164" s="192" t="s">
        <v>35</v>
      </c>
      <c r="F164" s="192" t="s">
        <v>799</v>
      </c>
      <c r="G164" s="367">
        <v>43587</v>
      </c>
      <c r="H164" s="363">
        <f t="shared" si="25"/>
        <v>3587</v>
      </c>
      <c r="I164" s="353" t="s">
        <v>800</v>
      </c>
      <c r="J164" s="371" t="s">
        <v>884</v>
      </c>
      <c r="K164" s="236">
        <v>1701</v>
      </c>
      <c r="L164" s="182" t="s">
        <v>454</v>
      </c>
      <c r="M164" s="197" t="str">
        <f t="shared" si="9"/>
        <v>Yes</v>
      </c>
      <c r="N164" s="197">
        <v>26000000</v>
      </c>
      <c r="O164" s="197"/>
      <c r="P164" s="385"/>
      <c r="Q164" s="197"/>
      <c r="R164" s="182"/>
      <c r="S164" s="197"/>
      <c r="T164" s="182"/>
      <c r="U164" s="182"/>
      <c r="V164" s="182"/>
      <c r="W164" s="182"/>
      <c r="X164" s="182"/>
      <c r="Y164" s="182"/>
      <c r="Z164" s="182"/>
      <c r="AA164" s="399" t="s">
        <v>49</v>
      </c>
      <c r="AB164" s="372"/>
      <c r="AC164" s="372"/>
      <c r="AD164" s="372" t="str">
        <f t="shared" si="26"/>
        <v>Industry</v>
      </c>
      <c r="AE164" s="372"/>
      <c r="AF164" s="372"/>
      <c r="AG164" s="372"/>
    </row>
    <row r="165" ht="12.75" spans="1:33">
      <c r="A165" s="356" t="s">
        <v>885</v>
      </c>
      <c r="B165" s="215" t="s">
        <v>41</v>
      </c>
      <c r="C165" s="215" t="s">
        <v>176</v>
      </c>
      <c r="D165" s="215" t="s">
        <v>504</v>
      </c>
      <c r="E165" s="215" t="s">
        <v>35</v>
      </c>
      <c r="F165" s="215" t="s">
        <v>886</v>
      </c>
      <c r="G165" s="361">
        <v>43587</v>
      </c>
      <c r="H165" s="360">
        <f t="shared" si="25"/>
        <v>3587</v>
      </c>
      <c r="I165" s="356" t="s">
        <v>887</v>
      </c>
      <c r="J165" s="375" t="s">
        <v>888</v>
      </c>
      <c r="K165" s="384">
        <v>319</v>
      </c>
      <c r="L165" s="184"/>
      <c r="M165" s="199" t="str">
        <f t="shared" si="9"/>
        <v>No</v>
      </c>
      <c r="N165" s="199">
        <v>193000000</v>
      </c>
      <c r="O165" s="199"/>
      <c r="P165" s="380"/>
      <c r="Q165" s="199"/>
      <c r="R165" s="184"/>
      <c r="S165" s="199"/>
      <c r="T165" s="184"/>
      <c r="U165" s="184"/>
      <c r="V165" s="184"/>
      <c r="W165" s="184"/>
      <c r="X165" s="184"/>
      <c r="Y165" s="184"/>
      <c r="Z165" s="184"/>
      <c r="AA165" s="396" t="s">
        <v>49</v>
      </c>
      <c r="AB165" s="376"/>
      <c r="AC165" s="376"/>
      <c r="AD165" s="376" t="str">
        <f t="shared" si="26"/>
        <v>Industry</v>
      </c>
      <c r="AE165" s="376"/>
      <c r="AF165" s="376"/>
      <c r="AG165" s="376"/>
    </row>
    <row r="166" ht="12.75" spans="1:33">
      <c r="A166" s="353" t="s">
        <v>889</v>
      </c>
      <c r="B166" s="192" t="s">
        <v>77</v>
      </c>
      <c r="C166" s="192" t="s">
        <v>579</v>
      </c>
      <c r="D166" s="192" t="s">
        <v>890</v>
      </c>
      <c r="E166" s="192" t="s">
        <v>44</v>
      </c>
      <c r="F166" s="192"/>
      <c r="G166" s="367">
        <v>43607</v>
      </c>
      <c r="H166" s="363">
        <f t="shared" si="25"/>
        <v>3607</v>
      </c>
      <c r="I166" s="353" t="s">
        <v>891</v>
      </c>
      <c r="J166" s="371" t="s">
        <v>892</v>
      </c>
      <c r="K166" s="236">
        <v>491</v>
      </c>
      <c r="L166" s="182"/>
      <c r="M166" s="197" t="str">
        <f t="shared" si="9"/>
        <v>No</v>
      </c>
      <c r="N166" s="197">
        <v>303000000</v>
      </c>
      <c r="O166" s="197"/>
      <c r="P166" s="385"/>
      <c r="Q166" s="197"/>
      <c r="R166" s="182"/>
      <c r="S166" s="197"/>
      <c r="T166" s="182"/>
      <c r="U166" s="182"/>
      <c r="V166" s="182"/>
      <c r="W166" s="182"/>
      <c r="X166" s="182"/>
      <c r="Y166" s="182"/>
      <c r="Z166" s="182"/>
      <c r="AA166" s="399" t="s">
        <v>49</v>
      </c>
      <c r="AB166" s="372"/>
      <c r="AC166" s="372"/>
      <c r="AD166" s="372" t="str">
        <f t="shared" si="26"/>
        <v>Industry</v>
      </c>
      <c r="AE166" s="372"/>
      <c r="AF166" s="372"/>
      <c r="AG166" s="372"/>
    </row>
    <row r="167" ht="12.75" spans="1:33">
      <c r="A167" s="356" t="s">
        <v>893</v>
      </c>
      <c r="B167" s="215" t="s">
        <v>41</v>
      </c>
      <c r="C167" s="215" t="s">
        <v>176</v>
      </c>
      <c r="D167" s="215" t="s">
        <v>85</v>
      </c>
      <c r="E167" s="215" t="s">
        <v>35</v>
      </c>
      <c r="F167" s="215" t="s">
        <v>894</v>
      </c>
      <c r="G167" s="361">
        <v>43613</v>
      </c>
      <c r="H167" s="360">
        <f t="shared" si="25"/>
        <v>3613</v>
      </c>
      <c r="I167" s="356" t="s">
        <v>895</v>
      </c>
      <c r="J167" s="375" t="s">
        <v>896</v>
      </c>
      <c r="K167" s="379">
        <v>3189</v>
      </c>
      <c r="L167" s="184" t="s">
        <v>454</v>
      </c>
      <c r="M167" s="199" t="str">
        <f t="shared" si="9"/>
        <v>Yes</v>
      </c>
      <c r="N167" s="199">
        <v>480000000</v>
      </c>
      <c r="O167" s="199"/>
      <c r="P167" s="380"/>
      <c r="Q167" s="199"/>
      <c r="R167" s="184"/>
      <c r="S167" s="199">
        <v>390000000</v>
      </c>
      <c r="T167" s="184"/>
      <c r="U167" s="184"/>
      <c r="V167" s="184"/>
      <c r="W167" s="184"/>
      <c r="X167" s="184"/>
      <c r="Y167" s="376"/>
      <c r="Z167" s="376" t="s">
        <v>667</v>
      </c>
      <c r="AA167" s="395" t="s">
        <v>49</v>
      </c>
      <c r="AB167" s="376"/>
      <c r="AC167" s="376"/>
      <c r="AD167" s="376" t="str">
        <f t="shared" si="26"/>
        <v>Industry</v>
      </c>
      <c r="AE167" s="376"/>
      <c r="AF167" s="376"/>
      <c r="AG167" s="376"/>
    </row>
    <row r="168" ht="12.75" spans="1:33">
      <c r="A168" s="353" t="s">
        <v>897</v>
      </c>
      <c r="B168" s="192" t="s">
        <v>51</v>
      </c>
      <c r="C168" s="192"/>
      <c r="D168" s="192" t="s">
        <v>898</v>
      </c>
      <c r="E168" s="192" t="s">
        <v>360</v>
      </c>
      <c r="F168" s="192" t="s">
        <v>899</v>
      </c>
      <c r="G168" s="367">
        <v>43614</v>
      </c>
      <c r="H168" s="363">
        <f t="shared" si="25"/>
        <v>3614</v>
      </c>
      <c r="I168" s="353" t="s">
        <v>900</v>
      </c>
      <c r="J168" s="371" t="s">
        <v>901</v>
      </c>
      <c r="K168" s="238">
        <v>543</v>
      </c>
      <c r="L168" s="182"/>
      <c r="M168" s="197" t="str">
        <f t="shared" si="9"/>
        <v>No</v>
      </c>
      <c r="N168" s="197">
        <v>1500000000</v>
      </c>
      <c r="O168" s="197"/>
      <c r="P168" s="385"/>
      <c r="Q168" s="197"/>
      <c r="R168" s="182"/>
      <c r="S168" s="197"/>
      <c r="T168" s="182"/>
      <c r="U168" s="182"/>
      <c r="V168" s="182"/>
      <c r="W168" s="182"/>
      <c r="X168" s="182"/>
      <c r="Y168" s="182"/>
      <c r="Z168" s="182"/>
      <c r="AA168" s="399" t="s">
        <v>49</v>
      </c>
      <c r="AB168" s="372"/>
      <c r="AC168" s="372"/>
      <c r="AD168" s="372" t="str">
        <f t="shared" si="26"/>
        <v>Industry</v>
      </c>
      <c r="AE168" s="372"/>
      <c r="AF168" s="372"/>
      <c r="AG168" s="372"/>
    </row>
    <row r="169" ht="12.75" spans="1:33">
      <c r="A169" s="356" t="s">
        <v>902</v>
      </c>
      <c r="B169" s="215" t="s">
        <v>51</v>
      </c>
      <c r="C169" s="215"/>
      <c r="D169" s="215" t="s">
        <v>435</v>
      </c>
      <c r="E169" s="215" t="s">
        <v>35</v>
      </c>
      <c r="F169" s="215" t="s">
        <v>903</v>
      </c>
      <c r="G169" s="361">
        <v>43617</v>
      </c>
      <c r="H169" s="360">
        <f t="shared" si="25"/>
        <v>3617</v>
      </c>
      <c r="I169" s="356" t="s">
        <v>904</v>
      </c>
      <c r="J169" s="375" t="s">
        <v>905</v>
      </c>
      <c r="K169" s="379">
        <v>678</v>
      </c>
      <c r="L169" s="184"/>
      <c r="M169" s="199" t="str">
        <f t="shared" si="9"/>
        <v>No</v>
      </c>
      <c r="N169" s="199">
        <v>665000000</v>
      </c>
      <c r="O169" s="199"/>
      <c r="P169" s="380"/>
      <c r="Q169" s="199"/>
      <c r="R169" s="184"/>
      <c r="S169" s="199"/>
      <c r="T169" s="184"/>
      <c r="U169" s="184"/>
      <c r="V169" s="184"/>
      <c r="W169" s="184"/>
      <c r="X169" s="184"/>
      <c r="Y169" s="184"/>
      <c r="Z169" s="184"/>
      <c r="AA169" s="396" t="s">
        <v>49</v>
      </c>
      <c r="AB169" s="376"/>
      <c r="AC169" s="376"/>
      <c r="AD169" s="376" t="str">
        <f t="shared" si="26"/>
        <v>Industry</v>
      </c>
      <c r="AE169" s="376"/>
      <c r="AF169" s="376"/>
      <c r="AG169" s="376"/>
    </row>
    <row r="170" ht="12.75" spans="1:33">
      <c r="A170" s="353" t="s">
        <v>906</v>
      </c>
      <c r="B170" s="192" t="s">
        <v>51</v>
      </c>
      <c r="C170" s="359"/>
      <c r="D170" s="192" t="s">
        <v>907</v>
      </c>
      <c r="E170" s="192" t="s">
        <v>327</v>
      </c>
      <c r="F170" s="192" t="s">
        <v>908</v>
      </c>
      <c r="G170" s="367">
        <v>43617</v>
      </c>
      <c r="H170" s="363">
        <f t="shared" si="25"/>
        <v>3617</v>
      </c>
      <c r="I170" s="353" t="s">
        <v>909</v>
      </c>
      <c r="J170" s="371" t="s">
        <v>910</v>
      </c>
      <c r="K170" s="236">
        <v>3057</v>
      </c>
      <c r="L170" s="182" t="s">
        <v>454</v>
      </c>
      <c r="M170" s="197" t="str">
        <f t="shared" si="9"/>
        <v>Yes</v>
      </c>
      <c r="N170" s="197">
        <v>340000000</v>
      </c>
      <c r="O170" s="197"/>
      <c r="P170" s="385"/>
      <c r="Q170" s="197"/>
      <c r="R170" s="182"/>
      <c r="S170" s="197"/>
      <c r="T170" s="182"/>
      <c r="U170" s="182"/>
      <c r="V170" s="182"/>
      <c r="W170" s="182"/>
      <c r="X170" s="182"/>
      <c r="Y170" s="182"/>
      <c r="Z170" s="182"/>
      <c r="AA170" s="399" t="s">
        <v>49</v>
      </c>
      <c r="AB170" s="372"/>
      <c r="AC170" s="372"/>
      <c r="AD170" s="372" t="str">
        <f t="shared" si="26"/>
        <v>Industry</v>
      </c>
      <c r="AE170" s="372"/>
      <c r="AF170" s="372"/>
      <c r="AG170" s="372"/>
    </row>
    <row r="171" ht="12.75" spans="1:33">
      <c r="A171" s="356" t="s">
        <v>911</v>
      </c>
      <c r="B171" s="215" t="s">
        <v>77</v>
      </c>
      <c r="C171" s="215" t="s">
        <v>579</v>
      </c>
      <c r="D171" s="215" t="s">
        <v>205</v>
      </c>
      <c r="E171" s="215" t="s">
        <v>35</v>
      </c>
      <c r="F171" s="215" t="s">
        <v>912</v>
      </c>
      <c r="G171" s="361">
        <v>43619</v>
      </c>
      <c r="H171" s="360">
        <f t="shared" si="25"/>
        <v>3619</v>
      </c>
      <c r="I171" s="356" t="s">
        <v>913</v>
      </c>
      <c r="J171" s="375" t="s">
        <v>914</v>
      </c>
      <c r="K171" s="379">
        <v>486</v>
      </c>
      <c r="L171" s="184"/>
      <c r="M171" s="199" t="str">
        <f t="shared" si="9"/>
        <v>No</v>
      </c>
      <c r="N171" s="199">
        <v>626000000</v>
      </c>
      <c r="O171" s="199"/>
      <c r="P171" s="380"/>
      <c r="Q171" s="199"/>
      <c r="R171" s="184"/>
      <c r="S171" s="199"/>
      <c r="T171" s="184"/>
      <c r="U171" s="184"/>
      <c r="V171" s="184"/>
      <c r="W171" s="184"/>
      <c r="X171" s="184"/>
      <c r="Y171" s="184"/>
      <c r="Z171" s="184"/>
      <c r="AA171" s="396" t="s">
        <v>49</v>
      </c>
      <c r="AB171" s="376"/>
      <c r="AC171" s="376"/>
      <c r="AD171" s="376" t="str">
        <f t="shared" si="26"/>
        <v>Industry</v>
      </c>
      <c r="AE171" s="376"/>
      <c r="AF171" s="376"/>
      <c r="AG171" s="376"/>
    </row>
    <row r="172" ht="12.75" spans="1:33">
      <c r="A172" s="353" t="s">
        <v>915</v>
      </c>
      <c r="B172" s="192" t="s">
        <v>41</v>
      </c>
      <c r="C172" s="192" t="s">
        <v>176</v>
      </c>
      <c r="D172" s="192" t="s">
        <v>504</v>
      </c>
      <c r="E172" s="192" t="s">
        <v>35</v>
      </c>
      <c r="F172" s="192" t="s">
        <v>916</v>
      </c>
      <c r="G172" s="367">
        <v>43630</v>
      </c>
      <c r="H172" s="363">
        <f t="shared" si="25"/>
        <v>3630</v>
      </c>
      <c r="I172" s="353" t="s">
        <v>917</v>
      </c>
      <c r="J172" s="371" t="s">
        <v>918</v>
      </c>
      <c r="K172" s="238">
        <v>405</v>
      </c>
      <c r="L172" s="182"/>
      <c r="M172" s="197" t="str">
        <f t="shared" si="9"/>
        <v>No</v>
      </c>
      <c r="N172" s="197">
        <v>829000000</v>
      </c>
      <c r="O172" s="197"/>
      <c r="P172" s="385"/>
      <c r="Q172" s="197">
        <v>940000000</v>
      </c>
      <c r="R172" s="182"/>
      <c r="S172" s="197"/>
      <c r="T172" s="182"/>
      <c r="U172" s="182"/>
      <c r="V172" s="182"/>
      <c r="W172" s="182"/>
      <c r="X172" s="182"/>
      <c r="Y172" s="182"/>
      <c r="Z172" s="182"/>
      <c r="AA172" s="399" t="s">
        <v>49</v>
      </c>
      <c r="AB172" s="372"/>
      <c r="AC172" s="372"/>
      <c r="AD172" s="372" t="str">
        <f t="shared" si="26"/>
        <v>Industry</v>
      </c>
      <c r="AE172" s="372"/>
      <c r="AF172" s="372"/>
      <c r="AG172" s="372"/>
    </row>
    <row r="173" ht="12.75" spans="1:33">
      <c r="A173" s="356" t="s">
        <v>919</v>
      </c>
      <c r="B173" s="215" t="s">
        <v>51</v>
      </c>
      <c r="C173" s="356"/>
      <c r="D173" s="215" t="s">
        <v>435</v>
      </c>
      <c r="E173" s="215" t="s">
        <v>35</v>
      </c>
      <c r="F173" s="215" t="s">
        <v>920</v>
      </c>
      <c r="G173" s="361">
        <v>43647</v>
      </c>
      <c r="H173" s="360">
        <f t="shared" si="25"/>
        <v>3647</v>
      </c>
      <c r="I173" s="356" t="s">
        <v>921</v>
      </c>
      <c r="J173" s="375" t="s">
        <v>922</v>
      </c>
      <c r="K173" s="379">
        <v>1506</v>
      </c>
      <c r="L173" s="184" t="s">
        <v>454</v>
      </c>
      <c r="M173" s="199" t="str">
        <f t="shared" si="9"/>
        <v>Yes</v>
      </c>
      <c r="N173" s="199">
        <v>355000000</v>
      </c>
      <c r="O173" s="199"/>
      <c r="P173" s="380"/>
      <c r="Q173" s="199"/>
      <c r="R173" s="184"/>
      <c r="S173" s="199"/>
      <c r="T173" s="184"/>
      <c r="U173" s="184"/>
      <c r="V173" s="184"/>
      <c r="W173" s="184"/>
      <c r="X173" s="184"/>
      <c r="Y173" s="184"/>
      <c r="Z173" s="184"/>
      <c r="AA173" s="396" t="s">
        <v>49</v>
      </c>
      <c r="AB173" s="376"/>
      <c r="AC173" s="376"/>
      <c r="AD173" s="376" t="str">
        <f t="shared" si="26"/>
        <v>Industry</v>
      </c>
      <c r="AE173" s="376"/>
      <c r="AF173" s="376"/>
      <c r="AG173" s="376"/>
    </row>
    <row r="174" ht="12.75" spans="1:33">
      <c r="A174" s="353" t="s">
        <v>923</v>
      </c>
      <c r="B174" s="192" t="s">
        <v>77</v>
      </c>
      <c r="C174" s="192" t="s">
        <v>579</v>
      </c>
      <c r="D174" s="192" t="s">
        <v>85</v>
      </c>
      <c r="E174" s="192" t="s">
        <v>35</v>
      </c>
      <c r="F174" s="192" t="s">
        <v>924</v>
      </c>
      <c r="G174" s="367">
        <v>43650</v>
      </c>
      <c r="H174" s="363">
        <f t="shared" si="25"/>
        <v>3650</v>
      </c>
      <c r="I174" s="353" t="s">
        <v>925</v>
      </c>
      <c r="J174" s="371" t="s">
        <v>926</v>
      </c>
      <c r="K174" s="238">
        <v>403</v>
      </c>
      <c r="L174" s="182"/>
      <c r="M174" s="197" t="str">
        <f t="shared" si="9"/>
        <v>No</v>
      </c>
      <c r="N174" s="197">
        <v>86000000</v>
      </c>
      <c r="O174" s="197"/>
      <c r="P174" s="385"/>
      <c r="Q174" s="197"/>
      <c r="R174" s="182"/>
      <c r="S174" s="197"/>
      <c r="T174" s="182"/>
      <c r="U174" s="182"/>
      <c r="V174" s="182"/>
      <c r="W174" s="182"/>
      <c r="X174" s="182"/>
      <c r="Y174" s="182"/>
      <c r="Z174" s="182"/>
      <c r="AA174" s="399" t="s">
        <v>49</v>
      </c>
      <c r="AB174" s="372"/>
      <c r="AC174" s="372"/>
      <c r="AD174" s="372" t="str">
        <f t="shared" si="26"/>
        <v>Industry</v>
      </c>
      <c r="AE174" s="372"/>
      <c r="AF174" s="372"/>
      <c r="AG174" s="372"/>
    </row>
    <row r="175" ht="12.75" spans="1:33">
      <c r="A175" s="356" t="s">
        <v>927</v>
      </c>
      <c r="B175" s="215" t="s">
        <v>51</v>
      </c>
      <c r="C175" s="215"/>
      <c r="D175" s="215" t="s">
        <v>928</v>
      </c>
      <c r="E175" s="215" t="s">
        <v>327</v>
      </c>
      <c r="F175" s="215" t="s">
        <v>929</v>
      </c>
      <c r="G175" s="361">
        <v>43734</v>
      </c>
      <c r="H175" s="360">
        <f t="shared" si="25"/>
        <v>3734</v>
      </c>
      <c r="I175" s="356" t="s">
        <v>930</v>
      </c>
      <c r="J175" s="375" t="s">
        <v>607</v>
      </c>
      <c r="K175" s="379">
        <v>1656</v>
      </c>
      <c r="L175" s="184" t="s">
        <v>454</v>
      </c>
      <c r="M175" s="199" t="str">
        <f t="shared" si="9"/>
        <v>Yes</v>
      </c>
      <c r="N175" s="199">
        <f>N147/18</f>
        <v>288888.888888889</v>
      </c>
      <c r="O175" s="199"/>
      <c r="P175" s="380"/>
      <c r="Q175" s="382">
        <v>3300000000</v>
      </c>
      <c r="R175" s="184"/>
      <c r="S175" s="199">
        <v>22500000000</v>
      </c>
      <c r="T175" s="184"/>
      <c r="U175" s="184"/>
      <c r="V175" s="184"/>
      <c r="W175" s="184"/>
      <c r="X175" s="184"/>
      <c r="Y175" s="184"/>
      <c r="Z175" s="184"/>
      <c r="AA175" s="396" t="s">
        <v>49</v>
      </c>
      <c r="AB175" s="376"/>
      <c r="AC175" s="376"/>
      <c r="AD175" s="376" t="str">
        <f t="shared" si="26"/>
        <v>Industry</v>
      </c>
      <c r="AE175" s="376"/>
      <c r="AF175" s="376"/>
      <c r="AG175" s="376"/>
    </row>
    <row r="176" ht="12.75" spans="1:33">
      <c r="A176" s="353" t="s">
        <v>931</v>
      </c>
      <c r="B176" s="192" t="s">
        <v>51</v>
      </c>
      <c r="C176" s="192" t="s">
        <v>267</v>
      </c>
      <c r="D176" s="192" t="s">
        <v>932</v>
      </c>
      <c r="E176" s="192" t="s">
        <v>35</v>
      </c>
      <c r="F176" s="192" t="s">
        <v>933</v>
      </c>
      <c r="G176" s="367">
        <v>43740</v>
      </c>
      <c r="H176" s="363">
        <f t="shared" si="25"/>
        <v>3740</v>
      </c>
      <c r="I176" s="353" t="s">
        <v>934</v>
      </c>
      <c r="J176" s="371" t="s">
        <v>935</v>
      </c>
      <c r="K176" s="236">
        <v>895</v>
      </c>
      <c r="L176" s="182"/>
      <c r="M176" s="197" t="str">
        <f t="shared" si="9"/>
        <v>No</v>
      </c>
      <c r="N176" s="197">
        <v>66000000</v>
      </c>
      <c r="O176" s="197"/>
      <c r="P176" s="385"/>
      <c r="Q176" s="197"/>
      <c r="R176" s="182"/>
      <c r="S176" s="200"/>
      <c r="T176" s="182"/>
      <c r="U176" s="182"/>
      <c r="V176" s="182"/>
      <c r="W176" s="182"/>
      <c r="X176" s="182"/>
      <c r="Y176" s="182"/>
      <c r="Z176" s="182" t="s">
        <v>936</v>
      </c>
      <c r="AA176" s="399" t="s">
        <v>49</v>
      </c>
      <c r="AB176" s="372"/>
      <c r="AC176" s="372"/>
      <c r="AD176" s="372" t="str">
        <f t="shared" si="26"/>
        <v>Industry</v>
      </c>
      <c r="AE176" s="372"/>
      <c r="AF176" s="372"/>
      <c r="AG176" s="372"/>
    </row>
    <row r="177" ht="12.75" spans="1:33">
      <c r="A177" s="356" t="s">
        <v>937</v>
      </c>
      <c r="B177" s="215" t="s">
        <v>51</v>
      </c>
      <c r="C177" s="215"/>
      <c r="D177" s="215" t="s">
        <v>504</v>
      </c>
      <c r="E177" s="215" t="s">
        <v>35</v>
      </c>
      <c r="F177" s="215" t="s">
        <v>938</v>
      </c>
      <c r="G177" s="361">
        <v>43767</v>
      </c>
      <c r="H177" s="360">
        <f t="shared" si="25"/>
        <v>3767</v>
      </c>
      <c r="I177" s="356" t="s">
        <v>939</v>
      </c>
      <c r="J177" s="375" t="s">
        <v>940</v>
      </c>
      <c r="K177" s="379">
        <v>1014</v>
      </c>
      <c r="L177" s="184" t="s">
        <v>454</v>
      </c>
      <c r="M177" s="199" t="str">
        <f t="shared" si="9"/>
        <v>Yes</v>
      </c>
      <c r="N177" s="199">
        <v>406291456</v>
      </c>
      <c r="O177" s="199"/>
      <c r="P177" s="380"/>
      <c r="Q177" s="199"/>
      <c r="R177" s="184"/>
      <c r="S177" s="199"/>
      <c r="T177" s="184"/>
      <c r="U177" s="184"/>
      <c r="V177" s="184"/>
      <c r="W177" s="184"/>
      <c r="X177" s="184"/>
      <c r="Y177" s="184"/>
      <c r="Z177" s="184"/>
      <c r="AA177" s="396" t="s">
        <v>49</v>
      </c>
      <c r="AB177" s="376"/>
      <c r="AC177" s="376"/>
      <c r="AD177" s="376" t="str">
        <f t="shared" si="26"/>
        <v>Industry</v>
      </c>
      <c r="AE177" s="376"/>
      <c r="AF177" s="376"/>
      <c r="AG177" s="376"/>
    </row>
    <row r="178" ht="12.75" spans="1:33">
      <c r="A178" s="353" t="s">
        <v>941</v>
      </c>
      <c r="B178" s="192" t="s">
        <v>41</v>
      </c>
      <c r="C178" s="192" t="s">
        <v>176</v>
      </c>
      <c r="D178" s="192" t="s">
        <v>942</v>
      </c>
      <c r="E178" s="192" t="s">
        <v>44</v>
      </c>
      <c r="F178" s="192" t="s">
        <v>943</v>
      </c>
      <c r="G178" s="367">
        <v>43780</v>
      </c>
      <c r="H178" s="363">
        <f t="shared" si="25"/>
        <v>3780</v>
      </c>
      <c r="I178" s="353" t="s">
        <v>944</v>
      </c>
      <c r="J178" s="371" t="s">
        <v>945</v>
      </c>
      <c r="K178" s="236">
        <v>576</v>
      </c>
      <c r="L178" s="182"/>
      <c r="M178" s="197" t="str">
        <f t="shared" si="9"/>
        <v>No</v>
      </c>
      <c r="N178" s="197">
        <v>480000000</v>
      </c>
      <c r="O178" s="197"/>
      <c r="P178" s="385"/>
      <c r="Q178" s="197"/>
      <c r="R178" s="182"/>
      <c r="S178" s="197">
        <f>520*1000000000*2</f>
        <v>1040000000000</v>
      </c>
      <c r="T178" s="182"/>
      <c r="U178" s="182"/>
      <c r="V178" s="182"/>
      <c r="W178" s="182"/>
      <c r="X178" s="182"/>
      <c r="Y178" s="182"/>
      <c r="Z178" s="182"/>
      <c r="AA178" s="399" t="s">
        <v>49</v>
      </c>
      <c r="AB178" s="372"/>
      <c r="AC178" s="372"/>
      <c r="AD178" s="372" t="str">
        <f t="shared" si="26"/>
        <v>Industry</v>
      </c>
      <c r="AE178" s="372"/>
      <c r="AF178" s="372"/>
      <c r="AG178" s="372"/>
    </row>
    <row r="179" ht="12.75" spans="1:33">
      <c r="A179" s="356" t="s">
        <v>946</v>
      </c>
      <c r="B179" s="215" t="s">
        <v>77</v>
      </c>
      <c r="C179" s="215" t="s">
        <v>579</v>
      </c>
      <c r="D179" s="215" t="s">
        <v>504</v>
      </c>
      <c r="E179" s="215" t="s">
        <v>35</v>
      </c>
      <c r="F179" s="215" t="s">
        <v>947</v>
      </c>
      <c r="G179" s="361">
        <v>43782</v>
      </c>
      <c r="H179" s="360">
        <f t="shared" si="25"/>
        <v>3782</v>
      </c>
      <c r="I179" s="356" t="s">
        <v>948</v>
      </c>
      <c r="J179" s="375" t="s">
        <v>949</v>
      </c>
      <c r="K179" s="379">
        <v>1722</v>
      </c>
      <c r="L179" s="184" t="s">
        <v>454</v>
      </c>
      <c r="M179" s="199" t="str">
        <f t="shared" si="9"/>
        <v>Yes</v>
      </c>
      <c r="N179" s="199">
        <v>375000000</v>
      </c>
      <c r="O179" s="199"/>
      <c r="P179" s="380"/>
      <c r="Q179" s="199"/>
      <c r="R179" s="184"/>
      <c r="S179" s="199"/>
      <c r="T179" s="184"/>
      <c r="U179" s="184"/>
      <c r="V179" s="184"/>
      <c r="W179" s="184"/>
      <c r="X179" s="184"/>
      <c r="Y179" s="184"/>
      <c r="Z179" s="184"/>
      <c r="AA179" s="396" t="s">
        <v>49</v>
      </c>
      <c r="AB179" s="376"/>
      <c r="AC179" s="376"/>
      <c r="AD179" s="376" t="str">
        <f t="shared" si="26"/>
        <v>Industry</v>
      </c>
      <c r="AE179" s="376"/>
      <c r="AF179" s="376"/>
      <c r="AG179" s="376"/>
    </row>
    <row r="180" ht="12.75" spans="1:33">
      <c r="A180" s="353"/>
      <c r="B180" s="192" t="s">
        <v>41</v>
      </c>
      <c r="C180" s="192"/>
      <c r="D180" s="192" t="s">
        <v>950</v>
      </c>
      <c r="E180" s="192" t="s">
        <v>134</v>
      </c>
      <c r="F180" s="192" t="s">
        <v>951</v>
      </c>
      <c r="G180" s="367">
        <v>43794</v>
      </c>
      <c r="H180" s="363">
        <f t="shared" si="25"/>
        <v>3794</v>
      </c>
      <c r="I180" s="353" t="s">
        <v>952</v>
      </c>
      <c r="J180" s="371" t="s">
        <v>953</v>
      </c>
      <c r="K180" s="242">
        <v>196</v>
      </c>
      <c r="L180" s="372"/>
      <c r="M180" s="197" t="str">
        <f t="shared" si="9"/>
        <v>No</v>
      </c>
      <c r="N180" s="373"/>
      <c r="O180" s="373"/>
      <c r="P180" s="381"/>
      <c r="Q180" s="373"/>
      <c r="R180" s="372"/>
      <c r="S180" s="373"/>
      <c r="T180" s="372"/>
      <c r="U180" s="372"/>
      <c r="V180" s="372"/>
      <c r="W180" s="372"/>
      <c r="X180" s="372"/>
      <c r="Y180" s="372"/>
      <c r="Z180" s="372"/>
      <c r="AA180" s="397" t="s">
        <v>49</v>
      </c>
      <c r="AB180" s="372"/>
      <c r="AC180" s="372"/>
      <c r="AD180" s="372" t="str">
        <f t="shared" si="26"/>
        <v>Academia</v>
      </c>
      <c r="AE180" s="372"/>
      <c r="AF180" s="372"/>
      <c r="AG180" s="372"/>
    </row>
    <row r="181" ht="12.75" spans="1:33">
      <c r="A181" s="356" t="s">
        <v>954</v>
      </c>
      <c r="B181" s="215" t="s">
        <v>77</v>
      </c>
      <c r="C181" s="215"/>
      <c r="D181" s="215" t="s">
        <v>955</v>
      </c>
      <c r="E181" s="215" t="s">
        <v>44</v>
      </c>
      <c r="F181" s="215" t="s">
        <v>956</v>
      </c>
      <c r="G181" s="361">
        <v>43803</v>
      </c>
      <c r="H181" s="360">
        <f t="shared" si="25"/>
        <v>3803</v>
      </c>
      <c r="I181" s="356" t="s">
        <v>957</v>
      </c>
      <c r="J181" s="375" t="s">
        <v>958</v>
      </c>
      <c r="K181" s="384">
        <v>832</v>
      </c>
      <c r="L181" s="184"/>
      <c r="M181" s="199" t="str">
        <f t="shared" si="9"/>
        <v>No</v>
      </c>
      <c r="N181" s="199"/>
      <c r="O181" s="407"/>
      <c r="P181" s="380"/>
      <c r="Q181" s="199"/>
      <c r="R181" s="184"/>
      <c r="S181" s="203"/>
      <c r="T181" s="184"/>
      <c r="U181" s="184"/>
      <c r="V181" s="184"/>
      <c r="W181" s="184"/>
      <c r="X181" s="184"/>
      <c r="Y181" s="184"/>
      <c r="Z181" s="184"/>
      <c r="AA181" s="396" t="s">
        <v>49</v>
      </c>
      <c r="AB181" s="376"/>
      <c r="AC181" s="376"/>
      <c r="AD181" s="376" t="str">
        <f t="shared" si="26"/>
        <v>Industry</v>
      </c>
      <c r="AE181" s="376"/>
      <c r="AF181" s="376"/>
      <c r="AG181" s="376"/>
    </row>
    <row r="182" ht="12.75" spans="1:33">
      <c r="A182" s="353" t="s">
        <v>959</v>
      </c>
      <c r="B182" s="192" t="s">
        <v>41</v>
      </c>
      <c r="C182" s="192" t="s">
        <v>176</v>
      </c>
      <c r="D182" s="192" t="s">
        <v>53</v>
      </c>
      <c r="E182" s="192" t="s">
        <v>35</v>
      </c>
      <c r="F182" s="192" t="s">
        <v>960</v>
      </c>
      <c r="G182" s="367">
        <v>43823</v>
      </c>
      <c r="H182" s="363">
        <f t="shared" si="25"/>
        <v>3823</v>
      </c>
      <c r="I182" s="353" t="s">
        <v>961</v>
      </c>
      <c r="J182" s="371" t="s">
        <v>962</v>
      </c>
      <c r="K182" s="238">
        <v>83</v>
      </c>
      <c r="L182" s="182"/>
      <c r="M182" s="197" t="str">
        <f t="shared" si="9"/>
        <v>No</v>
      </c>
      <c r="N182" s="197">
        <v>928000000</v>
      </c>
      <c r="O182" s="197"/>
      <c r="P182" s="385"/>
      <c r="Q182" s="197"/>
      <c r="R182" s="182"/>
      <c r="S182" s="197"/>
      <c r="T182" s="182"/>
      <c r="U182" s="182"/>
      <c r="V182" s="182"/>
      <c r="W182" s="182"/>
      <c r="X182" s="182"/>
      <c r="Y182" s="182"/>
      <c r="Z182" s="182"/>
      <c r="AA182" s="399" t="s">
        <v>49</v>
      </c>
      <c r="AB182" s="372"/>
      <c r="AC182" s="372"/>
      <c r="AD182" s="372" t="str">
        <f t="shared" si="26"/>
        <v>Industry</v>
      </c>
      <c r="AE182" s="372"/>
      <c r="AF182" s="372"/>
      <c r="AG182" s="372"/>
    </row>
    <row r="183" ht="12.75" spans="1:33">
      <c r="A183" s="356" t="s">
        <v>963</v>
      </c>
      <c r="B183" s="215" t="s">
        <v>77</v>
      </c>
      <c r="C183" s="215" t="s">
        <v>964</v>
      </c>
      <c r="D183" s="215" t="s">
        <v>965</v>
      </c>
      <c r="E183" s="215" t="s">
        <v>327</v>
      </c>
      <c r="F183" s="215" t="s">
        <v>966</v>
      </c>
      <c r="G183" s="361">
        <v>43371</v>
      </c>
      <c r="H183" s="360">
        <f t="shared" si="25"/>
        <v>3371</v>
      </c>
      <c r="I183" s="356" t="s">
        <v>967</v>
      </c>
      <c r="J183" s="375" t="s">
        <v>968</v>
      </c>
      <c r="K183" s="379">
        <v>1979</v>
      </c>
      <c r="L183" s="184" t="s">
        <v>454</v>
      </c>
      <c r="M183" s="199" t="str">
        <f t="shared" si="9"/>
        <v>Yes</v>
      </c>
      <c r="N183" s="199">
        <v>112694781</v>
      </c>
      <c r="O183" s="199">
        <v>3e+21</v>
      </c>
      <c r="P183" s="380" t="s">
        <v>969</v>
      </c>
      <c r="Q183" s="391">
        <v>292000000</v>
      </c>
      <c r="R183" s="184"/>
      <c r="S183" s="199"/>
      <c r="T183" s="184"/>
      <c r="U183" s="184"/>
      <c r="V183" s="184"/>
      <c r="W183" s="184"/>
      <c r="X183" s="184"/>
      <c r="Y183" s="184"/>
      <c r="Z183" s="184"/>
      <c r="AA183" s="396">
        <v>10448.4378707433</v>
      </c>
      <c r="AB183" s="376"/>
      <c r="AC183" s="376"/>
      <c r="AD183" s="376" t="str">
        <f t="shared" si="26"/>
        <v>Industry</v>
      </c>
      <c r="AE183" s="376" t="s">
        <v>970</v>
      </c>
      <c r="AF183" s="376"/>
      <c r="AG183" s="376"/>
    </row>
    <row r="184" ht="12.75" spans="1:33">
      <c r="A184" s="405" t="s">
        <v>971</v>
      </c>
      <c r="B184" s="192" t="s">
        <v>41</v>
      </c>
      <c r="C184" s="192" t="s">
        <v>176</v>
      </c>
      <c r="D184" s="192" t="s">
        <v>262</v>
      </c>
      <c r="E184" s="192" t="s">
        <v>35</v>
      </c>
      <c r="F184" s="192" t="s">
        <v>972</v>
      </c>
      <c r="G184" s="367">
        <v>43136</v>
      </c>
      <c r="H184" s="355">
        <v>2018</v>
      </c>
      <c r="I184" s="405" t="s">
        <v>973</v>
      </c>
      <c r="J184" s="371" t="s">
        <v>974</v>
      </c>
      <c r="K184" s="238">
        <v>1710</v>
      </c>
      <c r="L184" s="182" t="s">
        <v>454</v>
      </c>
      <c r="M184" s="197" t="str">
        <f t="shared" si="9"/>
        <v>Yes</v>
      </c>
      <c r="N184" s="197">
        <v>469000000</v>
      </c>
      <c r="O184" s="373">
        <f>7*24*3600*450*4290000000000*0.33</f>
        <v>3.85296912e+20</v>
      </c>
      <c r="P184" s="385" t="s">
        <v>455</v>
      </c>
      <c r="Q184" s="197">
        <f>1.28*10^6</f>
        <v>1280000</v>
      </c>
      <c r="R184" s="182"/>
      <c r="S184" s="197"/>
      <c r="T184" s="182"/>
      <c r="U184" s="182"/>
      <c r="V184" s="182"/>
      <c r="W184" s="182"/>
      <c r="X184" s="182"/>
      <c r="Y184" s="182"/>
      <c r="Z184" s="182"/>
      <c r="AA184" s="399">
        <v>5858.75438360632</v>
      </c>
      <c r="AB184" s="372"/>
      <c r="AC184" s="372"/>
      <c r="AD184" s="372" t="str">
        <f t="shared" si="26"/>
        <v>Industry</v>
      </c>
      <c r="AE184" s="372" t="s">
        <v>975</v>
      </c>
      <c r="AF184" s="372"/>
      <c r="AG184" s="372"/>
    </row>
    <row r="185" ht="12.75" spans="1:33">
      <c r="A185" s="356" t="s">
        <v>976</v>
      </c>
      <c r="B185" s="215" t="s">
        <v>51</v>
      </c>
      <c r="C185" s="215" t="s">
        <v>977</v>
      </c>
      <c r="D185" s="215" t="s">
        <v>299</v>
      </c>
      <c r="E185" s="215" t="s">
        <v>35</v>
      </c>
      <c r="F185" s="215" t="s">
        <v>978</v>
      </c>
      <c r="G185" s="361">
        <v>43384</v>
      </c>
      <c r="H185" s="360">
        <f t="shared" ref="H185:H207" si="27">IF(INT(RIGHT(G185,4))&lt;1,"",INT(RIGHT(G185,4)))</f>
        <v>3384</v>
      </c>
      <c r="I185" s="356" t="s">
        <v>979</v>
      </c>
      <c r="J185" s="375" t="s">
        <v>980</v>
      </c>
      <c r="K185" s="379">
        <v>23776</v>
      </c>
      <c r="L185" s="184" t="s">
        <v>454</v>
      </c>
      <c r="M185" s="199" t="str">
        <f t="shared" si="9"/>
        <v>Yes</v>
      </c>
      <c r="N185" s="199">
        <v>340000000</v>
      </c>
      <c r="O185" s="199">
        <v>2.85e+20</v>
      </c>
      <c r="P185" s="380"/>
      <c r="Q185" s="391">
        <v>3300000000</v>
      </c>
      <c r="R185" s="184"/>
      <c r="S185" s="199">
        <v>79000000000</v>
      </c>
      <c r="T185" s="184"/>
      <c r="U185" s="184"/>
      <c r="V185" s="184"/>
      <c r="W185" s="184"/>
      <c r="X185" s="184"/>
      <c r="Y185" s="184"/>
      <c r="Z185" s="184"/>
      <c r="AA185" s="396">
        <v>999.934574249643</v>
      </c>
      <c r="AB185" s="376" t="s">
        <v>39</v>
      </c>
      <c r="AC185" s="376"/>
      <c r="AD185" s="376" t="str">
        <f t="shared" si="26"/>
        <v>Industry</v>
      </c>
      <c r="AE185" s="376" t="s">
        <v>981</v>
      </c>
      <c r="AF185" s="376"/>
      <c r="AG185" s="376"/>
    </row>
    <row r="186" ht="12.75" spans="1:33">
      <c r="A186" s="353" t="s">
        <v>982</v>
      </c>
      <c r="B186" s="192" t="s">
        <v>256</v>
      </c>
      <c r="C186" s="192" t="s">
        <v>690</v>
      </c>
      <c r="D186" s="192" t="s">
        <v>71</v>
      </c>
      <c r="E186" s="192" t="s">
        <v>35</v>
      </c>
      <c r="F186" s="371" t="s">
        <v>983</v>
      </c>
      <c r="G186" s="367">
        <v>43136</v>
      </c>
      <c r="H186" s="363">
        <f t="shared" si="27"/>
        <v>3136</v>
      </c>
      <c r="I186" s="353" t="s">
        <v>984</v>
      </c>
      <c r="J186" s="371" t="s">
        <v>985</v>
      </c>
      <c r="K186" s="236">
        <v>675</v>
      </c>
      <c r="L186" s="182"/>
      <c r="M186" s="197" t="str">
        <f t="shared" si="9"/>
        <v>No</v>
      </c>
      <c r="N186" s="197">
        <v>1600000</v>
      </c>
      <c r="O186" s="197">
        <v>1.68e+20</v>
      </c>
      <c r="P186" s="385"/>
      <c r="Q186" s="197">
        <v>240000000000</v>
      </c>
      <c r="R186" s="204"/>
      <c r="S186" s="197"/>
      <c r="T186" s="206"/>
      <c r="U186" s="206"/>
      <c r="V186" s="182"/>
      <c r="W186" s="182"/>
      <c r="X186" s="182"/>
      <c r="Y186" s="182"/>
      <c r="Z186" s="182"/>
      <c r="AA186" s="399">
        <v>2553.81601336686</v>
      </c>
      <c r="AB186" s="372" t="s">
        <v>39</v>
      </c>
      <c r="AC186" s="372"/>
      <c r="AD186" s="372" t="str">
        <f t="shared" si="26"/>
        <v>Industry</v>
      </c>
      <c r="AE186" s="372" t="s">
        <v>986</v>
      </c>
      <c r="AF186" s="372"/>
      <c r="AG186" s="372"/>
    </row>
    <row r="187" ht="12.75" spans="1:33">
      <c r="A187" s="356" t="s">
        <v>987</v>
      </c>
      <c r="B187" s="215" t="s">
        <v>41</v>
      </c>
      <c r="C187" s="215" t="s">
        <v>724</v>
      </c>
      <c r="D187" s="215" t="s">
        <v>898</v>
      </c>
      <c r="E187" s="215" t="s">
        <v>134</v>
      </c>
      <c r="F187" s="215" t="s">
        <v>988</v>
      </c>
      <c r="G187" s="361">
        <v>43198</v>
      </c>
      <c r="H187" s="360">
        <f t="shared" si="27"/>
        <v>3198</v>
      </c>
      <c r="I187" s="356" t="s">
        <v>989</v>
      </c>
      <c r="J187" s="375" t="s">
        <v>990</v>
      </c>
      <c r="K187" s="379">
        <v>7710</v>
      </c>
      <c r="L187" s="184" t="s">
        <v>454</v>
      </c>
      <c r="M187" s="199" t="str">
        <f t="shared" si="9"/>
        <v>Yes</v>
      </c>
      <c r="N187" s="199">
        <f>32*3*3*3+64*3*3*32+32*1*1*64+64*3*3*32+128*3*3*64+2*(64*1*1*128+128*3*3*64)+256*3*3*128+8*(128*1*1*256+256*3*3*128)+512*3*3*256+8*(256*1*1*512+512*3*3*256)+1024*3*3*512+4*(512*1*1*1024+1024*3*3*512)+8*8*1024*1000</f>
        <v>106085216</v>
      </c>
      <c r="O187" s="199">
        <f>S187*3.5*160*Q187</f>
        <v>5.093919992e+19</v>
      </c>
      <c r="P187" s="380" t="s">
        <v>184</v>
      </c>
      <c r="Q187" s="199">
        <v>1281167</v>
      </c>
      <c r="R187" s="184"/>
      <c r="S187" s="199">
        <v>71000000000</v>
      </c>
      <c r="T187" s="184"/>
      <c r="U187" s="184"/>
      <c r="V187" s="184"/>
      <c r="W187" s="184"/>
      <c r="X187" s="184"/>
      <c r="Y187" s="184"/>
      <c r="Z187" s="184"/>
      <c r="AA187" s="396">
        <v>295.757786928036</v>
      </c>
      <c r="AB187" s="376"/>
      <c r="AC187" s="376"/>
      <c r="AD187" s="376" t="str">
        <f t="shared" si="26"/>
        <v>Academia</v>
      </c>
      <c r="AE187" s="376" t="s">
        <v>991</v>
      </c>
      <c r="AF187" s="376"/>
      <c r="AG187" s="376"/>
    </row>
    <row r="188" ht="12.75" spans="1:33">
      <c r="A188" s="353" t="s">
        <v>992</v>
      </c>
      <c r="B188" s="192" t="s">
        <v>256</v>
      </c>
      <c r="C188" s="192" t="s">
        <v>785</v>
      </c>
      <c r="D188" s="192" t="s">
        <v>71</v>
      </c>
      <c r="E188" s="192" t="s">
        <v>35</v>
      </c>
      <c r="F188" s="192" t="s">
        <v>993</v>
      </c>
      <c r="G188" s="367">
        <v>43284</v>
      </c>
      <c r="H188" s="363">
        <f t="shared" si="27"/>
        <v>3284</v>
      </c>
      <c r="I188" s="353" t="s">
        <v>994</v>
      </c>
      <c r="J188" s="371" t="s">
        <v>995</v>
      </c>
      <c r="K188" s="236">
        <v>434</v>
      </c>
      <c r="L188" s="182"/>
      <c r="M188" s="197" t="str">
        <f t="shared" si="9"/>
        <v>No</v>
      </c>
      <c r="N188" s="197">
        <f>122000000</f>
        <v>122000000</v>
      </c>
      <c r="O188" s="197">
        <v>3.49e+19</v>
      </c>
      <c r="P188" s="385"/>
      <c r="Q188" s="197"/>
      <c r="R188" s="182"/>
      <c r="S188" s="197">
        <v>60000000000</v>
      </c>
      <c r="T188" s="206"/>
      <c r="U188" s="206"/>
      <c r="V188" s="182"/>
      <c r="W188" s="182"/>
      <c r="X188" s="182"/>
      <c r="Y188" s="182"/>
      <c r="Z188" s="182"/>
      <c r="AA188" s="399">
        <v>130.362699519232</v>
      </c>
      <c r="AB188" s="372" t="s">
        <v>39</v>
      </c>
      <c r="AC188" s="372"/>
      <c r="AD188" s="372" t="str">
        <f t="shared" si="26"/>
        <v>Industry</v>
      </c>
      <c r="AE188" s="372" t="s">
        <v>996</v>
      </c>
      <c r="AF188" s="372"/>
      <c r="AG188" s="372"/>
    </row>
    <row r="189" ht="12.75" spans="1:33">
      <c r="A189" s="356" t="s">
        <v>997</v>
      </c>
      <c r="B189" s="215" t="s">
        <v>51</v>
      </c>
      <c r="C189" s="215"/>
      <c r="D189" s="215" t="s">
        <v>34</v>
      </c>
      <c r="E189" s="215" t="s">
        <v>35</v>
      </c>
      <c r="F189" s="215" t="s">
        <v>998</v>
      </c>
      <c r="G189" s="361">
        <v>43252</v>
      </c>
      <c r="H189" s="360">
        <f t="shared" si="27"/>
        <v>3252</v>
      </c>
      <c r="I189" s="356" t="s">
        <v>999</v>
      </c>
      <c r="J189" s="375" t="s">
        <v>1000</v>
      </c>
      <c r="K189" s="379">
        <v>2261</v>
      </c>
      <c r="L189" s="184" t="s">
        <v>454</v>
      </c>
      <c r="M189" s="199" t="str">
        <f t="shared" si="9"/>
        <v>Yes</v>
      </c>
      <c r="N189" s="199">
        <v>117000000</v>
      </c>
      <c r="O189" s="199">
        <f>30000000000/512*3*100*Q189</f>
        <v>1.7578125e+19</v>
      </c>
      <c r="P189" s="380" t="s">
        <v>1001</v>
      </c>
      <c r="Q189" s="199">
        <f>1000000000</f>
        <v>1000000000</v>
      </c>
      <c r="R189" s="184"/>
      <c r="S189" s="199">
        <v>30000000000</v>
      </c>
      <c r="T189" s="205"/>
      <c r="U189" s="205"/>
      <c r="V189" s="184"/>
      <c r="W189" s="184"/>
      <c r="X189" s="184"/>
      <c r="Y189" s="184"/>
      <c r="Z189" s="184"/>
      <c r="AA189" s="396">
        <v>68.7197473734963</v>
      </c>
      <c r="AB189" s="376" t="s">
        <v>39</v>
      </c>
      <c r="AC189" s="376"/>
      <c r="AD189" s="376" t="str">
        <f t="shared" si="26"/>
        <v>Industry</v>
      </c>
      <c r="AE189" s="376" t="s">
        <v>1002</v>
      </c>
      <c r="AF189" s="376"/>
      <c r="AG189" s="376"/>
    </row>
    <row r="190" ht="12.75" spans="1:33">
      <c r="A190" s="353" t="s">
        <v>1003</v>
      </c>
      <c r="B190" s="192" t="s">
        <v>41</v>
      </c>
      <c r="C190" s="192" t="s">
        <v>1004</v>
      </c>
      <c r="D190" s="192" t="s">
        <v>1005</v>
      </c>
      <c r="E190" s="192" t="s">
        <v>134</v>
      </c>
      <c r="F190" s="192" t="s">
        <v>1006</v>
      </c>
      <c r="G190" s="367">
        <v>43109</v>
      </c>
      <c r="H190" s="363">
        <f t="shared" si="27"/>
        <v>3109</v>
      </c>
      <c r="I190" s="353" t="s">
        <v>1007</v>
      </c>
      <c r="J190" s="371" t="s">
        <v>1008</v>
      </c>
      <c r="K190" s="238">
        <v>1236</v>
      </c>
      <c r="L190" s="182" t="s">
        <v>454</v>
      </c>
      <c r="M190" s="197" t="str">
        <f t="shared" si="9"/>
        <v>Yes</v>
      </c>
      <c r="N190" s="197"/>
      <c r="O190" s="197"/>
      <c r="P190" s="374"/>
      <c r="Q190" s="197"/>
      <c r="R190" s="182"/>
      <c r="S190" s="197"/>
      <c r="T190" s="182"/>
      <c r="U190" s="182"/>
      <c r="V190" s="182"/>
      <c r="W190" s="182"/>
      <c r="X190" s="182"/>
      <c r="Y190" s="182"/>
      <c r="Z190" s="182"/>
      <c r="AA190" s="399" t="s">
        <v>49</v>
      </c>
      <c r="AB190" s="372"/>
      <c r="AC190" s="372"/>
      <c r="AD190" s="372" t="str">
        <f t="shared" si="26"/>
        <v>Academia</v>
      </c>
      <c r="AE190" s="372"/>
      <c r="AF190" s="372"/>
      <c r="AG190" s="372"/>
    </row>
    <row r="191" ht="12.75" spans="1:33">
      <c r="A191" s="356" t="s">
        <v>1009</v>
      </c>
      <c r="B191" s="215" t="s">
        <v>51</v>
      </c>
      <c r="C191" s="215" t="s">
        <v>1010</v>
      </c>
      <c r="D191" s="215" t="s">
        <v>1011</v>
      </c>
      <c r="E191" s="215" t="s">
        <v>327</v>
      </c>
      <c r="F191" s="215" t="s">
        <v>1012</v>
      </c>
      <c r="G191" s="361">
        <v>43118</v>
      </c>
      <c r="H191" s="360">
        <f t="shared" si="27"/>
        <v>3118</v>
      </c>
      <c r="I191" s="356" t="s">
        <v>1013</v>
      </c>
      <c r="J191" s="375" t="s">
        <v>1014</v>
      </c>
      <c r="K191" s="379">
        <v>1940</v>
      </c>
      <c r="L191" s="184" t="s">
        <v>454</v>
      </c>
      <c r="M191" s="199" t="str">
        <f t="shared" si="9"/>
        <v>Yes</v>
      </c>
      <c r="N191" s="199"/>
      <c r="O191" s="199"/>
      <c r="P191" s="378"/>
      <c r="Q191" s="199"/>
      <c r="R191" s="184"/>
      <c r="S191" s="199"/>
      <c r="T191" s="184"/>
      <c r="U191" s="184"/>
      <c r="V191" s="184"/>
      <c r="W191" s="184"/>
      <c r="X191" s="184"/>
      <c r="Y191" s="184"/>
      <c r="Z191" s="184"/>
      <c r="AA191" s="396" t="s">
        <v>49</v>
      </c>
      <c r="AB191" s="376"/>
      <c r="AC191" s="376" t="s">
        <v>1015</v>
      </c>
      <c r="AD191" s="376" t="str">
        <f t="shared" si="26"/>
        <v>Industry</v>
      </c>
      <c r="AE191" s="376"/>
      <c r="AF191" s="376"/>
      <c r="AG191" s="376"/>
    </row>
    <row r="192" ht="12.75" spans="1:33">
      <c r="A192" s="353" t="s">
        <v>1016</v>
      </c>
      <c r="B192" s="192" t="s">
        <v>51</v>
      </c>
      <c r="C192" s="359"/>
      <c r="D192" s="192" t="s">
        <v>1017</v>
      </c>
      <c r="E192" s="192" t="s">
        <v>35</v>
      </c>
      <c r="F192" s="192" t="s">
        <v>1018</v>
      </c>
      <c r="G192" s="367">
        <v>43132</v>
      </c>
      <c r="H192" s="363">
        <f t="shared" si="27"/>
        <v>3132</v>
      </c>
      <c r="I192" s="353" t="s">
        <v>1019</v>
      </c>
      <c r="J192" s="371" t="s">
        <v>1020</v>
      </c>
      <c r="K192" s="236">
        <v>7477</v>
      </c>
      <c r="L192" s="182" t="s">
        <v>454</v>
      </c>
      <c r="M192" s="197" t="str">
        <f t="shared" si="9"/>
        <v>Yes</v>
      </c>
      <c r="N192" s="197">
        <v>94000000</v>
      </c>
      <c r="O192" s="197"/>
      <c r="P192" s="385"/>
      <c r="Q192" s="197"/>
      <c r="R192" s="182"/>
      <c r="S192" s="197">
        <v>26000000000</v>
      </c>
      <c r="T192" s="206"/>
      <c r="U192" s="206"/>
      <c r="V192" s="182"/>
      <c r="W192" s="182"/>
      <c r="X192" s="182"/>
      <c r="Y192" s="182"/>
      <c r="Z192" s="182"/>
      <c r="AA192" s="399" t="s">
        <v>49</v>
      </c>
      <c r="AB192" s="372" t="s">
        <v>39</v>
      </c>
      <c r="AC192" s="372"/>
      <c r="AD192" s="372" t="str">
        <f t="shared" si="26"/>
        <v>Industry</v>
      </c>
      <c r="AE192" s="372"/>
      <c r="AF192" s="372"/>
      <c r="AG192" s="372"/>
    </row>
    <row r="193" ht="12.75" spans="1:33">
      <c r="A193" s="356" t="s">
        <v>1021</v>
      </c>
      <c r="B193" s="215" t="s">
        <v>41</v>
      </c>
      <c r="C193" s="215" t="s">
        <v>176</v>
      </c>
      <c r="D193" s="215" t="s">
        <v>262</v>
      </c>
      <c r="E193" s="215" t="s">
        <v>35</v>
      </c>
      <c r="F193" s="215" t="s">
        <v>1022</v>
      </c>
      <c r="G193" s="361">
        <v>43136</v>
      </c>
      <c r="H193" s="360">
        <f t="shared" si="27"/>
        <v>3136</v>
      </c>
      <c r="I193" s="356" t="s">
        <v>973</v>
      </c>
      <c r="J193" s="375" t="s">
        <v>974</v>
      </c>
      <c r="K193" s="379">
        <v>1425</v>
      </c>
      <c r="L193" s="184" t="s">
        <v>454</v>
      </c>
      <c r="M193" s="199" t="str">
        <f t="shared" si="9"/>
        <v>Yes</v>
      </c>
      <c r="N193" s="199">
        <v>87000000</v>
      </c>
      <c r="O193" s="199"/>
      <c r="P193" s="380"/>
      <c r="Q193" s="199"/>
      <c r="R193" s="205"/>
      <c r="S193" s="199"/>
      <c r="T193" s="207"/>
      <c r="U193" s="207"/>
      <c r="V193" s="184"/>
      <c r="W193" s="184"/>
      <c r="X193" s="184"/>
      <c r="Y193" s="184"/>
      <c r="Z193" s="184"/>
      <c r="AA193" s="396" t="s">
        <v>49</v>
      </c>
      <c r="AB193" s="376"/>
      <c r="AC193" s="376"/>
      <c r="AD193" s="376" t="str">
        <f t="shared" si="26"/>
        <v>Industry</v>
      </c>
      <c r="AE193" s="376"/>
      <c r="AF193" s="376"/>
      <c r="AG193" s="376"/>
    </row>
    <row r="194" ht="12.75" spans="1:33">
      <c r="A194" s="353" t="s">
        <v>1023</v>
      </c>
      <c r="B194" s="192" t="s">
        <v>41</v>
      </c>
      <c r="C194" s="192" t="s">
        <v>878</v>
      </c>
      <c r="D194" s="192" t="s">
        <v>1024</v>
      </c>
      <c r="E194" s="192" t="s">
        <v>35</v>
      </c>
      <c r="F194" s="192" t="s">
        <v>1025</v>
      </c>
      <c r="G194" s="367">
        <v>43138</v>
      </c>
      <c r="H194" s="363">
        <f t="shared" si="27"/>
        <v>3138</v>
      </c>
      <c r="I194" s="353" t="s">
        <v>1026</v>
      </c>
      <c r="J194" s="371" t="s">
        <v>1027</v>
      </c>
      <c r="K194" s="238">
        <v>5369</v>
      </c>
      <c r="L194" s="182" t="s">
        <v>454</v>
      </c>
      <c r="M194" s="197" t="str">
        <f t="shared" si="9"/>
        <v>Yes</v>
      </c>
      <c r="N194" s="197"/>
      <c r="O194" s="197"/>
      <c r="P194" s="385"/>
      <c r="Q194" s="197"/>
      <c r="R194" s="204"/>
      <c r="S194" s="197"/>
      <c r="T194" s="206"/>
      <c r="U194" s="206"/>
      <c r="V194" s="182"/>
      <c r="W194" s="182"/>
      <c r="X194" s="182"/>
      <c r="Y194" s="182"/>
      <c r="Z194" s="182"/>
      <c r="AA194" s="399" t="s">
        <v>49</v>
      </c>
      <c r="AB194" s="372"/>
      <c r="AC194" s="372"/>
      <c r="AD194" s="372" t="str">
        <f t="shared" si="26"/>
        <v>Industry</v>
      </c>
      <c r="AE194" s="372"/>
      <c r="AF194" s="372"/>
      <c r="AG194" s="372"/>
    </row>
    <row r="195" ht="12.75" spans="1:33">
      <c r="A195" s="356"/>
      <c r="B195" s="215" t="s">
        <v>41</v>
      </c>
      <c r="C195" s="215" t="s">
        <v>964</v>
      </c>
      <c r="D195" s="215" t="s">
        <v>1028</v>
      </c>
      <c r="E195" s="215" t="s">
        <v>327</v>
      </c>
      <c r="F195" s="215" t="s">
        <v>1029</v>
      </c>
      <c r="G195" s="361">
        <v>43147</v>
      </c>
      <c r="H195" s="360">
        <f t="shared" si="27"/>
        <v>3147</v>
      </c>
      <c r="I195" s="356" t="s">
        <v>1030</v>
      </c>
      <c r="J195" s="375" t="s">
        <v>1031</v>
      </c>
      <c r="K195" s="384">
        <v>2738</v>
      </c>
      <c r="L195" s="184" t="s">
        <v>454</v>
      </c>
      <c r="M195" s="199" t="str">
        <f t="shared" si="9"/>
        <v>Yes</v>
      </c>
      <c r="N195" s="199"/>
      <c r="O195" s="199"/>
      <c r="P195" s="380"/>
      <c r="Q195" s="199"/>
      <c r="R195" s="205"/>
      <c r="S195" s="199"/>
      <c r="T195" s="207"/>
      <c r="U195" s="207"/>
      <c r="V195" s="184"/>
      <c r="W195" s="184"/>
      <c r="X195" s="205"/>
      <c r="Y195" s="205"/>
      <c r="Z195" s="205"/>
      <c r="AA195" s="395" t="s">
        <v>49</v>
      </c>
      <c r="AB195" s="376"/>
      <c r="AC195" s="376"/>
      <c r="AD195" s="376" t="str">
        <f t="shared" si="26"/>
        <v>Industry</v>
      </c>
      <c r="AE195" s="376"/>
      <c r="AF195" s="376"/>
      <c r="AG195" s="376"/>
    </row>
    <row r="196" ht="12.75" spans="1:33">
      <c r="A196" s="353"/>
      <c r="B196" s="192" t="s">
        <v>41</v>
      </c>
      <c r="C196" s="192" t="s">
        <v>1032</v>
      </c>
      <c r="D196" s="192" t="s">
        <v>1033</v>
      </c>
      <c r="E196" s="192" t="s">
        <v>134</v>
      </c>
      <c r="F196" s="192" t="s">
        <v>1034</v>
      </c>
      <c r="G196" s="367">
        <v>43155</v>
      </c>
      <c r="H196" s="363">
        <f t="shared" si="27"/>
        <v>3155</v>
      </c>
      <c r="I196" s="353" t="s">
        <v>1035</v>
      </c>
      <c r="J196" s="371" t="s">
        <v>1036</v>
      </c>
      <c r="K196" s="238">
        <v>1779</v>
      </c>
      <c r="L196" s="182" t="s">
        <v>454</v>
      </c>
      <c r="M196" s="197" t="str">
        <f t="shared" si="9"/>
        <v>Yes</v>
      </c>
      <c r="N196" s="197"/>
      <c r="O196" s="197"/>
      <c r="P196" s="385"/>
      <c r="Q196" s="197"/>
      <c r="R196" s="204"/>
      <c r="S196" s="197"/>
      <c r="T196" s="206"/>
      <c r="U196" s="206"/>
      <c r="V196" s="182"/>
      <c r="W196" s="182"/>
      <c r="X196" s="182"/>
      <c r="Y196" s="182"/>
      <c r="Z196" s="182"/>
      <c r="AA196" s="399" t="s">
        <v>49</v>
      </c>
      <c r="AB196" s="372"/>
      <c r="AC196" s="372"/>
      <c r="AD196" s="372" t="str">
        <f t="shared" si="26"/>
        <v>Academia</v>
      </c>
      <c r="AE196" s="372"/>
      <c r="AF196" s="372"/>
      <c r="AG196" s="372"/>
    </row>
    <row r="197" ht="12.75" spans="1:33">
      <c r="A197" s="356" t="s">
        <v>1037</v>
      </c>
      <c r="B197" s="215" t="s">
        <v>51</v>
      </c>
      <c r="C197" s="215" t="s">
        <v>144</v>
      </c>
      <c r="D197" s="215" t="s">
        <v>393</v>
      </c>
      <c r="E197" s="215" t="s">
        <v>35</v>
      </c>
      <c r="F197" s="215" t="s">
        <v>1038</v>
      </c>
      <c r="G197" s="361">
        <v>43160</v>
      </c>
      <c r="H197" s="360">
        <f t="shared" si="27"/>
        <v>3160</v>
      </c>
      <c r="I197" s="356" t="s">
        <v>1039</v>
      </c>
      <c r="J197" s="375" t="s">
        <v>1040</v>
      </c>
      <c r="K197" s="384">
        <v>530</v>
      </c>
      <c r="L197" s="184"/>
      <c r="M197" s="199" t="str">
        <f t="shared" si="9"/>
        <v>No</v>
      </c>
      <c r="N197" s="199"/>
      <c r="O197" s="203"/>
      <c r="P197" s="409"/>
      <c r="Q197" s="199"/>
      <c r="R197" s="184"/>
      <c r="S197" s="199"/>
      <c r="T197" s="184"/>
      <c r="U197" s="184"/>
      <c r="V197" s="184"/>
      <c r="W197" s="184"/>
      <c r="X197" s="184"/>
      <c r="Y197" s="184"/>
      <c r="Z197" s="184"/>
      <c r="AA197" s="396" t="s">
        <v>49</v>
      </c>
      <c r="AB197" s="376" t="s">
        <v>39</v>
      </c>
      <c r="AC197" s="376"/>
      <c r="AD197" s="376" t="str">
        <f t="shared" si="26"/>
        <v>Industry</v>
      </c>
      <c r="AE197" s="376"/>
      <c r="AF197" s="376"/>
      <c r="AG197" s="376"/>
    </row>
    <row r="198" ht="12.75" spans="1:33">
      <c r="A198" s="353" t="s">
        <v>1041</v>
      </c>
      <c r="B198" s="192" t="s">
        <v>77</v>
      </c>
      <c r="C198" s="192" t="s">
        <v>579</v>
      </c>
      <c r="D198" s="192" t="s">
        <v>1042</v>
      </c>
      <c r="E198" s="192" t="s">
        <v>134</v>
      </c>
      <c r="F198" s="192" t="s">
        <v>924</v>
      </c>
      <c r="G198" s="367">
        <v>43180</v>
      </c>
      <c r="H198" s="363">
        <f t="shared" si="27"/>
        <v>3180</v>
      </c>
      <c r="I198" s="353" t="s">
        <v>1043</v>
      </c>
      <c r="J198" s="371" t="s">
        <v>1044</v>
      </c>
      <c r="K198" s="236">
        <v>1157</v>
      </c>
      <c r="L198" s="182" t="s">
        <v>454</v>
      </c>
      <c r="M198" s="197" t="str">
        <f t="shared" si="9"/>
        <v>Yes</v>
      </c>
      <c r="N198" s="197">
        <v>86000000</v>
      </c>
      <c r="O198" s="410"/>
      <c r="P198" s="385"/>
      <c r="Q198" s="197"/>
      <c r="R198" s="182"/>
      <c r="S198" s="197"/>
      <c r="T198" s="182"/>
      <c r="U198" s="182"/>
      <c r="V198" s="182"/>
      <c r="W198" s="182"/>
      <c r="X198" s="182"/>
      <c r="Y198" s="182"/>
      <c r="Z198" s="182"/>
      <c r="AA198" s="399" t="s">
        <v>49</v>
      </c>
      <c r="AB198" s="372"/>
      <c r="AC198" s="372"/>
      <c r="AD198" s="372" t="str">
        <f t="shared" si="26"/>
        <v>Academia</v>
      </c>
      <c r="AE198" s="372"/>
      <c r="AF198" s="372"/>
      <c r="AG198" s="372"/>
    </row>
    <row r="199" ht="12.75" spans="1:33">
      <c r="A199" s="356" t="s">
        <v>1045</v>
      </c>
      <c r="B199" s="215" t="s">
        <v>41</v>
      </c>
      <c r="C199" s="215" t="s">
        <v>176</v>
      </c>
      <c r="D199" s="215" t="s">
        <v>435</v>
      </c>
      <c r="E199" s="215" t="s">
        <v>35</v>
      </c>
      <c r="F199" s="215" t="s">
        <v>1046</v>
      </c>
      <c r="G199" s="361">
        <v>43222</v>
      </c>
      <c r="H199" s="360">
        <f t="shared" si="27"/>
        <v>3222</v>
      </c>
      <c r="I199" s="356" t="s">
        <v>1047</v>
      </c>
      <c r="J199" s="375" t="s">
        <v>1048</v>
      </c>
      <c r="K199" s="379">
        <v>619</v>
      </c>
      <c r="L199" s="184"/>
      <c r="M199" s="199" t="str">
        <f t="shared" si="9"/>
        <v>No</v>
      </c>
      <c r="N199" s="199">
        <f>829000000</f>
        <v>829000000</v>
      </c>
      <c r="O199" s="203"/>
      <c r="P199" s="380"/>
      <c r="Q199" s="199"/>
      <c r="R199" s="184"/>
      <c r="S199" s="199">
        <f>15.6*1000000000*2</f>
        <v>31200000000</v>
      </c>
      <c r="T199" s="205"/>
      <c r="U199" s="205"/>
      <c r="V199" s="184"/>
      <c r="W199" s="184"/>
      <c r="X199" s="184"/>
      <c r="Y199" s="184"/>
      <c r="Z199" s="184"/>
      <c r="AA199" s="396" t="s">
        <v>49</v>
      </c>
      <c r="AB199" s="376"/>
      <c r="AC199" s="376"/>
      <c r="AD199" s="376" t="str">
        <f t="shared" si="26"/>
        <v>Industry</v>
      </c>
      <c r="AE199" s="376"/>
      <c r="AF199" s="376"/>
      <c r="AG199" s="376"/>
    </row>
    <row r="200" ht="12.75" spans="1:33">
      <c r="A200" s="353" t="s">
        <v>1049</v>
      </c>
      <c r="B200" s="192" t="s">
        <v>41</v>
      </c>
      <c r="C200" s="192"/>
      <c r="D200" s="192" t="s">
        <v>1024</v>
      </c>
      <c r="E200" s="192" t="s">
        <v>35</v>
      </c>
      <c r="F200" s="192" t="s">
        <v>1050</v>
      </c>
      <c r="G200" s="367">
        <v>43269</v>
      </c>
      <c r="H200" s="363">
        <f t="shared" si="27"/>
        <v>3269</v>
      </c>
      <c r="I200" s="353" t="s">
        <v>1051</v>
      </c>
      <c r="J200" s="371" t="s">
        <v>1052</v>
      </c>
      <c r="K200" s="236">
        <v>5710</v>
      </c>
      <c r="L200" s="182" t="s">
        <v>454</v>
      </c>
      <c r="M200" s="197" t="str">
        <f t="shared" si="9"/>
        <v>Yes</v>
      </c>
      <c r="N200" s="197">
        <v>3400000</v>
      </c>
      <c r="O200" s="200"/>
      <c r="P200" s="385"/>
      <c r="Q200" s="197"/>
      <c r="R200" s="182"/>
      <c r="S200" s="197">
        <f>0.3*1000000000*2</f>
        <v>600000000</v>
      </c>
      <c r="T200" s="182"/>
      <c r="U200" s="182"/>
      <c r="V200" s="182"/>
      <c r="W200" s="182"/>
      <c r="X200" s="182"/>
      <c r="Y200" s="182"/>
      <c r="Z200" s="182"/>
      <c r="AA200" s="399" t="s">
        <v>49</v>
      </c>
      <c r="AB200" s="372"/>
      <c r="AC200" s="372"/>
      <c r="AD200" s="372" t="str">
        <f t="shared" si="26"/>
        <v>Industry</v>
      </c>
      <c r="AE200" s="372"/>
      <c r="AF200" s="372"/>
      <c r="AG200" s="372"/>
    </row>
    <row r="201" ht="12.75" spans="1:33">
      <c r="A201" s="356" t="s">
        <v>1053</v>
      </c>
      <c r="B201" s="215" t="s">
        <v>41</v>
      </c>
      <c r="C201" s="215"/>
      <c r="D201" s="215" t="s">
        <v>1054</v>
      </c>
      <c r="E201" s="215" t="s">
        <v>327</v>
      </c>
      <c r="F201" s="215" t="s">
        <v>1055</v>
      </c>
      <c r="G201" s="361">
        <v>43281</v>
      </c>
      <c r="H201" s="360">
        <f t="shared" si="27"/>
        <v>3281</v>
      </c>
      <c r="I201" s="356" t="s">
        <v>1056</v>
      </c>
      <c r="J201" s="375" t="s">
        <v>1057</v>
      </c>
      <c r="K201" s="379">
        <v>1406</v>
      </c>
      <c r="L201" s="184" t="s">
        <v>454</v>
      </c>
      <c r="M201" s="199" t="str">
        <f t="shared" si="9"/>
        <v>Yes</v>
      </c>
      <c r="N201" s="199">
        <v>2280000</v>
      </c>
      <c r="O201" s="203"/>
      <c r="P201" s="380"/>
      <c r="Q201" s="199"/>
      <c r="R201" s="184"/>
      <c r="S201" s="199">
        <f>0.15*1000000000*2</f>
        <v>300000000</v>
      </c>
      <c r="T201" s="207"/>
      <c r="U201" s="207"/>
      <c r="V201" s="184"/>
      <c r="W201" s="184"/>
      <c r="X201" s="184"/>
      <c r="Y201" s="184"/>
      <c r="Z201" s="184"/>
      <c r="AA201" s="396" t="s">
        <v>49</v>
      </c>
      <c r="AB201" s="376"/>
      <c r="AC201" s="376"/>
      <c r="AD201" s="376" t="str">
        <f t="shared" si="26"/>
        <v>Industry</v>
      </c>
      <c r="AE201" s="376"/>
      <c r="AF201" s="376"/>
      <c r="AG201" s="376"/>
    </row>
    <row r="202" ht="12.75" spans="1:33">
      <c r="A202" s="353"/>
      <c r="B202" s="192" t="s">
        <v>41</v>
      </c>
      <c r="C202" s="192" t="s">
        <v>1032</v>
      </c>
      <c r="D202" s="192" t="s">
        <v>1058</v>
      </c>
      <c r="E202" s="192" t="s">
        <v>134</v>
      </c>
      <c r="F202" s="192" t="s">
        <v>1059</v>
      </c>
      <c r="G202" s="367">
        <v>43289</v>
      </c>
      <c r="H202" s="363">
        <f t="shared" si="27"/>
        <v>3289</v>
      </c>
      <c r="I202" s="353" t="s">
        <v>1060</v>
      </c>
      <c r="J202" s="371" t="s">
        <v>1061</v>
      </c>
      <c r="K202" s="238">
        <v>1797</v>
      </c>
      <c r="L202" s="182" t="s">
        <v>454</v>
      </c>
      <c r="M202" s="197" t="str">
        <f t="shared" si="9"/>
        <v>Yes</v>
      </c>
      <c r="N202" s="197"/>
      <c r="O202" s="197"/>
      <c r="P202" s="385"/>
      <c r="Q202" s="197"/>
      <c r="R202" s="182"/>
      <c r="S202" s="197"/>
      <c r="T202" s="206"/>
      <c r="U202" s="206"/>
      <c r="V202" s="182"/>
      <c r="W202" s="182"/>
      <c r="X202" s="182"/>
      <c r="Y202" s="182"/>
      <c r="Z202" s="182"/>
      <c r="AA202" s="399" t="s">
        <v>49</v>
      </c>
      <c r="AB202" s="372"/>
      <c r="AC202" s="372"/>
      <c r="AD202" s="372" t="str">
        <f t="shared" si="26"/>
        <v>Academia</v>
      </c>
      <c r="AE202" s="372"/>
      <c r="AF202" s="372"/>
      <c r="AG202" s="372"/>
    </row>
    <row r="203" ht="13.5" customHeight="1" spans="1:33">
      <c r="A203" s="356" t="s">
        <v>1062</v>
      </c>
      <c r="B203" s="215" t="s">
        <v>41</v>
      </c>
      <c r="C203" s="215" t="s">
        <v>1032</v>
      </c>
      <c r="D203" s="215" t="s">
        <v>1063</v>
      </c>
      <c r="E203" s="215" t="s">
        <v>134</v>
      </c>
      <c r="F203" s="215" t="s">
        <v>1064</v>
      </c>
      <c r="G203" s="361">
        <v>43344</v>
      </c>
      <c r="H203" s="360">
        <f t="shared" si="27"/>
        <v>3344</v>
      </c>
      <c r="I203" s="356" t="s">
        <v>1065</v>
      </c>
      <c r="J203" s="375" t="s">
        <v>1066</v>
      </c>
      <c r="K203" s="384">
        <v>1501</v>
      </c>
      <c r="L203" s="184" t="s">
        <v>454</v>
      </c>
      <c r="M203" s="199" t="str">
        <f t="shared" si="9"/>
        <v>Yes</v>
      </c>
      <c r="N203" s="199"/>
      <c r="O203" s="199"/>
      <c r="P203" s="380"/>
      <c r="Q203" s="199"/>
      <c r="R203" s="184"/>
      <c r="S203" s="199"/>
      <c r="T203" s="207"/>
      <c r="U203" s="207"/>
      <c r="V203" s="184"/>
      <c r="W203" s="184"/>
      <c r="X203" s="184"/>
      <c r="Y203" s="184"/>
      <c r="Z203" s="184"/>
      <c r="AA203" s="396" t="s">
        <v>49</v>
      </c>
      <c r="AB203" s="376"/>
      <c r="AC203" s="376"/>
      <c r="AD203" s="376" t="str">
        <f t="shared" si="26"/>
        <v>Academia</v>
      </c>
      <c r="AE203" s="376"/>
      <c r="AF203" s="376"/>
      <c r="AG203" s="376"/>
    </row>
    <row r="204" ht="12.75" spans="1:33">
      <c r="A204" s="353" t="s">
        <v>1067</v>
      </c>
      <c r="B204" s="192" t="s">
        <v>256</v>
      </c>
      <c r="C204" s="192"/>
      <c r="D204" s="192" t="s">
        <v>85</v>
      </c>
      <c r="E204" s="192" t="s">
        <v>35</v>
      </c>
      <c r="F204" s="192" t="s">
        <v>1068</v>
      </c>
      <c r="G204" s="367">
        <v>43384</v>
      </c>
      <c r="H204" s="363">
        <f t="shared" si="27"/>
        <v>3384</v>
      </c>
      <c r="I204" s="353" t="s">
        <v>1069</v>
      </c>
      <c r="J204" s="371" t="s">
        <v>1070</v>
      </c>
      <c r="K204" s="238">
        <v>19</v>
      </c>
      <c r="L204" s="182"/>
      <c r="M204" s="197" t="str">
        <f t="shared" si="9"/>
        <v>No</v>
      </c>
      <c r="N204" s="197">
        <v>22000000</v>
      </c>
      <c r="O204" s="197"/>
      <c r="P204" s="385"/>
      <c r="Q204" s="197"/>
      <c r="R204" s="182"/>
      <c r="S204" s="197"/>
      <c r="T204" s="182"/>
      <c r="U204" s="182"/>
      <c r="V204" s="182"/>
      <c r="W204" s="182"/>
      <c r="X204" s="182"/>
      <c r="Y204" s="182"/>
      <c r="Z204" s="182"/>
      <c r="AA204" s="399" t="s">
        <v>49</v>
      </c>
      <c r="AB204" s="372"/>
      <c r="AC204" s="372"/>
      <c r="AD204" s="372" t="str">
        <f t="shared" si="26"/>
        <v>Industry</v>
      </c>
      <c r="AE204" s="372"/>
      <c r="AF204" s="372"/>
      <c r="AG204" s="372"/>
    </row>
    <row r="205" ht="12.75" spans="1:33">
      <c r="A205" s="356" t="s">
        <v>1071</v>
      </c>
      <c r="B205" s="215" t="s">
        <v>41</v>
      </c>
      <c r="C205" s="215" t="s">
        <v>176</v>
      </c>
      <c r="D205" s="215" t="s">
        <v>85</v>
      </c>
      <c r="E205" s="215" t="s">
        <v>35</v>
      </c>
      <c r="F205" s="215" t="s">
        <v>1072</v>
      </c>
      <c r="G205" s="361">
        <v>43420</v>
      </c>
      <c r="H205" s="360">
        <f t="shared" si="27"/>
        <v>3420</v>
      </c>
      <c r="I205" s="356" t="s">
        <v>1073</v>
      </c>
      <c r="J205" s="375" t="s">
        <v>1074</v>
      </c>
      <c r="K205" s="379">
        <v>486</v>
      </c>
      <c r="L205" s="205"/>
      <c r="M205" s="199" t="str">
        <f t="shared" si="9"/>
        <v>No</v>
      </c>
      <c r="N205" s="199">
        <v>557000000</v>
      </c>
      <c r="O205" s="199"/>
      <c r="P205" s="380" t="s">
        <v>184</v>
      </c>
      <c r="Q205" s="199">
        <v>1281167</v>
      </c>
      <c r="R205" s="184"/>
      <c r="S205" s="199"/>
      <c r="T205" s="184"/>
      <c r="U205" s="184"/>
      <c r="V205" s="184"/>
      <c r="W205" s="184"/>
      <c r="X205" s="184"/>
      <c r="Y205" s="184"/>
      <c r="Z205" s="184"/>
      <c r="AA205" s="396" t="s">
        <v>49</v>
      </c>
      <c r="AB205" s="376"/>
      <c r="AC205" s="376"/>
      <c r="AD205" s="376" t="str">
        <f t="shared" si="26"/>
        <v>Industry</v>
      </c>
      <c r="AE205" s="376"/>
      <c r="AF205" s="376"/>
      <c r="AG205" s="376"/>
    </row>
    <row r="206" ht="12.75" spans="1:33">
      <c r="A206" s="353" t="s">
        <v>1075</v>
      </c>
      <c r="B206" s="192" t="s">
        <v>51</v>
      </c>
      <c r="C206" s="192" t="s">
        <v>144</v>
      </c>
      <c r="D206" s="192" t="s">
        <v>85</v>
      </c>
      <c r="E206" s="192" t="s">
        <v>35</v>
      </c>
      <c r="F206" s="192" t="s">
        <v>1072</v>
      </c>
      <c r="G206" s="367">
        <v>43420</v>
      </c>
      <c r="H206" s="363">
        <f t="shared" si="27"/>
        <v>3420</v>
      </c>
      <c r="I206" s="353" t="s">
        <v>1073</v>
      </c>
      <c r="J206" s="371" t="s">
        <v>1074</v>
      </c>
      <c r="K206" s="236">
        <v>486</v>
      </c>
      <c r="L206" s="206"/>
      <c r="M206" s="197" t="str">
        <f t="shared" si="9"/>
        <v>No</v>
      </c>
      <c r="N206" s="197">
        <v>6000000000</v>
      </c>
      <c r="O206" s="197"/>
      <c r="P206" s="385"/>
      <c r="Q206" s="412">
        <f>1000000000*20</f>
        <v>20000000000</v>
      </c>
      <c r="R206" s="182"/>
      <c r="S206" s="200"/>
      <c r="T206" s="182"/>
      <c r="U206" s="182"/>
      <c r="V206" s="182"/>
      <c r="W206" s="182"/>
      <c r="X206" s="182"/>
      <c r="Y206" s="182"/>
      <c r="Z206" s="182"/>
      <c r="AA206" s="399" t="s">
        <v>49</v>
      </c>
      <c r="AB206" s="372" t="s">
        <v>39</v>
      </c>
      <c r="AC206" s="372"/>
      <c r="AD206" s="372" t="str">
        <f t="shared" si="26"/>
        <v>Industry</v>
      </c>
      <c r="AE206" s="372"/>
      <c r="AF206" s="372"/>
      <c r="AG206" s="372"/>
    </row>
    <row r="207" ht="12.75" spans="1:33">
      <c r="A207" s="356" t="s">
        <v>1076</v>
      </c>
      <c r="B207" s="215" t="s">
        <v>256</v>
      </c>
      <c r="C207" s="215" t="s">
        <v>1077</v>
      </c>
      <c r="D207" s="215" t="s">
        <v>71</v>
      </c>
      <c r="E207" s="215" t="s">
        <v>35</v>
      </c>
      <c r="F207" s="215" t="s">
        <v>1078</v>
      </c>
      <c r="G207" s="361">
        <v>43027</v>
      </c>
      <c r="H207" s="360">
        <f t="shared" si="27"/>
        <v>3027</v>
      </c>
      <c r="I207" s="356" t="s">
        <v>1079</v>
      </c>
      <c r="J207" s="375" t="s">
        <v>1080</v>
      </c>
      <c r="K207" s="379">
        <v>5809</v>
      </c>
      <c r="L207" s="184" t="s">
        <v>454</v>
      </c>
      <c r="M207" s="199" t="str">
        <f t="shared" si="9"/>
        <v>Yes</v>
      </c>
      <c r="N207" s="199">
        <f>(256*3*3*17)+39*256*3*3*256*2+2*256+19*19*2*362+256+19*19*256+256</f>
        <v>46400244</v>
      </c>
      <c r="O207" s="411">
        <v>3.41e+23</v>
      </c>
      <c r="P207" s="380"/>
      <c r="Q207" s="199">
        <v>5800000000</v>
      </c>
      <c r="R207" s="184"/>
      <c r="S207" s="199"/>
      <c r="T207" s="184"/>
      <c r="U207" s="184"/>
      <c r="V207" s="184"/>
      <c r="W207" s="184"/>
      <c r="X207" s="184"/>
      <c r="Y207" s="184"/>
      <c r="Z207" s="184"/>
      <c r="AA207" s="396">
        <v>1544149.41763173</v>
      </c>
      <c r="AB207" s="376" t="s">
        <v>39</v>
      </c>
      <c r="AC207" s="376"/>
      <c r="AD207" s="376" t="str">
        <f t="shared" si="26"/>
        <v>Industry</v>
      </c>
      <c r="AE207" s="376" t="s">
        <v>1081</v>
      </c>
      <c r="AF207" s="376"/>
      <c r="AG207" s="376"/>
    </row>
    <row r="208" ht="12.75" spans="1:33">
      <c r="A208" s="353" t="s">
        <v>1082</v>
      </c>
      <c r="B208" s="192" t="s">
        <v>256</v>
      </c>
      <c r="C208" s="192" t="s">
        <v>1077</v>
      </c>
      <c r="D208" s="192" t="s">
        <v>71</v>
      </c>
      <c r="E208" s="192" t="s">
        <v>35</v>
      </c>
      <c r="F208" s="192" t="s">
        <v>1078</v>
      </c>
      <c r="G208" s="367">
        <v>42736</v>
      </c>
      <c r="H208" s="363">
        <v>2017</v>
      </c>
      <c r="I208" s="353" t="s">
        <v>1079</v>
      </c>
      <c r="J208" s="371" t="s">
        <v>1080</v>
      </c>
      <c r="K208" s="236">
        <v>5809</v>
      </c>
      <c r="L208" s="182" t="s">
        <v>454</v>
      </c>
      <c r="M208" s="197" t="str">
        <f t="shared" si="9"/>
        <v>Yes</v>
      </c>
      <c r="N208" s="197"/>
      <c r="O208" s="197">
        <v>1.5e+23</v>
      </c>
      <c r="P208" s="385"/>
      <c r="Q208" s="197"/>
      <c r="R208" s="182"/>
      <c r="S208" s="197"/>
      <c r="T208" s="182"/>
      <c r="U208" s="182"/>
      <c r="V208" s="182"/>
      <c r="W208" s="182"/>
      <c r="X208" s="182"/>
      <c r="Y208" s="182"/>
      <c r="Z208" s="182"/>
      <c r="AA208" s="399">
        <v>852748.081042578</v>
      </c>
      <c r="AB208" s="372"/>
      <c r="AC208" s="372"/>
      <c r="AD208" s="372" t="str">
        <f t="shared" si="26"/>
        <v>Industry</v>
      </c>
      <c r="AE208" s="372" t="s">
        <v>1081</v>
      </c>
      <c r="AF208" s="372"/>
      <c r="AG208" s="372"/>
    </row>
    <row r="209" ht="12.75" spans="1:33">
      <c r="A209" s="356" t="s">
        <v>1083</v>
      </c>
      <c r="B209" s="215" t="s">
        <v>256</v>
      </c>
      <c r="C209" s="215"/>
      <c r="D209" s="215" t="s">
        <v>71</v>
      </c>
      <c r="E209" s="215" t="s">
        <v>35</v>
      </c>
      <c r="F209" s="215" t="s">
        <v>1084</v>
      </c>
      <c r="G209" s="361">
        <v>43074</v>
      </c>
      <c r="H209" s="360">
        <f t="shared" ref="H209:H282" si="28">IF(INT(RIGHT(G209,4))&lt;1,"",INT(RIGHT(G209,4)))</f>
        <v>3074</v>
      </c>
      <c r="I209" s="356" t="s">
        <v>1085</v>
      </c>
      <c r="J209" s="375" t="s">
        <v>1086</v>
      </c>
      <c r="K209" s="379">
        <v>1076</v>
      </c>
      <c r="L209" s="184" t="s">
        <v>454</v>
      </c>
      <c r="M209" s="199" t="str">
        <f t="shared" si="9"/>
        <v>Yes</v>
      </c>
      <c r="N209" s="199"/>
      <c r="O209" s="411">
        <v>3.66792730046829e+22</v>
      </c>
      <c r="P209" s="380"/>
      <c r="Q209" s="391">
        <v>700000</v>
      </c>
      <c r="R209" s="184"/>
      <c r="S209" s="199"/>
      <c r="T209" s="205"/>
      <c r="U209" s="205"/>
      <c r="V209" s="184"/>
      <c r="W209" s="184"/>
      <c r="X209" s="184"/>
      <c r="Y209" s="376"/>
      <c r="Z209" s="376" t="s">
        <v>667</v>
      </c>
      <c r="AA209" s="395">
        <v>162054.697156363</v>
      </c>
      <c r="AB209" s="376" t="s">
        <v>39</v>
      </c>
      <c r="AC209" s="376"/>
      <c r="AD209" s="376" t="str">
        <f t="shared" si="26"/>
        <v>Industry</v>
      </c>
      <c r="AE209" s="376" t="s">
        <v>1087</v>
      </c>
      <c r="AF209" s="376"/>
      <c r="AG209" s="376"/>
    </row>
    <row r="210" ht="12.75" spans="1:33">
      <c r="A210" s="353" t="s">
        <v>1088</v>
      </c>
      <c r="B210" s="192" t="s">
        <v>256</v>
      </c>
      <c r="C210" s="192" t="s">
        <v>858</v>
      </c>
      <c r="D210" s="192" t="s">
        <v>1089</v>
      </c>
      <c r="E210" s="192" t="s">
        <v>134</v>
      </c>
      <c r="F210" s="192" t="s">
        <v>1090</v>
      </c>
      <c r="G210" s="367">
        <v>42736</v>
      </c>
      <c r="H210" s="363">
        <f t="shared" si="28"/>
        <v>2736</v>
      </c>
      <c r="I210" s="353" t="s">
        <v>1091</v>
      </c>
      <c r="J210" s="371" t="s">
        <v>1092</v>
      </c>
      <c r="K210" s="238">
        <v>97</v>
      </c>
      <c r="L210" s="182" t="s">
        <v>142</v>
      </c>
      <c r="M210" s="197" t="str">
        <f t="shared" si="9"/>
        <v>Yes</v>
      </c>
      <c r="N210" s="197"/>
      <c r="O210" s="197">
        <v>1.1475e+21</v>
      </c>
      <c r="P210" s="385"/>
      <c r="Q210" s="197"/>
      <c r="R210" s="182"/>
      <c r="S210" s="197"/>
      <c r="T210" s="182"/>
      <c r="U210" s="182">
        <f>3000000</f>
        <v>3000000</v>
      </c>
      <c r="V210" s="182"/>
      <c r="W210" s="182"/>
      <c r="X210" s="182"/>
      <c r="Y210" s="182"/>
      <c r="Z210" s="182"/>
      <c r="AA210" s="399">
        <v>6253.48592764557</v>
      </c>
      <c r="AB210" s="372"/>
      <c r="AC210" s="372"/>
      <c r="AD210" s="372" t="str">
        <f t="shared" si="26"/>
        <v>Academia</v>
      </c>
      <c r="AE210" s="372" t="s">
        <v>1093</v>
      </c>
      <c r="AF210" s="372"/>
      <c r="AG210" s="372"/>
    </row>
    <row r="211" ht="12.75" spans="1:33">
      <c r="A211" s="356" t="s">
        <v>1094</v>
      </c>
      <c r="B211" s="215" t="s">
        <v>256</v>
      </c>
      <c r="C211" s="215" t="s">
        <v>1095</v>
      </c>
      <c r="D211" s="215" t="s">
        <v>34</v>
      </c>
      <c r="E211" s="215" t="s">
        <v>35</v>
      </c>
      <c r="F211" s="215" t="s">
        <v>998</v>
      </c>
      <c r="G211" s="361">
        <v>42958</v>
      </c>
      <c r="H211" s="360">
        <f t="shared" si="28"/>
        <v>2958</v>
      </c>
      <c r="I211" s="356" t="s">
        <v>1096</v>
      </c>
      <c r="J211" s="375" t="s">
        <v>1097</v>
      </c>
      <c r="K211" s="384">
        <v>1001</v>
      </c>
      <c r="L211" s="184"/>
      <c r="M211" s="199" t="str">
        <f t="shared" si="9"/>
        <v>Yes</v>
      </c>
      <c r="N211" s="199">
        <v>150000000</v>
      </c>
      <c r="O211" s="411">
        <v>6.046095222592e+20</v>
      </c>
      <c r="P211" s="380"/>
      <c r="Q211" s="199"/>
      <c r="R211" s="184"/>
      <c r="S211" s="199"/>
      <c r="T211" s="205"/>
      <c r="U211" s="205"/>
      <c r="V211" s="184"/>
      <c r="W211" s="184"/>
      <c r="X211" s="184"/>
      <c r="Y211" s="184"/>
      <c r="Z211" s="184"/>
      <c r="AA211" s="396">
        <v>2873.98659242643</v>
      </c>
      <c r="AB211" s="376"/>
      <c r="AC211" s="376"/>
      <c r="AD211" s="376" t="str">
        <f t="shared" si="26"/>
        <v>Industry</v>
      </c>
      <c r="AE211" s="376" t="s">
        <v>781</v>
      </c>
      <c r="AF211" s="376"/>
      <c r="AG211" s="376"/>
    </row>
    <row r="212" ht="12.75" spans="1:33">
      <c r="A212" s="353" t="s">
        <v>1098</v>
      </c>
      <c r="B212" s="192" t="s">
        <v>41</v>
      </c>
      <c r="C212" s="192"/>
      <c r="D212" s="192" t="s">
        <v>1099</v>
      </c>
      <c r="E212" s="192" t="s">
        <v>327</v>
      </c>
      <c r="F212" s="192" t="s">
        <v>1100</v>
      </c>
      <c r="G212" s="367">
        <v>42951</v>
      </c>
      <c r="H212" s="363">
        <f t="shared" si="28"/>
        <v>2951</v>
      </c>
      <c r="I212" s="353" t="s">
        <v>1101</v>
      </c>
      <c r="J212" s="371" t="s">
        <v>1102</v>
      </c>
      <c r="K212" s="236">
        <v>1142</v>
      </c>
      <c r="L212" s="182" t="s">
        <v>454</v>
      </c>
      <c r="M212" s="197" t="str">
        <f t="shared" si="9"/>
        <v>Yes</v>
      </c>
      <c r="N212" s="197"/>
      <c r="O212" s="197">
        <f>4.79*10^20</f>
        <v>4.79e+20</v>
      </c>
      <c r="P212" s="385" t="s">
        <v>969</v>
      </c>
      <c r="Q212" s="197">
        <f>300*10^6</f>
        <v>300000000</v>
      </c>
      <c r="R212" s="182"/>
      <c r="S212" s="197"/>
      <c r="T212" s="182"/>
      <c r="U212" s="182"/>
      <c r="V212" s="182"/>
      <c r="W212" s="182"/>
      <c r="X212" s="182"/>
      <c r="Y212" s="182"/>
      <c r="Z212" s="182"/>
      <c r="AA212" s="399">
        <v>21396.4173183048</v>
      </c>
      <c r="AB212" s="372"/>
      <c r="AC212" s="372"/>
      <c r="AD212" s="372" t="str">
        <f t="shared" si="26"/>
        <v>Industry</v>
      </c>
      <c r="AE212" s="372" t="s">
        <v>1103</v>
      </c>
      <c r="AF212" s="372"/>
      <c r="AG212" s="372"/>
    </row>
    <row r="213" ht="12.75" spans="1:33">
      <c r="A213" s="356" t="s">
        <v>1104</v>
      </c>
      <c r="B213" s="215" t="s">
        <v>51</v>
      </c>
      <c r="C213" s="215" t="s">
        <v>1105</v>
      </c>
      <c r="D213" s="215" t="s">
        <v>1106</v>
      </c>
      <c r="E213" s="215" t="s">
        <v>44</v>
      </c>
      <c r="F213" s="215" t="s">
        <v>1107</v>
      </c>
      <c r="G213" s="361">
        <v>42758</v>
      </c>
      <c r="H213" s="360">
        <f t="shared" si="28"/>
        <v>2758</v>
      </c>
      <c r="I213" s="356" t="s">
        <v>1108</v>
      </c>
      <c r="J213" s="375" t="s">
        <v>1109</v>
      </c>
      <c r="K213" s="379">
        <v>687</v>
      </c>
      <c r="L213" s="184"/>
      <c r="M213" s="199" t="str">
        <f t="shared" si="9"/>
        <v>No</v>
      </c>
      <c r="N213" s="199">
        <v>8700000000</v>
      </c>
      <c r="O213" s="199">
        <f>12*24*3600*64*4290000000000*0.33</f>
        <v>9.393905664e+19</v>
      </c>
      <c r="P213" s="380"/>
      <c r="Q213" s="391">
        <v>100000000000</v>
      </c>
      <c r="R213" s="184"/>
      <c r="S213" s="203"/>
      <c r="T213" s="184"/>
      <c r="U213" s="184"/>
      <c r="V213" s="184"/>
      <c r="W213" s="184"/>
      <c r="X213" s="184"/>
      <c r="Y213" s="184" t="s">
        <v>1110</v>
      </c>
      <c r="Z213" s="184"/>
      <c r="AA213" s="396">
        <v>8484.354244363</v>
      </c>
      <c r="AB213" s="376"/>
      <c r="AC213" s="376" t="s">
        <v>1111</v>
      </c>
      <c r="AD213" s="376" t="str">
        <f t="shared" si="26"/>
        <v>Industry</v>
      </c>
      <c r="AE213" s="376" t="s">
        <v>1112</v>
      </c>
      <c r="AF213" s="376"/>
      <c r="AG213" s="376"/>
    </row>
    <row r="214" ht="15" customHeight="1" spans="1:33">
      <c r="A214" s="353" t="s">
        <v>1113</v>
      </c>
      <c r="B214" s="192"/>
      <c r="C214" s="192"/>
      <c r="D214" s="192" t="s">
        <v>1114</v>
      </c>
      <c r="E214" s="192" t="s">
        <v>44</v>
      </c>
      <c r="F214" s="192" t="s">
        <v>1115</v>
      </c>
      <c r="G214" s="367">
        <v>43071</v>
      </c>
      <c r="H214" s="363">
        <f t="shared" si="28"/>
        <v>3071</v>
      </c>
      <c r="I214" s="353" t="s">
        <v>1116</v>
      </c>
      <c r="J214" s="371" t="s">
        <v>1117</v>
      </c>
      <c r="K214" s="238">
        <v>1341</v>
      </c>
      <c r="L214" s="182" t="s">
        <v>454</v>
      </c>
      <c r="M214" s="197" t="str">
        <f t="shared" si="9"/>
        <v>Yes</v>
      </c>
      <c r="N214" s="197"/>
      <c r="O214" s="242">
        <f>500*4*24*3600*9300000000000*0.33/8</f>
        <v>6.62904e+19</v>
      </c>
      <c r="P214" s="385" t="s">
        <v>455</v>
      </c>
      <c r="Q214" s="393">
        <f>1.28*10^6</f>
        <v>1280000</v>
      </c>
      <c r="R214" s="182"/>
      <c r="S214" s="197"/>
      <c r="T214" s="182"/>
      <c r="U214" s="182"/>
      <c r="V214" s="182"/>
      <c r="W214" s="182"/>
      <c r="X214" s="182"/>
      <c r="Y214" s="182"/>
      <c r="Z214" s="182"/>
      <c r="AA214" s="399">
        <v>991.481511071839</v>
      </c>
      <c r="AB214" s="372"/>
      <c r="AC214" s="372"/>
      <c r="AD214" s="372" t="str">
        <f t="shared" si="26"/>
        <v>Industry</v>
      </c>
      <c r="AE214" s="372" t="s">
        <v>1118</v>
      </c>
      <c r="AF214" s="372"/>
      <c r="AG214" s="372"/>
    </row>
    <row r="215" ht="12.75" spans="1:33">
      <c r="A215" s="356" t="s">
        <v>1119</v>
      </c>
      <c r="B215" s="215" t="s">
        <v>51</v>
      </c>
      <c r="C215" s="215" t="s">
        <v>144</v>
      </c>
      <c r="D215" s="215" t="s">
        <v>1120</v>
      </c>
      <c r="E215" s="215" t="s">
        <v>35</v>
      </c>
      <c r="F215" s="215" t="s">
        <v>1121</v>
      </c>
      <c r="G215" s="361">
        <v>42898</v>
      </c>
      <c r="H215" s="360">
        <f t="shared" si="28"/>
        <v>2898</v>
      </c>
      <c r="I215" s="356" t="s">
        <v>1122</v>
      </c>
      <c r="J215" s="375" t="s">
        <v>1123</v>
      </c>
      <c r="K215" s="379">
        <v>25230</v>
      </c>
      <c r="L215" s="184" t="s">
        <v>454</v>
      </c>
      <c r="M215" s="199" t="str">
        <f t="shared" si="9"/>
        <v>Yes</v>
      </c>
      <c r="N215" s="199">
        <v>213000000</v>
      </c>
      <c r="O215" s="199">
        <f>8*(3.5*24*60*60)*(9.3*10^12)*0.33</f>
        <v>7.4245248e+18</v>
      </c>
      <c r="P215" s="380"/>
      <c r="Q215" s="199">
        <f>36000000*10</f>
        <v>360000000</v>
      </c>
      <c r="R215" s="184"/>
      <c r="S215" s="199">
        <v>54000000000</v>
      </c>
      <c r="T215" s="184"/>
      <c r="U215" s="184">
        <f>3.5*24*8</f>
        <v>672</v>
      </c>
      <c r="V215" s="184"/>
      <c r="W215" s="184"/>
      <c r="X215" s="184"/>
      <c r="Y215" s="184"/>
      <c r="Z215" s="184"/>
      <c r="AA215" s="396">
        <v>111.166108817145</v>
      </c>
      <c r="AB215" s="376" t="s">
        <v>39</v>
      </c>
      <c r="AC215" s="376"/>
      <c r="AD215" s="376" t="str">
        <f t="shared" si="26"/>
        <v>Industry</v>
      </c>
      <c r="AE215" s="376"/>
      <c r="AF215" s="376"/>
      <c r="AG215" s="376"/>
    </row>
    <row r="216" ht="12.75" spans="1:33">
      <c r="A216" s="353" t="s">
        <v>1124</v>
      </c>
      <c r="B216" s="192" t="s">
        <v>256</v>
      </c>
      <c r="C216" s="192" t="s">
        <v>858</v>
      </c>
      <c r="D216" s="192" t="s">
        <v>1125</v>
      </c>
      <c r="E216" s="192" t="s">
        <v>134</v>
      </c>
      <c r="F216" s="371" t="s">
        <v>1126</v>
      </c>
      <c r="G216" s="367">
        <v>42741</v>
      </c>
      <c r="H216" s="363">
        <f t="shared" si="28"/>
        <v>2741</v>
      </c>
      <c r="I216" s="353" t="s">
        <v>1127</v>
      </c>
      <c r="J216" s="371" t="s">
        <v>1128</v>
      </c>
      <c r="K216" s="236">
        <v>618</v>
      </c>
      <c r="L216" s="182"/>
      <c r="M216" s="197" t="str">
        <f t="shared" si="9"/>
        <v>No</v>
      </c>
      <c r="N216" s="197">
        <f>1000*500+6*500*500+500*1000</f>
        <v>2500000</v>
      </c>
      <c r="O216" s="197">
        <v>150000000000000</v>
      </c>
      <c r="P216" s="385"/>
      <c r="Q216" s="393">
        <v>10000000</v>
      </c>
      <c r="R216" s="182"/>
      <c r="S216" s="197"/>
      <c r="T216" s="182"/>
      <c r="U216" s="182"/>
      <c r="V216" s="182"/>
      <c r="W216" s="182"/>
      <c r="X216" s="182"/>
      <c r="Y216" s="182"/>
      <c r="Z216" s="182"/>
      <c r="AA216" s="399">
        <v>0.000849464365284835</v>
      </c>
      <c r="AB216" s="372"/>
      <c r="AC216" s="372"/>
      <c r="AD216" s="372" t="str">
        <f t="shared" si="26"/>
        <v>Academia</v>
      </c>
      <c r="AE216" s="372"/>
      <c r="AF216" s="372"/>
      <c r="AG216" s="372"/>
    </row>
    <row r="217" ht="12.75" spans="1:33">
      <c r="A217" s="356"/>
      <c r="B217" s="215" t="s">
        <v>1129</v>
      </c>
      <c r="C217" s="215" t="s">
        <v>1032</v>
      </c>
      <c r="D217" s="215" t="s">
        <v>1130</v>
      </c>
      <c r="E217" s="215" t="s">
        <v>360</v>
      </c>
      <c r="F217" s="215" t="s">
        <v>1131</v>
      </c>
      <c r="G217" s="361">
        <v>42767</v>
      </c>
      <c r="H217" s="360">
        <f t="shared" si="28"/>
        <v>2767</v>
      </c>
      <c r="I217" s="356" t="s">
        <v>1132</v>
      </c>
      <c r="J217" s="375" t="s">
        <v>1133</v>
      </c>
      <c r="K217" s="384">
        <v>3997</v>
      </c>
      <c r="L217" s="184" t="s">
        <v>454</v>
      </c>
      <c r="M217" s="199" t="str">
        <f t="shared" si="9"/>
        <v>Yes</v>
      </c>
      <c r="N217" s="199"/>
      <c r="O217" s="199"/>
      <c r="P217" s="380"/>
      <c r="Q217" s="199"/>
      <c r="R217" s="184"/>
      <c r="S217" s="203"/>
      <c r="T217" s="184"/>
      <c r="U217" s="184"/>
      <c r="V217" s="184"/>
      <c r="W217" s="184"/>
      <c r="X217" s="184"/>
      <c r="Y217" s="184"/>
      <c r="Z217" s="184"/>
      <c r="AA217" s="396" t="s">
        <v>49</v>
      </c>
      <c r="AB217" s="376"/>
      <c r="AC217" s="376"/>
      <c r="AD217" s="376" t="str">
        <f t="shared" si="26"/>
        <v>Industry</v>
      </c>
      <c r="AE217" s="376"/>
      <c r="AF217" s="376"/>
      <c r="AG217" s="376"/>
    </row>
    <row r="218" ht="12.75" spans="1:33">
      <c r="A218" s="353"/>
      <c r="B218" s="192" t="s">
        <v>41</v>
      </c>
      <c r="C218" s="192" t="s">
        <v>176</v>
      </c>
      <c r="D218" s="192" t="s">
        <v>1134</v>
      </c>
      <c r="E218" s="192" t="s">
        <v>327</v>
      </c>
      <c r="F218" s="192" t="s">
        <v>1135</v>
      </c>
      <c r="G218" s="367">
        <v>42809</v>
      </c>
      <c r="H218" s="363">
        <f t="shared" si="28"/>
        <v>2809</v>
      </c>
      <c r="I218" s="353" t="s">
        <v>1136</v>
      </c>
      <c r="J218" s="371" t="s">
        <v>1137</v>
      </c>
      <c r="K218" s="238">
        <v>3567</v>
      </c>
      <c r="L218" s="182" t="s">
        <v>454</v>
      </c>
      <c r="M218" s="197" t="str">
        <f t="shared" si="9"/>
        <v>Yes</v>
      </c>
      <c r="N218" s="197"/>
      <c r="O218" s="197"/>
      <c r="P218" s="385"/>
      <c r="Q218" s="197"/>
      <c r="R218" s="182"/>
      <c r="S218" s="200"/>
      <c r="T218" s="182"/>
      <c r="U218" s="182"/>
      <c r="V218" s="182"/>
      <c r="W218" s="182"/>
      <c r="X218" s="182"/>
      <c r="Y218" s="182"/>
      <c r="Z218" s="182"/>
      <c r="AA218" s="399" t="s">
        <v>49</v>
      </c>
      <c r="AB218" s="372"/>
      <c r="AC218" s="372"/>
      <c r="AD218" s="372" t="str">
        <f t="shared" si="26"/>
        <v>Industry</v>
      </c>
      <c r="AE218" s="372"/>
      <c r="AF218" s="372"/>
      <c r="AG218" s="372"/>
    </row>
    <row r="219" ht="12.75" spans="1:33">
      <c r="A219" s="356" t="s">
        <v>1138</v>
      </c>
      <c r="B219" s="215" t="s">
        <v>41</v>
      </c>
      <c r="C219" s="215" t="s">
        <v>1139</v>
      </c>
      <c r="D219" s="215" t="s">
        <v>400</v>
      </c>
      <c r="E219" s="215" t="s">
        <v>35</v>
      </c>
      <c r="F219" s="215" t="s">
        <v>1140</v>
      </c>
      <c r="G219" s="361">
        <v>42824</v>
      </c>
      <c r="H219" s="360">
        <f t="shared" si="28"/>
        <v>2824</v>
      </c>
      <c r="I219" s="356" t="s">
        <v>1138</v>
      </c>
      <c r="J219" s="375" t="s">
        <v>1141</v>
      </c>
      <c r="K219" s="379">
        <v>14951</v>
      </c>
      <c r="L219" s="184" t="s">
        <v>454</v>
      </c>
      <c r="M219" s="199" t="str">
        <f t="shared" si="9"/>
        <v>Yes</v>
      </c>
      <c r="N219" s="199"/>
      <c r="O219" s="199"/>
      <c r="P219" s="380" t="s">
        <v>1142</v>
      </c>
      <c r="Q219" s="199"/>
      <c r="R219" s="184"/>
      <c r="S219" s="377"/>
      <c r="T219" s="184"/>
      <c r="U219" s="184">
        <f>44*8</f>
        <v>352</v>
      </c>
      <c r="V219" s="184">
        <v>195</v>
      </c>
      <c r="W219" s="184"/>
      <c r="X219" s="184"/>
      <c r="Y219" s="184"/>
      <c r="Z219" s="184"/>
      <c r="AA219" s="396" t="s">
        <v>49</v>
      </c>
      <c r="AB219" s="376"/>
      <c r="AC219" s="376"/>
      <c r="AD219" s="376" t="str">
        <f t="shared" si="26"/>
        <v>Industry</v>
      </c>
      <c r="AE219" s="376"/>
      <c r="AF219" s="376"/>
      <c r="AG219" s="376"/>
    </row>
    <row r="220" ht="12.75" spans="1:33">
      <c r="A220" s="353"/>
      <c r="B220" s="192" t="s">
        <v>41</v>
      </c>
      <c r="C220" s="192" t="s">
        <v>964</v>
      </c>
      <c r="D220" s="192" t="s">
        <v>1143</v>
      </c>
      <c r="E220" s="192" t="s">
        <v>134</v>
      </c>
      <c r="F220" s="192" t="s">
        <v>1144</v>
      </c>
      <c r="G220" s="367">
        <v>42825</v>
      </c>
      <c r="H220" s="363">
        <f t="shared" si="28"/>
        <v>2825</v>
      </c>
      <c r="I220" s="353" t="s">
        <v>1145</v>
      </c>
      <c r="J220" s="371" t="s">
        <v>1146</v>
      </c>
      <c r="K220" s="238">
        <v>6042</v>
      </c>
      <c r="L220" s="182" t="s">
        <v>454</v>
      </c>
      <c r="M220" s="197" t="str">
        <f t="shared" si="9"/>
        <v>Yes</v>
      </c>
      <c r="N220" s="197"/>
      <c r="O220" s="197"/>
      <c r="P220" s="385"/>
      <c r="Q220" s="197"/>
      <c r="R220" s="182"/>
      <c r="S220" s="373"/>
      <c r="T220" s="182"/>
      <c r="U220" s="182"/>
      <c r="V220" s="182"/>
      <c r="W220" s="182"/>
      <c r="X220" s="182"/>
      <c r="Y220" s="182"/>
      <c r="Z220" s="182"/>
      <c r="AA220" s="399" t="s">
        <v>49</v>
      </c>
      <c r="AB220" s="372"/>
      <c r="AC220" s="372"/>
      <c r="AD220" s="372" t="str">
        <f t="shared" si="26"/>
        <v>Academia</v>
      </c>
      <c r="AE220" s="372"/>
      <c r="AF220" s="372"/>
      <c r="AG220" s="372"/>
    </row>
    <row r="221" ht="12.75" spans="1:33">
      <c r="A221" s="356" t="s">
        <v>1147</v>
      </c>
      <c r="B221" s="215" t="s">
        <v>41</v>
      </c>
      <c r="C221" s="215"/>
      <c r="D221" s="215" t="s">
        <v>1024</v>
      </c>
      <c r="E221" s="215" t="s">
        <v>35</v>
      </c>
      <c r="F221" s="215" t="s">
        <v>1148</v>
      </c>
      <c r="G221" s="361">
        <v>42842</v>
      </c>
      <c r="H221" s="360">
        <f t="shared" si="28"/>
        <v>2842</v>
      </c>
      <c r="I221" s="356" t="s">
        <v>1149</v>
      </c>
      <c r="J221" s="375" t="s">
        <v>1150</v>
      </c>
      <c r="K221" s="379">
        <v>9188</v>
      </c>
      <c r="L221" s="184" t="s">
        <v>454</v>
      </c>
      <c r="M221" s="199" t="str">
        <f t="shared" si="9"/>
        <v>Yes</v>
      </c>
      <c r="N221" s="199">
        <v>4200000</v>
      </c>
      <c r="O221" s="199"/>
      <c r="P221" s="380"/>
      <c r="Q221" s="199"/>
      <c r="R221" s="184"/>
      <c r="S221" s="199">
        <f>0.57*1000000000*2</f>
        <v>1140000000</v>
      </c>
      <c r="T221" s="207"/>
      <c r="U221" s="207"/>
      <c r="V221" s="184"/>
      <c r="W221" s="184"/>
      <c r="X221" s="184"/>
      <c r="Y221" s="184"/>
      <c r="Z221" s="184"/>
      <c r="AA221" s="396" t="s">
        <v>49</v>
      </c>
      <c r="AB221" s="376"/>
      <c r="AC221" s="376"/>
      <c r="AD221" s="376" t="str">
        <f t="shared" si="26"/>
        <v>Industry</v>
      </c>
      <c r="AE221" s="376"/>
      <c r="AF221" s="376"/>
      <c r="AG221" s="376"/>
    </row>
    <row r="222" ht="12.75" spans="1:33">
      <c r="A222" s="353"/>
      <c r="B222" s="192" t="s">
        <v>41</v>
      </c>
      <c r="C222" s="192" t="s">
        <v>1139</v>
      </c>
      <c r="D222" s="192" t="s">
        <v>1151</v>
      </c>
      <c r="E222" s="192" t="s">
        <v>327</v>
      </c>
      <c r="F222" s="192" t="s">
        <v>1152</v>
      </c>
      <c r="G222" s="367">
        <v>42852</v>
      </c>
      <c r="H222" s="363">
        <f t="shared" si="28"/>
        <v>2852</v>
      </c>
      <c r="I222" s="353" t="s">
        <v>1153</v>
      </c>
      <c r="J222" s="371" t="s">
        <v>1154</v>
      </c>
      <c r="K222" s="238">
        <v>10149</v>
      </c>
      <c r="L222" s="182" t="s">
        <v>454</v>
      </c>
      <c r="M222" s="197" t="str">
        <f t="shared" si="9"/>
        <v>Yes</v>
      </c>
      <c r="N222" s="197"/>
      <c r="O222" s="197"/>
      <c r="P222" s="385"/>
      <c r="Q222" s="197"/>
      <c r="R222" s="182"/>
      <c r="S222" s="197"/>
      <c r="T222" s="206"/>
      <c r="U222" s="206"/>
      <c r="V222" s="182"/>
      <c r="W222" s="182"/>
      <c r="X222" s="182"/>
      <c r="Y222" s="182"/>
      <c r="Z222" s="182"/>
      <c r="AA222" s="399" t="s">
        <v>49</v>
      </c>
      <c r="AB222" s="372"/>
      <c r="AC222" s="372"/>
      <c r="AD222" s="372" t="str">
        <f t="shared" si="26"/>
        <v>Industry</v>
      </c>
      <c r="AE222" s="372"/>
      <c r="AF222" s="372"/>
      <c r="AG222" s="372"/>
    </row>
    <row r="223" ht="12.75" spans="1:33">
      <c r="A223" s="356"/>
      <c r="B223" s="215" t="s">
        <v>41</v>
      </c>
      <c r="C223" s="215" t="s">
        <v>1032</v>
      </c>
      <c r="D223" s="215" t="s">
        <v>1155</v>
      </c>
      <c r="E223" s="215" t="s">
        <v>35</v>
      </c>
      <c r="F223" s="215" t="s">
        <v>1156</v>
      </c>
      <c r="G223" s="361">
        <v>42880</v>
      </c>
      <c r="H223" s="360">
        <f t="shared" si="28"/>
        <v>2880</v>
      </c>
      <c r="I223" s="356" t="s">
        <v>1157</v>
      </c>
      <c r="J223" s="375" t="s">
        <v>1158</v>
      </c>
      <c r="K223" s="384">
        <v>7177</v>
      </c>
      <c r="L223" s="184" t="s">
        <v>454</v>
      </c>
      <c r="M223" s="199" t="str">
        <f t="shared" si="9"/>
        <v>Yes</v>
      </c>
      <c r="N223" s="199"/>
      <c r="O223" s="199"/>
      <c r="P223" s="380"/>
      <c r="Q223" s="199"/>
      <c r="R223" s="184"/>
      <c r="S223" s="199"/>
      <c r="T223" s="184"/>
      <c r="U223" s="184"/>
      <c r="V223" s="184"/>
      <c r="W223" s="184"/>
      <c r="X223" s="184"/>
      <c r="Y223" s="376"/>
      <c r="Z223" s="376"/>
      <c r="AA223" s="395" t="s">
        <v>49</v>
      </c>
      <c r="AB223" s="376"/>
      <c r="AC223" s="376"/>
      <c r="AD223" s="376" t="str">
        <f t="shared" si="26"/>
        <v>Industry</v>
      </c>
      <c r="AE223" s="376"/>
      <c r="AF223" s="376"/>
      <c r="AG223" s="376"/>
    </row>
    <row r="224" ht="12.75" spans="1:33">
      <c r="A224" s="353"/>
      <c r="B224" s="192" t="s">
        <v>41</v>
      </c>
      <c r="C224" s="192" t="s">
        <v>1159</v>
      </c>
      <c r="D224" s="192" t="s">
        <v>1160</v>
      </c>
      <c r="E224" s="192" t="s">
        <v>327</v>
      </c>
      <c r="F224" s="192" t="s">
        <v>1161</v>
      </c>
      <c r="G224" s="367">
        <v>42887</v>
      </c>
      <c r="H224" s="363">
        <f t="shared" si="28"/>
        <v>2887</v>
      </c>
      <c r="I224" s="353" t="s">
        <v>1162</v>
      </c>
      <c r="J224" s="371" t="s">
        <v>1163</v>
      </c>
      <c r="K224" s="238">
        <v>3982</v>
      </c>
      <c r="L224" s="182" t="s">
        <v>454</v>
      </c>
      <c r="M224" s="197" t="str">
        <f t="shared" si="9"/>
        <v>Yes</v>
      </c>
      <c r="N224" s="197"/>
      <c r="O224" s="197"/>
      <c r="P224" s="385"/>
      <c r="Q224" s="197"/>
      <c r="R224" s="182"/>
      <c r="S224" s="197"/>
      <c r="T224" s="182"/>
      <c r="U224" s="182"/>
      <c r="V224" s="182"/>
      <c r="W224" s="182"/>
      <c r="X224" s="182"/>
      <c r="Y224" s="182"/>
      <c r="Z224" s="182"/>
      <c r="AA224" s="399" t="s">
        <v>49</v>
      </c>
      <c r="AB224" s="372"/>
      <c r="AC224" s="372"/>
      <c r="AD224" s="372" t="str">
        <f t="shared" si="26"/>
        <v>Industry</v>
      </c>
      <c r="AE224" s="372"/>
      <c r="AF224" s="372"/>
      <c r="AG224" s="372"/>
    </row>
    <row r="225" ht="12.75" spans="1:33">
      <c r="A225" s="356" t="s">
        <v>1164</v>
      </c>
      <c r="B225" s="215"/>
      <c r="C225" s="215" t="s">
        <v>1165</v>
      </c>
      <c r="D225" s="215" t="s">
        <v>1166</v>
      </c>
      <c r="E225" s="215" t="s">
        <v>134</v>
      </c>
      <c r="F225" s="215" t="s">
        <v>1167</v>
      </c>
      <c r="G225" s="361">
        <v>42893</v>
      </c>
      <c r="H225" s="360">
        <f t="shared" si="28"/>
        <v>2893</v>
      </c>
      <c r="I225" s="356" t="s">
        <v>1168</v>
      </c>
      <c r="J225" s="375" t="s">
        <v>1169</v>
      </c>
      <c r="K225" s="384">
        <v>4021</v>
      </c>
      <c r="L225" s="184" t="s">
        <v>454</v>
      </c>
      <c r="M225" s="199" t="str">
        <f t="shared" si="9"/>
        <v>Yes</v>
      </c>
      <c r="N225" s="199"/>
      <c r="O225" s="199"/>
      <c r="P225" s="380"/>
      <c r="Q225" s="199"/>
      <c r="R225" s="184"/>
      <c r="S225" s="199"/>
      <c r="T225" s="184"/>
      <c r="U225" s="184"/>
      <c r="V225" s="184"/>
      <c r="W225" s="184"/>
      <c r="X225" s="184"/>
      <c r="Y225" s="184"/>
      <c r="Z225" s="184"/>
      <c r="AA225" s="396" t="s">
        <v>49</v>
      </c>
      <c r="AB225" s="376"/>
      <c r="AC225" s="376"/>
      <c r="AD225" s="376" t="str">
        <f t="shared" si="26"/>
        <v>Academia</v>
      </c>
      <c r="AE225" s="376"/>
      <c r="AF225" s="376"/>
      <c r="AG225" s="376"/>
    </row>
    <row r="226" ht="12.75" spans="1:33">
      <c r="A226" s="353"/>
      <c r="B226" s="192" t="s">
        <v>41</v>
      </c>
      <c r="C226" s="192" t="s">
        <v>1032</v>
      </c>
      <c r="D226" s="192" t="s">
        <v>1170</v>
      </c>
      <c r="E226" s="192" t="s">
        <v>134</v>
      </c>
      <c r="F226" s="192" t="s">
        <v>1171</v>
      </c>
      <c r="G226" s="367">
        <v>42896</v>
      </c>
      <c r="H226" s="363">
        <f t="shared" si="28"/>
        <v>2896</v>
      </c>
      <c r="I226" s="353" t="s">
        <v>1172</v>
      </c>
      <c r="J226" s="371" t="s">
        <v>1173</v>
      </c>
      <c r="K226" s="238">
        <v>3074</v>
      </c>
      <c r="L226" s="182" t="s">
        <v>454</v>
      </c>
      <c r="M226" s="197" t="str">
        <f t="shared" si="9"/>
        <v>Yes</v>
      </c>
      <c r="N226" s="197"/>
      <c r="O226" s="197"/>
      <c r="P226" s="385"/>
      <c r="Q226" s="197"/>
      <c r="R226" s="182"/>
      <c r="S226" s="197"/>
      <c r="T226" s="182"/>
      <c r="U226" s="182"/>
      <c r="V226" s="182"/>
      <c r="W226" s="182"/>
      <c r="X226" s="182"/>
      <c r="Y226" s="182"/>
      <c r="Z226" s="182"/>
      <c r="AA226" s="399" t="s">
        <v>49</v>
      </c>
      <c r="AB226" s="372"/>
      <c r="AC226" s="372"/>
      <c r="AD226" s="372" t="str">
        <f t="shared" si="26"/>
        <v>Academia</v>
      </c>
      <c r="AE226" s="372"/>
      <c r="AF226" s="372"/>
      <c r="AG226" s="372"/>
    </row>
    <row r="227" ht="12.75" spans="1:33">
      <c r="A227" s="356" t="s">
        <v>1174</v>
      </c>
      <c r="B227" s="215" t="s">
        <v>256</v>
      </c>
      <c r="C227" s="215" t="s">
        <v>1175</v>
      </c>
      <c r="D227" s="215" t="s">
        <v>1176</v>
      </c>
      <c r="E227" s="215" t="s">
        <v>44</v>
      </c>
      <c r="F227" s="215" t="s">
        <v>1177</v>
      </c>
      <c r="G227" s="361">
        <v>42899</v>
      </c>
      <c r="H227" s="360">
        <f t="shared" si="28"/>
        <v>2899</v>
      </c>
      <c r="I227" s="356" t="s">
        <v>1178</v>
      </c>
      <c r="J227" s="375" t="s">
        <v>1179</v>
      </c>
      <c r="K227" s="384">
        <v>222</v>
      </c>
      <c r="L227" s="184"/>
      <c r="M227" s="199" t="str">
        <f t="shared" si="9"/>
        <v>No</v>
      </c>
      <c r="N227" s="199"/>
      <c r="O227" s="199"/>
      <c r="P227" s="380"/>
      <c r="Q227" s="199"/>
      <c r="R227" s="184"/>
      <c r="S227" s="199"/>
      <c r="T227" s="184"/>
      <c r="U227" s="184"/>
      <c r="V227" s="184"/>
      <c r="W227" s="184"/>
      <c r="X227" s="184"/>
      <c r="Y227" s="184"/>
      <c r="Z227" s="184"/>
      <c r="AA227" s="396" t="s">
        <v>49</v>
      </c>
      <c r="AB227" s="376"/>
      <c r="AC227" s="376"/>
      <c r="AD227" s="376" t="str">
        <f t="shared" si="26"/>
        <v>Industry</v>
      </c>
      <c r="AE227" s="376"/>
      <c r="AF227" s="376"/>
      <c r="AG227" s="376"/>
    </row>
    <row r="228" ht="12.75" spans="1:33">
      <c r="A228" s="353" t="s">
        <v>1180</v>
      </c>
      <c r="B228" s="192" t="s">
        <v>41</v>
      </c>
      <c r="C228" s="192" t="s">
        <v>878</v>
      </c>
      <c r="D228" s="192" t="s">
        <v>1181</v>
      </c>
      <c r="E228" s="192" t="s">
        <v>35</v>
      </c>
      <c r="F228" s="192" t="s">
        <v>1025</v>
      </c>
      <c r="G228" s="367">
        <v>42903</v>
      </c>
      <c r="H228" s="363">
        <f t="shared" si="28"/>
        <v>2903</v>
      </c>
      <c r="I228" s="353" t="s">
        <v>1182</v>
      </c>
      <c r="J228" s="371" t="s">
        <v>1183</v>
      </c>
      <c r="K228" s="238">
        <v>3903</v>
      </c>
      <c r="L228" s="182" t="s">
        <v>454</v>
      </c>
      <c r="M228" s="197" t="str">
        <f t="shared" si="9"/>
        <v>Yes</v>
      </c>
      <c r="N228" s="197"/>
      <c r="O228" s="197"/>
      <c r="P228" s="385"/>
      <c r="Q228" s="197"/>
      <c r="R228" s="182"/>
      <c r="S228" s="197"/>
      <c r="T228" s="182"/>
      <c r="U228" s="182"/>
      <c r="V228" s="182"/>
      <c r="W228" s="182"/>
      <c r="X228" s="182"/>
      <c r="Y228" s="182"/>
      <c r="Z228" s="182"/>
      <c r="AA228" s="399" t="s">
        <v>49</v>
      </c>
      <c r="AB228" s="372"/>
      <c r="AC228" s="372"/>
      <c r="AD228" s="372" t="str">
        <f t="shared" si="26"/>
        <v>Industry</v>
      </c>
      <c r="AE228" s="372"/>
      <c r="AF228" s="372"/>
      <c r="AG228" s="372"/>
    </row>
    <row r="229" ht="12.75" spans="1:33">
      <c r="A229" s="356"/>
      <c r="B229" s="215" t="s">
        <v>41</v>
      </c>
      <c r="C229" s="215" t="s">
        <v>964</v>
      </c>
      <c r="D229" s="215" t="s">
        <v>1184</v>
      </c>
      <c r="E229" s="215" t="s">
        <v>134</v>
      </c>
      <c r="F229" s="215" t="s">
        <v>1185</v>
      </c>
      <c r="G229" s="361">
        <v>42912</v>
      </c>
      <c r="H229" s="360">
        <f t="shared" si="28"/>
        <v>2912</v>
      </c>
      <c r="I229" s="356" t="s">
        <v>1186</v>
      </c>
      <c r="J229" s="375" t="s">
        <v>1187</v>
      </c>
      <c r="K229" s="384">
        <v>4170</v>
      </c>
      <c r="L229" s="184" t="s">
        <v>454</v>
      </c>
      <c r="M229" s="199" t="str">
        <f t="shared" si="9"/>
        <v>Yes</v>
      </c>
      <c r="N229" s="199"/>
      <c r="O229" s="199"/>
      <c r="P229" s="380"/>
      <c r="Q229" s="199"/>
      <c r="R229" s="184"/>
      <c r="S229" s="199"/>
      <c r="T229" s="184"/>
      <c r="U229" s="184"/>
      <c r="V229" s="184"/>
      <c r="W229" s="184"/>
      <c r="X229" s="184"/>
      <c r="Y229" s="184"/>
      <c r="Z229" s="184"/>
      <c r="AA229" s="396" t="s">
        <v>49</v>
      </c>
      <c r="AB229" s="376"/>
      <c r="AC229" s="376"/>
      <c r="AD229" s="376" t="str">
        <f t="shared" si="26"/>
        <v>Academia</v>
      </c>
      <c r="AE229" s="376"/>
      <c r="AF229" s="376"/>
      <c r="AG229" s="376"/>
    </row>
    <row r="230" ht="12.75" spans="1:33">
      <c r="A230" s="353" t="s">
        <v>1188</v>
      </c>
      <c r="B230" s="192" t="s">
        <v>256</v>
      </c>
      <c r="C230" s="192" t="s">
        <v>482</v>
      </c>
      <c r="D230" s="192" t="s">
        <v>71</v>
      </c>
      <c r="E230" s="192" t="s">
        <v>35</v>
      </c>
      <c r="F230" s="192" t="s">
        <v>1189</v>
      </c>
      <c r="G230" s="367">
        <v>42916</v>
      </c>
      <c r="H230" s="363">
        <f t="shared" si="28"/>
        <v>2916</v>
      </c>
      <c r="I230" s="353" t="s">
        <v>1190</v>
      </c>
      <c r="J230" s="371" t="s">
        <v>1191</v>
      </c>
      <c r="K230" s="236">
        <v>480</v>
      </c>
      <c r="L230" s="372" t="s">
        <v>142</v>
      </c>
      <c r="M230" s="197" t="str">
        <f t="shared" si="9"/>
        <v>Yes</v>
      </c>
      <c r="N230" s="200"/>
      <c r="O230" s="200"/>
      <c r="P230" s="374"/>
      <c r="Q230" s="200"/>
      <c r="R230" s="204"/>
      <c r="S230" s="200"/>
      <c r="T230" s="204"/>
      <c r="U230" s="204"/>
      <c r="V230" s="204"/>
      <c r="W230" s="204"/>
      <c r="X230" s="182"/>
      <c r="Y230" s="182"/>
      <c r="Z230" s="182"/>
      <c r="AA230" s="399" t="s">
        <v>49</v>
      </c>
      <c r="AB230" s="372"/>
      <c r="AC230" s="372"/>
      <c r="AD230" s="372" t="str">
        <f t="shared" si="26"/>
        <v>Industry</v>
      </c>
      <c r="AE230" s="372"/>
      <c r="AF230" s="372"/>
      <c r="AG230" s="372"/>
    </row>
    <row r="231" ht="12.75" spans="1:33">
      <c r="A231" s="356" t="s">
        <v>1192</v>
      </c>
      <c r="B231" s="215" t="s">
        <v>41</v>
      </c>
      <c r="C231" s="368"/>
      <c r="D231" s="215" t="s">
        <v>1193</v>
      </c>
      <c r="E231" s="215" t="s">
        <v>35</v>
      </c>
      <c r="F231" s="215" t="s">
        <v>1194</v>
      </c>
      <c r="G231" s="361">
        <v>42919</v>
      </c>
      <c r="H231" s="360">
        <f t="shared" si="28"/>
        <v>2919</v>
      </c>
      <c r="I231" s="356" t="s">
        <v>1195</v>
      </c>
      <c r="J231" s="375" t="s">
        <v>1196</v>
      </c>
      <c r="K231" s="379">
        <v>2775</v>
      </c>
      <c r="L231" s="184" t="s">
        <v>454</v>
      </c>
      <c r="M231" s="199" t="str">
        <f t="shared" si="9"/>
        <v>Yes</v>
      </c>
      <c r="N231" s="199">
        <v>2430000</v>
      </c>
      <c r="O231" s="199"/>
      <c r="P231" s="380"/>
      <c r="Q231" s="199"/>
      <c r="R231" s="184"/>
      <c r="S231" s="199">
        <f>140000000</f>
        <v>140000000</v>
      </c>
      <c r="T231" s="184"/>
      <c r="U231" s="184"/>
      <c r="V231" s="184"/>
      <c r="W231" s="184"/>
      <c r="X231" s="184"/>
      <c r="Y231" s="184"/>
      <c r="Z231" s="184"/>
      <c r="AA231" s="396" t="s">
        <v>49</v>
      </c>
      <c r="AB231" s="376"/>
      <c r="AC231" s="376"/>
      <c r="AD231" s="376" t="str">
        <f t="shared" si="26"/>
        <v>Industry</v>
      </c>
      <c r="AE231" s="376"/>
      <c r="AF231" s="376"/>
      <c r="AG231" s="376"/>
    </row>
    <row r="232" ht="12.75" spans="1:33">
      <c r="A232" s="353" t="s">
        <v>1197</v>
      </c>
      <c r="B232" s="192" t="s">
        <v>41</v>
      </c>
      <c r="C232" s="192" t="s">
        <v>176</v>
      </c>
      <c r="D232" s="192" t="s">
        <v>262</v>
      </c>
      <c r="E232" s="192" t="s">
        <v>35</v>
      </c>
      <c r="F232" s="192" t="s">
        <v>1198</v>
      </c>
      <c r="G232" s="367">
        <v>42937</v>
      </c>
      <c r="H232" s="363">
        <f t="shared" si="28"/>
        <v>2937</v>
      </c>
      <c r="I232" s="353" t="s">
        <v>1199</v>
      </c>
      <c r="J232" s="371" t="s">
        <v>1200</v>
      </c>
      <c r="K232" s="236">
        <v>3099</v>
      </c>
      <c r="L232" s="182" t="s">
        <v>454</v>
      </c>
      <c r="M232" s="197" t="str">
        <f t="shared" si="9"/>
        <v>Yes</v>
      </c>
      <c r="N232" s="197">
        <v>89000000</v>
      </c>
      <c r="O232" s="197"/>
      <c r="P232" s="385"/>
      <c r="Q232" s="197"/>
      <c r="R232" s="182"/>
      <c r="S232" s="197"/>
      <c r="T232" s="182"/>
      <c r="U232" s="182"/>
      <c r="V232" s="182"/>
      <c r="W232" s="182"/>
      <c r="X232" s="182"/>
      <c r="Y232" s="182"/>
      <c r="Z232" s="182"/>
      <c r="AA232" s="399" t="s">
        <v>49</v>
      </c>
      <c r="AB232" s="372"/>
      <c r="AC232" s="372"/>
      <c r="AD232" s="372" t="str">
        <f t="shared" si="26"/>
        <v>Industry</v>
      </c>
      <c r="AE232" s="372"/>
      <c r="AF232" s="372"/>
      <c r="AG232" s="372"/>
    </row>
    <row r="233" ht="12.75" spans="1:33">
      <c r="A233" s="356"/>
      <c r="B233" s="215" t="s">
        <v>41</v>
      </c>
      <c r="C233" s="215" t="s">
        <v>1139</v>
      </c>
      <c r="D233" s="215" t="s">
        <v>1201</v>
      </c>
      <c r="E233" s="215" t="s">
        <v>360</v>
      </c>
      <c r="F233" s="215" t="s">
        <v>1202</v>
      </c>
      <c r="G233" s="361">
        <v>42937</v>
      </c>
      <c r="H233" s="360">
        <f t="shared" si="28"/>
        <v>2937</v>
      </c>
      <c r="I233" s="356" t="s">
        <v>1203</v>
      </c>
      <c r="J233" s="375" t="s">
        <v>1204</v>
      </c>
      <c r="K233" s="384">
        <v>6070</v>
      </c>
      <c r="L233" s="184" t="s">
        <v>454</v>
      </c>
      <c r="M233" s="199" t="str">
        <f t="shared" si="9"/>
        <v>Yes</v>
      </c>
      <c r="N233" s="199"/>
      <c r="O233" s="199"/>
      <c r="P233" s="380"/>
      <c r="Q233" s="199"/>
      <c r="R233" s="184"/>
      <c r="S233" s="199"/>
      <c r="T233" s="205"/>
      <c r="U233" s="205"/>
      <c r="V233" s="184"/>
      <c r="W233" s="184"/>
      <c r="X233" s="184"/>
      <c r="Y233" s="184"/>
      <c r="Z233" s="184"/>
      <c r="AA233" s="396" t="s">
        <v>49</v>
      </c>
      <c r="AB233" s="376"/>
      <c r="AC233" s="376"/>
      <c r="AD233" s="376" t="str">
        <f t="shared" si="26"/>
        <v>Industry</v>
      </c>
      <c r="AE233" s="376"/>
      <c r="AF233" s="376"/>
      <c r="AG233" s="376"/>
    </row>
    <row r="234" ht="12.75" spans="1:33">
      <c r="A234" s="353" t="s">
        <v>1205</v>
      </c>
      <c r="B234" s="192" t="s">
        <v>41</v>
      </c>
      <c r="C234" s="192" t="s">
        <v>724</v>
      </c>
      <c r="D234" s="192" t="s">
        <v>1206</v>
      </c>
      <c r="E234" s="192" t="s">
        <v>35</v>
      </c>
      <c r="F234" s="192" t="s">
        <v>1207</v>
      </c>
      <c r="G234" s="367">
        <v>42954</v>
      </c>
      <c r="H234" s="363">
        <f t="shared" si="28"/>
        <v>2954</v>
      </c>
      <c r="I234" s="353" t="s">
        <v>1208</v>
      </c>
      <c r="J234" s="371" t="s">
        <v>1209</v>
      </c>
      <c r="K234" s="236">
        <v>8416</v>
      </c>
      <c r="L234" s="182" t="s">
        <v>454</v>
      </c>
      <c r="M234" s="197" t="str">
        <f t="shared" si="9"/>
        <v>Yes</v>
      </c>
      <c r="N234" s="197">
        <v>34000000</v>
      </c>
      <c r="O234" s="197"/>
      <c r="P234" s="385"/>
      <c r="Q234" s="197"/>
      <c r="R234" s="182"/>
      <c r="S234" s="197">
        <v>97000000000</v>
      </c>
      <c r="T234" s="204"/>
      <c r="U234" s="204"/>
      <c r="V234" s="182"/>
      <c r="W234" s="182"/>
      <c r="X234" s="182"/>
      <c r="Y234" s="182"/>
      <c r="Z234" s="182"/>
      <c r="AA234" s="399" t="s">
        <v>49</v>
      </c>
      <c r="AB234" s="372"/>
      <c r="AC234" s="372"/>
      <c r="AD234" s="372" t="str">
        <f t="shared" si="26"/>
        <v>Industry</v>
      </c>
      <c r="AE234" s="372"/>
      <c r="AF234" s="372"/>
      <c r="AG234" s="372"/>
    </row>
    <row r="235" ht="12.75" spans="1:33">
      <c r="A235" s="356" t="s">
        <v>1210</v>
      </c>
      <c r="B235" s="215" t="s">
        <v>41</v>
      </c>
      <c r="C235" s="215" t="s">
        <v>724</v>
      </c>
      <c r="D235" s="215" t="s">
        <v>1206</v>
      </c>
      <c r="E235" s="215" t="s">
        <v>35</v>
      </c>
      <c r="F235" s="215" t="s">
        <v>1207</v>
      </c>
      <c r="G235" s="361">
        <v>42954</v>
      </c>
      <c r="H235" s="360">
        <f t="shared" si="28"/>
        <v>2954</v>
      </c>
      <c r="I235" s="356" t="s">
        <v>1208</v>
      </c>
      <c r="J235" s="375" t="s">
        <v>1209</v>
      </c>
      <c r="K235" s="379">
        <v>8416</v>
      </c>
      <c r="L235" s="184" t="s">
        <v>454</v>
      </c>
      <c r="M235" s="199" t="str">
        <f t="shared" si="9"/>
        <v>Yes</v>
      </c>
      <c r="N235" s="199">
        <v>53000000</v>
      </c>
      <c r="O235" s="199"/>
      <c r="P235" s="380"/>
      <c r="Q235" s="199"/>
      <c r="R235" s="184"/>
      <c r="S235" s="199">
        <v>127000000000</v>
      </c>
      <c r="T235" s="205"/>
      <c r="U235" s="205"/>
      <c r="V235" s="184"/>
      <c r="W235" s="184"/>
      <c r="X235" s="184"/>
      <c r="Y235" s="184"/>
      <c r="Z235" s="184"/>
      <c r="AA235" s="396" t="s">
        <v>49</v>
      </c>
      <c r="AB235" s="376"/>
      <c r="AC235" s="376"/>
      <c r="AD235" s="376" t="str">
        <f t="shared" si="26"/>
        <v>Industry</v>
      </c>
      <c r="AE235" s="376"/>
      <c r="AF235" s="376"/>
      <c r="AG235" s="376"/>
    </row>
    <row r="236" ht="12.75" spans="1:33">
      <c r="A236" s="353"/>
      <c r="B236" s="192" t="s">
        <v>41</v>
      </c>
      <c r="C236" s="192" t="s">
        <v>176</v>
      </c>
      <c r="D236" s="192" t="s">
        <v>1211</v>
      </c>
      <c r="E236" s="192" t="s">
        <v>327</v>
      </c>
      <c r="F236" s="192" t="s">
        <v>1212</v>
      </c>
      <c r="G236" s="367">
        <v>42962</v>
      </c>
      <c r="H236" s="363">
        <f t="shared" si="28"/>
        <v>2962</v>
      </c>
      <c r="I236" s="353" t="s">
        <v>1213</v>
      </c>
      <c r="J236" s="371" t="s">
        <v>1214</v>
      </c>
      <c r="K236" s="238">
        <v>1448</v>
      </c>
      <c r="L236" s="182" t="s">
        <v>454</v>
      </c>
      <c r="M236" s="197" t="str">
        <f t="shared" si="9"/>
        <v>Yes</v>
      </c>
      <c r="N236" s="197"/>
      <c r="O236" s="197"/>
      <c r="P236" s="385"/>
      <c r="Q236" s="197"/>
      <c r="R236" s="182"/>
      <c r="S236" s="197"/>
      <c r="T236" s="204"/>
      <c r="U236" s="204"/>
      <c r="V236" s="182"/>
      <c r="W236" s="182"/>
      <c r="X236" s="182"/>
      <c r="Y236" s="182"/>
      <c r="Z236" s="182"/>
      <c r="AA236" s="399" t="s">
        <v>49</v>
      </c>
      <c r="AB236" s="372"/>
      <c r="AC236" s="372"/>
      <c r="AD236" s="372" t="str">
        <f t="shared" si="26"/>
        <v>Industry</v>
      </c>
      <c r="AE236" s="372"/>
      <c r="AF236" s="372"/>
      <c r="AG236" s="372"/>
    </row>
    <row r="237" ht="12.75" spans="1:33">
      <c r="A237" s="356" t="s">
        <v>1215</v>
      </c>
      <c r="B237" s="215" t="s">
        <v>434</v>
      </c>
      <c r="C237" s="215" t="s">
        <v>1216</v>
      </c>
      <c r="D237" s="215" t="s">
        <v>1217</v>
      </c>
      <c r="E237" s="215" t="s">
        <v>134</v>
      </c>
      <c r="F237" s="215" t="s">
        <v>1218</v>
      </c>
      <c r="G237" s="361">
        <v>42963</v>
      </c>
      <c r="H237" s="360">
        <f t="shared" si="28"/>
        <v>2963</v>
      </c>
      <c r="I237" s="356" t="s">
        <v>1219</v>
      </c>
      <c r="J237" s="375" t="s">
        <v>1220</v>
      </c>
      <c r="K237" s="379">
        <v>2425</v>
      </c>
      <c r="L237" s="184" t="s">
        <v>454</v>
      </c>
      <c r="M237" s="199" t="str">
        <f t="shared" si="9"/>
        <v>Yes</v>
      </c>
      <c r="N237" s="199"/>
      <c r="O237" s="199"/>
      <c r="P237" s="380"/>
      <c r="Q237" s="199"/>
      <c r="R237" s="184"/>
      <c r="S237" s="199"/>
      <c r="T237" s="205"/>
      <c r="U237" s="205"/>
      <c r="V237" s="184"/>
      <c r="W237" s="184"/>
      <c r="X237" s="184"/>
      <c r="Y237" s="184"/>
      <c r="Z237" s="184"/>
      <c r="AA237" s="396" t="s">
        <v>49</v>
      </c>
      <c r="AB237" s="376"/>
      <c r="AC237" s="376"/>
      <c r="AD237" s="376" t="str">
        <f t="shared" si="26"/>
        <v>Academia</v>
      </c>
      <c r="AE237" s="376"/>
      <c r="AF237" s="376"/>
      <c r="AG237" s="376"/>
    </row>
    <row r="238" ht="12.75" spans="1:33">
      <c r="A238" s="353" t="s">
        <v>1221</v>
      </c>
      <c r="B238" s="192" t="s">
        <v>41</v>
      </c>
      <c r="C238" s="192" t="s">
        <v>176</v>
      </c>
      <c r="D238" s="192" t="s">
        <v>1222</v>
      </c>
      <c r="E238" s="192" t="s">
        <v>134</v>
      </c>
      <c r="F238" s="192" t="s">
        <v>1223</v>
      </c>
      <c r="G238" s="367">
        <v>42983</v>
      </c>
      <c r="H238" s="363">
        <f t="shared" si="28"/>
        <v>2983</v>
      </c>
      <c r="I238" s="353" t="s">
        <v>1224</v>
      </c>
      <c r="J238" s="371" t="s">
        <v>1225</v>
      </c>
      <c r="K238" s="236">
        <v>7943</v>
      </c>
      <c r="L238" s="182" t="s">
        <v>454</v>
      </c>
      <c r="M238" s="197" t="str">
        <f t="shared" si="9"/>
        <v>Yes</v>
      </c>
      <c r="N238" s="197">
        <v>28100000</v>
      </c>
      <c r="O238" s="197"/>
      <c r="P238" s="385" t="s">
        <v>184</v>
      </c>
      <c r="Q238" s="197"/>
      <c r="R238" s="182"/>
      <c r="S238" s="197">
        <f>3.87*1000000000</f>
        <v>3870000000</v>
      </c>
      <c r="T238" s="206"/>
      <c r="U238" s="206"/>
      <c r="V238" s="182"/>
      <c r="W238" s="182"/>
      <c r="X238" s="182"/>
      <c r="Y238" s="182"/>
      <c r="Z238" s="182"/>
      <c r="AA238" s="399" t="s">
        <v>49</v>
      </c>
      <c r="AB238" s="372"/>
      <c r="AC238" s="372"/>
      <c r="AD238" s="372" t="str">
        <f t="shared" si="26"/>
        <v>Academia</v>
      </c>
      <c r="AE238" s="372"/>
      <c r="AF238" s="372"/>
      <c r="AG238" s="372"/>
    </row>
    <row r="239" ht="12.75" spans="1:33">
      <c r="A239" s="356"/>
      <c r="B239" s="215" t="s">
        <v>41</v>
      </c>
      <c r="C239" s="215" t="s">
        <v>694</v>
      </c>
      <c r="D239" s="215" t="s">
        <v>1226</v>
      </c>
      <c r="E239" s="215" t="s">
        <v>134</v>
      </c>
      <c r="F239" s="215" t="s">
        <v>1227</v>
      </c>
      <c r="G239" s="361">
        <v>43030</v>
      </c>
      <c r="H239" s="360">
        <f t="shared" si="28"/>
        <v>3030</v>
      </c>
      <c r="I239" s="356" t="s">
        <v>1228</v>
      </c>
      <c r="J239" s="375" t="s">
        <v>1229</v>
      </c>
      <c r="K239" s="384">
        <v>1399</v>
      </c>
      <c r="L239" s="184" t="s">
        <v>454</v>
      </c>
      <c r="M239" s="199" t="str">
        <f t="shared" si="9"/>
        <v>Yes</v>
      </c>
      <c r="N239" s="199"/>
      <c r="O239" s="411"/>
      <c r="P239" s="380"/>
      <c r="Q239" s="199"/>
      <c r="R239" s="184"/>
      <c r="S239" s="199"/>
      <c r="T239" s="205"/>
      <c r="U239" s="205"/>
      <c r="V239" s="184"/>
      <c r="W239" s="184"/>
      <c r="X239" s="184"/>
      <c r="Y239" s="184"/>
      <c r="Z239" s="184"/>
      <c r="AA239" s="396" t="s">
        <v>49</v>
      </c>
      <c r="AB239" s="376"/>
      <c r="AC239" s="376"/>
      <c r="AD239" s="376" t="str">
        <f t="shared" si="26"/>
        <v>Academia</v>
      </c>
      <c r="AE239" s="376"/>
      <c r="AF239" s="376"/>
      <c r="AG239" s="376"/>
    </row>
    <row r="240" ht="12.75" spans="1:33">
      <c r="A240" s="353" t="s">
        <v>1230</v>
      </c>
      <c r="B240" s="192" t="s">
        <v>41</v>
      </c>
      <c r="C240" s="192" t="s">
        <v>1231</v>
      </c>
      <c r="D240" s="192" t="s">
        <v>262</v>
      </c>
      <c r="E240" s="192" t="s">
        <v>35</v>
      </c>
      <c r="F240" s="192" t="s">
        <v>1232</v>
      </c>
      <c r="G240" s="367">
        <v>43034</v>
      </c>
      <c r="H240" s="363">
        <f t="shared" si="28"/>
        <v>3034</v>
      </c>
      <c r="I240" s="353" t="s">
        <v>1233</v>
      </c>
      <c r="J240" s="371" t="s">
        <v>1234</v>
      </c>
      <c r="K240" s="236">
        <v>2739</v>
      </c>
      <c r="L240" s="182" t="s">
        <v>454</v>
      </c>
      <c r="M240" s="197" t="str">
        <f t="shared" si="9"/>
        <v>Yes</v>
      </c>
      <c r="N240" s="197">
        <v>8200000</v>
      </c>
      <c r="O240" s="197"/>
      <c r="P240" s="385"/>
      <c r="Q240" s="197"/>
      <c r="R240" s="182"/>
      <c r="S240" s="197"/>
      <c r="T240" s="182"/>
      <c r="U240" s="182"/>
      <c r="V240" s="182"/>
      <c r="W240" s="182"/>
      <c r="X240" s="182"/>
      <c r="Y240" s="182"/>
      <c r="Z240" s="182"/>
      <c r="AA240" s="399" t="s">
        <v>49</v>
      </c>
      <c r="AB240" s="372"/>
      <c r="AC240" s="372"/>
      <c r="AD240" s="372" t="str">
        <f t="shared" si="26"/>
        <v>Industry</v>
      </c>
      <c r="AE240" s="372"/>
      <c r="AF240" s="372"/>
      <c r="AG240" s="372"/>
    </row>
    <row r="241" ht="12.75" spans="1:33">
      <c r="A241" s="356" t="s">
        <v>1235</v>
      </c>
      <c r="B241" s="215" t="s">
        <v>41</v>
      </c>
      <c r="C241" s="215" t="s">
        <v>1231</v>
      </c>
      <c r="D241" s="215" t="s">
        <v>262</v>
      </c>
      <c r="E241" s="215" t="s">
        <v>35</v>
      </c>
      <c r="F241" s="215" t="s">
        <v>1232</v>
      </c>
      <c r="G241" s="361">
        <v>43034</v>
      </c>
      <c r="H241" s="360">
        <f t="shared" si="28"/>
        <v>3034</v>
      </c>
      <c r="I241" s="356" t="s">
        <v>1233</v>
      </c>
      <c r="J241" s="375" t="s">
        <v>1234</v>
      </c>
      <c r="K241" s="379">
        <v>2739</v>
      </c>
      <c r="L241" s="184" t="s">
        <v>454</v>
      </c>
      <c r="M241" s="199" t="str">
        <f t="shared" si="9"/>
        <v>Yes</v>
      </c>
      <c r="N241" s="199">
        <v>11360000</v>
      </c>
      <c r="O241" s="199"/>
      <c r="P241" s="380"/>
      <c r="Q241" s="199"/>
      <c r="R241" s="184"/>
      <c r="S241" s="199"/>
      <c r="T241" s="184"/>
      <c r="U241" s="184"/>
      <c r="V241" s="184"/>
      <c r="W241" s="184"/>
      <c r="X241" s="184"/>
      <c r="Y241" s="184"/>
      <c r="Z241" s="184"/>
      <c r="AA241" s="396" t="s">
        <v>49</v>
      </c>
      <c r="AB241" s="376"/>
      <c r="AC241" s="376"/>
      <c r="AD241" s="376" t="str">
        <f t="shared" si="26"/>
        <v>Industry</v>
      </c>
      <c r="AE241" s="376"/>
      <c r="AF241" s="376"/>
      <c r="AG241" s="376"/>
    </row>
    <row r="242" ht="12.75" spans="1:33">
      <c r="A242" s="353"/>
      <c r="B242" s="192" t="s">
        <v>41</v>
      </c>
      <c r="C242" s="192" t="s">
        <v>964</v>
      </c>
      <c r="D242" s="192" t="s">
        <v>1236</v>
      </c>
      <c r="E242" s="192" t="s">
        <v>35</v>
      </c>
      <c r="F242" s="192" t="s">
        <v>1237</v>
      </c>
      <c r="G242" s="367">
        <v>43035</v>
      </c>
      <c r="H242" s="363">
        <f t="shared" si="28"/>
        <v>3035</v>
      </c>
      <c r="I242" s="353" t="s">
        <v>1238</v>
      </c>
      <c r="J242" s="371" t="s">
        <v>1239</v>
      </c>
      <c r="K242" s="238">
        <v>3908</v>
      </c>
      <c r="L242" s="182" t="s">
        <v>454</v>
      </c>
      <c r="M242" s="197" t="str">
        <f t="shared" si="9"/>
        <v>Yes</v>
      </c>
      <c r="N242" s="197"/>
      <c r="O242" s="197"/>
      <c r="P242" s="385"/>
      <c r="Q242" s="197"/>
      <c r="R242" s="182"/>
      <c r="S242" s="197"/>
      <c r="T242" s="182"/>
      <c r="U242" s="182"/>
      <c r="V242" s="182"/>
      <c r="W242" s="182"/>
      <c r="X242" s="182"/>
      <c r="Y242" s="182"/>
      <c r="Z242" s="182"/>
      <c r="AA242" s="399" t="s">
        <v>49</v>
      </c>
      <c r="AB242" s="372"/>
      <c r="AC242" s="372"/>
      <c r="AD242" s="372" t="str">
        <f t="shared" si="26"/>
        <v>Industry</v>
      </c>
      <c r="AE242" s="372"/>
      <c r="AF242" s="372"/>
      <c r="AG242" s="372"/>
    </row>
    <row r="243" ht="12.75" spans="1:33">
      <c r="A243" s="356"/>
      <c r="B243" s="215" t="s">
        <v>41</v>
      </c>
      <c r="C243" s="215" t="s">
        <v>694</v>
      </c>
      <c r="D243" s="215" t="s">
        <v>1240</v>
      </c>
      <c r="E243" s="215" t="s">
        <v>134</v>
      </c>
      <c r="F243" s="215" t="s">
        <v>1241</v>
      </c>
      <c r="G243" s="361">
        <v>43060</v>
      </c>
      <c r="H243" s="360">
        <f t="shared" si="28"/>
        <v>3060</v>
      </c>
      <c r="I243" s="356" t="s">
        <v>1242</v>
      </c>
      <c r="J243" s="375" t="s">
        <v>1243</v>
      </c>
      <c r="K243" s="384">
        <v>1986</v>
      </c>
      <c r="L243" s="184" t="s">
        <v>454</v>
      </c>
      <c r="M243" s="199" t="str">
        <f t="shared" si="9"/>
        <v>Yes</v>
      </c>
      <c r="N243" s="199"/>
      <c r="O243" s="199"/>
      <c r="P243" s="380"/>
      <c r="Q243" s="199"/>
      <c r="R243" s="184"/>
      <c r="S243" s="199"/>
      <c r="T243" s="184"/>
      <c r="U243" s="184"/>
      <c r="V243" s="184"/>
      <c r="W243" s="184"/>
      <c r="X243" s="184"/>
      <c r="Y243" s="184"/>
      <c r="Z243" s="184"/>
      <c r="AA243" s="396" t="s">
        <v>49</v>
      </c>
      <c r="AB243" s="376"/>
      <c r="AC243" s="376"/>
      <c r="AD243" s="376" t="str">
        <f t="shared" si="26"/>
        <v>Academia</v>
      </c>
      <c r="AE243" s="376"/>
      <c r="AF243" s="376"/>
      <c r="AG243" s="376"/>
    </row>
    <row r="244" ht="12.75" spans="1:33">
      <c r="A244" s="353" t="s">
        <v>1244</v>
      </c>
      <c r="B244" s="192" t="s">
        <v>41</v>
      </c>
      <c r="C244" s="192" t="s">
        <v>176</v>
      </c>
      <c r="D244" s="192" t="s">
        <v>1114</v>
      </c>
      <c r="E244" s="192" t="s">
        <v>44</v>
      </c>
      <c r="F244" s="192" t="s">
        <v>1115</v>
      </c>
      <c r="G244" s="367">
        <v>43071</v>
      </c>
      <c r="H244" s="363">
        <f t="shared" si="28"/>
        <v>3071</v>
      </c>
      <c r="I244" s="353" t="s">
        <v>1116</v>
      </c>
      <c r="J244" s="371" t="s">
        <v>1117</v>
      </c>
      <c r="K244" s="236">
        <v>1154</v>
      </c>
      <c r="L244" s="182" t="s">
        <v>454</v>
      </c>
      <c r="M244" s="197" t="str">
        <f t="shared" si="9"/>
        <v>Yes</v>
      </c>
      <c r="N244" s="197">
        <v>86000000</v>
      </c>
      <c r="O244" s="197"/>
      <c r="P244" s="385"/>
      <c r="Q244" s="197"/>
      <c r="R244" s="182"/>
      <c r="S244" s="197"/>
      <c r="T244" s="204"/>
      <c r="U244" s="204"/>
      <c r="V244" s="182"/>
      <c r="W244" s="182"/>
      <c r="X244" s="182"/>
      <c r="Y244" s="182"/>
      <c r="Z244" s="182"/>
      <c r="AA244" s="399" t="s">
        <v>49</v>
      </c>
      <c r="AB244" s="372"/>
      <c r="AC244" s="372"/>
      <c r="AD244" s="372" t="str">
        <f t="shared" si="26"/>
        <v>Industry</v>
      </c>
      <c r="AE244" s="372"/>
      <c r="AF244" s="372"/>
      <c r="AG244" s="372"/>
    </row>
    <row r="245" ht="12.75" spans="1:33">
      <c r="A245" s="356" t="s">
        <v>1245</v>
      </c>
      <c r="B245" s="215" t="s">
        <v>51</v>
      </c>
      <c r="C245" s="215" t="s">
        <v>144</v>
      </c>
      <c r="D245" s="215" t="s">
        <v>85</v>
      </c>
      <c r="E245" s="215" t="s">
        <v>35</v>
      </c>
      <c r="F245" s="215" t="s">
        <v>1246</v>
      </c>
      <c r="G245" s="361">
        <v>42639</v>
      </c>
      <c r="H245" s="360">
        <f t="shared" si="28"/>
        <v>2639</v>
      </c>
      <c r="I245" s="356" t="s">
        <v>1247</v>
      </c>
      <c r="J245" s="375" t="s">
        <v>1248</v>
      </c>
      <c r="K245" s="379">
        <v>4499</v>
      </c>
      <c r="L245" s="184" t="s">
        <v>454</v>
      </c>
      <c r="M245" s="199" t="str">
        <f t="shared" si="9"/>
        <v>Yes</v>
      </c>
      <c r="N245" s="199">
        <f>278000000</f>
        <v>278000000</v>
      </c>
      <c r="O245" s="199">
        <f>6.9E+21</f>
        <v>6.9e+21</v>
      </c>
      <c r="P245" s="380"/>
      <c r="Q245" s="199">
        <f>36000000*10</f>
        <v>360000000</v>
      </c>
      <c r="R245" s="184"/>
      <c r="S245" s="199"/>
      <c r="T245" s="184"/>
      <c r="U245" s="184"/>
      <c r="V245" s="184"/>
      <c r="W245" s="184"/>
      <c r="X245" s="184"/>
      <c r="Y245" s="184"/>
      <c r="Z245" s="184"/>
      <c r="AA245" s="396">
        <v>307573.498950631</v>
      </c>
      <c r="AB245" s="376"/>
      <c r="AC245" s="376"/>
      <c r="AD245" s="376" t="str">
        <f t="shared" si="26"/>
        <v>Industry</v>
      </c>
      <c r="AE245" s="376" t="s">
        <v>1249</v>
      </c>
      <c r="AF245" s="376"/>
      <c r="AG245" s="376"/>
    </row>
    <row r="246" ht="12.75" spans="1:33">
      <c r="A246" s="353" t="s">
        <v>1250</v>
      </c>
      <c r="B246" s="192" t="s">
        <v>41</v>
      </c>
      <c r="C246" s="359"/>
      <c r="D246" s="192" t="s">
        <v>262</v>
      </c>
      <c r="E246" s="192" t="s">
        <v>35</v>
      </c>
      <c r="F246" s="192" t="s">
        <v>1251</v>
      </c>
      <c r="G246" s="367">
        <v>42679</v>
      </c>
      <c r="H246" s="363">
        <f t="shared" si="28"/>
        <v>2679</v>
      </c>
      <c r="I246" s="353" t="s">
        <v>1252</v>
      </c>
      <c r="J246" s="371" t="s">
        <v>1253</v>
      </c>
      <c r="K246" s="236">
        <v>2965</v>
      </c>
      <c r="L246" s="182" t="s">
        <v>454</v>
      </c>
      <c r="M246" s="197" t="str">
        <f t="shared" si="9"/>
        <v>Yes</v>
      </c>
      <c r="N246" s="197">
        <v>37400000</v>
      </c>
      <c r="O246" s="197">
        <f>22*100000000000000000000</f>
        <v>2.2e+21</v>
      </c>
      <c r="P246" s="385"/>
      <c r="Q246" s="197"/>
      <c r="R246" s="182">
        <v>39</v>
      </c>
      <c r="S246" s="197"/>
      <c r="T246" s="182"/>
      <c r="U246" s="182"/>
      <c r="V246" s="182"/>
      <c r="W246" s="182"/>
      <c r="X246" s="182"/>
      <c r="Y246" s="182"/>
      <c r="Z246" s="182"/>
      <c r="AA246" s="399">
        <v>13069.3458085824</v>
      </c>
      <c r="AB246" s="372"/>
      <c r="AC246" s="372"/>
      <c r="AD246" s="372" t="str">
        <f t="shared" si="26"/>
        <v>Industry</v>
      </c>
      <c r="AE246" s="372" t="s">
        <v>1254</v>
      </c>
      <c r="AF246" s="372"/>
      <c r="AG246" s="372"/>
    </row>
    <row r="247" ht="12.75" spans="1:33">
      <c r="A247" s="356" t="s">
        <v>1255</v>
      </c>
      <c r="B247" s="215" t="s">
        <v>256</v>
      </c>
      <c r="C247" s="215" t="s">
        <v>1077</v>
      </c>
      <c r="D247" s="215" t="s">
        <v>71</v>
      </c>
      <c r="E247" s="215" t="s">
        <v>35</v>
      </c>
      <c r="F247" s="215" t="s">
        <v>1256</v>
      </c>
      <c r="G247" s="361">
        <v>42396</v>
      </c>
      <c r="H247" s="360">
        <f t="shared" si="28"/>
        <v>2396</v>
      </c>
      <c r="I247" s="356" t="s">
        <v>1257</v>
      </c>
      <c r="J247" s="375" t="s">
        <v>1258</v>
      </c>
      <c r="K247" s="379">
        <v>10781</v>
      </c>
      <c r="L247" s="184" t="s">
        <v>454</v>
      </c>
      <c r="M247" s="199" t="str">
        <f t="shared" si="9"/>
        <v>Yes</v>
      </c>
      <c r="N247" s="205"/>
      <c r="O247" s="377">
        <v>1.9e+21</v>
      </c>
      <c r="P247" s="380"/>
      <c r="Q247" s="199">
        <v>29400000</v>
      </c>
      <c r="R247" s="184"/>
      <c r="S247" s="199"/>
      <c r="T247" s="184"/>
      <c r="U247" s="184"/>
      <c r="V247" s="184"/>
      <c r="W247" s="184"/>
      <c r="X247" s="184"/>
      <c r="Y247" s="184"/>
      <c r="Z247" s="184"/>
      <c r="AA247" s="396">
        <v>14041.8044022234</v>
      </c>
      <c r="AB247" s="376"/>
      <c r="AC247" s="376"/>
      <c r="AD247" s="376" t="str">
        <f t="shared" si="26"/>
        <v>Industry</v>
      </c>
      <c r="AE247" s="376" t="s">
        <v>1259</v>
      </c>
      <c r="AF247" s="376"/>
      <c r="AG247" s="376"/>
    </row>
    <row r="248" ht="12.75" spans="1:33">
      <c r="A248" s="353" t="s">
        <v>1260</v>
      </c>
      <c r="B248" s="192" t="s">
        <v>41</v>
      </c>
      <c r="C248" s="192" t="s">
        <v>176</v>
      </c>
      <c r="D248" s="192" t="s">
        <v>85</v>
      </c>
      <c r="E248" s="192" t="s">
        <v>35</v>
      </c>
      <c r="F248" s="192" t="s">
        <v>1261</v>
      </c>
      <c r="G248" s="367">
        <v>42650</v>
      </c>
      <c r="H248" s="363">
        <f t="shared" si="28"/>
        <v>2650</v>
      </c>
      <c r="I248" s="353" t="s">
        <v>1262</v>
      </c>
      <c r="J248" s="371" t="s">
        <v>1263</v>
      </c>
      <c r="K248" s="236">
        <v>5844</v>
      </c>
      <c r="L248" s="182" t="s">
        <v>454</v>
      </c>
      <c r="M248" s="197" t="str">
        <f t="shared" si="9"/>
        <v>Yes</v>
      </c>
      <c r="N248" s="197">
        <v>22855952</v>
      </c>
      <c r="O248" s="197">
        <f>60*3*24*60*60*8.5*0.33*1000000000000</f>
        <v>4.362336e+19</v>
      </c>
      <c r="P248" s="385" t="s">
        <v>1098</v>
      </c>
      <c r="Q248" s="197">
        <v>350000000</v>
      </c>
      <c r="R248" s="182"/>
      <c r="S248" s="197">
        <f>8400000000*2</f>
        <v>16800000000</v>
      </c>
      <c r="T248" s="182"/>
      <c r="U248" s="182"/>
      <c r="V248" s="182"/>
      <c r="W248" s="182"/>
      <c r="X248" s="182"/>
      <c r="Y248" s="182"/>
      <c r="Z248" s="182"/>
      <c r="AA248" s="399">
        <v>1961.33825417794</v>
      </c>
      <c r="AB248" s="372"/>
      <c r="AC248" s="372"/>
      <c r="AD248" s="372" t="str">
        <f t="shared" si="26"/>
        <v>Industry</v>
      </c>
      <c r="AE248" s="372" t="s">
        <v>1264</v>
      </c>
      <c r="AF248" s="372"/>
      <c r="AG248" s="372"/>
    </row>
    <row r="249" ht="12.75" spans="1:33">
      <c r="A249" s="356" t="s">
        <v>1265</v>
      </c>
      <c r="B249" s="215" t="s">
        <v>51</v>
      </c>
      <c r="C249" s="215" t="s">
        <v>1266</v>
      </c>
      <c r="D249" s="215" t="s">
        <v>1267</v>
      </c>
      <c r="E249" s="215" t="s">
        <v>134</v>
      </c>
      <c r="F249" s="215" t="s">
        <v>1268</v>
      </c>
      <c r="G249" s="357">
        <v>42572</v>
      </c>
      <c r="H249" s="360">
        <f t="shared" si="28"/>
        <v>2572</v>
      </c>
      <c r="I249" s="356" t="s">
        <v>1269</v>
      </c>
      <c r="J249" s="375" t="s">
        <v>1270</v>
      </c>
      <c r="K249" s="379">
        <v>4125</v>
      </c>
      <c r="L249" s="184" t="s">
        <v>454</v>
      </c>
      <c r="M249" s="199" t="str">
        <f t="shared" si="9"/>
        <v>Yes</v>
      </c>
      <c r="N249" s="199"/>
      <c r="O249" s="199">
        <f>12*3600*10200000000000*0.33</f>
        <v>1.454112e+17</v>
      </c>
      <c r="P249" s="380"/>
      <c r="Q249" s="199"/>
      <c r="R249" s="184"/>
      <c r="S249" s="199"/>
      <c r="T249" s="184"/>
      <c r="U249" s="184">
        <v>12</v>
      </c>
      <c r="V249" s="184"/>
      <c r="W249" s="184"/>
      <c r="X249" s="184"/>
      <c r="Y249" s="184"/>
      <c r="Z249" s="184"/>
      <c r="AA249" s="396">
        <v>0.96778739473914</v>
      </c>
      <c r="AB249" s="376"/>
      <c r="AC249" s="376"/>
      <c r="AD249" s="376" t="str">
        <f t="shared" si="26"/>
        <v>Academia</v>
      </c>
      <c r="AE249" s="376"/>
      <c r="AF249" s="376"/>
      <c r="AG249" s="376"/>
    </row>
    <row r="250" ht="12.75" spans="1:33">
      <c r="A250" s="353" t="s">
        <v>1271</v>
      </c>
      <c r="B250" s="192" t="s">
        <v>51</v>
      </c>
      <c r="C250" s="192" t="s">
        <v>1271</v>
      </c>
      <c r="D250" s="192" t="s">
        <v>1267</v>
      </c>
      <c r="E250" s="192" t="s">
        <v>134</v>
      </c>
      <c r="F250" s="192" t="s">
        <v>1268</v>
      </c>
      <c r="G250" s="367">
        <v>42572</v>
      </c>
      <c r="H250" s="363">
        <f t="shared" si="28"/>
        <v>2572</v>
      </c>
      <c r="I250" s="353" t="s">
        <v>1272</v>
      </c>
      <c r="J250" s="371" t="s">
        <v>1270</v>
      </c>
      <c r="K250" s="236">
        <v>4125</v>
      </c>
      <c r="L250" s="182" t="s">
        <v>454</v>
      </c>
      <c r="M250" s="197" t="str">
        <f t="shared" si="9"/>
        <v>Yes</v>
      </c>
      <c r="N250" s="197"/>
      <c r="O250" s="197">
        <f>8*3600*10200000000000*0.33</f>
        <v>9.69408e+16</v>
      </c>
      <c r="P250" s="385"/>
      <c r="Q250" s="197"/>
      <c r="R250" s="182"/>
      <c r="S250" s="197"/>
      <c r="T250" s="182"/>
      <c r="U250" s="182">
        <v>8</v>
      </c>
      <c r="V250" s="182"/>
      <c r="W250" s="182"/>
      <c r="X250" s="182"/>
      <c r="Y250" s="182"/>
      <c r="Z250" s="182"/>
      <c r="AA250" s="399">
        <v>0.625835848597977</v>
      </c>
      <c r="AB250" s="372"/>
      <c r="AC250" s="372"/>
      <c r="AD250" s="372" t="str">
        <f t="shared" si="26"/>
        <v>Academia</v>
      </c>
      <c r="AE250" s="372"/>
      <c r="AF250" s="372"/>
      <c r="AG250" s="372"/>
    </row>
    <row r="251" ht="12.75" spans="1:33">
      <c r="A251" s="356" t="s">
        <v>1273</v>
      </c>
      <c r="B251" s="215" t="s">
        <v>41</v>
      </c>
      <c r="C251" s="215" t="s">
        <v>724</v>
      </c>
      <c r="D251" s="215" t="s">
        <v>1274</v>
      </c>
      <c r="E251" s="215" t="s">
        <v>44</v>
      </c>
      <c r="F251" s="215" t="s">
        <v>1275</v>
      </c>
      <c r="G251" s="361">
        <v>42542</v>
      </c>
      <c r="H251" s="360">
        <f t="shared" si="28"/>
        <v>2542</v>
      </c>
      <c r="I251" s="356" t="s">
        <v>1276</v>
      </c>
      <c r="J251" s="375" t="s">
        <v>1277</v>
      </c>
      <c r="K251" s="379">
        <v>4492</v>
      </c>
      <c r="L251" s="184" t="s">
        <v>454</v>
      </c>
      <c r="M251" s="199" t="str">
        <f t="shared" si="9"/>
        <v>Yes</v>
      </c>
      <c r="N251" s="199"/>
      <c r="O251" s="199">
        <f>4290000000000*(1464+9963+83000)*0.46*0.33</f>
        <v>6.1492939794e+16</v>
      </c>
      <c r="P251" s="380" t="s">
        <v>1278</v>
      </c>
      <c r="Q251" s="199">
        <f>(1464+9963+83000)</f>
        <v>94427</v>
      </c>
      <c r="R251" s="184"/>
      <c r="S251" s="199"/>
      <c r="T251" s="184"/>
      <c r="U251" s="184">
        <f>(1464+9963+83000)*0.46/3600</f>
        <v>12.0656722222222</v>
      </c>
      <c r="V251" s="184">
        <v>170</v>
      </c>
      <c r="W251" s="184"/>
      <c r="X251" s="184"/>
      <c r="Y251" s="184"/>
      <c r="Z251" s="184"/>
      <c r="AA251" s="396">
        <v>5.50580435006535</v>
      </c>
      <c r="AB251" s="376"/>
      <c r="AC251" s="376"/>
      <c r="AD251" s="376" t="str">
        <f t="shared" si="26"/>
        <v>Industry</v>
      </c>
      <c r="AE251" s="376"/>
      <c r="AF251" s="376"/>
      <c r="AG251" s="376"/>
    </row>
    <row r="252" ht="12.75" spans="1:33">
      <c r="A252" s="353"/>
      <c r="B252" s="192" t="s">
        <v>41</v>
      </c>
      <c r="C252" s="192" t="s">
        <v>1279</v>
      </c>
      <c r="D252" s="192" t="s">
        <v>1280</v>
      </c>
      <c r="E252" s="192" t="s">
        <v>134</v>
      </c>
      <c r="F252" s="192" t="s">
        <v>1281</v>
      </c>
      <c r="G252" s="367">
        <v>42399</v>
      </c>
      <c r="H252" s="363">
        <f t="shared" si="28"/>
        <v>2399</v>
      </c>
      <c r="I252" s="353" t="s">
        <v>1282</v>
      </c>
      <c r="J252" s="371" t="s">
        <v>1283</v>
      </c>
      <c r="K252" s="238">
        <v>2417</v>
      </c>
      <c r="L252" s="182" t="s">
        <v>454</v>
      </c>
      <c r="M252" s="197" t="str">
        <f t="shared" si="9"/>
        <v>Yes</v>
      </c>
      <c r="N252" s="200"/>
      <c r="O252" s="200"/>
      <c r="P252" s="374"/>
      <c r="Q252" s="200"/>
      <c r="R252" s="204"/>
      <c r="S252" s="200"/>
      <c r="T252" s="204"/>
      <c r="U252" s="204"/>
      <c r="V252" s="204"/>
      <c r="W252" s="204"/>
      <c r="X252" s="182"/>
      <c r="Y252" s="182"/>
      <c r="Z252" s="182"/>
      <c r="AA252" s="399" t="s">
        <v>49</v>
      </c>
      <c r="AB252" s="372"/>
      <c r="AC252" s="372"/>
      <c r="AD252" s="372" t="str">
        <f t="shared" si="26"/>
        <v>Academia</v>
      </c>
      <c r="AE252" s="372"/>
      <c r="AF252" s="372"/>
      <c r="AG252" s="372"/>
    </row>
    <row r="253" ht="12.75" spans="1:33">
      <c r="A253" s="356" t="s">
        <v>1284</v>
      </c>
      <c r="B253" s="215" t="s">
        <v>256</v>
      </c>
      <c r="C253" s="215" t="s">
        <v>482</v>
      </c>
      <c r="D253" s="215" t="s">
        <v>1285</v>
      </c>
      <c r="E253" s="215" t="s">
        <v>44</v>
      </c>
      <c r="F253" s="215" t="s">
        <v>1286</v>
      </c>
      <c r="G253" s="361">
        <v>42404</v>
      </c>
      <c r="H253" s="360">
        <f t="shared" si="28"/>
        <v>2404</v>
      </c>
      <c r="I253" s="356" t="s">
        <v>1287</v>
      </c>
      <c r="J253" s="375" t="s">
        <v>1288</v>
      </c>
      <c r="K253" s="379">
        <v>5284</v>
      </c>
      <c r="L253" s="184" t="s">
        <v>142</v>
      </c>
      <c r="M253" s="199" t="str">
        <f t="shared" si="9"/>
        <v>Yes</v>
      </c>
      <c r="N253" s="203"/>
      <c r="O253" s="203"/>
      <c r="P253" s="378"/>
      <c r="Q253" s="203"/>
      <c r="R253" s="205"/>
      <c r="S253" s="203"/>
      <c r="T253" s="205"/>
      <c r="U253" s="205"/>
      <c r="V253" s="205"/>
      <c r="W253" s="205"/>
      <c r="X253" s="184"/>
      <c r="Y253" s="184"/>
      <c r="Z253" s="184"/>
      <c r="AA253" s="396" t="s">
        <v>49</v>
      </c>
      <c r="AB253" s="376"/>
      <c r="AC253" s="376"/>
      <c r="AD253" s="376" t="str">
        <f t="shared" si="26"/>
        <v>Industry</v>
      </c>
      <c r="AE253" s="376"/>
      <c r="AF253" s="376"/>
      <c r="AG253" s="376"/>
    </row>
    <row r="254" ht="12.75" spans="1:33">
      <c r="A254" s="353" t="s">
        <v>1289</v>
      </c>
      <c r="B254" s="192" t="s">
        <v>41</v>
      </c>
      <c r="C254" s="192" t="s">
        <v>176</v>
      </c>
      <c r="D254" s="192" t="s">
        <v>85</v>
      </c>
      <c r="E254" s="192" t="s">
        <v>35</v>
      </c>
      <c r="F254" s="192" t="s">
        <v>1290</v>
      </c>
      <c r="G254" s="367">
        <v>42423</v>
      </c>
      <c r="H254" s="363">
        <f t="shared" si="28"/>
        <v>2423</v>
      </c>
      <c r="I254" s="353" t="s">
        <v>1291</v>
      </c>
      <c r="J254" s="371" t="s">
        <v>1292</v>
      </c>
      <c r="K254" s="236">
        <v>8213</v>
      </c>
      <c r="L254" s="182" t="s">
        <v>454</v>
      </c>
      <c r="M254" s="197" t="str">
        <f t="shared" si="9"/>
        <v>Yes</v>
      </c>
      <c r="N254" s="197">
        <v>43000000</v>
      </c>
      <c r="O254" s="200"/>
      <c r="P254" s="374"/>
      <c r="Q254" s="197"/>
      <c r="R254" s="182"/>
      <c r="S254" s="197">
        <f>12300000000*2</f>
        <v>24600000000</v>
      </c>
      <c r="T254" s="182"/>
      <c r="U254" s="182"/>
      <c r="V254" s="182"/>
      <c r="W254" s="182"/>
      <c r="X254" s="182"/>
      <c r="Y254" s="182"/>
      <c r="Z254" s="182"/>
      <c r="AA254" s="399" t="s">
        <v>49</v>
      </c>
      <c r="AB254" s="372"/>
      <c r="AC254" s="372"/>
      <c r="AD254" s="372" t="str">
        <f t="shared" si="26"/>
        <v>Industry</v>
      </c>
      <c r="AE254" s="372"/>
      <c r="AF254" s="372"/>
      <c r="AG254" s="372"/>
    </row>
    <row r="255" ht="12.75" spans="1:33">
      <c r="A255" s="356" t="s">
        <v>1293</v>
      </c>
      <c r="B255" s="215" t="s">
        <v>41</v>
      </c>
      <c r="C255" s="215" t="s">
        <v>176</v>
      </c>
      <c r="D255" s="215" t="s">
        <v>85</v>
      </c>
      <c r="E255" s="215" t="s">
        <v>35</v>
      </c>
      <c r="F255" s="215" t="s">
        <v>1290</v>
      </c>
      <c r="G255" s="361">
        <v>42423</v>
      </c>
      <c r="H255" s="360">
        <f t="shared" si="28"/>
        <v>2423</v>
      </c>
      <c r="I255" s="356" t="s">
        <v>1291</v>
      </c>
      <c r="J255" s="375" t="s">
        <v>1292</v>
      </c>
      <c r="K255" s="379">
        <v>8213</v>
      </c>
      <c r="L255" s="184" t="s">
        <v>454</v>
      </c>
      <c r="M255" s="199" t="str">
        <f t="shared" si="9"/>
        <v>Yes</v>
      </c>
      <c r="N255" s="199">
        <v>56000000</v>
      </c>
      <c r="O255" s="203"/>
      <c r="P255" s="378"/>
      <c r="Q255" s="199"/>
      <c r="R255" s="184"/>
      <c r="S255" s="199">
        <f>1319000000*2</f>
        <v>2638000000</v>
      </c>
      <c r="T255" s="184"/>
      <c r="U255" s="184"/>
      <c r="V255" s="184"/>
      <c r="W255" s="184"/>
      <c r="X255" s="184"/>
      <c r="Y255" s="184"/>
      <c r="Z255" s="184"/>
      <c r="AA255" s="396" t="s">
        <v>49</v>
      </c>
      <c r="AB255" s="376"/>
      <c r="AC255" s="376"/>
      <c r="AD255" s="376" t="str">
        <f t="shared" si="26"/>
        <v>Industry</v>
      </c>
      <c r="AE255" s="376"/>
      <c r="AF255" s="376"/>
      <c r="AG255" s="376"/>
    </row>
    <row r="256" ht="12.75" spans="1:33">
      <c r="A256" s="353" t="s">
        <v>1294</v>
      </c>
      <c r="B256" s="192" t="s">
        <v>41</v>
      </c>
      <c r="C256" s="192" t="s">
        <v>176</v>
      </c>
      <c r="D256" s="192" t="s">
        <v>1295</v>
      </c>
      <c r="E256" s="192" t="s">
        <v>327</v>
      </c>
      <c r="F256" s="192" t="s">
        <v>1296</v>
      </c>
      <c r="G256" s="367">
        <v>42424</v>
      </c>
      <c r="H256" s="363">
        <f t="shared" si="28"/>
        <v>2424</v>
      </c>
      <c r="I256" s="353" t="s">
        <v>1297</v>
      </c>
      <c r="J256" s="371" t="s">
        <v>1298</v>
      </c>
      <c r="K256" s="236">
        <v>4396</v>
      </c>
      <c r="L256" s="182" t="s">
        <v>454</v>
      </c>
      <c r="M256" s="197" t="str">
        <f t="shared" si="9"/>
        <v>Yes</v>
      </c>
      <c r="N256" s="197">
        <v>1200000</v>
      </c>
      <c r="O256" s="197"/>
      <c r="P256" s="374"/>
      <c r="Q256" s="197"/>
      <c r="R256" s="182"/>
      <c r="S256" s="197"/>
      <c r="T256" s="182"/>
      <c r="U256" s="182"/>
      <c r="V256" s="182"/>
      <c r="W256" s="182"/>
      <c r="X256" s="182"/>
      <c r="Y256" s="182"/>
      <c r="Z256" s="182"/>
      <c r="AA256" s="399" t="s">
        <v>49</v>
      </c>
      <c r="AB256" s="372"/>
      <c r="AC256" s="372"/>
      <c r="AD256" s="372" t="str">
        <f t="shared" si="26"/>
        <v>Industry</v>
      </c>
      <c r="AE256" s="372"/>
      <c r="AF256" s="372"/>
      <c r="AG256" s="372"/>
    </row>
    <row r="257" ht="12.75" spans="1:33">
      <c r="A257" s="356"/>
      <c r="B257" s="215" t="s">
        <v>41</v>
      </c>
      <c r="C257" s="215" t="s">
        <v>1032</v>
      </c>
      <c r="D257" s="215" t="s">
        <v>1299</v>
      </c>
      <c r="E257" s="215" t="s">
        <v>134</v>
      </c>
      <c r="F257" s="215" t="s">
        <v>1300</v>
      </c>
      <c r="G257" s="361">
        <v>42459</v>
      </c>
      <c r="H257" s="360">
        <f t="shared" si="28"/>
        <v>2459</v>
      </c>
      <c r="I257" s="356" t="s">
        <v>1301</v>
      </c>
      <c r="J257" s="375" t="s">
        <v>1302</v>
      </c>
      <c r="K257" s="384">
        <v>1184</v>
      </c>
      <c r="L257" s="184" t="s">
        <v>454</v>
      </c>
      <c r="M257" s="199" t="str">
        <f t="shared" si="9"/>
        <v>Yes</v>
      </c>
      <c r="N257" s="199"/>
      <c r="O257" s="199"/>
      <c r="P257" s="380"/>
      <c r="Q257" s="199"/>
      <c r="R257" s="184"/>
      <c r="S257" s="203"/>
      <c r="T257" s="184"/>
      <c r="U257" s="184"/>
      <c r="V257" s="184"/>
      <c r="W257" s="184"/>
      <c r="X257" s="184"/>
      <c r="Y257" s="184"/>
      <c r="Z257" s="184"/>
      <c r="AA257" s="396" t="s">
        <v>49</v>
      </c>
      <c r="AB257" s="376"/>
      <c r="AC257" s="376"/>
      <c r="AD257" s="376" t="str">
        <f t="shared" si="26"/>
        <v>Academia</v>
      </c>
      <c r="AE257" s="376"/>
      <c r="AF257" s="376"/>
      <c r="AG257" s="376"/>
    </row>
    <row r="258" ht="12.75" spans="1:33">
      <c r="A258" s="353"/>
      <c r="B258" s="192" t="s">
        <v>41</v>
      </c>
      <c r="C258" s="192" t="s">
        <v>1303</v>
      </c>
      <c r="D258" s="192" t="s">
        <v>1304</v>
      </c>
      <c r="E258" s="192" t="s">
        <v>134</v>
      </c>
      <c r="F258" s="192" t="s">
        <v>1305</v>
      </c>
      <c r="G258" s="367">
        <v>42522</v>
      </c>
      <c r="H258" s="363">
        <f t="shared" si="28"/>
        <v>2522</v>
      </c>
      <c r="I258" s="353" t="s">
        <v>1306</v>
      </c>
      <c r="J258" s="371" t="s">
        <v>1307</v>
      </c>
      <c r="K258" s="238">
        <v>2277</v>
      </c>
      <c r="L258" s="182" t="s">
        <v>454</v>
      </c>
      <c r="M258" s="197" t="str">
        <f t="shared" si="9"/>
        <v>Yes</v>
      </c>
      <c r="N258" s="197"/>
      <c r="O258" s="197"/>
      <c r="P258" s="381" t="s">
        <v>1308</v>
      </c>
      <c r="Q258" s="197">
        <f>27*3600</f>
        <v>97200</v>
      </c>
      <c r="R258" s="182"/>
      <c r="S258" s="200"/>
      <c r="T258" s="182"/>
      <c r="U258" s="182"/>
      <c r="V258" s="182"/>
      <c r="W258" s="182"/>
      <c r="X258" s="182"/>
      <c r="Y258" s="182"/>
      <c r="Z258" s="182"/>
      <c r="AA258" s="399" t="s">
        <v>49</v>
      </c>
      <c r="AB258" s="372"/>
      <c r="AC258" s="372"/>
      <c r="AD258" s="372" t="str">
        <f t="shared" si="26"/>
        <v>Academia</v>
      </c>
      <c r="AE258" s="372"/>
      <c r="AF258" s="372"/>
      <c r="AG258" s="372"/>
    </row>
    <row r="259" ht="12.75" spans="1:33">
      <c r="A259" s="356" t="s">
        <v>1309</v>
      </c>
      <c r="B259" s="215" t="s">
        <v>51</v>
      </c>
      <c r="C259" s="215"/>
      <c r="D259" s="215" t="s">
        <v>1310</v>
      </c>
      <c r="E259" s="215" t="s">
        <v>35</v>
      </c>
      <c r="F259" s="215" t="s">
        <v>1311</v>
      </c>
      <c r="G259" s="361">
        <v>42541</v>
      </c>
      <c r="H259" s="360">
        <f t="shared" si="28"/>
        <v>2541</v>
      </c>
      <c r="I259" s="356" t="s">
        <v>1312</v>
      </c>
      <c r="J259" s="375" t="s">
        <v>1313</v>
      </c>
      <c r="K259" s="384">
        <v>1187</v>
      </c>
      <c r="L259" s="184" t="s">
        <v>454</v>
      </c>
      <c r="M259" s="199" t="str">
        <f t="shared" si="9"/>
        <v>Yes</v>
      </c>
      <c r="N259" s="199"/>
      <c r="O259" s="199"/>
      <c r="P259" s="380"/>
      <c r="Q259" s="199"/>
      <c r="R259" s="184"/>
      <c r="S259" s="203"/>
      <c r="T259" s="184"/>
      <c r="U259" s="184"/>
      <c r="V259" s="184"/>
      <c r="W259" s="184"/>
      <c r="X259" s="184"/>
      <c r="Y259" s="184"/>
      <c r="Z259" s="184"/>
      <c r="AA259" s="396" t="s">
        <v>49</v>
      </c>
      <c r="AB259" s="376"/>
      <c r="AC259" s="376"/>
      <c r="AD259" s="376" t="str">
        <f t="shared" si="26"/>
        <v>Industry</v>
      </c>
      <c r="AE259" s="376"/>
      <c r="AF259" s="376"/>
      <c r="AG259" s="376"/>
    </row>
    <row r="260" ht="12.75" spans="1:33">
      <c r="A260" s="353"/>
      <c r="B260" s="192" t="s">
        <v>434</v>
      </c>
      <c r="C260" s="192"/>
      <c r="D260" s="192" t="s">
        <v>85</v>
      </c>
      <c r="E260" s="192" t="s">
        <v>35</v>
      </c>
      <c r="F260" s="192" t="s">
        <v>1314</v>
      </c>
      <c r="G260" s="367">
        <v>42545</v>
      </c>
      <c r="H260" s="363">
        <f t="shared" si="28"/>
        <v>2545</v>
      </c>
      <c r="I260" s="353" t="s">
        <v>1315</v>
      </c>
      <c r="J260" s="371" t="s">
        <v>1316</v>
      </c>
      <c r="K260" s="236">
        <v>1613</v>
      </c>
      <c r="L260" s="182" t="s">
        <v>454</v>
      </c>
      <c r="M260" s="197" t="str">
        <f t="shared" si="9"/>
        <v>Yes</v>
      </c>
      <c r="N260" s="197"/>
      <c r="O260" s="197"/>
      <c r="P260" s="385"/>
      <c r="Q260" s="197"/>
      <c r="R260" s="182"/>
      <c r="S260" s="200"/>
      <c r="T260" s="182"/>
      <c r="U260" s="182"/>
      <c r="V260" s="182"/>
      <c r="W260" s="182"/>
      <c r="X260" s="182"/>
      <c r="Y260" s="182"/>
      <c r="Z260" s="182"/>
      <c r="AA260" s="399" t="s">
        <v>49</v>
      </c>
      <c r="AB260" s="372"/>
      <c r="AC260" s="372"/>
      <c r="AD260" s="372" t="str">
        <f t="shared" si="26"/>
        <v>Industry</v>
      </c>
      <c r="AE260" s="372"/>
      <c r="AF260" s="372"/>
      <c r="AG260" s="372"/>
    </row>
    <row r="261" ht="12.75" spans="1:33">
      <c r="A261" s="356"/>
      <c r="B261" s="215" t="s">
        <v>51</v>
      </c>
      <c r="C261" s="215"/>
      <c r="D261" s="215" t="s">
        <v>1206</v>
      </c>
      <c r="E261" s="215" t="s">
        <v>35</v>
      </c>
      <c r="F261" s="215" t="s">
        <v>1317</v>
      </c>
      <c r="G261" s="361">
        <v>42557</v>
      </c>
      <c r="H261" s="360">
        <f t="shared" si="28"/>
        <v>2557</v>
      </c>
      <c r="I261" s="356" t="s">
        <v>1318</v>
      </c>
      <c r="J261" s="375" t="s">
        <v>1319</v>
      </c>
      <c r="K261" s="379">
        <v>3090</v>
      </c>
      <c r="L261" s="184" t="s">
        <v>454</v>
      </c>
      <c r="M261" s="199" t="str">
        <f t="shared" si="9"/>
        <v>Yes</v>
      </c>
      <c r="N261" s="199"/>
      <c r="O261" s="199"/>
      <c r="P261" s="380"/>
      <c r="Q261" s="199"/>
      <c r="R261" s="184"/>
      <c r="S261" s="377"/>
      <c r="T261" s="184"/>
      <c r="U261" s="184"/>
      <c r="V261" s="184"/>
      <c r="W261" s="184"/>
      <c r="X261" s="184"/>
      <c r="Y261" s="184"/>
      <c r="Z261" s="184"/>
      <c r="AA261" s="396" t="s">
        <v>49</v>
      </c>
      <c r="AB261" s="376"/>
      <c r="AC261" s="376" t="s">
        <v>1320</v>
      </c>
      <c r="AD261" s="376" t="str">
        <f t="shared" si="26"/>
        <v>Industry</v>
      </c>
      <c r="AE261" s="376"/>
      <c r="AF261" s="376"/>
      <c r="AG261" s="376"/>
    </row>
    <row r="262" ht="12.75" spans="1:33">
      <c r="A262" s="353"/>
      <c r="B262" s="192" t="s">
        <v>51</v>
      </c>
      <c r="C262" s="192"/>
      <c r="D262" s="192" t="s">
        <v>1206</v>
      </c>
      <c r="E262" s="192" t="s">
        <v>35</v>
      </c>
      <c r="F262" s="192" t="s">
        <v>1321</v>
      </c>
      <c r="G262" s="367">
        <v>42566</v>
      </c>
      <c r="H262" s="363">
        <f t="shared" si="28"/>
        <v>2566</v>
      </c>
      <c r="I262" s="353" t="s">
        <v>1322</v>
      </c>
      <c r="J262" s="371" t="s">
        <v>1323</v>
      </c>
      <c r="K262" s="236">
        <v>6354</v>
      </c>
      <c r="L262" s="182" t="s">
        <v>454</v>
      </c>
      <c r="M262" s="197" t="str">
        <f t="shared" si="9"/>
        <v>Yes</v>
      </c>
      <c r="N262" s="197"/>
      <c r="O262" s="197"/>
      <c r="P262" s="385"/>
      <c r="Q262" s="197"/>
      <c r="R262" s="182"/>
      <c r="S262" s="200"/>
      <c r="T262" s="182"/>
      <c r="U262" s="182"/>
      <c r="V262" s="182"/>
      <c r="W262" s="182"/>
      <c r="X262" s="182"/>
      <c r="Y262" s="182"/>
      <c r="Z262" s="182"/>
      <c r="AA262" s="399" t="s">
        <v>49</v>
      </c>
      <c r="AB262" s="372"/>
      <c r="AC262" s="372"/>
      <c r="AD262" s="372" t="str">
        <f t="shared" si="26"/>
        <v>Industry</v>
      </c>
      <c r="AE262" s="372"/>
      <c r="AF262" s="372"/>
      <c r="AG262" s="372"/>
    </row>
    <row r="263" ht="12.75" spans="1:33">
      <c r="A263" s="356" t="s">
        <v>1324</v>
      </c>
      <c r="B263" s="215" t="s">
        <v>41</v>
      </c>
      <c r="C263" s="215" t="s">
        <v>176</v>
      </c>
      <c r="D263" s="215" t="s">
        <v>1325</v>
      </c>
      <c r="E263" s="215" t="s">
        <v>360</v>
      </c>
      <c r="F263" s="215" t="s">
        <v>1326</v>
      </c>
      <c r="G263" s="357">
        <v>42607</v>
      </c>
      <c r="H263" s="360">
        <f t="shared" si="28"/>
        <v>2607</v>
      </c>
      <c r="I263" s="356" t="s">
        <v>1327</v>
      </c>
      <c r="J263" s="375" t="s">
        <v>1328</v>
      </c>
      <c r="K263" s="379">
        <v>17786</v>
      </c>
      <c r="L263" s="184" t="s">
        <v>454</v>
      </c>
      <c r="M263" s="199" t="str">
        <f t="shared" si="9"/>
        <v>Yes</v>
      </c>
      <c r="N263" s="199">
        <v>34000000</v>
      </c>
      <c r="O263" s="199"/>
      <c r="P263" s="380"/>
      <c r="Q263" s="199"/>
      <c r="R263" s="184"/>
      <c r="S263" s="403"/>
      <c r="T263" s="184"/>
      <c r="U263" s="184"/>
      <c r="V263" s="184"/>
      <c r="W263" s="184"/>
      <c r="X263" s="184"/>
      <c r="Y263" s="184"/>
      <c r="Z263" s="184"/>
      <c r="AA263" s="396" t="s">
        <v>49</v>
      </c>
      <c r="AB263" s="376"/>
      <c r="AC263" s="376"/>
      <c r="AD263" s="376" t="str">
        <f t="shared" si="26"/>
        <v>Industry</v>
      </c>
      <c r="AE263" s="376"/>
      <c r="AF263" s="376"/>
      <c r="AG263" s="376"/>
    </row>
    <row r="264" ht="12.75" spans="1:33">
      <c r="A264" s="353"/>
      <c r="B264" s="192" t="s">
        <v>41</v>
      </c>
      <c r="C264" s="192" t="s">
        <v>1329</v>
      </c>
      <c r="D264" s="192" t="s">
        <v>1330</v>
      </c>
      <c r="E264" s="192" t="s">
        <v>134</v>
      </c>
      <c r="F264" s="192" t="s">
        <v>1331</v>
      </c>
      <c r="G264" s="354">
        <v>42608</v>
      </c>
      <c r="H264" s="363">
        <f t="shared" si="28"/>
        <v>2608</v>
      </c>
      <c r="I264" s="353" t="s">
        <v>1332</v>
      </c>
      <c r="J264" s="371" t="s">
        <v>1333</v>
      </c>
      <c r="K264" s="238">
        <v>3401</v>
      </c>
      <c r="L264" s="182" t="s">
        <v>454</v>
      </c>
      <c r="M264" s="197" t="str">
        <f t="shared" si="9"/>
        <v>Yes</v>
      </c>
      <c r="N264" s="197"/>
      <c r="O264" s="197"/>
      <c r="P264" s="385"/>
      <c r="Q264" s="197"/>
      <c r="R264" s="182"/>
      <c r="S264" s="410"/>
      <c r="T264" s="182"/>
      <c r="U264" s="182"/>
      <c r="V264" s="182"/>
      <c r="W264" s="182"/>
      <c r="X264" s="182"/>
      <c r="Y264" s="182"/>
      <c r="Z264" s="182"/>
      <c r="AA264" s="399" t="s">
        <v>49</v>
      </c>
      <c r="AB264" s="372"/>
      <c r="AC264" s="372"/>
      <c r="AD264" s="372" t="str">
        <f t="shared" si="26"/>
        <v>Academia</v>
      </c>
      <c r="AE264" s="372"/>
      <c r="AF264" s="372"/>
      <c r="AG264" s="372"/>
    </row>
    <row r="265" ht="12.75" spans="1:33">
      <c r="A265" s="356"/>
      <c r="B265" s="215" t="s">
        <v>126</v>
      </c>
      <c r="C265" s="215"/>
      <c r="D265" s="215" t="s">
        <v>1334</v>
      </c>
      <c r="E265" s="215" t="s">
        <v>35</v>
      </c>
      <c r="F265" s="215" t="s">
        <v>1335</v>
      </c>
      <c r="G265" s="357">
        <v>42625</v>
      </c>
      <c r="H265" s="360">
        <f t="shared" si="28"/>
        <v>2625</v>
      </c>
      <c r="I265" s="356" t="s">
        <v>1336</v>
      </c>
      <c r="J265" s="375" t="s">
        <v>1337</v>
      </c>
      <c r="K265" s="379">
        <v>3118</v>
      </c>
      <c r="L265" s="184" t="s">
        <v>454</v>
      </c>
      <c r="M265" s="199" t="str">
        <f t="shared" si="9"/>
        <v>Yes</v>
      </c>
      <c r="N265" s="199"/>
      <c r="O265" s="199"/>
      <c r="P265" s="380"/>
      <c r="Q265" s="199"/>
      <c r="R265" s="184"/>
      <c r="S265" s="403"/>
      <c r="T265" s="184"/>
      <c r="U265" s="184"/>
      <c r="V265" s="184"/>
      <c r="W265" s="184"/>
      <c r="X265" s="184"/>
      <c r="Y265" s="184"/>
      <c r="Z265" s="184"/>
      <c r="AA265" s="396" t="s">
        <v>49</v>
      </c>
      <c r="AB265" s="376"/>
      <c r="AC265" s="376"/>
      <c r="AD265" s="376" t="str">
        <f t="shared" si="26"/>
        <v>Industry</v>
      </c>
      <c r="AE265" s="376"/>
      <c r="AF265" s="376"/>
      <c r="AG265" s="376"/>
    </row>
    <row r="266" ht="12.75" spans="1:33">
      <c r="A266" s="353"/>
      <c r="B266" s="192" t="s">
        <v>434</v>
      </c>
      <c r="C266" s="192"/>
      <c r="D266" s="192" t="s">
        <v>85</v>
      </c>
      <c r="E266" s="192" t="s">
        <v>35</v>
      </c>
      <c r="F266" s="192" t="s">
        <v>1338</v>
      </c>
      <c r="G266" s="354">
        <v>42628</v>
      </c>
      <c r="H266" s="363">
        <f t="shared" si="28"/>
        <v>2628</v>
      </c>
      <c r="I266" s="353" t="s">
        <v>1339</v>
      </c>
      <c r="J266" s="371" t="s">
        <v>1340</v>
      </c>
      <c r="K266" s="236">
        <v>1554</v>
      </c>
      <c r="L266" s="182" t="s">
        <v>454</v>
      </c>
      <c r="M266" s="197" t="str">
        <f t="shared" si="9"/>
        <v>Yes</v>
      </c>
      <c r="N266" s="197"/>
      <c r="O266" s="197"/>
      <c r="P266" s="385"/>
      <c r="Q266" s="197"/>
      <c r="R266" s="182"/>
      <c r="S266" s="197"/>
      <c r="T266" s="182"/>
      <c r="U266" s="182"/>
      <c r="V266" s="182"/>
      <c r="W266" s="182"/>
      <c r="X266" s="182"/>
      <c r="Y266" s="182"/>
      <c r="Z266" s="182"/>
      <c r="AA266" s="399" t="s">
        <v>49</v>
      </c>
      <c r="AB266" s="372"/>
      <c r="AC266" s="372"/>
      <c r="AD266" s="372" t="str">
        <f t="shared" si="26"/>
        <v>Industry</v>
      </c>
      <c r="AE266" s="372"/>
      <c r="AF266" s="372"/>
      <c r="AG266" s="372"/>
    </row>
    <row r="267" ht="12.75" spans="1:33">
      <c r="A267" s="356" t="s">
        <v>1341</v>
      </c>
      <c r="B267" s="215" t="s">
        <v>41</v>
      </c>
      <c r="C267" s="215" t="s">
        <v>1279</v>
      </c>
      <c r="D267" s="215" t="s">
        <v>1342</v>
      </c>
      <c r="E267" s="215" t="s">
        <v>134</v>
      </c>
      <c r="F267" s="215" t="s">
        <v>1343</v>
      </c>
      <c r="G267" s="357">
        <v>42630</v>
      </c>
      <c r="H267" s="360">
        <f t="shared" si="28"/>
        <v>2630</v>
      </c>
      <c r="I267" s="356" t="s">
        <v>1344</v>
      </c>
      <c r="J267" s="375" t="s">
        <v>1345</v>
      </c>
      <c r="K267" s="384">
        <v>3600</v>
      </c>
      <c r="L267" s="184" t="s">
        <v>454</v>
      </c>
      <c r="M267" s="199" t="str">
        <f t="shared" si="9"/>
        <v>Yes</v>
      </c>
      <c r="N267" s="199"/>
      <c r="O267" s="199"/>
      <c r="P267" s="380"/>
      <c r="Q267" s="199"/>
      <c r="R267" s="184"/>
      <c r="S267" s="199"/>
      <c r="T267" s="184"/>
      <c r="U267" s="184"/>
      <c r="V267" s="184"/>
      <c r="W267" s="184"/>
      <c r="X267" s="184"/>
      <c r="Y267" s="184"/>
      <c r="Z267" s="184"/>
      <c r="AA267" s="396" t="s">
        <v>49</v>
      </c>
      <c r="AB267" s="376"/>
      <c r="AC267" s="376"/>
      <c r="AD267" s="376" t="str">
        <f t="shared" si="26"/>
        <v>Academia</v>
      </c>
      <c r="AE267" s="376"/>
      <c r="AF267" s="376"/>
      <c r="AG267" s="376"/>
    </row>
    <row r="268" ht="12.75" spans="1:33">
      <c r="A268" s="353"/>
      <c r="B268" s="192" t="s">
        <v>41</v>
      </c>
      <c r="C268" s="192" t="s">
        <v>176</v>
      </c>
      <c r="D268" s="192" t="s">
        <v>393</v>
      </c>
      <c r="E268" s="192" t="s">
        <v>35</v>
      </c>
      <c r="F268" s="192" t="s">
        <v>1346</v>
      </c>
      <c r="G268" s="354">
        <v>42630</v>
      </c>
      <c r="H268" s="363">
        <f t="shared" si="28"/>
        <v>2630</v>
      </c>
      <c r="I268" s="353" t="s">
        <v>1347</v>
      </c>
      <c r="J268" s="371" t="s">
        <v>1348</v>
      </c>
      <c r="K268" s="238">
        <v>6894</v>
      </c>
      <c r="L268" s="182" t="s">
        <v>454</v>
      </c>
      <c r="M268" s="197" t="str">
        <f t="shared" si="9"/>
        <v>Yes</v>
      </c>
      <c r="N268" s="197"/>
      <c r="O268" s="197"/>
      <c r="P268" s="385"/>
      <c r="Q268" s="197"/>
      <c r="R268" s="182"/>
      <c r="S268" s="197"/>
      <c r="T268" s="182"/>
      <c r="U268" s="182"/>
      <c r="V268" s="182"/>
      <c r="W268" s="182"/>
      <c r="X268" s="182"/>
      <c r="Y268" s="182"/>
      <c r="Z268" s="182"/>
      <c r="AA268" s="399" t="s">
        <v>49</v>
      </c>
      <c r="AB268" s="372"/>
      <c r="AC268" s="372"/>
      <c r="AD268" s="372" t="str">
        <f t="shared" si="26"/>
        <v>Industry</v>
      </c>
      <c r="AE268" s="372"/>
      <c r="AF268" s="372"/>
      <c r="AG268" s="372"/>
    </row>
    <row r="269" ht="12.75" spans="1:33">
      <c r="A269" s="356"/>
      <c r="B269" s="215" t="s">
        <v>41</v>
      </c>
      <c r="C269" s="215" t="s">
        <v>1159</v>
      </c>
      <c r="D269" s="215" t="s">
        <v>1349</v>
      </c>
      <c r="E269" s="215" t="s">
        <v>134</v>
      </c>
      <c r="F269" s="215" t="s">
        <v>1350</v>
      </c>
      <c r="G269" s="357">
        <v>42630</v>
      </c>
      <c r="H269" s="360">
        <f t="shared" si="28"/>
        <v>2630</v>
      </c>
      <c r="I269" s="356" t="s">
        <v>1351</v>
      </c>
      <c r="J269" s="375" t="s">
        <v>1352</v>
      </c>
      <c r="K269" s="384">
        <v>2619</v>
      </c>
      <c r="L269" s="184" t="s">
        <v>454</v>
      </c>
      <c r="M269" s="199" t="str">
        <f t="shared" si="9"/>
        <v>Yes</v>
      </c>
      <c r="N269" s="199"/>
      <c r="O269" s="199"/>
      <c r="P269" s="380"/>
      <c r="Q269" s="199"/>
      <c r="R269" s="184"/>
      <c r="S269" s="199"/>
      <c r="T269" s="184"/>
      <c r="U269" s="184"/>
      <c r="V269" s="184"/>
      <c r="W269" s="184"/>
      <c r="X269" s="184"/>
      <c r="Y269" s="184"/>
      <c r="Z269" s="184"/>
      <c r="AA269" s="396" t="s">
        <v>49</v>
      </c>
      <c r="AB269" s="376"/>
      <c r="AC269" s="376"/>
      <c r="AD269" s="376" t="str">
        <f t="shared" si="26"/>
        <v>Academia</v>
      </c>
      <c r="AE269" s="376"/>
      <c r="AF269" s="376"/>
      <c r="AG269" s="376"/>
    </row>
    <row r="270" ht="12.75" spans="1:33">
      <c r="A270" s="353" t="s">
        <v>1353</v>
      </c>
      <c r="B270" s="192" t="s">
        <v>41</v>
      </c>
      <c r="C270" s="192" t="s">
        <v>724</v>
      </c>
      <c r="D270" s="192" t="s">
        <v>1354</v>
      </c>
      <c r="E270" s="192" t="s">
        <v>327</v>
      </c>
      <c r="F270" s="192" t="s">
        <v>1355</v>
      </c>
      <c r="G270" s="354">
        <v>42630</v>
      </c>
      <c r="H270" s="363">
        <f t="shared" si="28"/>
        <v>2630</v>
      </c>
      <c r="I270" s="353" t="s">
        <v>1356</v>
      </c>
      <c r="J270" s="371" t="s">
        <v>1357</v>
      </c>
      <c r="K270" s="238">
        <v>1319</v>
      </c>
      <c r="L270" s="182" t="s">
        <v>454</v>
      </c>
      <c r="M270" s="197" t="str">
        <f t="shared" si="9"/>
        <v>Yes</v>
      </c>
      <c r="N270" s="197"/>
      <c r="O270" s="197"/>
      <c r="P270" s="385"/>
      <c r="Q270" s="197"/>
      <c r="R270" s="182"/>
      <c r="S270" s="197"/>
      <c r="T270" s="182"/>
      <c r="U270" s="182"/>
      <c r="V270" s="182"/>
      <c r="W270" s="182"/>
      <c r="X270" s="182"/>
      <c r="Y270" s="182"/>
      <c r="Z270" s="182"/>
      <c r="AA270" s="399" t="s">
        <v>49</v>
      </c>
      <c r="AB270" s="372"/>
      <c r="AC270" s="372"/>
      <c r="AD270" s="372" t="str">
        <f t="shared" si="26"/>
        <v>Industry</v>
      </c>
      <c r="AE270" s="372"/>
      <c r="AF270" s="372"/>
      <c r="AG270" s="372"/>
    </row>
    <row r="271" ht="12.75" spans="1:33">
      <c r="A271" s="356" t="s">
        <v>1358</v>
      </c>
      <c r="B271" s="215" t="s">
        <v>41</v>
      </c>
      <c r="C271" s="215" t="s">
        <v>176</v>
      </c>
      <c r="D271" s="215" t="s">
        <v>1359</v>
      </c>
      <c r="E271" s="215" t="s">
        <v>134</v>
      </c>
      <c r="F271" s="215" t="s">
        <v>1360</v>
      </c>
      <c r="G271" s="357">
        <v>42632</v>
      </c>
      <c r="H271" s="360">
        <f t="shared" si="28"/>
        <v>2632</v>
      </c>
      <c r="I271" s="356" t="s">
        <v>1361</v>
      </c>
      <c r="J271" s="375" t="s">
        <v>1362</v>
      </c>
      <c r="K271" s="384">
        <v>4523</v>
      </c>
      <c r="L271" s="184" t="s">
        <v>454</v>
      </c>
      <c r="M271" s="199" t="str">
        <f t="shared" si="9"/>
        <v>Yes</v>
      </c>
      <c r="N271" s="199"/>
      <c r="O271" s="199"/>
      <c r="P271" s="380"/>
      <c r="Q271" s="199"/>
      <c r="R271" s="184"/>
      <c r="S271" s="199"/>
      <c r="T271" s="184"/>
      <c r="U271" s="184"/>
      <c r="V271" s="184"/>
      <c r="W271" s="184"/>
      <c r="X271" s="184"/>
      <c r="Y271" s="184"/>
      <c r="Z271" s="184"/>
      <c r="AA271" s="396" t="s">
        <v>49</v>
      </c>
      <c r="AB271" s="376"/>
      <c r="AC271" s="376"/>
      <c r="AD271" s="376" t="str">
        <f t="shared" si="26"/>
        <v>Academia</v>
      </c>
      <c r="AE271" s="376"/>
      <c r="AF271" s="376"/>
      <c r="AG271" s="376"/>
    </row>
    <row r="272" ht="12.75" spans="1:33">
      <c r="A272" s="353"/>
      <c r="B272" s="359"/>
      <c r="C272" s="359"/>
      <c r="D272" s="192" t="s">
        <v>1334</v>
      </c>
      <c r="E272" s="192" t="s">
        <v>35</v>
      </c>
      <c r="F272" s="192" t="s">
        <v>1363</v>
      </c>
      <c r="G272" s="367">
        <v>42655</v>
      </c>
      <c r="H272" s="363">
        <f t="shared" si="28"/>
        <v>2655</v>
      </c>
      <c r="I272" s="353" t="s">
        <v>1364</v>
      </c>
      <c r="J272" s="371" t="s">
        <v>1365</v>
      </c>
      <c r="K272" s="236">
        <v>1240</v>
      </c>
      <c r="L272" s="182" t="s">
        <v>454</v>
      </c>
      <c r="M272" s="197" t="str">
        <f t="shared" si="9"/>
        <v>Yes</v>
      </c>
      <c r="N272" s="197"/>
      <c r="O272" s="197"/>
      <c r="P272" s="385"/>
      <c r="Q272" s="197"/>
      <c r="R272" s="182"/>
      <c r="S272" s="197"/>
      <c r="T272" s="182"/>
      <c r="U272" s="182"/>
      <c r="V272" s="182"/>
      <c r="W272" s="182"/>
      <c r="X272" s="182"/>
      <c r="Y272" s="182"/>
      <c r="Z272" s="182"/>
      <c r="AA272" s="399" t="s">
        <v>49</v>
      </c>
      <c r="AB272" s="372"/>
      <c r="AC272" s="372"/>
      <c r="AD272" s="372" t="str">
        <f t="shared" si="26"/>
        <v>Industry</v>
      </c>
      <c r="AE272" s="372"/>
      <c r="AF272" s="372"/>
      <c r="AG272" s="372"/>
    </row>
    <row r="273" ht="12.75" spans="1:33">
      <c r="A273" s="356"/>
      <c r="B273" s="215" t="s">
        <v>41</v>
      </c>
      <c r="C273" s="215" t="s">
        <v>1032</v>
      </c>
      <c r="D273" s="215" t="s">
        <v>1170</v>
      </c>
      <c r="E273" s="215" t="s">
        <v>134</v>
      </c>
      <c r="F273" s="215" t="s">
        <v>1366</v>
      </c>
      <c r="G273" s="361">
        <v>42685</v>
      </c>
      <c r="H273" s="360">
        <f t="shared" si="28"/>
        <v>2685</v>
      </c>
      <c r="I273" s="356" t="s">
        <v>1367</v>
      </c>
      <c r="J273" s="375" t="s">
        <v>1368</v>
      </c>
      <c r="K273" s="384">
        <v>1965</v>
      </c>
      <c r="L273" s="184" t="s">
        <v>454</v>
      </c>
      <c r="M273" s="199" t="str">
        <f t="shared" si="9"/>
        <v>Yes</v>
      </c>
      <c r="N273" s="203"/>
      <c r="O273" s="203"/>
      <c r="P273" s="378"/>
      <c r="Q273" s="203"/>
      <c r="R273" s="205"/>
      <c r="S273" s="203"/>
      <c r="T273" s="205"/>
      <c r="U273" s="205"/>
      <c r="V273" s="205"/>
      <c r="W273" s="376"/>
      <c r="X273" s="184"/>
      <c r="Y273" s="184"/>
      <c r="Z273" s="184"/>
      <c r="AA273" s="396" t="s">
        <v>49</v>
      </c>
      <c r="AB273" s="376"/>
      <c r="AC273" s="376"/>
      <c r="AD273" s="376" t="str">
        <f t="shared" si="26"/>
        <v>Academia</v>
      </c>
      <c r="AE273" s="376"/>
      <c r="AF273" s="376"/>
      <c r="AG273" s="376"/>
    </row>
    <row r="274" ht="12.75" spans="1:33">
      <c r="A274" s="353" t="s">
        <v>1369</v>
      </c>
      <c r="B274" s="192" t="s">
        <v>41</v>
      </c>
      <c r="C274" s="192" t="s">
        <v>176</v>
      </c>
      <c r="D274" s="192" t="s">
        <v>1370</v>
      </c>
      <c r="E274" s="192" t="s">
        <v>327</v>
      </c>
      <c r="F274" s="192" t="s">
        <v>1371</v>
      </c>
      <c r="G274" s="367">
        <v>42690</v>
      </c>
      <c r="H274" s="363">
        <f t="shared" si="28"/>
        <v>2690</v>
      </c>
      <c r="I274" s="353" t="s">
        <v>1372</v>
      </c>
      <c r="J274" s="371" t="s">
        <v>1373</v>
      </c>
      <c r="K274" s="236">
        <v>4800</v>
      </c>
      <c r="L274" s="182" t="s">
        <v>454</v>
      </c>
      <c r="M274" s="197" t="str">
        <f t="shared" si="9"/>
        <v>Yes</v>
      </c>
      <c r="N274" s="197">
        <v>25000000</v>
      </c>
      <c r="O274" s="200"/>
      <c r="P274" s="385"/>
      <c r="Q274" s="197"/>
      <c r="R274" s="182"/>
      <c r="S274" s="197">
        <f>4200000000*2</f>
        <v>8400000000</v>
      </c>
      <c r="T274" s="182"/>
      <c r="U274" s="182"/>
      <c r="V274" s="182"/>
      <c r="W274" s="182"/>
      <c r="X274" s="182"/>
      <c r="Y274" s="182"/>
      <c r="Z274" s="182"/>
      <c r="AA274" s="399" t="s">
        <v>49</v>
      </c>
      <c r="AB274" s="372"/>
      <c r="AC274" s="372"/>
      <c r="AD274" s="372" t="str">
        <f t="shared" si="26"/>
        <v>Industry</v>
      </c>
      <c r="AE274" s="372"/>
      <c r="AF274" s="372"/>
      <c r="AG274" s="372"/>
    </row>
    <row r="275" ht="12.75" spans="1:33">
      <c r="A275" s="356" t="s">
        <v>1374</v>
      </c>
      <c r="B275" s="215" t="s">
        <v>41</v>
      </c>
      <c r="C275" s="215" t="s">
        <v>176</v>
      </c>
      <c r="D275" s="215" t="s">
        <v>1375</v>
      </c>
      <c r="E275" s="215" t="s">
        <v>134</v>
      </c>
      <c r="F275" s="215" t="s">
        <v>1376</v>
      </c>
      <c r="G275" s="361">
        <v>42691</v>
      </c>
      <c r="H275" s="360">
        <f t="shared" si="28"/>
        <v>2691</v>
      </c>
      <c r="I275" s="356" t="s">
        <v>1377</v>
      </c>
      <c r="J275" s="375" t="s">
        <v>1378</v>
      </c>
      <c r="K275" s="379">
        <v>188</v>
      </c>
      <c r="L275" s="184"/>
      <c r="M275" s="199" t="str">
        <f t="shared" si="9"/>
        <v>No</v>
      </c>
      <c r="N275" s="199">
        <v>92000000</v>
      </c>
      <c r="O275" s="199"/>
      <c r="P275" s="380"/>
      <c r="Q275" s="199"/>
      <c r="R275" s="184"/>
      <c r="S275" s="199"/>
      <c r="T275" s="184"/>
      <c r="U275" s="184"/>
      <c r="V275" s="184"/>
      <c r="W275" s="184"/>
      <c r="X275" s="184"/>
      <c r="Y275" s="184"/>
      <c r="Z275" s="184"/>
      <c r="AA275" s="396" t="s">
        <v>49</v>
      </c>
      <c r="AB275" s="376"/>
      <c r="AC275" s="376"/>
      <c r="AD275" s="376" t="str">
        <f t="shared" si="26"/>
        <v>Academia</v>
      </c>
      <c r="AE275" s="376"/>
      <c r="AF275" s="376"/>
      <c r="AG275" s="376"/>
    </row>
    <row r="276" ht="12.75" spans="1:33">
      <c r="A276" s="353" t="s">
        <v>1379</v>
      </c>
      <c r="B276" s="192" t="s">
        <v>41</v>
      </c>
      <c r="C276" s="192" t="s">
        <v>724</v>
      </c>
      <c r="D276" s="192" t="s">
        <v>1380</v>
      </c>
      <c r="E276" s="192" t="s">
        <v>327</v>
      </c>
      <c r="F276" s="192" t="s">
        <v>1381</v>
      </c>
      <c r="G276" s="367">
        <v>42694</v>
      </c>
      <c r="H276" s="363">
        <f t="shared" si="28"/>
        <v>2694</v>
      </c>
      <c r="I276" s="353" t="s">
        <v>1382</v>
      </c>
      <c r="J276" s="371" t="s">
        <v>1383</v>
      </c>
      <c r="K276" s="238">
        <v>2059</v>
      </c>
      <c r="L276" s="182" t="s">
        <v>454</v>
      </c>
      <c r="M276" s="197" t="str">
        <f t="shared" si="9"/>
        <v>Yes</v>
      </c>
      <c r="N276" s="197"/>
      <c r="O276" s="197"/>
      <c r="P276" s="374"/>
      <c r="Q276" s="197"/>
      <c r="R276" s="182"/>
      <c r="S276" s="197"/>
      <c r="T276" s="182"/>
      <c r="U276" s="182"/>
      <c r="V276" s="182"/>
      <c r="W276" s="182"/>
      <c r="X276" s="182"/>
      <c r="Y276" s="182"/>
      <c r="Z276" s="182"/>
      <c r="AA276" s="399" t="s">
        <v>49</v>
      </c>
      <c r="AB276" s="372"/>
      <c r="AC276" s="372"/>
      <c r="AD276" s="372" t="str">
        <f t="shared" si="26"/>
        <v>Industry</v>
      </c>
      <c r="AE276" s="372"/>
      <c r="AF276" s="372"/>
      <c r="AG276" s="372"/>
    </row>
    <row r="277" ht="12.75" spans="1:33">
      <c r="A277" s="356"/>
      <c r="B277" s="215"/>
      <c r="C277" s="207"/>
      <c r="D277" s="215" t="s">
        <v>464</v>
      </c>
      <c r="E277" s="215" t="s">
        <v>134</v>
      </c>
      <c r="F277" s="215" t="s">
        <v>1384</v>
      </c>
      <c r="G277" s="361">
        <v>42695</v>
      </c>
      <c r="H277" s="360">
        <f t="shared" si="28"/>
        <v>2695</v>
      </c>
      <c r="I277" s="356" t="s">
        <v>1385</v>
      </c>
      <c r="J277" s="375" t="s">
        <v>1386</v>
      </c>
      <c r="K277" s="379">
        <v>9859</v>
      </c>
      <c r="L277" s="184" t="s">
        <v>454</v>
      </c>
      <c r="M277" s="199" t="str">
        <f t="shared" si="9"/>
        <v>Yes</v>
      </c>
      <c r="N277" s="199"/>
      <c r="O277" s="199"/>
      <c r="P277" s="378"/>
      <c r="Q277" s="199"/>
      <c r="R277" s="184"/>
      <c r="S277" s="199"/>
      <c r="T277" s="184"/>
      <c r="U277" s="184"/>
      <c r="V277" s="184"/>
      <c r="W277" s="184"/>
      <c r="X277" s="184"/>
      <c r="Y277" s="184"/>
      <c r="Z277" s="184"/>
      <c r="AA277" s="396" t="s">
        <v>49</v>
      </c>
      <c r="AB277" s="376"/>
      <c r="AC277" s="376"/>
      <c r="AD277" s="376" t="str">
        <f t="shared" si="26"/>
        <v>Academia</v>
      </c>
      <c r="AE277" s="376"/>
      <c r="AF277" s="376"/>
      <c r="AG277" s="376"/>
    </row>
    <row r="278" ht="12.75" spans="1:33">
      <c r="A278" s="353"/>
      <c r="B278" s="192"/>
      <c r="C278" s="192"/>
      <c r="D278" s="192" t="s">
        <v>71</v>
      </c>
      <c r="E278" s="192" t="s">
        <v>35</v>
      </c>
      <c r="F278" s="192" t="s">
        <v>1387</v>
      </c>
      <c r="G278" s="367">
        <v>42706</v>
      </c>
      <c r="H278" s="363">
        <f t="shared" si="28"/>
        <v>2706</v>
      </c>
      <c r="I278" s="353" t="s">
        <v>1388</v>
      </c>
      <c r="J278" s="371" t="s">
        <v>1389</v>
      </c>
      <c r="K278" s="236">
        <v>2156</v>
      </c>
      <c r="L278" s="182" t="s">
        <v>454</v>
      </c>
      <c r="M278" s="197" t="str">
        <f t="shared" si="9"/>
        <v>Yes</v>
      </c>
      <c r="N278" s="197"/>
      <c r="O278" s="197"/>
      <c r="P278" s="374"/>
      <c r="Q278" s="197"/>
      <c r="R278" s="182"/>
      <c r="S278" s="197"/>
      <c r="T278" s="182"/>
      <c r="U278" s="182"/>
      <c r="V278" s="182"/>
      <c r="W278" s="182"/>
      <c r="X278" s="182"/>
      <c r="Y278" s="182"/>
      <c r="Z278" s="182"/>
      <c r="AA278" s="399" t="s">
        <v>49</v>
      </c>
      <c r="AB278" s="372"/>
      <c r="AC278" s="372"/>
      <c r="AD278" s="372" t="str">
        <f t="shared" si="26"/>
        <v>Industry</v>
      </c>
      <c r="AE278" s="372"/>
      <c r="AF278" s="372"/>
      <c r="AG278" s="372"/>
    </row>
    <row r="279" ht="12.75" spans="1:33">
      <c r="A279" s="356" t="s">
        <v>1390</v>
      </c>
      <c r="B279" s="215" t="s">
        <v>199</v>
      </c>
      <c r="C279" s="215" t="s">
        <v>1391</v>
      </c>
      <c r="D279" s="215" t="s">
        <v>1392</v>
      </c>
      <c r="E279" s="215" t="s">
        <v>134</v>
      </c>
      <c r="F279" s="215" t="s">
        <v>1393</v>
      </c>
      <c r="G279" s="361">
        <v>42706</v>
      </c>
      <c r="H279" s="360">
        <f t="shared" si="28"/>
        <v>2706</v>
      </c>
      <c r="I279" s="356" t="s">
        <v>1394</v>
      </c>
      <c r="J279" s="375" t="s">
        <v>1395</v>
      </c>
      <c r="K279" s="379">
        <v>5040</v>
      </c>
      <c r="L279" s="184" t="s">
        <v>454</v>
      </c>
      <c r="M279" s="199" t="str">
        <f t="shared" si="9"/>
        <v>Yes</v>
      </c>
      <c r="N279" s="199"/>
      <c r="O279" s="199"/>
      <c r="P279" s="380"/>
      <c r="Q279" s="199"/>
      <c r="R279" s="184"/>
      <c r="S279" s="199"/>
      <c r="T279" s="184"/>
      <c r="U279" s="184"/>
      <c r="V279" s="184"/>
      <c r="W279" s="184"/>
      <c r="X279" s="184"/>
      <c r="Y279" s="184"/>
      <c r="Z279" s="184"/>
      <c r="AA279" s="396" t="s">
        <v>49</v>
      </c>
      <c r="AB279" s="376"/>
      <c r="AC279" s="376"/>
      <c r="AD279" s="376" t="str">
        <f t="shared" si="26"/>
        <v>Academia</v>
      </c>
      <c r="AE279" s="376"/>
      <c r="AF279" s="376"/>
      <c r="AG279" s="376"/>
    </row>
    <row r="280" ht="12.75" spans="1:33">
      <c r="A280" s="353"/>
      <c r="B280" s="192" t="s">
        <v>41</v>
      </c>
      <c r="C280" s="192" t="s">
        <v>176</v>
      </c>
      <c r="D280" s="192" t="s">
        <v>34</v>
      </c>
      <c r="E280" s="192" t="s">
        <v>35</v>
      </c>
      <c r="F280" s="192" t="s">
        <v>1396</v>
      </c>
      <c r="G280" s="367">
        <v>42709</v>
      </c>
      <c r="H280" s="363">
        <f t="shared" si="28"/>
        <v>2709</v>
      </c>
      <c r="I280" s="353" t="s">
        <v>1397</v>
      </c>
      <c r="J280" s="371" t="s">
        <v>1398</v>
      </c>
      <c r="K280" s="238">
        <v>6055</v>
      </c>
      <c r="L280" s="182" t="s">
        <v>454</v>
      </c>
      <c r="M280" s="197" t="str">
        <f t="shared" si="9"/>
        <v>Yes</v>
      </c>
      <c r="N280" s="197"/>
      <c r="O280" s="197"/>
      <c r="P280" s="374"/>
      <c r="Q280" s="197"/>
      <c r="R280" s="182"/>
      <c r="S280" s="197"/>
      <c r="T280" s="182"/>
      <c r="U280" s="182"/>
      <c r="V280" s="182"/>
      <c r="W280" s="182"/>
      <c r="X280" s="182"/>
      <c r="Y280" s="182"/>
      <c r="Z280" s="182"/>
      <c r="AA280" s="399" t="s">
        <v>49</v>
      </c>
      <c r="AB280" s="372"/>
      <c r="AC280" s="372"/>
      <c r="AD280" s="372" t="str">
        <f t="shared" si="26"/>
        <v>Industry</v>
      </c>
      <c r="AE280" s="372"/>
      <c r="AF280" s="372"/>
      <c r="AG280" s="372"/>
    </row>
    <row r="281" ht="12.75" spans="1:33">
      <c r="A281" s="356"/>
      <c r="B281" s="215" t="s">
        <v>41</v>
      </c>
      <c r="C281" s="215"/>
      <c r="D281" s="215" t="s">
        <v>1399</v>
      </c>
      <c r="E281" s="215" t="s">
        <v>327</v>
      </c>
      <c r="F281" s="215" t="s">
        <v>1400</v>
      </c>
      <c r="G281" s="361">
        <v>42717</v>
      </c>
      <c r="H281" s="360">
        <f t="shared" si="28"/>
        <v>2717</v>
      </c>
      <c r="I281" s="356" t="s">
        <v>1401</v>
      </c>
      <c r="J281" s="375" t="s">
        <v>1402</v>
      </c>
      <c r="K281" s="379">
        <v>3540</v>
      </c>
      <c r="L281" s="184" t="s">
        <v>454</v>
      </c>
      <c r="M281" s="199" t="str">
        <f t="shared" si="9"/>
        <v>Yes</v>
      </c>
      <c r="N281" s="199"/>
      <c r="O281" s="199"/>
      <c r="P281" s="378"/>
      <c r="Q281" s="199"/>
      <c r="R281" s="184"/>
      <c r="S281" s="199"/>
      <c r="T281" s="184"/>
      <c r="U281" s="184"/>
      <c r="V281" s="184"/>
      <c r="W281" s="184"/>
      <c r="X281" s="184"/>
      <c r="Y281" s="184"/>
      <c r="Z281" s="184"/>
      <c r="AA281" s="396" t="s">
        <v>49</v>
      </c>
      <c r="AB281" s="376"/>
      <c r="AC281" s="376"/>
      <c r="AD281" s="376" t="str">
        <f t="shared" si="26"/>
        <v>Industry</v>
      </c>
      <c r="AE281" s="376"/>
      <c r="AF281" s="376"/>
      <c r="AG281" s="376"/>
    </row>
    <row r="282" ht="12.75" spans="1:33">
      <c r="A282" s="353" t="s">
        <v>1403</v>
      </c>
      <c r="B282" s="192" t="s">
        <v>41</v>
      </c>
      <c r="C282" s="192" t="s">
        <v>724</v>
      </c>
      <c r="D282" s="192" t="s">
        <v>1404</v>
      </c>
      <c r="E282" s="192" t="s">
        <v>327</v>
      </c>
      <c r="F282" s="192" t="s">
        <v>988</v>
      </c>
      <c r="G282" s="367">
        <v>42729</v>
      </c>
      <c r="H282" s="363">
        <f t="shared" si="28"/>
        <v>2729</v>
      </c>
      <c r="I282" s="353" t="s">
        <v>1405</v>
      </c>
      <c r="J282" s="371" t="s">
        <v>1406</v>
      </c>
      <c r="K282" s="236">
        <v>9368</v>
      </c>
      <c r="L282" s="182" t="s">
        <v>454</v>
      </c>
      <c r="M282" s="197" t="str">
        <f t="shared" si="9"/>
        <v>Yes</v>
      </c>
      <c r="N282" s="197">
        <v>51000000</v>
      </c>
      <c r="O282" s="410"/>
      <c r="P282" s="385"/>
      <c r="Q282" s="197"/>
      <c r="R282" s="182"/>
      <c r="S282" s="197"/>
      <c r="T282" s="182"/>
      <c r="U282" s="182"/>
      <c r="V282" s="182"/>
      <c r="W282" s="182"/>
      <c r="X282" s="182"/>
      <c r="Y282" s="182"/>
      <c r="Z282" s="182"/>
      <c r="AA282" s="399" t="s">
        <v>49</v>
      </c>
      <c r="AB282" s="372"/>
      <c r="AC282" s="372"/>
      <c r="AD282" s="372" t="str">
        <f t="shared" si="26"/>
        <v>Industry</v>
      </c>
      <c r="AE282" s="372"/>
      <c r="AF282" s="372"/>
      <c r="AG282" s="372"/>
    </row>
    <row r="283" ht="12.75" spans="1:33">
      <c r="A283" s="356" t="s">
        <v>1407</v>
      </c>
      <c r="B283" s="215" t="s">
        <v>256</v>
      </c>
      <c r="C283" s="215" t="s">
        <v>1077</v>
      </c>
      <c r="D283" s="215" t="s">
        <v>1334</v>
      </c>
      <c r="E283" s="215" t="s">
        <v>35</v>
      </c>
      <c r="F283" s="215" t="s">
        <v>1256</v>
      </c>
      <c r="G283" s="361">
        <v>42278</v>
      </c>
      <c r="H283" s="360">
        <v>2015</v>
      </c>
      <c r="I283" s="356" t="s">
        <v>1257</v>
      </c>
      <c r="J283" s="375" t="s">
        <v>1408</v>
      </c>
      <c r="K283" s="384">
        <v>5184</v>
      </c>
      <c r="L283" s="184" t="s">
        <v>142</v>
      </c>
      <c r="M283" s="199" t="str">
        <f t="shared" si="9"/>
        <v>Yes</v>
      </c>
      <c r="N283" s="199">
        <f>(192*5*5*48+11*192*3*3*192+1*1*192)+(192*5*5*49+12*192*3*3*192+1*1*192+21*21*256+256)</f>
        <v>8209984</v>
      </c>
      <c r="O283" s="199">
        <v>3.8e+20</v>
      </c>
      <c r="P283" s="378"/>
      <c r="Q283" s="199"/>
      <c r="R283" s="205"/>
      <c r="S283" s="199"/>
      <c r="T283" s="205"/>
      <c r="U283" s="205"/>
      <c r="V283" s="205"/>
      <c r="W283" s="205"/>
      <c r="X283" s="184"/>
      <c r="Y283" s="184"/>
      <c r="Z283" s="184"/>
      <c r="AA283" s="396">
        <v>3076.07370277232</v>
      </c>
      <c r="AB283" s="376"/>
      <c r="AC283" s="376"/>
      <c r="AD283" s="376" t="str">
        <f t="shared" si="26"/>
        <v>Industry</v>
      </c>
      <c r="AE283" s="376" t="s">
        <v>1409</v>
      </c>
      <c r="AF283" s="376"/>
      <c r="AG283" s="376"/>
    </row>
    <row r="284" ht="12.75" spans="1:33">
      <c r="A284" s="353" t="s">
        <v>1410</v>
      </c>
      <c r="B284" s="192" t="s">
        <v>126</v>
      </c>
      <c r="C284" s="192" t="s">
        <v>874</v>
      </c>
      <c r="D284" s="192" t="s">
        <v>1411</v>
      </c>
      <c r="E284" s="192" t="s">
        <v>35</v>
      </c>
      <c r="F284" s="192" t="s">
        <v>1412</v>
      </c>
      <c r="G284" s="367">
        <v>42346</v>
      </c>
      <c r="H284" s="363">
        <f>IF(INT(RIGHT(G284,4))&lt;1,"",INT(RIGHT(G284,4)))</f>
        <v>2346</v>
      </c>
      <c r="I284" s="353" t="s">
        <v>1413</v>
      </c>
      <c r="J284" s="371" t="s">
        <v>1414</v>
      </c>
      <c r="K284" s="236">
        <v>2214</v>
      </c>
      <c r="L284" s="182" t="s">
        <v>454</v>
      </c>
      <c r="M284" s="197" t="str">
        <f t="shared" si="9"/>
        <v>Yes</v>
      </c>
      <c r="N284" s="197">
        <f>38000000</f>
        <v>38000000</v>
      </c>
      <c r="O284" s="197">
        <f>26000*1000000000000000</f>
        <v>2.6e+19</v>
      </c>
      <c r="P284" s="385"/>
      <c r="Q284" s="197">
        <v>163339200</v>
      </c>
      <c r="R284" s="182">
        <v>11</v>
      </c>
      <c r="S284" s="197">
        <f>1.8*10^9</f>
        <v>1800000000</v>
      </c>
      <c r="T284" s="182"/>
      <c r="U284" s="182"/>
      <c r="V284" s="182"/>
      <c r="W284" s="182"/>
      <c r="X284" s="182"/>
      <c r="Y284" s="182"/>
      <c r="Z284" s="182"/>
      <c r="AA284" s="399">
        <v>150.778479610371</v>
      </c>
      <c r="AB284" s="372"/>
      <c r="AC284" s="372"/>
      <c r="AD284" s="372" t="str">
        <f t="shared" si="26"/>
        <v>Industry</v>
      </c>
      <c r="AE284" s="372" t="s">
        <v>1415</v>
      </c>
      <c r="AF284" s="372"/>
      <c r="AG284" s="372"/>
    </row>
    <row r="285" ht="12.75" spans="1:33">
      <c r="A285" s="413" t="s">
        <v>1416</v>
      </c>
      <c r="B285" s="215" t="s">
        <v>41</v>
      </c>
      <c r="C285" s="215" t="s">
        <v>176</v>
      </c>
      <c r="D285" s="215" t="s">
        <v>1417</v>
      </c>
      <c r="E285" s="215" t="s">
        <v>35</v>
      </c>
      <c r="F285" s="215" t="s">
        <v>1346</v>
      </c>
      <c r="G285" s="361">
        <v>42013</v>
      </c>
      <c r="H285" s="360">
        <v>2015</v>
      </c>
      <c r="I285" s="413" t="s">
        <v>1418</v>
      </c>
      <c r="J285" s="375" t="s">
        <v>1419</v>
      </c>
      <c r="K285" s="384">
        <v>14087</v>
      </c>
      <c r="L285" s="184" t="s">
        <v>454</v>
      </c>
      <c r="M285" s="199" t="str">
        <f t="shared" si="9"/>
        <v>Yes</v>
      </c>
      <c r="N285" s="199">
        <f>7*7*96+6*3*3*384+6*3*3*768+6*3*3*896+63*256*4096+4096*4096+4096*1000</f>
        <v>87048800</v>
      </c>
      <c r="O285" s="377">
        <f>8*3.5*7*24*3600*4290000000000*0.33</f>
        <v>2.397403008e+19</v>
      </c>
      <c r="P285" s="380" t="s">
        <v>455</v>
      </c>
      <c r="Q285" s="199">
        <f>1.28*10^6</f>
        <v>1280000</v>
      </c>
      <c r="R285" s="184"/>
      <c r="S285" s="199"/>
      <c r="T285" s="184"/>
      <c r="U285" s="184"/>
      <c r="V285" s="184"/>
      <c r="W285" s="184"/>
      <c r="X285" s="184"/>
      <c r="Y285" s="184"/>
      <c r="Z285" s="184"/>
      <c r="AA285" s="396">
        <v>2166.21810494374</v>
      </c>
      <c r="AB285" s="376"/>
      <c r="AC285" s="376"/>
      <c r="AD285" s="376" t="str">
        <f t="shared" si="26"/>
        <v>Industry</v>
      </c>
      <c r="AE285" s="376" t="s">
        <v>1420</v>
      </c>
      <c r="AF285" s="376"/>
      <c r="AG285" s="376"/>
    </row>
    <row r="286" ht="12.75" spans="1:33">
      <c r="A286" s="353" t="s">
        <v>1421</v>
      </c>
      <c r="B286" s="192" t="s">
        <v>41</v>
      </c>
      <c r="C286" s="192" t="s">
        <v>176</v>
      </c>
      <c r="D286" s="192" t="s">
        <v>393</v>
      </c>
      <c r="E286" s="192" t="s">
        <v>35</v>
      </c>
      <c r="F286" s="192" t="s">
        <v>1346</v>
      </c>
      <c r="G286" s="367">
        <v>42348</v>
      </c>
      <c r="H286" s="363">
        <f t="shared" ref="H286:H287" si="29">IF(INT(RIGHT(G286,4))&lt;1,"",INT(RIGHT(G286,4)))</f>
        <v>2348</v>
      </c>
      <c r="I286" s="353" t="s">
        <v>1422</v>
      </c>
      <c r="J286" s="371" t="s">
        <v>1423</v>
      </c>
      <c r="K286" s="236">
        <v>85753</v>
      </c>
      <c r="L286" s="182" t="s">
        <v>454</v>
      </c>
      <c r="M286" s="197" t="str">
        <f t="shared" si="9"/>
        <v>Yes</v>
      </c>
      <c r="N286" s="197">
        <v>60000000</v>
      </c>
      <c r="O286" s="197">
        <v>1.21e+19</v>
      </c>
      <c r="P286" s="385" t="s">
        <v>583</v>
      </c>
      <c r="Q286" s="197">
        <v>1200000</v>
      </c>
      <c r="R286" s="182">
        <v>152</v>
      </c>
      <c r="S286" s="197">
        <f>2*11300000000</f>
        <v>22600000000</v>
      </c>
      <c r="T286" s="197"/>
      <c r="U286" s="197"/>
      <c r="V286" s="182"/>
      <c r="W286" s="182">
        <v>138</v>
      </c>
      <c r="X286" s="182"/>
      <c r="Y286" s="182"/>
      <c r="Z286" s="182"/>
      <c r="AA286" s="399">
        <v>92.031433516962</v>
      </c>
      <c r="AB286" s="372"/>
      <c r="AC286" s="372"/>
      <c r="AD286" s="372" t="str">
        <f t="shared" si="26"/>
        <v>Industry</v>
      </c>
      <c r="AE286" s="372" t="s">
        <v>1424</v>
      </c>
      <c r="AF286" s="372"/>
      <c r="AG286" s="372"/>
    </row>
    <row r="287" ht="12.75" spans="1:33">
      <c r="A287" s="356" t="s">
        <v>1425</v>
      </c>
      <c r="B287" s="215" t="s">
        <v>41</v>
      </c>
      <c r="C287" s="215" t="s">
        <v>176</v>
      </c>
      <c r="D287" s="215" t="s">
        <v>1426</v>
      </c>
      <c r="E287" s="215" t="s">
        <v>44</v>
      </c>
      <c r="F287" s="215" t="s">
        <v>1427</v>
      </c>
      <c r="G287" s="361">
        <v>42162</v>
      </c>
      <c r="H287" s="360">
        <f t="shared" si="29"/>
        <v>2162</v>
      </c>
      <c r="I287" s="356" t="s">
        <v>1428</v>
      </c>
      <c r="J287" s="375" t="s">
        <v>1429</v>
      </c>
      <c r="K287" s="379">
        <v>32758</v>
      </c>
      <c r="L287" s="184" t="s">
        <v>454</v>
      </c>
      <c r="M287" s="199" t="str">
        <f t="shared" si="9"/>
        <v>Yes</v>
      </c>
      <c r="N287" s="199">
        <f>(2.7+112+159+380+364+437+463+580+840+1072+1388+1000)*1000</f>
        <v>6797700</v>
      </c>
      <c r="O287" s="411">
        <v>1.557140125176e+18</v>
      </c>
      <c r="P287" s="380" t="s">
        <v>1430</v>
      </c>
      <c r="Q287" s="199">
        <f>1200000</f>
        <v>1200000</v>
      </c>
      <c r="R287" s="184">
        <v>22</v>
      </c>
      <c r="S287" s="199"/>
      <c r="T287" s="184"/>
      <c r="U287" s="184"/>
      <c r="V287" s="184"/>
      <c r="W287" s="184"/>
      <c r="X287" s="184"/>
      <c r="Y287" s="184"/>
      <c r="Z287" s="184"/>
      <c r="AA287" s="396">
        <v>14.1646781477527</v>
      </c>
      <c r="AB287" s="376"/>
      <c r="AC287" s="376"/>
      <c r="AD287" s="376" t="str">
        <f t="shared" si="26"/>
        <v>Industry</v>
      </c>
      <c r="AE287" s="376"/>
      <c r="AF287" s="376"/>
      <c r="AG287" s="376"/>
    </row>
    <row r="288" ht="12.75" spans="1:33">
      <c r="A288" s="353"/>
      <c r="B288" s="192" t="s">
        <v>41</v>
      </c>
      <c r="C288" s="192" t="s">
        <v>1139</v>
      </c>
      <c r="D288" s="192" t="s">
        <v>1431</v>
      </c>
      <c r="E288" s="192" t="s">
        <v>327</v>
      </c>
      <c r="F288" s="192" t="s">
        <v>1432</v>
      </c>
      <c r="G288" s="367">
        <v>42046</v>
      </c>
      <c r="H288" s="363">
        <v>2015</v>
      </c>
      <c r="I288" s="353" t="s">
        <v>1433</v>
      </c>
      <c r="J288" s="371" t="s">
        <v>1434</v>
      </c>
      <c r="K288" s="238">
        <v>2661</v>
      </c>
      <c r="L288" s="182" t="s">
        <v>454</v>
      </c>
      <c r="M288" s="197" t="str">
        <f t="shared" si="9"/>
        <v>Yes</v>
      </c>
      <c r="N288" s="197"/>
      <c r="O288" s="197"/>
      <c r="P288" s="385"/>
      <c r="Q288" s="197"/>
      <c r="R288" s="182"/>
      <c r="S288" s="197"/>
      <c r="T288" s="182"/>
      <c r="U288" s="182"/>
      <c r="V288" s="182"/>
      <c r="W288" s="182"/>
      <c r="X288" s="182"/>
      <c r="Y288" s="182"/>
      <c r="Z288" s="182"/>
      <c r="AA288" s="399" t="s">
        <v>49</v>
      </c>
      <c r="AB288" s="372"/>
      <c r="AC288" s="372"/>
      <c r="AD288" s="372" t="str">
        <f t="shared" si="26"/>
        <v>Industry</v>
      </c>
      <c r="AE288" s="372"/>
      <c r="AF288" s="372"/>
      <c r="AG288" s="372"/>
    </row>
    <row r="289" ht="12.75" spans="1:33">
      <c r="A289" s="356" t="s">
        <v>1435</v>
      </c>
      <c r="B289" s="215" t="s">
        <v>256</v>
      </c>
      <c r="C289" s="215" t="s">
        <v>482</v>
      </c>
      <c r="D289" s="215" t="s">
        <v>85</v>
      </c>
      <c r="E289" s="215" t="s">
        <v>35</v>
      </c>
      <c r="F289" s="215" t="s">
        <v>1436</v>
      </c>
      <c r="G289" s="361">
        <v>42060</v>
      </c>
      <c r="H289" s="360">
        <f t="shared" ref="H289:H336" si="30">IF(INT(RIGHT(G289,4))&lt;1,"",INT(RIGHT(G289,4)))</f>
        <v>2060</v>
      </c>
      <c r="I289" s="356" t="s">
        <v>1437</v>
      </c>
      <c r="J289" s="375" t="s">
        <v>1438</v>
      </c>
      <c r="K289" s="379">
        <v>15674</v>
      </c>
      <c r="L289" s="184" t="s">
        <v>454</v>
      </c>
      <c r="M289" s="199" t="str">
        <f t="shared" si="9"/>
        <v>Yes</v>
      </c>
      <c r="N289" s="199">
        <f>32*8*8+64*4*4+64*3*3+64*7*7*512+512*18</f>
        <v>1618496</v>
      </c>
      <c r="O289" s="199"/>
      <c r="P289" s="380"/>
      <c r="Q289" s="199"/>
      <c r="R289" s="184"/>
      <c r="S289" s="199"/>
      <c r="T289" s="184"/>
      <c r="U289" s="184"/>
      <c r="V289" s="184"/>
      <c r="W289" s="184"/>
      <c r="X289" s="184"/>
      <c r="Y289" s="184"/>
      <c r="Z289" s="184"/>
      <c r="AA289" s="396" t="s">
        <v>49</v>
      </c>
      <c r="AB289" s="376"/>
      <c r="AC289" s="376"/>
      <c r="AD289" s="376" t="str">
        <f t="shared" si="26"/>
        <v>Industry</v>
      </c>
      <c r="AE289" s="376"/>
      <c r="AF289" s="376"/>
      <c r="AG289" s="376"/>
    </row>
    <row r="290" ht="12.75" spans="1:33">
      <c r="A290" s="353" t="s">
        <v>1439</v>
      </c>
      <c r="B290" s="192" t="s">
        <v>51</v>
      </c>
      <c r="C290" s="192" t="s">
        <v>1440</v>
      </c>
      <c r="D290" s="192" t="s">
        <v>1441</v>
      </c>
      <c r="E290" s="192" t="s">
        <v>327</v>
      </c>
      <c r="F290" s="192" t="s">
        <v>1442</v>
      </c>
      <c r="G290" s="367">
        <v>42063</v>
      </c>
      <c r="H290" s="363">
        <f t="shared" si="30"/>
        <v>2063</v>
      </c>
      <c r="I290" s="353" t="s">
        <v>1443</v>
      </c>
      <c r="J290" s="371" t="s">
        <v>1444</v>
      </c>
      <c r="K290" s="236">
        <v>2616</v>
      </c>
      <c r="L290" s="182" t="s">
        <v>454</v>
      </c>
      <c r="M290" s="197" t="str">
        <f t="shared" si="9"/>
        <v>Yes</v>
      </c>
      <c r="N290" s="197">
        <v>205190</v>
      </c>
      <c r="O290" s="200"/>
      <c r="P290" s="385"/>
      <c r="Q290" s="197"/>
      <c r="R290" s="182"/>
      <c r="S290" s="197"/>
      <c r="T290" s="182"/>
      <c r="U290" s="182"/>
      <c r="V290" s="182"/>
      <c r="W290" s="182"/>
      <c r="X290" s="182"/>
      <c r="Y290" s="182"/>
      <c r="Z290" s="182"/>
      <c r="AA290" s="399" t="s">
        <v>49</v>
      </c>
      <c r="AB290" s="372"/>
      <c r="AC290" s="372" t="s">
        <v>1445</v>
      </c>
      <c r="AD290" s="372" t="str">
        <f t="shared" si="26"/>
        <v>Industry</v>
      </c>
      <c r="AE290" s="372"/>
      <c r="AF290" s="372"/>
      <c r="AG290" s="372"/>
    </row>
    <row r="291" ht="12.75" spans="1:33">
      <c r="A291" s="356" t="s">
        <v>1446</v>
      </c>
      <c r="B291" s="215" t="s">
        <v>41</v>
      </c>
      <c r="C291" s="215" t="s">
        <v>724</v>
      </c>
      <c r="D291" s="215" t="s">
        <v>205</v>
      </c>
      <c r="E291" s="215" t="s">
        <v>35</v>
      </c>
      <c r="F291" s="215" t="s">
        <v>1447</v>
      </c>
      <c r="G291" s="361">
        <v>42124</v>
      </c>
      <c r="H291" s="360">
        <f t="shared" si="30"/>
        <v>2124</v>
      </c>
      <c r="I291" s="356" t="s">
        <v>1446</v>
      </c>
      <c r="J291" s="375" t="s">
        <v>1448</v>
      </c>
      <c r="K291" s="379">
        <v>15834</v>
      </c>
      <c r="L291" s="184" t="s">
        <v>454</v>
      </c>
      <c r="M291" s="199" t="str">
        <f t="shared" si="9"/>
        <v>Yes</v>
      </c>
      <c r="N291" s="199"/>
      <c r="O291" s="199"/>
      <c r="P291" s="380"/>
      <c r="Q291" s="199"/>
      <c r="R291" s="184"/>
      <c r="S291" s="199"/>
      <c r="T291" s="184"/>
      <c r="U291" s="184"/>
      <c r="V291" s="184"/>
      <c r="W291" s="184"/>
      <c r="X291" s="184"/>
      <c r="Y291" s="184"/>
      <c r="Z291" s="184"/>
      <c r="AA291" s="396" t="s">
        <v>49</v>
      </c>
      <c r="AB291" s="376"/>
      <c r="AC291" s="376"/>
      <c r="AD291" s="376" t="str">
        <f t="shared" si="26"/>
        <v>Industry</v>
      </c>
      <c r="AE291" s="376"/>
      <c r="AF291" s="376"/>
      <c r="AG291" s="376"/>
    </row>
    <row r="292" ht="12.75" spans="1:33">
      <c r="A292" s="353"/>
      <c r="B292" s="192" t="s">
        <v>41</v>
      </c>
      <c r="C292" s="192" t="s">
        <v>1303</v>
      </c>
      <c r="D292" s="192" t="s">
        <v>1449</v>
      </c>
      <c r="E292" s="192" t="s">
        <v>327</v>
      </c>
      <c r="F292" s="192" t="s">
        <v>1450</v>
      </c>
      <c r="G292" s="367">
        <v>42125</v>
      </c>
      <c r="H292" s="363">
        <f t="shared" si="30"/>
        <v>2125</v>
      </c>
      <c r="I292" s="353" t="s">
        <v>1451</v>
      </c>
      <c r="J292" s="371" t="s">
        <v>1452</v>
      </c>
      <c r="K292" s="238">
        <v>2260</v>
      </c>
      <c r="L292" s="182" t="s">
        <v>454</v>
      </c>
      <c r="M292" s="197" t="str">
        <f t="shared" si="9"/>
        <v>Yes</v>
      </c>
      <c r="N292" s="197"/>
      <c r="O292" s="197"/>
      <c r="P292" s="385"/>
      <c r="Q292" s="197"/>
      <c r="R292" s="182"/>
      <c r="S292" s="197"/>
      <c r="T292" s="182"/>
      <c r="U292" s="182"/>
      <c r="V292" s="182"/>
      <c r="W292" s="182"/>
      <c r="X292" s="182"/>
      <c r="Y292" s="182"/>
      <c r="Z292" s="182"/>
      <c r="AA292" s="399" t="s">
        <v>49</v>
      </c>
      <c r="AB292" s="372"/>
      <c r="AC292" s="372"/>
      <c r="AD292" s="372" t="str">
        <f t="shared" si="26"/>
        <v>Industry</v>
      </c>
      <c r="AE292" s="372"/>
      <c r="AF292" s="372"/>
      <c r="AG292" s="372"/>
    </row>
    <row r="293" ht="12.75" spans="1:33">
      <c r="A293" s="356" t="s">
        <v>1453</v>
      </c>
      <c r="B293" s="215" t="s">
        <v>1129</v>
      </c>
      <c r="C293" s="215" t="s">
        <v>176</v>
      </c>
      <c r="D293" s="215" t="s">
        <v>1454</v>
      </c>
      <c r="E293" s="215" t="s">
        <v>360</v>
      </c>
      <c r="F293" s="215" t="s">
        <v>1455</v>
      </c>
      <c r="G293" s="361">
        <v>42133</v>
      </c>
      <c r="H293" s="360">
        <f t="shared" si="30"/>
        <v>2133</v>
      </c>
      <c r="I293" s="356" t="s">
        <v>1456</v>
      </c>
      <c r="J293" s="375" t="s">
        <v>1457</v>
      </c>
      <c r="K293" s="384">
        <v>1937</v>
      </c>
      <c r="L293" s="184" t="s">
        <v>454</v>
      </c>
      <c r="M293" s="199" t="str">
        <f t="shared" si="9"/>
        <v>Yes</v>
      </c>
      <c r="N293" s="199"/>
      <c r="O293" s="199"/>
      <c r="P293" s="380"/>
      <c r="Q293" s="199"/>
      <c r="R293" s="184"/>
      <c r="S293" s="199"/>
      <c r="T293" s="184"/>
      <c r="U293" s="184"/>
      <c r="V293" s="184"/>
      <c r="W293" s="184"/>
      <c r="X293" s="205"/>
      <c r="Y293" s="205"/>
      <c r="Z293" s="205"/>
      <c r="AA293" s="395" t="s">
        <v>49</v>
      </c>
      <c r="AB293" s="376"/>
      <c r="AC293" s="376"/>
      <c r="AD293" s="376" t="str">
        <f t="shared" si="26"/>
        <v>Industry</v>
      </c>
      <c r="AE293" s="376"/>
      <c r="AF293" s="376"/>
      <c r="AG293" s="376"/>
    </row>
    <row r="294" ht="12.75" spans="1:33">
      <c r="A294" s="353"/>
      <c r="B294" s="192" t="s">
        <v>41</v>
      </c>
      <c r="C294" s="192" t="s">
        <v>1159</v>
      </c>
      <c r="D294" s="192" t="s">
        <v>1458</v>
      </c>
      <c r="E294" s="192" t="s">
        <v>134</v>
      </c>
      <c r="F294" s="192" t="s">
        <v>1459</v>
      </c>
      <c r="G294" s="367">
        <v>42156</v>
      </c>
      <c r="H294" s="363">
        <f t="shared" si="30"/>
        <v>2156</v>
      </c>
      <c r="I294" s="353" t="s">
        <v>1460</v>
      </c>
      <c r="J294" s="371" t="s">
        <v>1461</v>
      </c>
      <c r="K294" s="238">
        <v>3466</v>
      </c>
      <c r="L294" s="182" t="s">
        <v>454</v>
      </c>
      <c r="M294" s="197" t="str">
        <f t="shared" si="9"/>
        <v>Yes</v>
      </c>
      <c r="N294" s="197"/>
      <c r="O294" s="197"/>
      <c r="P294" s="385"/>
      <c r="Q294" s="197"/>
      <c r="R294" s="182"/>
      <c r="S294" s="197"/>
      <c r="T294" s="182"/>
      <c r="U294" s="182"/>
      <c r="V294" s="182"/>
      <c r="W294" s="182"/>
      <c r="X294" s="182"/>
      <c r="Y294" s="182"/>
      <c r="Z294" s="182"/>
      <c r="AA294" s="399" t="s">
        <v>49</v>
      </c>
      <c r="AB294" s="372"/>
      <c r="AC294" s="372"/>
      <c r="AD294" s="372" t="str">
        <f t="shared" si="26"/>
        <v>Academia</v>
      </c>
      <c r="AE294" s="372"/>
      <c r="AF294" s="372"/>
      <c r="AG294" s="372"/>
    </row>
    <row r="295" ht="12.75" spans="1:33">
      <c r="A295" s="356" t="s">
        <v>1462</v>
      </c>
      <c r="B295" s="215" t="s">
        <v>41</v>
      </c>
      <c r="C295" s="215" t="s">
        <v>724</v>
      </c>
      <c r="D295" s="215" t="s">
        <v>205</v>
      </c>
      <c r="E295" s="215" t="s">
        <v>35</v>
      </c>
      <c r="F295" s="215" t="s">
        <v>1463</v>
      </c>
      <c r="G295" s="361">
        <v>42159</v>
      </c>
      <c r="H295" s="360">
        <f t="shared" si="30"/>
        <v>2159</v>
      </c>
      <c r="I295" s="356" t="s">
        <v>1464</v>
      </c>
      <c r="J295" s="375" t="s">
        <v>1465</v>
      </c>
      <c r="K295" s="379">
        <v>22961</v>
      </c>
      <c r="L295" s="184" t="s">
        <v>454</v>
      </c>
      <c r="M295" s="199" t="str">
        <f t="shared" si="9"/>
        <v>Yes</v>
      </c>
      <c r="N295" s="199"/>
      <c r="O295" s="199"/>
      <c r="P295" s="380"/>
      <c r="Q295" s="199"/>
      <c r="R295" s="184"/>
      <c r="S295" s="199"/>
      <c r="T295" s="184"/>
      <c r="U295" s="184"/>
      <c r="V295" s="184"/>
      <c r="W295" s="184"/>
      <c r="X295" s="184"/>
      <c r="Y295" s="184"/>
      <c r="Z295" s="184"/>
      <c r="AA295" s="396" t="s">
        <v>49</v>
      </c>
      <c r="AB295" s="376"/>
      <c r="AC295" s="376"/>
      <c r="AD295" s="376" t="str">
        <f t="shared" si="26"/>
        <v>Industry</v>
      </c>
      <c r="AE295" s="376"/>
      <c r="AF295" s="376"/>
      <c r="AG295" s="376"/>
    </row>
    <row r="296" ht="12.75" spans="1:33">
      <c r="A296" s="353" t="s">
        <v>1466</v>
      </c>
      <c r="B296" s="192" t="s">
        <v>41</v>
      </c>
      <c r="C296" s="192" t="s">
        <v>724</v>
      </c>
      <c r="D296" s="192" t="s">
        <v>898</v>
      </c>
      <c r="E296" s="192" t="s">
        <v>327</v>
      </c>
      <c r="F296" s="192" t="s">
        <v>1467</v>
      </c>
      <c r="G296" s="367">
        <v>42163</v>
      </c>
      <c r="H296" s="363">
        <f t="shared" si="30"/>
        <v>2163</v>
      </c>
      <c r="I296" s="353" t="s">
        <v>1468</v>
      </c>
      <c r="J296" s="371" t="s">
        <v>1469</v>
      </c>
      <c r="K296" s="236">
        <v>17522</v>
      </c>
      <c r="L296" s="182" t="s">
        <v>454</v>
      </c>
      <c r="M296" s="197" t="str">
        <f t="shared" si="9"/>
        <v>Yes</v>
      </c>
      <c r="N296" s="197">
        <f>7*7*64*3+3*3*192*64+1*1*128*192+3*3*256*128+1*1*256*256+3*3*512*256+4*(1*1*256*512+3*3*512*256)+1*1*512*512+3*3*1024*512+2*(1*1*512*1024+3*3*1024*512)+4*(3*3*1024*1024)+1024*4096+4096*30</f>
        <v>64459968</v>
      </c>
      <c r="O296" s="197"/>
      <c r="P296" s="385"/>
      <c r="Q296" s="197"/>
      <c r="R296" s="182"/>
      <c r="S296" s="197"/>
      <c r="T296" s="182"/>
      <c r="U296" s="182"/>
      <c r="V296" s="182"/>
      <c r="W296" s="182"/>
      <c r="X296" s="182"/>
      <c r="Y296" s="182"/>
      <c r="Z296" s="182"/>
      <c r="AA296" s="399" t="s">
        <v>49</v>
      </c>
      <c r="AB296" s="372"/>
      <c r="AC296" s="372"/>
      <c r="AD296" s="372" t="str">
        <f t="shared" si="26"/>
        <v>Industry</v>
      </c>
      <c r="AE296" s="372"/>
      <c r="AF296" s="372"/>
      <c r="AG296" s="372"/>
    </row>
    <row r="297" ht="12.75" spans="1:33">
      <c r="A297" s="356" t="s">
        <v>1470</v>
      </c>
      <c r="B297" s="215"/>
      <c r="C297" s="215"/>
      <c r="D297" s="215" t="s">
        <v>85</v>
      </c>
      <c r="E297" s="215" t="s">
        <v>35</v>
      </c>
      <c r="F297" s="215" t="s">
        <v>1471</v>
      </c>
      <c r="G297" s="361">
        <v>42170</v>
      </c>
      <c r="H297" s="360">
        <f t="shared" si="30"/>
        <v>2170</v>
      </c>
      <c r="I297" s="356" t="s">
        <v>1472</v>
      </c>
      <c r="J297" s="375" t="s">
        <v>1473</v>
      </c>
      <c r="K297" s="379">
        <v>29217</v>
      </c>
      <c r="L297" s="184" t="s">
        <v>454</v>
      </c>
      <c r="M297" s="199" t="str">
        <f t="shared" si="9"/>
        <v>Yes</v>
      </c>
      <c r="N297" s="199"/>
      <c r="O297" s="199"/>
      <c r="P297" s="380"/>
      <c r="Q297" s="199"/>
      <c r="R297" s="184"/>
      <c r="S297" s="199"/>
      <c r="T297" s="184"/>
      <c r="U297" s="184"/>
      <c r="V297" s="184"/>
      <c r="W297" s="184"/>
      <c r="X297" s="184"/>
      <c r="Y297" s="184"/>
      <c r="Z297" s="184"/>
      <c r="AA297" s="396" t="s">
        <v>49</v>
      </c>
      <c r="AB297" s="376"/>
      <c r="AC297" s="376"/>
      <c r="AD297" s="376" t="str">
        <f t="shared" si="26"/>
        <v>Industry</v>
      </c>
      <c r="AE297" s="376"/>
      <c r="AF297" s="376"/>
      <c r="AG297" s="376"/>
    </row>
    <row r="298" ht="12.75" spans="1:33">
      <c r="A298" s="353"/>
      <c r="B298" s="192"/>
      <c r="C298" s="359"/>
      <c r="D298" s="192" t="s">
        <v>1474</v>
      </c>
      <c r="E298" s="192" t="s">
        <v>327</v>
      </c>
      <c r="F298" s="192" t="s">
        <v>1475</v>
      </c>
      <c r="G298" s="367">
        <v>42236</v>
      </c>
      <c r="H298" s="363">
        <f t="shared" si="30"/>
        <v>2236</v>
      </c>
      <c r="I298" s="353" t="s">
        <v>1476</v>
      </c>
      <c r="J298" s="371" t="s">
        <v>1477</v>
      </c>
      <c r="K298" s="236">
        <v>1619</v>
      </c>
      <c r="L298" s="182" t="s">
        <v>454</v>
      </c>
      <c r="M298" s="197" t="str">
        <f t="shared" si="9"/>
        <v>Yes</v>
      </c>
      <c r="N298" s="197"/>
      <c r="O298" s="197"/>
      <c r="P298" s="385"/>
      <c r="Q298" s="197"/>
      <c r="R298" s="182"/>
      <c r="S298" s="197"/>
      <c r="T298" s="182"/>
      <c r="U298" s="182"/>
      <c r="V298" s="182"/>
      <c r="W298" s="182"/>
      <c r="X298" s="182"/>
      <c r="Y298" s="182"/>
      <c r="Z298" s="182"/>
      <c r="AA298" s="399" t="s">
        <v>49</v>
      </c>
      <c r="AB298" s="372"/>
      <c r="AC298" s="372"/>
      <c r="AD298" s="372" t="str">
        <f t="shared" si="26"/>
        <v>Industry</v>
      </c>
      <c r="AE298" s="372"/>
      <c r="AF298" s="372"/>
      <c r="AG298" s="372"/>
    </row>
    <row r="299" ht="12.75" spans="1:33">
      <c r="A299" s="356" t="s">
        <v>1478</v>
      </c>
      <c r="B299" s="215" t="s">
        <v>51</v>
      </c>
      <c r="C299" s="215" t="s">
        <v>144</v>
      </c>
      <c r="D299" s="215" t="s">
        <v>1479</v>
      </c>
      <c r="E299" s="215" t="s">
        <v>134</v>
      </c>
      <c r="F299" s="215" t="s">
        <v>1480</v>
      </c>
      <c r="G299" s="361">
        <v>42247</v>
      </c>
      <c r="H299" s="360">
        <f t="shared" si="30"/>
        <v>2247</v>
      </c>
      <c r="I299" s="356" t="s">
        <v>1481</v>
      </c>
      <c r="J299" s="375" t="s">
        <v>1482</v>
      </c>
      <c r="K299" s="379">
        <v>4058</v>
      </c>
      <c r="L299" s="184" t="s">
        <v>454</v>
      </c>
      <c r="M299" s="199" t="str">
        <f t="shared" si="9"/>
        <v>Yes</v>
      </c>
      <c r="N299" s="199"/>
      <c r="O299" s="203"/>
      <c r="P299" s="380" t="s">
        <v>1483</v>
      </c>
      <c r="Q299" s="199">
        <f>100000000*0.5*0.75</f>
        <v>37500000</v>
      </c>
      <c r="R299" s="184"/>
      <c r="S299" s="199"/>
      <c r="T299" s="184"/>
      <c r="U299" s="184"/>
      <c r="V299" s="184"/>
      <c r="W299" s="184"/>
      <c r="X299" s="184"/>
      <c r="Y299" s="184"/>
      <c r="Z299" s="184"/>
      <c r="AA299" s="396" t="s">
        <v>49</v>
      </c>
      <c r="AB299" s="376"/>
      <c r="AC299" s="376"/>
      <c r="AD299" s="376" t="str">
        <f t="shared" si="26"/>
        <v>Academia</v>
      </c>
      <c r="AE299" s="376"/>
      <c r="AF299" s="376"/>
      <c r="AG299" s="376"/>
    </row>
    <row r="300" ht="12.75" spans="1:33">
      <c r="A300" s="353"/>
      <c r="B300" s="359"/>
      <c r="C300" s="359"/>
      <c r="D300" s="192" t="s">
        <v>1334</v>
      </c>
      <c r="E300" s="192" t="s">
        <v>35</v>
      </c>
      <c r="F300" s="192" t="s">
        <v>1484</v>
      </c>
      <c r="G300" s="367">
        <v>42256</v>
      </c>
      <c r="H300" s="363">
        <f t="shared" si="30"/>
        <v>2256</v>
      </c>
      <c r="I300" s="353" t="s">
        <v>1485</v>
      </c>
      <c r="J300" s="371" t="s">
        <v>1486</v>
      </c>
      <c r="K300" s="236">
        <v>6348</v>
      </c>
      <c r="L300" s="182" t="s">
        <v>454</v>
      </c>
      <c r="M300" s="197" t="str">
        <f t="shared" si="9"/>
        <v>Yes</v>
      </c>
      <c r="N300" s="204"/>
      <c r="O300" s="200"/>
      <c r="P300" s="385"/>
      <c r="Q300" s="197"/>
      <c r="R300" s="182"/>
      <c r="S300" s="204"/>
      <c r="T300" s="182"/>
      <c r="U300" s="182"/>
      <c r="V300" s="182"/>
      <c r="W300" s="182"/>
      <c r="X300" s="182"/>
      <c r="Y300" s="182"/>
      <c r="Z300" s="182"/>
      <c r="AA300" s="399" t="s">
        <v>49</v>
      </c>
      <c r="AB300" s="372"/>
      <c r="AC300" s="372"/>
      <c r="AD300" s="372" t="str">
        <f t="shared" si="26"/>
        <v>Industry</v>
      </c>
      <c r="AE300" s="372"/>
      <c r="AF300" s="372"/>
      <c r="AG300" s="372"/>
    </row>
    <row r="301" ht="12.75" spans="1:33">
      <c r="A301" s="356"/>
      <c r="B301" s="368"/>
      <c r="C301" s="368"/>
      <c r="D301" s="215" t="s">
        <v>1334</v>
      </c>
      <c r="E301" s="215" t="s">
        <v>35</v>
      </c>
      <c r="F301" s="215" t="s">
        <v>1487</v>
      </c>
      <c r="G301" s="361">
        <v>42328</v>
      </c>
      <c r="H301" s="360">
        <f t="shared" si="30"/>
        <v>2328</v>
      </c>
      <c r="I301" s="356" t="s">
        <v>1488</v>
      </c>
      <c r="J301" s="375" t="s">
        <v>1489</v>
      </c>
      <c r="K301" s="379">
        <v>1995</v>
      </c>
      <c r="L301" s="184" t="s">
        <v>454</v>
      </c>
      <c r="M301" s="199" t="str">
        <f t="shared" si="9"/>
        <v>Yes</v>
      </c>
      <c r="N301" s="203"/>
      <c r="O301" s="203"/>
      <c r="P301" s="378"/>
      <c r="Q301" s="203"/>
      <c r="R301" s="205"/>
      <c r="S301" s="203"/>
      <c r="T301" s="205"/>
      <c r="U301" s="205"/>
      <c r="V301" s="205"/>
      <c r="W301" s="205"/>
      <c r="X301" s="184"/>
      <c r="Y301" s="184"/>
      <c r="Z301" s="184"/>
      <c r="AA301" s="396" t="s">
        <v>49</v>
      </c>
      <c r="AB301" s="376"/>
      <c r="AC301" s="376"/>
      <c r="AD301" s="376" t="str">
        <f t="shared" si="26"/>
        <v>Industry</v>
      </c>
      <c r="AE301" s="376"/>
      <c r="AF301" s="376"/>
      <c r="AG301" s="376"/>
    </row>
    <row r="302" ht="12.75" spans="1:33">
      <c r="A302" s="353"/>
      <c r="B302" s="192" t="s">
        <v>41</v>
      </c>
      <c r="C302" s="192" t="s">
        <v>1139</v>
      </c>
      <c r="D302" s="192" t="s">
        <v>1490</v>
      </c>
      <c r="E302" s="192" t="s">
        <v>327</v>
      </c>
      <c r="F302" s="192" t="s">
        <v>1491</v>
      </c>
      <c r="G302" s="367">
        <v>42331</v>
      </c>
      <c r="H302" s="363">
        <f t="shared" si="30"/>
        <v>2331</v>
      </c>
      <c r="I302" s="353" t="s">
        <v>1492</v>
      </c>
      <c r="J302" s="371" t="s">
        <v>1493</v>
      </c>
      <c r="K302" s="238">
        <v>5844</v>
      </c>
      <c r="L302" s="182" t="s">
        <v>454</v>
      </c>
      <c r="M302" s="197" t="str">
        <f t="shared" si="9"/>
        <v>Yes</v>
      </c>
      <c r="N302" s="200"/>
      <c r="O302" s="200"/>
      <c r="P302" s="374"/>
      <c r="Q302" s="200"/>
      <c r="R302" s="204"/>
      <c r="S302" s="200"/>
      <c r="T302" s="204"/>
      <c r="U302" s="204"/>
      <c r="V302" s="204"/>
      <c r="W302" s="204"/>
      <c r="X302" s="182"/>
      <c r="Y302" s="182"/>
      <c r="Z302" s="182"/>
      <c r="AA302" s="399" t="s">
        <v>49</v>
      </c>
      <c r="AB302" s="372"/>
      <c r="AC302" s="372"/>
      <c r="AD302" s="372" t="str">
        <f t="shared" si="26"/>
        <v>Industry</v>
      </c>
      <c r="AE302" s="372"/>
      <c r="AF302" s="372"/>
      <c r="AG302" s="372"/>
    </row>
    <row r="303" ht="12.75" spans="1:33">
      <c r="A303" s="356"/>
      <c r="B303" s="215" t="s">
        <v>434</v>
      </c>
      <c r="C303" s="215"/>
      <c r="D303" s="215" t="s">
        <v>1494</v>
      </c>
      <c r="E303" s="215" t="s">
        <v>35</v>
      </c>
      <c r="F303" s="215" t="s">
        <v>1495</v>
      </c>
      <c r="G303" s="361">
        <v>42339</v>
      </c>
      <c r="H303" s="360">
        <f t="shared" si="30"/>
        <v>2339</v>
      </c>
      <c r="I303" s="356" t="s">
        <v>1496</v>
      </c>
      <c r="J303" s="375" t="s">
        <v>1497</v>
      </c>
      <c r="K303" s="379">
        <v>1092</v>
      </c>
      <c r="L303" s="184" t="s">
        <v>454</v>
      </c>
      <c r="M303" s="199" t="str">
        <f t="shared" si="9"/>
        <v>Yes</v>
      </c>
      <c r="N303" s="199"/>
      <c r="O303" s="203"/>
      <c r="P303" s="380"/>
      <c r="Q303" s="199"/>
      <c r="R303" s="184"/>
      <c r="S303" s="199"/>
      <c r="T303" s="184"/>
      <c r="U303" s="184"/>
      <c r="V303" s="184"/>
      <c r="W303" s="184"/>
      <c r="X303" s="184"/>
      <c r="Y303" s="184"/>
      <c r="Z303" s="184"/>
      <c r="AA303" s="396" t="s">
        <v>49</v>
      </c>
      <c r="AB303" s="376"/>
      <c r="AC303" s="376"/>
      <c r="AD303" s="376" t="str">
        <f t="shared" si="26"/>
        <v>Industry</v>
      </c>
      <c r="AE303" s="376"/>
      <c r="AF303" s="376"/>
      <c r="AG303" s="376"/>
    </row>
    <row r="304" ht="12.75" spans="1:33">
      <c r="A304" s="353" t="s">
        <v>1498</v>
      </c>
      <c r="B304" s="192" t="s">
        <v>41</v>
      </c>
      <c r="C304" s="192" t="s">
        <v>176</v>
      </c>
      <c r="D304" s="192" t="s">
        <v>1499</v>
      </c>
      <c r="E304" s="192" t="s">
        <v>44</v>
      </c>
      <c r="F304" s="192" t="s">
        <v>1500</v>
      </c>
      <c r="G304" s="367">
        <v>42340</v>
      </c>
      <c r="H304" s="363">
        <f t="shared" si="30"/>
        <v>2340</v>
      </c>
      <c r="I304" s="353" t="s">
        <v>1501</v>
      </c>
      <c r="J304" s="371" t="s">
        <v>1502</v>
      </c>
      <c r="K304" s="236">
        <v>14745</v>
      </c>
      <c r="L304" s="182" t="s">
        <v>454</v>
      </c>
      <c r="M304" s="197" t="str">
        <f t="shared" si="9"/>
        <v>Yes</v>
      </c>
      <c r="N304" s="197">
        <v>23626728</v>
      </c>
      <c r="O304" s="197"/>
      <c r="P304" s="385" t="s">
        <v>583</v>
      </c>
      <c r="Q304" s="197">
        <v>1200000</v>
      </c>
      <c r="R304" s="182"/>
      <c r="S304" s="197">
        <f>57415000000*2</f>
        <v>114830000000</v>
      </c>
      <c r="T304" s="182"/>
      <c r="U304" s="182"/>
      <c r="V304" s="182"/>
      <c r="W304" s="182"/>
      <c r="X304" s="182"/>
      <c r="Y304" s="372"/>
      <c r="Z304" s="372" t="s">
        <v>667</v>
      </c>
      <c r="AA304" s="394" t="s">
        <v>49</v>
      </c>
      <c r="AB304" s="372"/>
      <c r="AC304" s="372"/>
      <c r="AD304" s="372" t="str">
        <f t="shared" si="26"/>
        <v>Industry</v>
      </c>
      <c r="AE304" s="372"/>
      <c r="AF304" s="372"/>
      <c r="AG304" s="372"/>
    </row>
    <row r="305" ht="12.75" spans="1:33">
      <c r="A305" s="356" t="s">
        <v>1503</v>
      </c>
      <c r="B305" s="215" t="s">
        <v>41</v>
      </c>
      <c r="C305" s="215" t="s">
        <v>176</v>
      </c>
      <c r="D305" s="215" t="s">
        <v>393</v>
      </c>
      <c r="E305" s="215" t="s">
        <v>35</v>
      </c>
      <c r="F305" s="215" t="s">
        <v>1346</v>
      </c>
      <c r="G305" s="361">
        <v>42348</v>
      </c>
      <c r="H305" s="360">
        <f t="shared" si="30"/>
        <v>2348</v>
      </c>
      <c r="I305" s="356" t="s">
        <v>1422</v>
      </c>
      <c r="J305" s="375" t="s">
        <v>1423</v>
      </c>
      <c r="K305" s="379">
        <v>85753</v>
      </c>
      <c r="L305" s="184" t="s">
        <v>454</v>
      </c>
      <c r="M305" s="199" t="str">
        <f t="shared" si="9"/>
        <v>Yes</v>
      </c>
      <c r="N305" s="199">
        <v>1700000</v>
      </c>
      <c r="O305" s="199"/>
      <c r="P305" s="380"/>
      <c r="Q305" s="199"/>
      <c r="R305" s="184">
        <v>110</v>
      </c>
      <c r="S305" s="199"/>
      <c r="T305" s="184"/>
      <c r="U305" s="184"/>
      <c r="V305" s="184"/>
      <c r="W305" s="184"/>
      <c r="X305" s="184"/>
      <c r="Y305" s="184"/>
      <c r="Z305" s="184"/>
      <c r="AA305" s="396" t="s">
        <v>49</v>
      </c>
      <c r="AB305" s="376"/>
      <c r="AC305" s="376"/>
      <c r="AD305" s="376" t="str">
        <f t="shared" si="26"/>
        <v>Industry</v>
      </c>
      <c r="AE305" s="376"/>
      <c r="AF305" s="376"/>
      <c r="AG305" s="376"/>
    </row>
    <row r="306" ht="12.75" spans="1:33">
      <c r="A306" s="353" t="s">
        <v>1504</v>
      </c>
      <c r="B306" s="192" t="s">
        <v>77</v>
      </c>
      <c r="C306" s="192" t="s">
        <v>964</v>
      </c>
      <c r="D306" s="192" t="s">
        <v>1505</v>
      </c>
      <c r="E306" s="192" t="s">
        <v>134</v>
      </c>
      <c r="F306" s="192" t="s">
        <v>1506</v>
      </c>
      <c r="G306" s="367">
        <v>42349</v>
      </c>
      <c r="H306" s="363">
        <f t="shared" si="30"/>
        <v>2349</v>
      </c>
      <c r="I306" s="353" t="s">
        <v>1507</v>
      </c>
      <c r="J306" s="371" t="s">
        <v>1508</v>
      </c>
      <c r="K306" s="236">
        <v>2008</v>
      </c>
      <c r="L306" s="182" t="s">
        <v>454</v>
      </c>
      <c r="M306" s="197" t="str">
        <f t="shared" si="9"/>
        <v>Yes</v>
      </c>
      <c r="N306" s="197"/>
      <c r="O306" s="197"/>
      <c r="P306" s="385"/>
      <c r="Q306" s="197"/>
      <c r="R306" s="182"/>
      <c r="S306" s="197"/>
      <c r="T306" s="182"/>
      <c r="U306" s="182"/>
      <c r="V306" s="182"/>
      <c r="W306" s="182"/>
      <c r="X306" s="182"/>
      <c r="Y306" s="182"/>
      <c r="Z306" s="182"/>
      <c r="AA306" s="399" t="s">
        <v>49</v>
      </c>
      <c r="AB306" s="372"/>
      <c r="AC306" s="372"/>
      <c r="AD306" s="372" t="str">
        <f t="shared" si="26"/>
        <v>Academia</v>
      </c>
      <c r="AE306" s="372"/>
      <c r="AF306" s="372"/>
      <c r="AG306" s="372"/>
    </row>
    <row r="307" ht="12.75" spans="1:33">
      <c r="A307" s="356" t="s">
        <v>1509</v>
      </c>
      <c r="B307" s="215" t="s">
        <v>256</v>
      </c>
      <c r="C307" s="215" t="s">
        <v>482</v>
      </c>
      <c r="D307" s="215" t="s">
        <v>1334</v>
      </c>
      <c r="E307" s="215" t="s">
        <v>35</v>
      </c>
      <c r="F307" s="215" t="s">
        <v>1510</v>
      </c>
      <c r="G307" s="361">
        <v>42353</v>
      </c>
      <c r="H307" s="360">
        <f t="shared" si="30"/>
        <v>2353</v>
      </c>
      <c r="I307" s="356" t="s">
        <v>1511</v>
      </c>
      <c r="J307" s="375" t="s">
        <v>1512</v>
      </c>
      <c r="K307" s="379">
        <v>104</v>
      </c>
      <c r="L307" s="184" t="s">
        <v>142</v>
      </c>
      <c r="M307" s="199" t="str">
        <f t="shared" si="9"/>
        <v>Yes</v>
      </c>
      <c r="N307" s="203"/>
      <c r="O307" s="203"/>
      <c r="P307" s="378"/>
      <c r="Q307" s="203"/>
      <c r="R307" s="205"/>
      <c r="S307" s="203"/>
      <c r="T307" s="205"/>
      <c r="U307" s="205"/>
      <c r="V307" s="205"/>
      <c r="W307" s="376"/>
      <c r="X307" s="184"/>
      <c r="Y307" s="184"/>
      <c r="Z307" s="184"/>
      <c r="AA307" s="396" t="s">
        <v>49</v>
      </c>
      <c r="AB307" s="376"/>
      <c r="AC307" s="376"/>
      <c r="AD307" s="376" t="str">
        <f t="shared" si="26"/>
        <v>Industry</v>
      </c>
      <c r="AE307" s="376"/>
      <c r="AF307" s="376"/>
      <c r="AG307" s="376"/>
    </row>
    <row r="308" ht="12.75" spans="1:33">
      <c r="A308" s="353" t="s">
        <v>1513</v>
      </c>
      <c r="B308" s="192" t="s">
        <v>41</v>
      </c>
      <c r="C308" s="206"/>
      <c r="D308" s="192" t="s">
        <v>950</v>
      </c>
      <c r="E308" s="192" t="s">
        <v>134</v>
      </c>
      <c r="F308" s="192" t="s">
        <v>1514</v>
      </c>
      <c r="G308" s="367">
        <v>41886</v>
      </c>
      <c r="H308" s="363">
        <f t="shared" si="30"/>
        <v>1886</v>
      </c>
      <c r="I308" s="353" t="s">
        <v>1515</v>
      </c>
      <c r="J308" s="371" t="s">
        <v>1516</v>
      </c>
      <c r="K308" s="236">
        <v>61262</v>
      </c>
      <c r="L308" s="182" t="s">
        <v>454</v>
      </c>
      <c r="M308" s="197" t="str">
        <f t="shared" si="9"/>
        <v>Yes</v>
      </c>
      <c r="N308" s="197">
        <v>138000000</v>
      </c>
      <c r="O308" s="238">
        <f>8524*1000000000000000</f>
        <v>8.524e+18</v>
      </c>
      <c r="P308" s="385" t="s">
        <v>1517</v>
      </c>
      <c r="Q308" s="197">
        <f>1300000</f>
        <v>1300000</v>
      </c>
      <c r="R308" s="182">
        <v>16</v>
      </c>
      <c r="S308" s="197">
        <v>15300000000</v>
      </c>
      <c r="T308" s="182"/>
      <c r="U308" s="182"/>
      <c r="V308" s="182"/>
      <c r="W308" s="182"/>
      <c r="X308" s="182"/>
      <c r="Y308" s="182"/>
      <c r="Z308" s="182"/>
      <c r="AA308" s="399">
        <v>82.800136143535</v>
      </c>
      <c r="AB308" s="372"/>
      <c r="AC308" s="372"/>
      <c r="AD308" s="372" t="str">
        <f t="shared" si="26"/>
        <v>Academia</v>
      </c>
      <c r="AE308" s="372"/>
      <c r="AF308" s="372"/>
      <c r="AG308" s="372"/>
    </row>
    <row r="309" ht="12.75" spans="1:33">
      <c r="A309" s="356" t="s">
        <v>1518</v>
      </c>
      <c r="B309" s="215" t="s">
        <v>51</v>
      </c>
      <c r="C309" s="215" t="s">
        <v>144</v>
      </c>
      <c r="D309" s="215" t="s">
        <v>85</v>
      </c>
      <c r="E309" s="215" t="s">
        <v>35</v>
      </c>
      <c r="F309" s="215" t="s">
        <v>1519</v>
      </c>
      <c r="G309" s="361">
        <v>41892</v>
      </c>
      <c r="H309" s="360">
        <f t="shared" si="30"/>
        <v>1892</v>
      </c>
      <c r="I309" s="356" t="s">
        <v>1520</v>
      </c>
      <c r="J309" s="375" t="s">
        <v>1521</v>
      </c>
      <c r="K309" s="379">
        <v>15748</v>
      </c>
      <c r="L309" s="184" t="s">
        <v>454</v>
      </c>
      <c r="M309" s="199" t="str">
        <f t="shared" si="9"/>
        <v>Yes</v>
      </c>
      <c r="N309" s="199">
        <f>384000000</f>
        <v>384000000</v>
      </c>
      <c r="O309" s="199">
        <f>7300*1000000000000000</f>
        <v>7.3e+18</v>
      </c>
      <c r="P309" s="414" t="s">
        <v>1522</v>
      </c>
      <c r="Q309" s="199">
        <f>384000000</f>
        <v>384000000</v>
      </c>
      <c r="R309" s="184"/>
      <c r="S309" s="199"/>
      <c r="T309" s="184"/>
      <c r="U309" s="184"/>
      <c r="V309" s="184"/>
      <c r="W309" s="184"/>
      <c r="X309" s="184"/>
      <c r="Y309" s="184"/>
      <c r="Z309" s="184"/>
      <c r="AA309" s="396">
        <v>79.5959948476017</v>
      </c>
      <c r="AB309" s="376"/>
      <c r="AC309" s="376"/>
      <c r="AD309" s="376" t="str">
        <f t="shared" si="26"/>
        <v>Industry</v>
      </c>
      <c r="AE309" s="376"/>
      <c r="AF309" s="376"/>
      <c r="AG309" s="376"/>
    </row>
    <row r="310" ht="12.75" spans="1:33">
      <c r="A310" s="353" t="s">
        <v>1523</v>
      </c>
      <c r="B310" s="192" t="s">
        <v>41</v>
      </c>
      <c r="C310" s="192" t="s">
        <v>176</v>
      </c>
      <c r="D310" s="192" t="s">
        <v>1524</v>
      </c>
      <c r="E310" s="192" t="s">
        <v>327</v>
      </c>
      <c r="F310" s="192"/>
      <c r="G310" s="367">
        <v>41808</v>
      </c>
      <c r="H310" s="363">
        <f t="shared" si="30"/>
        <v>1808</v>
      </c>
      <c r="I310" s="353" t="s">
        <v>1418</v>
      </c>
      <c r="J310" s="371" t="s">
        <v>1419</v>
      </c>
      <c r="K310" s="238">
        <v>7410</v>
      </c>
      <c r="L310" s="182" t="s">
        <v>454</v>
      </c>
      <c r="M310" s="197" t="str">
        <f t="shared" si="9"/>
        <v>Yes</v>
      </c>
      <c r="N310" s="197"/>
      <c r="O310" s="373">
        <f>0.33*10200000000000*3*7*24*3600</f>
        <v>6.1072704e+18</v>
      </c>
      <c r="P310" s="385" t="s">
        <v>455</v>
      </c>
      <c r="Q310" s="197">
        <f>1.28*10^6</f>
        <v>1280000</v>
      </c>
      <c r="R310" s="182"/>
      <c r="S310" s="197"/>
      <c r="T310" s="182"/>
      <c r="U310" s="182"/>
      <c r="V310" s="182"/>
      <c r="W310" s="182"/>
      <c r="X310" s="182"/>
      <c r="Y310" s="182"/>
      <c r="Z310" s="182"/>
      <c r="AA310" s="399">
        <v>65.0710704458551</v>
      </c>
      <c r="AB310" s="372"/>
      <c r="AC310" s="372"/>
      <c r="AD310" s="372" t="str">
        <f t="shared" si="26"/>
        <v>Industry</v>
      </c>
      <c r="AE310" s="372"/>
      <c r="AF310" s="372"/>
      <c r="AG310" s="372"/>
    </row>
    <row r="311" ht="12.75" spans="1:33">
      <c r="A311" s="356" t="s">
        <v>1525</v>
      </c>
      <c r="B311" s="215" t="s">
        <v>51</v>
      </c>
      <c r="C311" s="215" t="s">
        <v>144</v>
      </c>
      <c r="D311" s="215" t="s">
        <v>1526</v>
      </c>
      <c r="E311" s="215" t="s">
        <v>134</v>
      </c>
      <c r="F311" s="215" t="s">
        <v>1527</v>
      </c>
      <c r="G311" s="361">
        <v>41883</v>
      </c>
      <c r="H311" s="360">
        <f t="shared" si="30"/>
        <v>1883</v>
      </c>
      <c r="I311" s="356" t="s">
        <v>1528</v>
      </c>
      <c r="J311" s="375" t="s">
        <v>1529</v>
      </c>
      <c r="K311" s="379">
        <v>19156</v>
      </c>
      <c r="L311" s="184" t="s">
        <v>454</v>
      </c>
      <c r="M311" s="199" t="str">
        <f t="shared" si="9"/>
        <v>Yes</v>
      </c>
      <c r="N311" s="199"/>
      <c r="O311" s="199">
        <v>1.5552e+18</v>
      </c>
      <c r="P311" s="380" t="s">
        <v>1530</v>
      </c>
      <c r="Q311" s="199">
        <v>384000000</v>
      </c>
      <c r="R311" s="184"/>
      <c r="S311" s="199"/>
      <c r="T311" s="184"/>
      <c r="U311" s="184"/>
      <c r="V311" s="184"/>
      <c r="W311" s="184"/>
      <c r="X311" s="184"/>
      <c r="Y311" s="184"/>
      <c r="Z311" s="184"/>
      <c r="AA311" s="396">
        <v>81.4758557901812</v>
      </c>
      <c r="AB311" s="376"/>
      <c r="AC311" s="376"/>
      <c r="AD311" s="376" t="str">
        <f t="shared" si="26"/>
        <v>Academia</v>
      </c>
      <c r="AE311" s="376"/>
      <c r="AF311" s="376"/>
      <c r="AG311" s="376"/>
    </row>
    <row r="312" ht="12.75" spans="1:33">
      <c r="A312" s="353" t="s">
        <v>1531</v>
      </c>
      <c r="B312" s="192" t="s">
        <v>77</v>
      </c>
      <c r="C312" s="192" t="s">
        <v>964</v>
      </c>
      <c r="D312" s="192" t="s">
        <v>1532</v>
      </c>
      <c r="E312" s="192" t="s">
        <v>134</v>
      </c>
      <c r="F312" s="371" t="s">
        <v>1533</v>
      </c>
      <c r="G312" s="367">
        <v>41800</v>
      </c>
      <c r="H312" s="363">
        <f t="shared" si="30"/>
        <v>1800</v>
      </c>
      <c r="I312" s="353" t="s">
        <v>1534</v>
      </c>
      <c r="J312" s="371" t="s">
        <v>1535</v>
      </c>
      <c r="K312" s="236">
        <v>36870</v>
      </c>
      <c r="L312" s="182" t="s">
        <v>454</v>
      </c>
      <c r="M312" s="197" t="str">
        <f t="shared" si="9"/>
        <v>Yes</v>
      </c>
      <c r="N312" s="197"/>
      <c r="O312" s="197">
        <v>5.184e+17</v>
      </c>
      <c r="P312" s="385" t="s">
        <v>847</v>
      </c>
      <c r="Q312" s="197">
        <v>60000</v>
      </c>
      <c r="R312" s="182"/>
      <c r="S312" s="197"/>
      <c r="T312" s="182"/>
      <c r="U312" s="182"/>
      <c r="V312" s="182"/>
      <c r="W312" s="182"/>
      <c r="X312" s="182"/>
      <c r="Y312" s="182"/>
      <c r="Z312" s="182"/>
      <c r="AA312" s="399">
        <v>6.08698841694225</v>
      </c>
      <c r="AB312" s="372"/>
      <c r="AC312" s="372"/>
      <c r="AD312" s="372" t="str">
        <f t="shared" si="26"/>
        <v>Academia</v>
      </c>
      <c r="AE312" s="372"/>
      <c r="AF312" s="372"/>
      <c r="AG312" s="372"/>
    </row>
    <row r="313" ht="12.75" spans="1:33">
      <c r="A313" s="356" t="s">
        <v>1536</v>
      </c>
      <c r="B313" s="215" t="s">
        <v>41</v>
      </c>
      <c r="C313" s="215" t="s">
        <v>176</v>
      </c>
      <c r="D313" s="215" t="s">
        <v>1537</v>
      </c>
      <c r="E313" s="215" t="s">
        <v>327</v>
      </c>
      <c r="F313" s="215" t="s">
        <v>1538</v>
      </c>
      <c r="G313" s="361">
        <v>41995</v>
      </c>
      <c r="H313" s="360">
        <f t="shared" si="30"/>
        <v>1995</v>
      </c>
      <c r="I313" s="356" t="s">
        <v>1539</v>
      </c>
      <c r="J313" s="375" t="s">
        <v>1540</v>
      </c>
      <c r="K313" s="379">
        <v>81103</v>
      </c>
      <c r="L313" s="184" t="s">
        <v>454</v>
      </c>
      <c r="M313" s="199" t="str">
        <f t="shared" si="9"/>
        <v>Yes</v>
      </c>
      <c r="N313" s="199"/>
      <c r="O313" s="199">
        <v>6.048e+16</v>
      </c>
      <c r="P313" s="380"/>
      <c r="Q313" s="199"/>
      <c r="R313" s="184"/>
      <c r="S313" s="199"/>
      <c r="T313" s="184"/>
      <c r="U313" s="184"/>
      <c r="V313" s="184"/>
      <c r="W313" s="184"/>
      <c r="X313" s="184"/>
      <c r="Y313" s="184"/>
      <c r="Z313" s="184"/>
      <c r="AA313" s="396">
        <v>0.604230356497444</v>
      </c>
      <c r="AB313" s="376"/>
      <c r="AC313" s="376"/>
      <c r="AD313" s="376" t="str">
        <f t="shared" si="26"/>
        <v>Industry</v>
      </c>
      <c r="AE313" s="376"/>
      <c r="AF313" s="376"/>
      <c r="AG313" s="376"/>
    </row>
    <row r="314" ht="12.75" spans="1:33">
      <c r="A314" s="353" t="s">
        <v>1541</v>
      </c>
      <c r="B314" s="192" t="s">
        <v>51</v>
      </c>
      <c r="C314" s="192" t="s">
        <v>1440</v>
      </c>
      <c r="D314" s="192" t="s">
        <v>1392</v>
      </c>
      <c r="E314" s="192" t="s">
        <v>134</v>
      </c>
      <c r="F314" s="192" t="s">
        <v>1542</v>
      </c>
      <c r="G314" s="367">
        <v>41640</v>
      </c>
      <c r="H314" s="363">
        <f t="shared" si="30"/>
        <v>1640</v>
      </c>
      <c r="I314" s="353" t="s">
        <v>1543</v>
      </c>
      <c r="J314" s="371" t="s">
        <v>1544</v>
      </c>
      <c r="K314" s="236">
        <v>22479</v>
      </c>
      <c r="L314" s="182" t="s">
        <v>454</v>
      </c>
      <c r="M314" s="197" t="str">
        <f t="shared" si="9"/>
        <v>Yes</v>
      </c>
      <c r="N314" s="197">
        <f t="shared" ref="N314:N315" si="31">400000*300</f>
        <v>120000000</v>
      </c>
      <c r="O314" s="197"/>
      <c r="P314" s="385" t="s">
        <v>1545</v>
      </c>
      <c r="Q314" s="197">
        <v>6000000000</v>
      </c>
      <c r="R314" s="182"/>
      <c r="S314" s="197" t="s">
        <v>1546</v>
      </c>
      <c r="T314" s="182"/>
      <c r="U314" s="182">
        <f t="shared" ref="U314:U315" si="32">1.25+((14/32)*25)</f>
        <v>12.1875</v>
      </c>
      <c r="V314" s="182">
        <v>0</v>
      </c>
      <c r="W314" s="182">
        <f t="shared" ref="W314:W315" si="33">9+26</f>
        <v>35</v>
      </c>
      <c r="X314" s="182"/>
      <c r="Y314" s="182"/>
      <c r="Z314" s="182"/>
      <c r="AA314" s="399" t="s">
        <v>49</v>
      </c>
      <c r="AB314" s="372"/>
      <c r="AC314" s="372" t="s">
        <v>1547</v>
      </c>
      <c r="AD314" s="372" t="str">
        <f t="shared" si="26"/>
        <v>Academia</v>
      </c>
      <c r="AE314" s="372"/>
      <c r="AF314" s="372"/>
      <c r="AG314" s="372"/>
    </row>
    <row r="315" ht="12.75" spans="1:33">
      <c r="A315" s="356" t="s">
        <v>1548</v>
      </c>
      <c r="B315" s="215" t="s">
        <v>51</v>
      </c>
      <c r="C315" s="215" t="s">
        <v>1440</v>
      </c>
      <c r="D315" s="215" t="s">
        <v>1392</v>
      </c>
      <c r="E315" s="215" t="s">
        <v>134</v>
      </c>
      <c r="F315" s="215" t="s">
        <v>1542</v>
      </c>
      <c r="G315" s="357">
        <v>41640</v>
      </c>
      <c r="H315" s="360">
        <f t="shared" si="30"/>
        <v>1640</v>
      </c>
      <c r="I315" s="356" t="s">
        <v>1543</v>
      </c>
      <c r="J315" s="375" t="s">
        <v>1544</v>
      </c>
      <c r="K315" s="379">
        <v>22479</v>
      </c>
      <c r="L315" s="184" t="s">
        <v>454</v>
      </c>
      <c r="M315" s="199" t="str">
        <f t="shared" si="9"/>
        <v>Yes</v>
      </c>
      <c r="N315" s="199">
        <f t="shared" si="31"/>
        <v>120000000</v>
      </c>
      <c r="O315" s="199"/>
      <c r="P315" s="380" t="s">
        <v>1549</v>
      </c>
      <c r="Q315" s="199">
        <v>42000000000</v>
      </c>
      <c r="R315" s="184"/>
      <c r="S315" s="199" t="s">
        <v>1546</v>
      </c>
      <c r="T315" s="184"/>
      <c r="U315" s="184">
        <f t="shared" si="32"/>
        <v>12.1875</v>
      </c>
      <c r="V315" s="184">
        <v>0</v>
      </c>
      <c r="W315" s="184">
        <f t="shared" si="33"/>
        <v>35</v>
      </c>
      <c r="X315" s="184"/>
      <c r="Y315" s="184"/>
      <c r="Z315" s="184"/>
      <c r="AA315" s="396" t="s">
        <v>49</v>
      </c>
      <c r="AB315" s="376"/>
      <c r="AC315" s="376" t="s">
        <v>1547</v>
      </c>
      <c r="AD315" s="376" t="str">
        <f t="shared" si="26"/>
        <v>Academia</v>
      </c>
      <c r="AE315" s="376"/>
      <c r="AF315" s="376"/>
      <c r="AG315" s="376"/>
    </row>
    <row r="316" ht="12.75" spans="1:33">
      <c r="A316" s="353" t="s">
        <v>1550</v>
      </c>
      <c r="B316" s="192" t="s">
        <v>51</v>
      </c>
      <c r="C316" s="192" t="s">
        <v>1010</v>
      </c>
      <c r="D316" s="192" t="s">
        <v>1551</v>
      </c>
      <c r="E316" s="192" t="s">
        <v>327</v>
      </c>
      <c r="F316" s="192" t="s">
        <v>1552</v>
      </c>
      <c r="G316" s="367">
        <v>41681</v>
      </c>
      <c r="H316" s="363">
        <f t="shared" si="30"/>
        <v>1681</v>
      </c>
      <c r="I316" s="353" t="s">
        <v>1553</v>
      </c>
      <c r="J316" s="371" t="s">
        <v>1554</v>
      </c>
      <c r="K316" s="236">
        <v>445</v>
      </c>
      <c r="L316" s="182"/>
      <c r="M316" s="197" t="str">
        <f t="shared" si="9"/>
        <v>No</v>
      </c>
      <c r="N316" s="197">
        <f>(1000*500+500+1000)+2*(500*500+500+500)+(500*35+500+35)</f>
        <v>1021535</v>
      </c>
      <c r="O316" s="197"/>
      <c r="P316" s="385"/>
      <c r="Q316" s="197">
        <f>178000</f>
        <v>178000</v>
      </c>
      <c r="R316" s="182">
        <v>3</v>
      </c>
      <c r="S316" s="197"/>
      <c r="T316" s="182"/>
      <c r="U316" s="182"/>
      <c r="V316" s="182"/>
      <c r="W316" s="182"/>
      <c r="X316" s="182"/>
      <c r="Y316" s="182"/>
      <c r="Z316" s="182"/>
      <c r="AA316" s="399" t="s">
        <v>49</v>
      </c>
      <c r="AB316" s="372"/>
      <c r="AC316" s="372"/>
      <c r="AD316" s="372" t="str">
        <f t="shared" si="26"/>
        <v>Industry</v>
      </c>
      <c r="AE316" s="372"/>
      <c r="AF316" s="372"/>
      <c r="AG316" s="372"/>
    </row>
    <row r="317" ht="12.75" spans="1:33">
      <c r="A317" s="356" t="s">
        <v>1555</v>
      </c>
      <c r="B317" s="215" t="s">
        <v>256</v>
      </c>
      <c r="C317" s="215" t="s">
        <v>482</v>
      </c>
      <c r="D317" s="215" t="s">
        <v>1556</v>
      </c>
      <c r="E317" s="215" t="s">
        <v>134</v>
      </c>
      <c r="F317" s="215" t="s">
        <v>1557</v>
      </c>
      <c r="G317" s="361">
        <v>41703</v>
      </c>
      <c r="H317" s="360">
        <f t="shared" si="30"/>
        <v>1703</v>
      </c>
      <c r="I317" s="356" t="s">
        <v>1558</v>
      </c>
      <c r="J317" s="375" t="s">
        <v>1559</v>
      </c>
      <c r="K317" s="379">
        <v>195</v>
      </c>
      <c r="L317" s="184"/>
      <c r="M317" s="199" t="str">
        <f t="shared" si="9"/>
        <v>No</v>
      </c>
      <c r="N317" s="199" t="e">
        <f>(1+3*3)*8*10+POW(8*10,2)+2*((1+3*3)*16*21+POW(16*21,2))</f>
        <v>#NAME?</v>
      </c>
      <c r="O317" s="199"/>
      <c r="P317" s="380"/>
      <c r="Q317" s="199"/>
      <c r="R317" s="184"/>
      <c r="S317" s="199"/>
      <c r="T317" s="184"/>
      <c r="U317" s="184"/>
      <c r="V317" s="184"/>
      <c r="W317" s="184"/>
      <c r="X317" s="184"/>
      <c r="Y317" s="184"/>
      <c r="Z317" s="184"/>
      <c r="AA317" s="396" t="s">
        <v>49</v>
      </c>
      <c r="AB317" s="376"/>
      <c r="AC317" s="376"/>
      <c r="AD317" s="376" t="str">
        <f t="shared" si="26"/>
        <v>Academia</v>
      </c>
      <c r="AE317" s="376"/>
      <c r="AF317" s="376"/>
      <c r="AG317" s="376"/>
    </row>
    <row r="318" ht="12.75" spans="1:33">
      <c r="A318" s="353"/>
      <c r="B318" s="192"/>
      <c r="C318" s="192"/>
      <c r="D318" s="192" t="s">
        <v>1267</v>
      </c>
      <c r="E318" s="192" t="s">
        <v>134</v>
      </c>
      <c r="F318" s="192" t="s">
        <v>1560</v>
      </c>
      <c r="G318" s="367">
        <v>41791</v>
      </c>
      <c r="H318" s="363">
        <f t="shared" si="30"/>
        <v>1791</v>
      </c>
      <c r="I318" s="353" t="s">
        <v>1561</v>
      </c>
      <c r="J318" s="371" t="s">
        <v>1562</v>
      </c>
      <c r="K318" s="236">
        <v>31873</v>
      </c>
      <c r="L318" s="182" t="s">
        <v>454</v>
      </c>
      <c r="M318" s="197" t="str">
        <f t="shared" si="9"/>
        <v>Yes</v>
      </c>
      <c r="N318" s="197"/>
      <c r="O318" s="197"/>
      <c r="P318" s="385"/>
      <c r="Q318" s="197"/>
      <c r="R318" s="182"/>
      <c r="S318" s="197"/>
      <c r="T318" s="204"/>
      <c r="U318" s="204"/>
      <c r="V318" s="182"/>
      <c r="W318" s="182"/>
      <c r="X318" s="182"/>
      <c r="Y318" s="182"/>
      <c r="Z318" s="182"/>
      <c r="AA318" s="399" t="s">
        <v>49</v>
      </c>
      <c r="AB318" s="372"/>
      <c r="AC318" s="372"/>
      <c r="AD318" s="372" t="str">
        <f t="shared" si="26"/>
        <v>Academia</v>
      </c>
      <c r="AE318" s="372"/>
      <c r="AF318" s="372"/>
      <c r="AG318" s="372"/>
    </row>
    <row r="319" ht="12.75" spans="1:33">
      <c r="A319" s="356" t="s">
        <v>1563</v>
      </c>
      <c r="B319" s="215" t="s">
        <v>51</v>
      </c>
      <c r="C319" s="215"/>
      <c r="D319" s="215" t="s">
        <v>1564</v>
      </c>
      <c r="E319" s="215" t="s">
        <v>134</v>
      </c>
      <c r="F319" s="215" t="s">
        <v>1565</v>
      </c>
      <c r="G319" s="361">
        <v>41793</v>
      </c>
      <c r="H319" s="360">
        <f t="shared" si="30"/>
        <v>1793</v>
      </c>
      <c r="I319" s="356" t="s">
        <v>1566</v>
      </c>
      <c r="J319" s="375" t="s">
        <v>1567</v>
      </c>
      <c r="K319" s="379">
        <v>14981</v>
      </c>
      <c r="L319" s="184" t="s">
        <v>454</v>
      </c>
      <c r="M319" s="199" t="str">
        <f t="shared" si="9"/>
        <v>Yes</v>
      </c>
      <c r="N319" s="199"/>
      <c r="O319" s="199"/>
      <c r="P319" s="380"/>
      <c r="Q319" s="199"/>
      <c r="R319" s="184"/>
      <c r="S319" s="199"/>
      <c r="T319" s="184"/>
      <c r="U319" s="184"/>
      <c r="V319" s="184"/>
      <c r="W319" s="184"/>
      <c r="X319" s="184"/>
      <c r="Y319" s="184"/>
      <c r="Z319" s="184"/>
      <c r="AA319" s="396" t="s">
        <v>49</v>
      </c>
      <c r="AB319" s="376"/>
      <c r="AC319" s="376"/>
      <c r="AD319" s="376" t="str">
        <f t="shared" si="26"/>
        <v>Academia</v>
      </c>
      <c r="AE319" s="376"/>
      <c r="AF319" s="376"/>
      <c r="AG319" s="376"/>
    </row>
    <row r="320" ht="12.75" spans="1:33">
      <c r="A320" s="353"/>
      <c r="B320" s="192" t="s">
        <v>1303</v>
      </c>
      <c r="C320" s="192" t="s">
        <v>1568</v>
      </c>
      <c r="D320" s="192" t="s">
        <v>950</v>
      </c>
      <c r="E320" s="192" t="s">
        <v>134</v>
      </c>
      <c r="F320" s="192" t="s">
        <v>1569</v>
      </c>
      <c r="G320" s="367">
        <v>41799</v>
      </c>
      <c r="H320" s="363">
        <f t="shared" si="30"/>
        <v>1799</v>
      </c>
      <c r="I320" s="353" t="s">
        <v>1570</v>
      </c>
      <c r="J320" s="371" t="s">
        <v>1571</v>
      </c>
      <c r="K320" s="373">
        <v>6217</v>
      </c>
      <c r="L320" s="182" t="s">
        <v>454</v>
      </c>
      <c r="M320" s="197" t="str">
        <f t="shared" si="9"/>
        <v>Yes</v>
      </c>
      <c r="N320" s="197"/>
      <c r="O320" s="197"/>
      <c r="P320" s="385"/>
      <c r="Q320" s="197"/>
      <c r="R320" s="182"/>
      <c r="S320" s="197"/>
      <c r="T320" s="182"/>
      <c r="U320" s="182"/>
      <c r="V320" s="182"/>
      <c r="W320" s="182"/>
      <c r="X320" s="182"/>
      <c r="Y320" s="182"/>
      <c r="Z320" s="182"/>
      <c r="AA320" s="399" t="s">
        <v>49</v>
      </c>
      <c r="AB320" s="372"/>
      <c r="AC320" s="372"/>
      <c r="AD320" s="372" t="str">
        <f t="shared" si="26"/>
        <v>Academia</v>
      </c>
      <c r="AE320" s="372"/>
      <c r="AF320" s="372"/>
      <c r="AG320" s="372"/>
    </row>
    <row r="321" ht="12.75" spans="1:33">
      <c r="A321" s="356" t="s">
        <v>1572</v>
      </c>
      <c r="B321" s="215" t="s">
        <v>1303</v>
      </c>
      <c r="C321" s="215" t="s">
        <v>1568</v>
      </c>
      <c r="D321" s="215" t="s">
        <v>1573</v>
      </c>
      <c r="E321" s="215" t="s">
        <v>327</v>
      </c>
      <c r="F321" s="215" t="s">
        <v>1574</v>
      </c>
      <c r="G321" s="361">
        <v>41813</v>
      </c>
      <c r="H321" s="360">
        <f t="shared" si="30"/>
        <v>1813</v>
      </c>
      <c r="I321" s="356" t="s">
        <v>1575</v>
      </c>
      <c r="J321" s="375" t="s">
        <v>1576</v>
      </c>
      <c r="K321" s="379">
        <v>5900</v>
      </c>
      <c r="L321" s="184" t="s">
        <v>454</v>
      </c>
      <c r="M321" s="199" t="str">
        <f t="shared" si="9"/>
        <v>Yes</v>
      </c>
      <c r="N321" s="199">
        <f>2*(256*(10*3*5*5+1)+384*(256*3*3+1)+384*(384*3*3+1)+256*(384*3*3+1))+(2*7*7*256+1)*4096+(4096+1)*4096</f>
        <v>126125568</v>
      </c>
      <c r="O321" s="199"/>
      <c r="P321" s="380"/>
      <c r="Q321" s="199"/>
      <c r="R321" s="184"/>
      <c r="S321" s="199"/>
      <c r="T321" s="205"/>
      <c r="U321" s="205"/>
      <c r="V321" s="184"/>
      <c r="W321" s="184"/>
      <c r="X321" s="184"/>
      <c r="Y321" s="184"/>
      <c r="Z321" s="184"/>
      <c r="AA321" s="396" t="s">
        <v>49</v>
      </c>
      <c r="AB321" s="376"/>
      <c r="AC321" s="376"/>
      <c r="AD321" s="376" t="str">
        <f t="shared" si="26"/>
        <v>Industry</v>
      </c>
      <c r="AE321" s="376"/>
      <c r="AF321" s="376"/>
      <c r="AG321" s="376"/>
    </row>
    <row r="322" ht="12.75" spans="1:33">
      <c r="A322" s="353"/>
      <c r="B322" s="192" t="s">
        <v>41</v>
      </c>
      <c r="C322" s="192" t="s">
        <v>1577</v>
      </c>
      <c r="D322" s="192" t="s">
        <v>1578</v>
      </c>
      <c r="E322" s="192" t="s">
        <v>327</v>
      </c>
      <c r="F322" s="192" t="s">
        <v>1579</v>
      </c>
      <c r="G322" s="367">
        <v>41813</v>
      </c>
      <c r="H322" s="363">
        <f t="shared" si="30"/>
        <v>1813</v>
      </c>
      <c r="I322" s="353" t="s">
        <v>1580</v>
      </c>
      <c r="J322" s="371" t="s">
        <v>1581</v>
      </c>
      <c r="K322" s="236">
        <v>5742</v>
      </c>
      <c r="L322" s="182" t="s">
        <v>454</v>
      </c>
      <c r="M322" s="197" t="str">
        <f t="shared" si="9"/>
        <v>Yes</v>
      </c>
      <c r="N322" s="197"/>
      <c r="O322" s="197"/>
      <c r="P322" s="385"/>
      <c r="Q322" s="197"/>
      <c r="R322" s="182"/>
      <c r="S322" s="197"/>
      <c r="T322" s="182"/>
      <c r="U322" s="182"/>
      <c r="V322" s="182"/>
      <c r="W322" s="182"/>
      <c r="X322" s="182"/>
      <c r="Y322" s="182"/>
      <c r="Z322" s="182"/>
      <c r="AA322" s="399" t="s">
        <v>49</v>
      </c>
      <c r="AB322" s="372"/>
      <c r="AC322" s="372"/>
      <c r="AD322" s="372" t="str">
        <f t="shared" si="26"/>
        <v>Industry</v>
      </c>
      <c r="AE322" s="372"/>
      <c r="AF322" s="372"/>
      <c r="AG322" s="372"/>
    </row>
    <row r="323" ht="12.75" spans="1:33">
      <c r="A323" s="356" t="s">
        <v>1582</v>
      </c>
      <c r="B323" s="215" t="s">
        <v>256</v>
      </c>
      <c r="C323" s="215"/>
      <c r="D323" s="215" t="s">
        <v>1583</v>
      </c>
      <c r="E323" s="215" t="s">
        <v>134</v>
      </c>
      <c r="F323" s="215" t="s">
        <v>1584</v>
      </c>
      <c r="G323" s="361">
        <v>41821</v>
      </c>
      <c r="H323" s="360">
        <f t="shared" si="30"/>
        <v>1821</v>
      </c>
      <c r="I323" s="356" t="s">
        <v>1585</v>
      </c>
      <c r="J323" s="375" t="s">
        <v>1586</v>
      </c>
      <c r="K323" s="379">
        <v>16</v>
      </c>
      <c r="L323" s="184" t="s">
        <v>142</v>
      </c>
      <c r="M323" s="199" t="str">
        <f t="shared" si="9"/>
        <v>Yes</v>
      </c>
      <c r="N323" s="199"/>
      <c r="O323" s="199"/>
      <c r="P323" s="380"/>
      <c r="Q323" s="199"/>
      <c r="R323" s="184"/>
      <c r="S323" s="199"/>
      <c r="T323" s="205"/>
      <c r="U323" s="205"/>
      <c r="V323" s="184"/>
      <c r="W323" s="184"/>
      <c r="X323" s="184"/>
      <c r="Y323" s="184"/>
      <c r="Z323" s="184"/>
      <c r="AA323" s="396" t="s">
        <v>49</v>
      </c>
      <c r="AB323" s="376"/>
      <c r="AC323" s="376"/>
      <c r="AD323" s="376" t="str">
        <f t="shared" si="26"/>
        <v>Academia</v>
      </c>
      <c r="AE323" s="376"/>
      <c r="AF323" s="376"/>
      <c r="AG323" s="376"/>
    </row>
    <row r="324" ht="12.75" spans="1:33">
      <c r="A324" s="353"/>
      <c r="B324" s="192"/>
      <c r="C324" s="192"/>
      <c r="D324" s="192" t="s">
        <v>435</v>
      </c>
      <c r="E324" s="192" t="s">
        <v>35</v>
      </c>
      <c r="F324" s="192" t="s">
        <v>1587</v>
      </c>
      <c r="G324" s="367">
        <v>41875</v>
      </c>
      <c r="H324" s="363">
        <f t="shared" si="30"/>
        <v>1875</v>
      </c>
      <c r="I324" s="353" t="s">
        <v>1588</v>
      </c>
      <c r="J324" s="371" t="s">
        <v>1589</v>
      </c>
      <c r="K324" s="236">
        <v>586</v>
      </c>
      <c r="L324" s="182"/>
      <c r="M324" s="197" t="str">
        <f t="shared" si="9"/>
        <v>No</v>
      </c>
      <c r="N324" s="197"/>
      <c r="O324" s="197"/>
      <c r="P324" s="385"/>
      <c r="Q324" s="197"/>
      <c r="R324" s="182"/>
      <c r="S324" s="197"/>
      <c r="T324" s="182"/>
      <c r="U324" s="182"/>
      <c r="V324" s="182"/>
      <c r="W324" s="182"/>
      <c r="X324" s="182"/>
      <c r="Y324" s="182"/>
      <c r="Z324" s="182"/>
      <c r="AA324" s="399" t="s">
        <v>49</v>
      </c>
      <c r="AB324" s="372"/>
      <c r="AC324" s="372"/>
      <c r="AD324" s="372" t="str">
        <f t="shared" si="26"/>
        <v>Industry</v>
      </c>
      <c r="AE324" s="372"/>
      <c r="AF324" s="372"/>
      <c r="AG324" s="372"/>
    </row>
    <row r="325" ht="12.75" spans="1:33">
      <c r="A325" s="356" t="s">
        <v>1590</v>
      </c>
      <c r="B325" s="215" t="s">
        <v>41</v>
      </c>
      <c r="C325" s="215"/>
      <c r="D325" s="215" t="s">
        <v>950</v>
      </c>
      <c r="E325" s="215" t="s">
        <v>134</v>
      </c>
      <c r="F325" s="215" t="s">
        <v>1591</v>
      </c>
      <c r="G325" s="361">
        <v>41886</v>
      </c>
      <c r="H325" s="360">
        <f t="shared" si="30"/>
        <v>1886</v>
      </c>
      <c r="I325" s="356" t="s">
        <v>1515</v>
      </c>
      <c r="J325" s="375" t="s">
        <v>1516</v>
      </c>
      <c r="K325" s="379">
        <v>61262</v>
      </c>
      <c r="L325" s="184" t="s">
        <v>454</v>
      </c>
      <c r="M325" s="199" t="str">
        <f t="shared" si="9"/>
        <v>Yes</v>
      </c>
      <c r="N325" s="199">
        <v>144000000</v>
      </c>
      <c r="O325" s="199"/>
      <c r="P325" s="380" t="s">
        <v>1517</v>
      </c>
      <c r="Q325" s="199">
        <f>1300000</f>
        <v>1300000</v>
      </c>
      <c r="R325" s="184">
        <v>19</v>
      </c>
      <c r="S325" s="199">
        <v>19600000000</v>
      </c>
      <c r="T325" s="184"/>
      <c r="U325" s="184"/>
      <c r="V325" s="184"/>
      <c r="W325" s="184"/>
      <c r="X325" s="184"/>
      <c r="Y325" s="184"/>
      <c r="Z325" s="184"/>
      <c r="AA325" s="396" t="s">
        <v>49</v>
      </c>
      <c r="AB325" s="376"/>
      <c r="AC325" s="376"/>
      <c r="AD325" s="376" t="str">
        <f t="shared" si="26"/>
        <v>Academia</v>
      </c>
      <c r="AE325" s="376"/>
      <c r="AF325" s="376"/>
      <c r="AG325" s="376"/>
    </row>
    <row r="326" ht="12.75" spans="1:33">
      <c r="A326" s="353" t="s">
        <v>1592</v>
      </c>
      <c r="B326" s="192" t="s">
        <v>41</v>
      </c>
      <c r="C326" s="192" t="s">
        <v>1593</v>
      </c>
      <c r="D326" s="192" t="s">
        <v>1594</v>
      </c>
      <c r="E326" s="192" t="s">
        <v>134</v>
      </c>
      <c r="F326" s="192" t="s">
        <v>1595</v>
      </c>
      <c r="G326" s="367">
        <v>41950</v>
      </c>
      <c r="H326" s="363">
        <f t="shared" si="30"/>
        <v>1950</v>
      </c>
      <c r="I326" s="353" t="s">
        <v>1596</v>
      </c>
      <c r="J326" s="371" t="s">
        <v>1597</v>
      </c>
      <c r="K326" s="236">
        <v>5220</v>
      </c>
      <c r="L326" s="182" t="s">
        <v>454</v>
      </c>
      <c r="M326" s="197" t="str">
        <f t="shared" si="9"/>
        <v>Yes</v>
      </c>
      <c r="N326" s="197">
        <f>61000000+2*2*4*(1000*4096+1000^2+1000)</f>
        <v>142552000</v>
      </c>
      <c r="O326" s="197"/>
      <c r="P326" s="385" t="s">
        <v>1598</v>
      </c>
      <c r="Q326" s="197">
        <v>40000</v>
      </c>
      <c r="R326" s="182"/>
      <c r="S326" s="197"/>
      <c r="T326" s="182"/>
      <c r="U326" s="182"/>
      <c r="V326" s="182"/>
      <c r="W326" s="182"/>
      <c r="X326" s="182" t="s">
        <v>1599</v>
      </c>
      <c r="Y326" s="182"/>
      <c r="Z326" s="182"/>
      <c r="AA326" s="399" t="s">
        <v>49</v>
      </c>
      <c r="AB326" s="372"/>
      <c r="AC326" s="372"/>
      <c r="AD326" s="372" t="str">
        <f t="shared" si="26"/>
        <v>Academia</v>
      </c>
      <c r="AE326" s="372"/>
      <c r="AF326" s="372"/>
      <c r="AG326" s="372"/>
    </row>
    <row r="327" ht="12.75" spans="1:33">
      <c r="A327" s="356"/>
      <c r="B327" s="215" t="s">
        <v>41</v>
      </c>
      <c r="C327" s="215" t="s">
        <v>1139</v>
      </c>
      <c r="D327" s="215" t="s">
        <v>1600</v>
      </c>
      <c r="E327" s="215" t="s">
        <v>134</v>
      </c>
      <c r="F327" s="215" t="s">
        <v>1601</v>
      </c>
      <c r="G327" s="361">
        <v>41957</v>
      </c>
      <c r="H327" s="360">
        <f t="shared" si="30"/>
        <v>1957</v>
      </c>
      <c r="I327" s="356" t="s">
        <v>1602</v>
      </c>
      <c r="J327" s="375" t="s">
        <v>1603</v>
      </c>
      <c r="K327" s="379">
        <v>24709</v>
      </c>
      <c r="L327" s="184" t="s">
        <v>454</v>
      </c>
      <c r="M327" s="199" t="str">
        <f t="shared" si="9"/>
        <v>Yes</v>
      </c>
      <c r="N327" s="199"/>
      <c r="O327" s="199"/>
      <c r="P327" s="380"/>
      <c r="Q327" s="199"/>
      <c r="R327" s="184"/>
      <c r="S327" s="199"/>
      <c r="T327" s="184"/>
      <c r="U327" s="184"/>
      <c r="V327" s="184"/>
      <c r="W327" s="184"/>
      <c r="X327" s="184"/>
      <c r="Y327" s="184"/>
      <c r="Z327" s="184"/>
      <c r="AA327" s="396" t="s">
        <v>49</v>
      </c>
      <c r="AB327" s="376"/>
      <c r="AC327" s="376"/>
      <c r="AD327" s="376" t="str">
        <f t="shared" si="26"/>
        <v>Academia</v>
      </c>
      <c r="AE327" s="376"/>
      <c r="AF327" s="376"/>
      <c r="AG327" s="376"/>
    </row>
    <row r="328" ht="12.75" spans="1:33">
      <c r="A328" s="353"/>
      <c r="B328" s="192" t="s">
        <v>41</v>
      </c>
      <c r="C328" s="192"/>
      <c r="D328" s="192" t="s">
        <v>1375</v>
      </c>
      <c r="E328" s="192" t="s">
        <v>134</v>
      </c>
      <c r="F328" s="192" t="s">
        <v>1604</v>
      </c>
      <c r="G328" s="367">
        <v>41971</v>
      </c>
      <c r="H328" s="363">
        <f t="shared" si="30"/>
        <v>1971</v>
      </c>
      <c r="I328" s="353" t="s">
        <v>1605</v>
      </c>
      <c r="J328" s="371" t="s">
        <v>1606</v>
      </c>
      <c r="K328" s="236">
        <v>4009</v>
      </c>
      <c r="L328" s="182" t="s">
        <v>454</v>
      </c>
      <c r="M328" s="197" t="str">
        <f t="shared" si="9"/>
        <v>Yes</v>
      </c>
      <c r="N328" s="197"/>
      <c r="O328" s="197"/>
      <c r="P328" s="374"/>
      <c r="Q328" s="197"/>
      <c r="R328" s="182"/>
      <c r="S328" s="197"/>
      <c r="T328" s="182"/>
      <c r="U328" s="182"/>
      <c r="V328" s="182"/>
      <c r="W328" s="182"/>
      <c r="X328" s="182"/>
      <c r="Y328" s="182"/>
      <c r="Z328" s="182"/>
      <c r="AA328" s="399" t="s">
        <v>49</v>
      </c>
      <c r="AB328" s="372"/>
      <c r="AC328" s="372"/>
      <c r="AD328" s="372" t="str">
        <f t="shared" si="26"/>
        <v>Academia</v>
      </c>
      <c r="AE328" s="372"/>
      <c r="AF328" s="372"/>
      <c r="AG328" s="372"/>
    </row>
    <row r="329" ht="12.75" spans="1:33">
      <c r="A329" s="356" t="s">
        <v>1607</v>
      </c>
      <c r="B329" s="215"/>
      <c r="C329" s="215"/>
      <c r="D329" s="215" t="s">
        <v>1334</v>
      </c>
      <c r="E329" s="215" t="s">
        <v>35</v>
      </c>
      <c r="F329" s="215" t="s">
        <v>1608</v>
      </c>
      <c r="G329" s="361">
        <v>41983</v>
      </c>
      <c r="H329" s="360">
        <f t="shared" si="30"/>
        <v>1983</v>
      </c>
      <c r="I329" s="356" t="s">
        <v>1609</v>
      </c>
      <c r="J329" s="375" t="s">
        <v>1610</v>
      </c>
      <c r="K329" s="379">
        <v>1933</v>
      </c>
      <c r="L329" s="184" t="s">
        <v>454</v>
      </c>
      <c r="M329" s="199" t="str">
        <f t="shared" si="9"/>
        <v>Yes</v>
      </c>
      <c r="N329" s="199"/>
      <c r="O329" s="199"/>
      <c r="P329" s="380"/>
      <c r="Q329" s="199"/>
      <c r="R329" s="184"/>
      <c r="S329" s="199"/>
      <c r="T329" s="184"/>
      <c r="U329" s="184"/>
      <c r="V329" s="184"/>
      <c r="W329" s="184"/>
      <c r="X329" s="184"/>
      <c r="Y329" s="184"/>
      <c r="Z329" s="184"/>
      <c r="AA329" s="396" t="s">
        <v>49</v>
      </c>
      <c r="AB329" s="376"/>
      <c r="AC329" s="376"/>
      <c r="AD329" s="376" t="str">
        <f t="shared" si="26"/>
        <v>Industry</v>
      </c>
      <c r="AE329" s="376"/>
      <c r="AF329" s="376"/>
      <c r="AG329" s="376"/>
    </row>
    <row r="330" ht="12.75" spans="1:33">
      <c r="A330" s="353" t="s">
        <v>1611</v>
      </c>
      <c r="B330" s="192" t="s">
        <v>41</v>
      </c>
      <c r="C330" s="192" t="s">
        <v>1139</v>
      </c>
      <c r="D330" s="192" t="s">
        <v>1612</v>
      </c>
      <c r="E330" s="192" t="s">
        <v>327</v>
      </c>
      <c r="F330" s="192" t="s">
        <v>1152</v>
      </c>
      <c r="G330" s="367">
        <v>41995</v>
      </c>
      <c r="H330" s="363">
        <f t="shared" si="30"/>
        <v>1995</v>
      </c>
      <c r="I330" s="353" t="s">
        <v>1613</v>
      </c>
      <c r="J330" s="371" t="s">
        <v>1614</v>
      </c>
      <c r="K330" s="238">
        <v>3699</v>
      </c>
      <c r="L330" s="182" t="s">
        <v>454</v>
      </c>
      <c r="M330" s="197" t="str">
        <f t="shared" si="9"/>
        <v>Yes</v>
      </c>
      <c r="N330" s="197"/>
      <c r="O330" s="197"/>
      <c r="P330" s="385"/>
      <c r="Q330" s="197"/>
      <c r="R330" s="182"/>
      <c r="S330" s="197"/>
      <c r="T330" s="182"/>
      <c r="U330" s="182"/>
      <c r="V330" s="182"/>
      <c r="W330" s="182"/>
      <c r="X330" s="182"/>
      <c r="Y330" s="182"/>
      <c r="Z330" s="182"/>
      <c r="AA330" s="399" t="s">
        <v>49</v>
      </c>
      <c r="AB330" s="372"/>
      <c r="AC330" s="372"/>
      <c r="AD330" s="372" t="str">
        <f t="shared" si="26"/>
        <v>Industry</v>
      </c>
      <c r="AE330" s="372"/>
      <c r="AF330" s="372"/>
      <c r="AG330" s="372"/>
    </row>
    <row r="331" ht="12.75" spans="1:33">
      <c r="A331" s="356" t="s">
        <v>1615</v>
      </c>
      <c r="B331" s="215" t="s">
        <v>199</v>
      </c>
      <c r="C331" s="215" t="s">
        <v>1616</v>
      </c>
      <c r="D331" s="215" t="s">
        <v>1617</v>
      </c>
      <c r="E331" s="215" t="s">
        <v>327</v>
      </c>
      <c r="F331" s="215" t="s">
        <v>1618</v>
      </c>
      <c r="G331" s="361">
        <v>41613</v>
      </c>
      <c r="H331" s="360">
        <f t="shared" si="30"/>
        <v>1613</v>
      </c>
      <c r="I331" s="356" t="s">
        <v>1619</v>
      </c>
      <c r="J331" s="375" t="s">
        <v>1620</v>
      </c>
      <c r="K331" s="379">
        <v>4002</v>
      </c>
      <c r="L331" s="184" t="s">
        <v>454</v>
      </c>
      <c r="M331" s="199" t="str">
        <f t="shared" si="9"/>
        <v>Yes</v>
      </c>
      <c r="N331" s="199"/>
      <c r="O331" s="199">
        <f>8*8*3600*5820000000000</f>
        <v>1.340928e+18</v>
      </c>
      <c r="P331" s="380"/>
      <c r="Q331" s="199">
        <v>17000000</v>
      </c>
      <c r="R331" s="184"/>
      <c r="S331" s="199"/>
      <c r="T331" s="184"/>
      <c r="U331" s="184"/>
      <c r="V331" s="184"/>
      <c r="W331" s="184"/>
      <c r="X331" s="184"/>
      <c r="Y331" s="184"/>
      <c r="Z331" s="184"/>
      <c r="AA331" s="396">
        <v>17.579616171054</v>
      </c>
      <c r="AB331" s="376"/>
      <c r="AC331" s="376"/>
      <c r="AD331" s="376" t="str">
        <f t="shared" si="26"/>
        <v>Industry</v>
      </c>
      <c r="AE331" s="376"/>
      <c r="AF331" s="376"/>
      <c r="AG331" s="376"/>
    </row>
    <row r="332" ht="12.75" spans="1:33">
      <c r="A332" s="353" t="s">
        <v>1621</v>
      </c>
      <c r="B332" s="192" t="s">
        <v>41</v>
      </c>
      <c r="C332" s="192"/>
      <c r="D332" s="192" t="s">
        <v>1622</v>
      </c>
      <c r="E332" s="192" t="s">
        <v>134</v>
      </c>
      <c r="F332" s="192" t="s">
        <v>1623</v>
      </c>
      <c r="G332" s="367">
        <v>41590</v>
      </c>
      <c r="H332" s="363">
        <f t="shared" si="30"/>
        <v>1590</v>
      </c>
      <c r="I332" s="353" t="s">
        <v>1624</v>
      </c>
      <c r="J332" s="371" t="s">
        <v>1625</v>
      </c>
      <c r="K332" s="236">
        <v>12991</v>
      </c>
      <c r="L332" s="182" t="s">
        <v>454</v>
      </c>
      <c r="M332" s="197" t="str">
        <f t="shared" si="9"/>
        <v>Yes</v>
      </c>
      <c r="N332" s="197"/>
      <c r="O332" s="197">
        <f>532*1000000000000000</f>
        <v>5.32e+17</v>
      </c>
      <c r="P332" s="385"/>
      <c r="Q332" s="197"/>
      <c r="R332" s="182"/>
      <c r="S332" s="197"/>
      <c r="T332" s="182"/>
      <c r="U332" s="182"/>
      <c r="V332" s="182"/>
      <c r="W332" s="182"/>
      <c r="X332" s="182"/>
      <c r="Y332" s="182"/>
      <c r="Z332" s="182" t="s">
        <v>1626</v>
      </c>
      <c r="AA332" s="399">
        <v>9.02117930281462</v>
      </c>
      <c r="AB332" s="372"/>
      <c r="AC332" s="372"/>
      <c r="AD332" s="372" t="str">
        <f t="shared" si="26"/>
        <v>Academia</v>
      </c>
      <c r="AE332" s="372"/>
      <c r="AF332" s="372"/>
      <c r="AG332" s="372"/>
    </row>
    <row r="333" ht="12.75" spans="1:33">
      <c r="A333" s="356" t="s">
        <v>1627</v>
      </c>
      <c r="B333" s="215" t="s">
        <v>41</v>
      </c>
      <c r="C333" s="215"/>
      <c r="D333" s="215" t="s">
        <v>1628</v>
      </c>
      <c r="E333" s="215" t="s">
        <v>134</v>
      </c>
      <c r="F333" s="215" t="s">
        <v>1629</v>
      </c>
      <c r="G333" s="361">
        <v>41539</v>
      </c>
      <c r="H333" s="360">
        <f t="shared" si="30"/>
        <v>1539</v>
      </c>
      <c r="I333" s="356" t="s">
        <v>1630</v>
      </c>
      <c r="J333" s="375" t="s">
        <v>1631</v>
      </c>
      <c r="K333" s="384">
        <v>1456</v>
      </c>
      <c r="L333" s="184" t="s">
        <v>1632</v>
      </c>
      <c r="M333" s="199" t="str">
        <f t="shared" si="9"/>
        <v>Yes</v>
      </c>
      <c r="N333" s="199">
        <v>37230</v>
      </c>
      <c r="O333" s="199">
        <v>1.37e+17</v>
      </c>
      <c r="P333" s="380"/>
      <c r="Q333" s="199">
        <v>1000000</v>
      </c>
      <c r="R333" s="184"/>
      <c r="S333" s="199"/>
      <c r="T333" s="184"/>
      <c r="U333" s="184"/>
      <c r="V333" s="184"/>
      <c r="W333" s="184"/>
      <c r="X333" s="184"/>
      <c r="Y333" s="184"/>
      <c r="Z333" s="184"/>
      <c r="AA333" s="396">
        <v>2.00443851959482</v>
      </c>
      <c r="AB333" s="376"/>
      <c r="AC333" s="376"/>
      <c r="AD333" s="376" t="str">
        <f t="shared" si="26"/>
        <v>Academia</v>
      </c>
      <c r="AE333" s="376"/>
      <c r="AF333" s="376"/>
      <c r="AG333" s="376"/>
    </row>
    <row r="334" ht="12.75" spans="1:33">
      <c r="A334" s="353" t="s">
        <v>1633</v>
      </c>
      <c r="B334" s="192" t="s">
        <v>51</v>
      </c>
      <c r="C334" s="192" t="s">
        <v>1440</v>
      </c>
      <c r="D334" s="192" t="s">
        <v>85</v>
      </c>
      <c r="E334" s="192" t="s">
        <v>35</v>
      </c>
      <c r="F334" s="192" t="s">
        <v>1634</v>
      </c>
      <c r="G334" s="367">
        <v>41563</v>
      </c>
      <c r="H334" s="363">
        <f t="shared" si="30"/>
        <v>1563</v>
      </c>
      <c r="I334" s="353" t="s">
        <v>1635</v>
      </c>
      <c r="J334" s="371" t="s">
        <v>1636</v>
      </c>
      <c r="K334" s="236">
        <v>28717</v>
      </c>
      <c r="L334" s="182" t="s">
        <v>454</v>
      </c>
      <c r="M334" s="197" t="str">
        <f t="shared" si="9"/>
        <v>Yes</v>
      </c>
      <c r="N334" s="197">
        <f>1000*692000</f>
        <v>692000000</v>
      </c>
      <c r="O334" s="197">
        <v>3.888e+16</v>
      </c>
      <c r="P334" s="385"/>
      <c r="Q334" s="197">
        <v>692000</v>
      </c>
      <c r="R334" s="182"/>
      <c r="S334" s="197"/>
      <c r="T334" s="182"/>
      <c r="U334" s="182"/>
      <c r="V334" s="182"/>
      <c r="W334" s="182"/>
      <c r="X334" s="182"/>
      <c r="Y334" s="182"/>
      <c r="Z334" s="182" t="s">
        <v>1626</v>
      </c>
      <c r="AA334" s="399">
        <v>0.548133695223449</v>
      </c>
      <c r="AB334" s="372"/>
      <c r="AC334" s="372" t="s">
        <v>1637</v>
      </c>
      <c r="AD334" s="372" t="str">
        <f t="shared" si="26"/>
        <v>Industry</v>
      </c>
      <c r="AE334" s="372"/>
      <c r="AF334" s="372"/>
      <c r="AG334" s="372"/>
    </row>
    <row r="335" ht="12.75" spans="1:33">
      <c r="A335" s="356" t="s">
        <v>1638</v>
      </c>
      <c r="B335" s="215" t="s">
        <v>256</v>
      </c>
      <c r="C335" s="215" t="s">
        <v>690</v>
      </c>
      <c r="D335" s="215" t="s">
        <v>71</v>
      </c>
      <c r="E335" s="215" t="s">
        <v>35</v>
      </c>
      <c r="F335" s="215" t="s">
        <v>1639</v>
      </c>
      <c r="G335" s="361">
        <v>41275</v>
      </c>
      <c r="H335" s="360">
        <f t="shared" si="30"/>
        <v>1275</v>
      </c>
      <c r="I335" s="356" t="s">
        <v>1640</v>
      </c>
      <c r="J335" s="375" t="s">
        <v>1641</v>
      </c>
      <c r="K335" s="379">
        <v>6676</v>
      </c>
      <c r="L335" s="184" t="s">
        <v>454</v>
      </c>
      <c r="M335" s="199" t="str">
        <f t="shared" si="9"/>
        <v>Yes</v>
      </c>
      <c r="N335" s="199">
        <f>16*8*8*4+32*4*4*16+10*10*32*256+256*18</f>
        <v>836096</v>
      </c>
      <c r="O335" s="199">
        <f>2.3*1000000000000000</f>
        <v>2300000000000000</v>
      </c>
      <c r="P335" s="378"/>
      <c r="Q335" s="199"/>
      <c r="R335" s="184"/>
      <c r="S335" s="199"/>
      <c r="T335" s="184"/>
      <c r="U335" s="184"/>
      <c r="V335" s="184"/>
      <c r="W335" s="184"/>
      <c r="X335" s="184"/>
      <c r="Y335" s="184"/>
      <c r="Z335" s="184"/>
      <c r="AA335" s="396">
        <v>0.0403704382939037</v>
      </c>
      <c r="AB335" s="376"/>
      <c r="AC335" s="376"/>
      <c r="AD335" s="376" t="str">
        <f t="shared" si="26"/>
        <v>Industry</v>
      </c>
      <c r="AE335" s="376"/>
      <c r="AF335" s="376"/>
      <c r="AG335" s="376"/>
    </row>
    <row r="336" ht="12.75" spans="1:33">
      <c r="A336" s="353" t="s">
        <v>964</v>
      </c>
      <c r="B336" s="192" t="s">
        <v>41</v>
      </c>
      <c r="C336" s="192" t="s">
        <v>1642</v>
      </c>
      <c r="D336" s="192" t="s">
        <v>1643</v>
      </c>
      <c r="E336" s="192" t="s">
        <v>134</v>
      </c>
      <c r="F336" s="192" t="s">
        <v>1644</v>
      </c>
      <c r="G336" s="367">
        <v>41628</v>
      </c>
      <c r="H336" s="363">
        <f t="shared" si="30"/>
        <v>1628</v>
      </c>
      <c r="I336" s="353" t="s">
        <v>1645</v>
      </c>
      <c r="J336" s="371" t="s">
        <v>1646</v>
      </c>
      <c r="K336" s="236">
        <v>15572</v>
      </c>
      <c r="L336" s="182" t="s">
        <v>454</v>
      </c>
      <c r="M336" s="197" t="str">
        <f t="shared" si="9"/>
        <v>Yes</v>
      </c>
      <c r="N336" s="197"/>
      <c r="O336" s="197">
        <v>475200000000000</v>
      </c>
      <c r="P336" s="385" t="s">
        <v>1647</v>
      </c>
      <c r="Q336" s="197">
        <v>60000</v>
      </c>
      <c r="R336" s="182"/>
      <c r="S336" s="200"/>
      <c r="T336" s="182"/>
      <c r="U336" s="182"/>
      <c r="V336" s="182"/>
      <c r="W336" s="182"/>
      <c r="X336" s="182"/>
      <c r="Y336" s="182"/>
      <c r="Z336" s="182"/>
      <c r="AA336" s="399">
        <v>0.00641623876165296</v>
      </c>
      <c r="AB336" s="372"/>
      <c r="AC336" s="372"/>
      <c r="AD336" s="372" t="str">
        <f t="shared" si="26"/>
        <v>Academia</v>
      </c>
      <c r="AE336" s="372"/>
      <c r="AF336" s="372"/>
      <c r="AG336" s="372"/>
    </row>
    <row r="337" ht="12.75" spans="1:33">
      <c r="A337" s="356" t="s">
        <v>1648</v>
      </c>
      <c r="B337" s="215" t="s">
        <v>41</v>
      </c>
      <c r="C337" s="215" t="s">
        <v>305</v>
      </c>
      <c r="D337" s="215" t="s">
        <v>1649</v>
      </c>
      <c r="E337" s="215" t="s">
        <v>327</v>
      </c>
      <c r="F337" s="215" t="s">
        <v>1650</v>
      </c>
      <c r="G337" s="357">
        <v>41437</v>
      </c>
      <c r="H337" s="358">
        <v>2013</v>
      </c>
      <c r="I337" s="356" t="s">
        <v>1648</v>
      </c>
      <c r="J337" s="375" t="s">
        <v>1651</v>
      </c>
      <c r="K337" s="377">
        <v>1707</v>
      </c>
      <c r="L337" s="376" t="s">
        <v>454</v>
      </c>
      <c r="M337" s="199" t="str">
        <f t="shared" si="9"/>
        <v>Yes</v>
      </c>
      <c r="N337" s="377"/>
      <c r="O337" s="203">
        <f>12617*10^6*2*3600</f>
        <v>90842400000000</v>
      </c>
      <c r="P337" s="383" t="s">
        <v>184</v>
      </c>
      <c r="Q337" s="203"/>
      <c r="R337" s="205"/>
      <c r="S337" s="205"/>
      <c r="T337" s="376">
        <v>2</v>
      </c>
      <c r="U337" s="205"/>
      <c r="V337" s="205"/>
      <c r="W337" s="205"/>
      <c r="X337" s="205"/>
      <c r="Y337" s="205"/>
      <c r="Z337" s="205"/>
      <c r="AA337" s="395">
        <v>0.00140957453289337</v>
      </c>
      <c r="AB337" s="376"/>
      <c r="AC337" s="376"/>
      <c r="AD337" s="376"/>
      <c r="AE337" s="376"/>
      <c r="AF337" s="376"/>
      <c r="AG337" s="376"/>
    </row>
    <row r="338" ht="12.75" spans="1:33">
      <c r="A338" s="353"/>
      <c r="B338" s="192" t="s">
        <v>41</v>
      </c>
      <c r="C338" s="192"/>
      <c r="D338" s="192" t="s">
        <v>1392</v>
      </c>
      <c r="E338" s="192" t="s">
        <v>134</v>
      </c>
      <c r="F338" s="192" t="s">
        <v>1652</v>
      </c>
      <c r="G338" s="367">
        <v>41290</v>
      </c>
      <c r="H338" s="363">
        <f t="shared" ref="H338:H426" si="34">IF(INT(RIGHT(G338,4))&lt;1,"",INT(RIGHT(G338,4)))</f>
        <v>1290</v>
      </c>
      <c r="I338" s="353" t="s">
        <v>1653</v>
      </c>
      <c r="J338" s="371" t="s">
        <v>1654</v>
      </c>
      <c r="K338" s="236">
        <v>1207</v>
      </c>
      <c r="L338" s="182" t="s">
        <v>454</v>
      </c>
      <c r="M338" s="197" t="str">
        <f t="shared" si="9"/>
        <v>Yes</v>
      </c>
      <c r="N338" s="197"/>
      <c r="O338" s="410"/>
      <c r="P338" s="374"/>
      <c r="Q338" s="197"/>
      <c r="R338" s="182"/>
      <c r="S338" s="197"/>
      <c r="T338" s="182"/>
      <c r="U338" s="182"/>
      <c r="V338" s="182"/>
      <c r="W338" s="182"/>
      <c r="X338" s="182"/>
      <c r="Y338" s="182"/>
      <c r="Z338" s="182"/>
      <c r="AA338" s="399" t="s">
        <v>49</v>
      </c>
      <c r="AB338" s="372"/>
      <c r="AC338" s="372"/>
      <c r="AD338" s="372" t="str">
        <f t="shared" ref="AD338:AD442" si="35">_xlfn.IFS($E338="Academia","Academia",$E338="Research Collective","TO MANUALLY ADJUST",TRUE,"Industry")</f>
        <v>Academia</v>
      </c>
      <c r="AE338" s="372"/>
      <c r="AF338" s="372"/>
      <c r="AG338" s="372"/>
    </row>
    <row r="339" ht="12.75" spans="1:33">
      <c r="A339" s="356" t="s">
        <v>1655</v>
      </c>
      <c r="B339" s="215" t="s">
        <v>41</v>
      </c>
      <c r="C339" s="215" t="s">
        <v>176</v>
      </c>
      <c r="D339" s="215" t="s">
        <v>1656</v>
      </c>
      <c r="E339" s="215" t="s">
        <v>134</v>
      </c>
      <c r="F339" s="215" t="s">
        <v>1657</v>
      </c>
      <c r="G339" s="361">
        <v>41323</v>
      </c>
      <c r="H339" s="360">
        <f t="shared" si="34"/>
        <v>1323</v>
      </c>
      <c r="I339" s="356" t="s">
        <v>1655</v>
      </c>
      <c r="J339" s="375" t="s">
        <v>1658</v>
      </c>
      <c r="K339" s="384">
        <v>2576</v>
      </c>
      <c r="L339" s="184" t="s">
        <v>454</v>
      </c>
      <c r="M339" s="199" t="str">
        <f t="shared" si="9"/>
        <v>Yes</v>
      </c>
      <c r="N339" s="199"/>
      <c r="O339" s="403"/>
      <c r="P339" s="378"/>
      <c r="Q339" s="199"/>
      <c r="R339" s="184"/>
      <c r="S339" s="199"/>
      <c r="T339" s="184"/>
      <c r="U339" s="184"/>
      <c r="V339" s="184"/>
      <c r="W339" s="184"/>
      <c r="X339" s="184"/>
      <c r="Y339" s="184"/>
      <c r="Z339" s="184"/>
      <c r="AA339" s="396" t="s">
        <v>49</v>
      </c>
      <c r="AB339" s="376"/>
      <c r="AC339" s="376"/>
      <c r="AD339" s="376" t="str">
        <f t="shared" si="35"/>
        <v>Academia</v>
      </c>
      <c r="AE339" s="376"/>
      <c r="AF339" s="376"/>
      <c r="AG339" s="376"/>
    </row>
    <row r="340" ht="12.75" spans="1:33">
      <c r="A340" s="353" t="s">
        <v>1659</v>
      </c>
      <c r="B340" s="192" t="s">
        <v>126</v>
      </c>
      <c r="C340" s="192" t="s">
        <v>874</v>
      </c>
      <c r="D340" s="192" t="s">
        <v>1660</v>
      </c>
      <c r="E340" s="192" t="s">
        <v>134</v>
      </c>
      <c r="F340" s="192" t="s">
        <v>1661</v>
      </c>
      <c r="G340" s="367">
        <v>41355</v>
      </c>
      <c r="H340" s="363">
        <f t="shared" si="34"/>
        <v>1355</v>
      </c>
      <c r="I340" s="353" t="s">
        <v>1662</v>
      </c>
      <c r="J340" s="371" t="s">
        <v>1663</v>
      </c>
      <c r="K340" s="236">
        <v>7791</v>
      </c>
      <c r="L340" s="182" t="s">
        <v>454</v>
      </c>
      <c r="M340" s="197" t="str">
        <f t="shared" si="9"/>
        <v>Yes</v>
      </c>
      <c r="N340" s="197">
        <v>43000000</v>
      </c>
      <c r="O340" s="410"/>
      <c r="P340" s="374"/>
      <c r="Q340" s="197"/>
      <c r="R340" s="182"/>
      <c r="S340" s="197"/>
      <c r="T340" s="204"/>
      <c r="U340" s="204"/>
      <c r="V340" s="182"/>
      <c r="W340" s="182"/>
      <c r="X340" s="182"/>
      <c r="Y340" s="182"/>
      <c r="Z340" s="182"/>
      <c r="AA340" s="399" t="s">
        <v>49</v>
      </c>
      <c r="AB340" s="372"/>
      <c r="AC340" s="372"/>
      <c r="AD340" s="372" t="str">
        <f t="shared" si="35"/>
        <v>Academia</v>
      </c>
      <c r="AE340" s="372"/>
      <c r="AF340" s="372"/>
      <c r="AG340" s="372"/>
    </row>
    <row r="341" ht="12.75" spans="1:33">
      <c r="A341" s="356"/>
      <c r="B341" s="215" t="s">
        <v>41</v>
      </c>
      <c r="C341" s="215" t="s">
        <v>724</v>
      </c>
      <c r="D341" s="215" t="s">
        <v>1664</v>
      </c>
      <c r="E341" s="215" t="s">
        <v>134</v>
      </c>
      <c r="F341" s="215" t="s">
        <v>1665</v>
      </c>
      <c r="G341" s="361">
        <v>41366</v>
      </c>
      <c r="H341" s="360">
        <f t="shared" si="34"/>
        <v>1366</v>
      </c>
      <c r="I341" s="356" t="s">
        <v>1666</v>
      </c>
      <c r="J341" s="375" t="s">
        <v>1667</v>
      </c>
      <c r="K341" s="379">
        <v>5593</v>
      </c>
      <c r="L341" s="184" t="s">
        <v>454</v>
      </c>
      <c r="M341" s="199" t="str">
        <f t="shared" si="9"/>
        <v>Yes</v>
      </c>
      <c r="N341" s="199"/>
      <c r="O341" s="203"/>
      <c r="P341" s="380"/>
      <c r="Q341" s="199"/>
      <c r="R341" s="184"/>
      <c r="S341" s="199"/>
      <c r="T341" s="184"/>
      <c r="U341" s="184"/>
      <c r="V341" s="184"/>
      <c r="W341" s="184"/>
      <c r="X341" s="184"/>
      <c r="Y341" s="184"/>
      <c r="Z341" s="184"/>
      <c r="AA341" s="396" t="s">
        <v>49</v>
      </c>
      <c r="AB341" s="376"/>
      <c r="AC341" s="376"/>
      <c r="AD341" s="376" t="str">
        <f t="shared" si="35"/>
        <v>Academia</v>
      </c>
      <c r="AE341" s="376"/>
      <c r="AF341" s="376"/>
      <c r="AG341" s="376"/>
    </row>
    <row r="342" ht="12.75" spans="1:33">
      <c r="A342" s="353"/>
      <c r="B342" s="192" t="s">
        <v>41</v>
      </c>
      <c r="C342" s="192"/>
      <c r="D342" s="192" t="s">
        <v>1668</v>
      </c>
      <c r="E342" s="192" t="s">
        <v>134</v>
      </c>
      <c r="F342" s="192" t="s">
        <v>1665</v>
      </c>
      <c r="G342" s="367">
        <v>41366</v>
      </c>
      <c r="H342" s="363">
        <f t="shared" si="34"/>
        <v>1366</v>
      </c>
      <c r="I342" s="353" t="s">
        <v>1666</v>
      </c>
      <c r="J342" s="371" t="s">
        <v>1667</v>
      </c>
      <c r="K342" s="236">
        <v>5593</v>
      </c>
      <c r="L342" s="182" t="s">
        <v>454</v>
      </c>
      <c r="M342" s="197" t="str">
        <f t="shared" si="9"/>
        <v>Yes</v>
      </c>
      <c r="N342" s="197"/>
      <c r="O342" s="197"/>
      <c r="P342" s="374"/>
      <c r="Q342" s="197"/>
      <c r="R342" s="182"/>
      <c r="S342" s="197"/>
      <c r="T342" s="182"/>
      <c r="U342" s="182"/>
      <c r="V342" s="182"/>
      <c r="W342" s="182"/>
      <c r="X342" s="182"/>
      <c r="Y342" s="182"/>
      <c r="Z342" s="182"/>
      <c r="AA342" s="399" t="s">
        <v>49</v>
      </c>
      <c r="AB342" s="372"/>
      <c r="AC342" s="372"/>
      <c r="AD342" s="372" t="str">
        <f t="shared" si="35"/>
        <v>Academia</v>
      </c>
      <c r="AE342" s="372"/>
      <c r="AF342" s="372"/>
      <c r="AG342" s="372"/>
    </row>
    <row r="343" ht="12.75" spans="1:33">
      <c r="A343" s="356"/>
      <c r="B343" s="215" t="s">
        <v>51</v>
      </c>
      <c r="C343" s="215"/>
      <c r="D343" s="215" t="s">
        <v>205</v>
      </c>
      <c r="E343" s="215" t="s">
        <v>35</v>
      </c>
      <c r="F343" s="215" t="s">
        <v>1669</v>
      </c>
      <c r="G343" s="361">
        <v>41434</v>
      </c>
      <c r="H343" s="360">
        <f t="shared" si="34"/>
        <v>1434</v>
      </c>
      <c r="I343" s="356" t="s">
        <v>1670</v>
      </c>
      <c r="J343" s="375" t="s">
        <v>1671</v>
      </c>
      <c r="K343" s="379">
        <v>3625</v>
      </c>
      <c r="L343" s="184" t="s">
        <v>454</v>
      </c>
      <c r="M343" s="199" t="str">
        <f t="shared" si="9"/>
        <v>Yes</v>
      </c>
      <c r="N343" s="199"/>
      <c r="O343" s="199"/>
      <c r="P343" s="380"/>
      <c r="Q343" s="199"/>
      <c r="R343" s="184"/>
      <c r="S343" s="199"/>
      <c r="T343" s="207"/>
      <c r="U343" s="207"/>
      <c r="V343" s="184"/>
      <c r="W343" s="184"/>
      <c r="X343" s="184"/>
      <c r="Y343" s="184"/>
      <c r="Z343" s="184"/>
      <c r="AA343" s="396" t="s">
        <v>49</v>
      </c>
      <c r="AB343" s="376"/>
      <c r="AC343" s="376"/>
      <c r="AD343" s="376" t="str">
        <f t="shared" si="35"/>
        <v>Industry</v>
      </c>
      <c r="AE343" s="376"/>
      <c r="AF343" s="376"/>
      <c r="AG343" s="376"/>
    </row>
    <row r="344" ht="12.75" spans="1:33">
      <c r="A344" s="353" t="s">
        <v>1672</v>
      </c>
      <c r="B344" s="192" t="s">
        <v>51</v>
      </c>
      <c r="C344" s="192" t="s">
        <v>1440</v>
      </c>
      <c r="D344" s="192" t="s">
        <v>85</v>
      </c>
      <c r="E344" s="192" t="s">
        <v>35</v>
      </c>
      <c r="F344" s="192" t="s">
        <v>1634</v>
      </c>
      <c r="G344" s="367">
        <v>41563</v>
      </c>
      <c r="H344" s="363">
        <f t="shared" si="34"/>
        <v>1563</v>
      </c>
      <c r="I344" s="353" t="s">
        <v>1635</v>
      </c>
      <c r="J344" s="371" t="s">
        <v>1636</v>
      </c>
      <c r="K344" s="236">
        <v>28717</v>
      </c>
      <c r="L344" s="182" t="s">
        <v>454</v>
      </c>
      <c r="M344" s="197" t="str">
        <f t="shared" si="9"/>
        <v>Yes</v>
      </c>
      <c r="N344" s="197">
        <f>300*692000</f>
        <v>207600000</v>
      </c>
      <c r="O344" s="197"/>
      <c r="P344" s="385"/>
      <c r="Q344" s="197">
        <v>692000</v>
      </c>
      <c r="R344" s="182"/>
      <c r="S344" s="197"/>
      <c r="T344" s="182"/>
      <c r="U344" s="182"/>
      <c r="V344" s="182"/>
      <c r="W344" s="182"/>
      <c r="X344" s="182"/>
      <c r="Y344" s="182"/>
      <c r="Z344" s="182"/>
      <c r="AA344" s="399" t="s">
        <v>49</v>
      </c>
      <c r="AB344" s="372"/>
      <c r="AC344" s="372" t="s">
        <v>1637</v>
      </c>
      <c r="AD344" s="372" t="str">
        <f t="shared" si="35"/>
        <v>Industry</v>
      </c>
      <c r="AE344" s="372"/>
      <c r="AF344" s="372"/>
      <c r="AG344" s="372"/>
    </row>
    <row r="345" ht="12.75" spans="1:33">
      <c r="A345" s="356" t="s">
        <v>1673</v>
      </c>
      <c r="B345" s="215" t="s">
        <v>41</v>
      </c>
      <c r="C345" s="215" t="s">
        <v>724</v>
      </c>
      <c r="D345" s="215" t="s">
        <v>464</v>
      </c>
      <c r="E345" s="215" t="s">
        <v>134</v>
      </c>
      <c r="F345" s="215" t="s">
        <v>1674</v>
      </c>
      <c r="G345" s="361">
        <v>41589</v>
      </c>
      <c r="H345" s="360">
        <f t="shared" si="34"/>
        <v>1589</v>
      </c>
      <c r="I345" s="356" t="s">
        <v>1675</v>
      </c>
      <c r="J345" s="375" t="s">
        <v>1676</v>
      </c>
      <c r="K345" s="379">
        <v>19057</v>
      </c>
      <c r="L345" s="184" t="s">
        <v>454</v>
      </c>
      <c r="M345" s="199" t="str">
        <f t="shared" si="9"/>
        <v>Yes</v>
      </c>
      <c r="N345" s="199">
        <f>11*11*96+5*5*256+3*3*384+3*3*384+3*3*256+7*7*256*4096+4096*4096+4096*200</f>
        <v>69003872</v>
      </c>
      <c r="O345" s="199"/>
      <c r="P345" s="380"/>
      <c r="Q345" s="199"/>
      <c r="R345" s="184"/>
      <c r="S345" s="199"/>
      <c r="T345" s="184"/>
      <c r="U345" s="184"/>
      <c r="V345" s="184"/>
      <c r="W345" s="184"/>
      <c r="X345" s="184"/>
      <c r="Y345" s="184"/>
      <c r="Z345" s="184"/>
      <c r="AA345" s="396" t="s">
        <v>49</v>
      </c>
      <c r="AB345" s="376"/>
      <c r="AC345" s="376"/>
      <c r="AD345" s="376" t="str">
        <f t="shared" si="35"/>
        <v>Academia</v>
      </c>
      <c r="AE345" s="376"/>
      <c r="AF345" s="376"/>
      <c r="AG345" s="376"/>
    </row>
    <row r="346" ht="12.75" spans="1:33">
      <c r="A346" s="353"/>
      <c r="B346" s="192"/>
      <c r="C346" s="192"/>
      <c r="D346" s="192" t="s">
        <v>1392</v>
      </c>
      <c r="E346" s="192" t="s">
        <v>134</v>
      </c>
      <c r="F346" s="192" t="s">
        <v>1677</v>
      </c>
      <c r="G346" s="367">
        <v>41609</v>
      </c>
      <c r="H346" s="363">
        <f t="shared" si="34"/>
        <v>1609</v>
      </c>
      <c r="I346" s="353" t="s">
        <v>1678</v>
      </c>
      <c r="J346" s="371" t="s">
        <v>1679</v>
      </c>
      <c r="K346" s="236">
        <v>1664</v>
      </c>
      <c r="L346" s="182" t="s">
        <v>454</v>
      </c>
      <c r="M346" s="197" t="str">
        <f t="shared" si="9"/>
        <v>Yes</v>
      </c>
      <c r="N346" s="197"/>
      <c r="O346" s="197"/>
      <c r="P346" s="374"/>
      <c r="Q346" s="197"/>
      <c r="R346" s="182"/>
      <c r="S346" s="197"/>
      <c r="T346" s="182"/>
      <c r="U346" s="182"/>
      <c r="V346" s="182"/>
      <c r="W346" s="182"/>
      <c r="X346" s="182"/>
      <c r="Y346" s="182"/>
      <c r="Z346" s="182"/>
      <c r="AA346" s="399" t="s">
        <v>49</v>
      </c>
      <c r="AB346" s="372"/>
      <c r="AC346" s="372"/>
      <c r="AD346" s="372" t="str">
        <f t="shared" si="35"/>
        <v>Academia</v>
      </c>
      <c r="AE346" s="372"/>
      <c r="AF346" s="372"/>
      <c r="AG346" s="372"/>
    </row>
    <row r="347" ht="12.75" spans="1:33">
      <c r="A347" s="356" t="s">
        <v>1680</v>
      </c>
      <c r="B347" s="215" t="s">
        <v>126</v>
      </c>
      <c r="C347" s="215" t="s">
        <v>874</v>
      </c>
      <c r="D347" s="215" t="s">
        <v>1660</v>
      </c>
      <c r="E347" s="215" t="s">
        <v>134</v>
      </c>
      <c r="F347" s="215" t="s">
        <v>1681</v>
      </c>
      <c r="G347" s="361">
        <v>41616</v>
      </c>
      <c r="H347" s="360">
        <f t="shared" si="34"/>
        <v>1616</v>
      </c>
      <c r="I347" s="356" t="s">
        <v>1682</v>
      </c>
      <c r="J347" s="375" t="s">
        <v>1683</v>
      </c>
      <c r="K347" s="379">
        <v>1463</v>
      </c>
      <c r="L347" s="184" t="s">
        <v>454</v>
      </c>
      <c r="M347" s="199" t="str">
        <f t="shared" si="9"/>
        <v>Yes</v>
      </c>
      <c r="N347" s="199">
        <v>29900000</v>
      </c>
      <c r="O347" s="199"/>
      <c r="P347" s="380"/>
      <c r="Q347" s="199"/>
      <c r="R347" s="184"/>
      <c r="S347" s="199"/>
      <c r="T347" s="184"/>
      <c r="U347" s="184"/>
      <c r="V347" s="184"/>
      <c r="W347" s="184"/>
      <c r="X347" s="184"/>
      <c r="Y347" s="184"/>
      <c r="Z347" s="184"/>
      <c r="AA347" s="396" t="s">
        <v>49</v>
      </c>
      <c r="AB347" s="376"/>
      <c r="AC347" s="376"/>
      <c r="AD347" s="376" t="str">
        <f t="shared" si="35"/>
        <v>Academia</v>
      </c>
      <c r="AE347" s="376"/>
      <c r="AF347" s="376"/>
      <c r="AG347" s="376"/>
    </row>
    <row r="348" ht="12.75" spans="1:33">
      <c r="A348" s="353" t="s">
        <v>1684</v>
      </c>
      <c r="B348" s="192"/>
      <c r="C348" s="192"/>
      <c r="D348" s="192" t="s">
        <v>1685</v>
      </c>
      <c r="E348" s="192" t="s">
        <v>134</v>
      </c>
      <c r="F348" s="192" t="s">
        <v>1686</v>
      </c>
      <c r="G348" s="367">
        <v>41624</v>
      </c>
      <c r="H348" s="363">
        <f t="shared" si="34"/>
        <v>1624</v>
      </c>
      <c r="I348" s="353" t="s">
        <v>1687</v>
      </c>
      <c r="J348" s="371" t="s">
        <v>1688</v>
      </c>
      <c r="K348" s="236">
        <v>5499</v>
      </c>
      <c r="L348" s="182" t="s">
        <v>454</v>
      </c>
      <c r="M348" s="197" t="str">
        <f t="shared" si="9"/>
        <v>Yes</v>
      </c>
      <c r="N348" s="197"/>
      <c r="O348" s="197"/>
      <c r="P348" s="374"/>
      <c r="Q348" s="197"/>
      <c r="R348" s="182"/>
      <c r="S348" s="197"/>
      <c r="T348" s="182"/>
      <c r="U348" s="182"/>
      <c r="V348" s="182"/>
      <c r="W348" s="182"/>
      <c r="X348" s="182"/>
      <c r="Y348" s="182"/>
      <c r="Z348" s="182"/>
      <c r="AA348" s="399" t="s">
        <v>49</v>
      </c>
      <c r="AB348" s="372"/>
      <c r="AC348" s="372"/>
      <c r="AD348" s="372" t="str">
        <f t="shared" si="35"/>
        <v>Academia</v>
      </c>
      <c r="AE348" s="372"/>
      <c r="AF348" s="372"/>
      <c r="AG348" s="372"/>
    </row>
    <row r="349" ht="12.75" spans="1:33">
      <c r="A349" s="356"/>
      <c r="B349" s="215" t="s">
        <v>41</v>
      </c>
      <c r="C349" s="215" t="s">
        <v>176</v>
      </c>
      <c r="D349" s="215" t="s">
        <v>1689</v>
      </c>
      <c r="E349" s="215" t="s">
        <v>134</v>
      </c>
      <c r="F349" s="215" t="s">
        <v>1690</v>
      </c>
      <c r="G349" s="361">
        <v>41629</v>
      </c>
      <c r="H349" s="360">
        <f t="shared" si="34"/>
        <v>1629</v>
      </c>
      <c r="I349" s="356" t="s">
        <v>1691</v>
      </c>
      <c r="J349" s="375" t="s">
        <v>1692</v>
      </c>
      <c r="K349" s="384">
        <v>5148</v>
      </c>
      <c r="L349" s="184" t="s">
        <v>454</v>
      </c>
      <c r="M349" s="199" t="str">
        <f t="shared" si="9"/>
        <v>Yes</v>
      </c>
      <c r="N349" s="199"/>
      <c r="O349" s="199"/>
      <c r="P349" s="380"/>
      <c r="Q349" s="199"/>
      <c r="R349" s="184"/>
      <c r="S349" s="203"/>
      <c r="T349" s="184"/>
      <c r="U349" s="184"/>
      <c r="V349" s="184"/>
      <c r="W349" s="184"/>
      <c r="X349" s="184"/>
      <c r="Y349" s="184"/>
      <c r="Z349" s="184"/>
      <c r="AA349" s="396" t="s">
        <v>49</v>
      </c>
      <c r="AB349" s="376"/>
      <c r="AC349" s="376"/>
      <c r="AD349" s="376" t="str">
        <f t="shared" si="35"/>
        <v>Academia</v>
      </c>
      <c r="AE349" s="376"/>
      <c r="AF349" s="376"/>
      <c r="AG349" s="376"/>
    </row>
    <row r="350" ht="12.75" spans="1:33">
      <c r="A350" s="353" t="s">
        <v>1693</v>
      </c>
      <c r="B350" s="192" t="s">
        <v>41</v>
      </c>
      <c r="C350" s="192" t="s">
        <v>176</v>
      </c>
      <c r="D350" s="192" t="s">
        <v>1267</v>
      </c>
      <c r="E350" s="192" t="s">
        <v>134</v>
      </c>
      <c r="F350" s="192" t="s">
        <v>1694</v>
      </c>
      <c r="G350" s="367">
        <v>41182</v>
      </c>
      <c r="H350" s="363">
        <f t="shared" si="34"/>
        <v>1182</v>
      </c>
      <c r="I350" s="353" t="s">
        <v>1695</v>
      </c>
      <c r="J350" s="371" t="s">
        <v>1696</v>
      </c>
      <c r="K350" s="236">
        <v>85134</v>
      </c>
      <c r="L350" s="182" t="s">
        <v>454</v>
      </c>
      <c r="M350" s="197" t="str">
        <f t="shared" si="9"/>
        <v>Yes</v>
      </c>
      <c r="N350" s="197">
        <v>60000000</v>
      </c>
      <c r="O350" s="197">
        <f>470*1000000000000000</f>
        <v>4.7e+17</v>
      </c>
      <c r="P350" s="385" t="s">
        <v>184</v>
      </c>
      <c r="Q350" s="197">
        <v>1200000</v>
      </c>
      <c r="R350" s="182">
        <v>8</v>
      </c>
      <c r="S350" s="197"/>
      <c r="T350" s="182"/>
      <c r="U350" s="182"/>
      <c r="V350" s="182"/>
      <c r="W350" s="182"/>
      <c r="X350" s="182"/>
      <c r="Y350" s="182"/>
      <c r="Z350" s="182"/>
      <c r="AA350" s="399">
        <v>7.99991372136391</v>
      </c>
      <c r="AB350" s="372"/>
      <c r="AC350" s="372"/>
      <c r="AD350" s="372" t="str">
        <f t="shared" si="35"/>
        <v>Academia</v>
      </c>
      <c r="AE350" s="372"/>
      <c r="AF350" s="372"/>
      <c r="AG350" s="372"/>
    </row>
    <row r="351" ht="12.75" spans="1:33">
      <c r="A351" s="356" t="s">
        <v>1697</v>
      </c>
      <c r="B351" s="215" t="s">
        <v>41</v>
      </c>
      <c r="C351" s="215" t="s">
        <v>1231</v>
      </c>
      <c r="D351" s="215" t="s">
        <v>1267</v>
      </c>
      <c r="E351" s="215" t="s">
        <v>134</v>
      </c>
      <c r="F351" s="215" t="s">
        <v>1698</v>
      </c>
      <c r="G351" s="361">
        <v>41063</v>
      </c>
      <c r="H351" s="360">
        <f t="shared" si="34"/>
        <v>1063</v>
      </c>
      <c r="I351" s="356" t="s">
        <v>1699</v>
      </c>
      <c r="J351" s="375" t="s">
        <v>1700</v>
      </c>
      <c r="K351" s="379">
        <v>6680</v>
      </c>
      <c r="L351" s="184" t="s">
        <v>454</v>
      </c>
      <c r="M351" s="199" t="str">
        <f t="shared" si="9"/>
        <v>Yes</v>
      </c>
      <c r="N351" s="199">
        <f>(28*28+1)*2000+(2000+1)*2000+(2000+1)*10</f>
        <v>5592010</v>
      </c>
      <c r="O351" s="199">
        <f>((28*28+1)*2000+(2000+1)*2000+(2000+1)*10)*2*3*3000*60000</f>
        <v>6039370800000000</v>
      </c>
      <c r="P351" s="380" t="s">
        <v>1647</v>
      </c>
      <c r="Q351" s="199">
        <v>60000</v>
      </c>
      <c r="R351" s="184">
        <v>2</v>
      </c>
      <c r="S351" s="199">
        <f>((28*28+1)*2000+(2000+1)*2000+(2000+1)*10)*2</f>
        <v>11184020</v>
      </c>
      <c r="T351" s="184"/>
      <c r="U351" s="184"/>
      <c r="V351" s="184"/>
      <c r="W351" s="184">
        <f t="shared" ref="W351:W352" si="36">21/1000</f>
        <v>0.021</v>
      </c>
      <c r="X351" s="184"/>
      <c r="Y351" s="184"/>
      <c r="Z351" s="184"/>
      <c r="AA351" s="396">
        <v>0.102126558145071</v>
      </c>
      <c r="AB351" s="376"/>
      <c r="AC351" s="376"/>
      <c r="AD351" s="376" t="str">
        <f t="shared" si="35"/>
        <v>Academia</v>
      </c>
      <c r="AE351" s="376"/>
      <c r="AF351" s="376"/>
      <c r="AG351" s="376"/>
    </row>
    <row r="352" ht="12.75" spans="1:33">
      <c r="A352" s="353" t="s">
        <v>1701</v>
      </c>
      <c r="B352" s="192" t="s">
        <v>41</v>
      </c>
      <c r="C352" s="192" t="s">
        <v>1231</v>
      </c>
      <c r="D352" s="192" t="s">
        <v>1628</v>
      </c>
      <c r="E352" s="192" t="s">
        <v>134</v>
      </c>
      <c r="F352" s="192" t="s">
        <v>1702</v>
      </c>
      <c r="G352" s="367">
        <v>40952</v>
      </c>
      <c r="H352" s="363">
        <f t="shared" si="34"/>
        <v>952</v>
      </c>
      <c r="I352" s="353" t="s">
        <v>1703</v>
      </c>
      <c r="J352" s="371" t="s">
        <v>1704</v>
      </c>
      <c r="K352" s="236">
        <v>4828</v>
      </c>
      <c r="L352" s="182" t="s">
        <v>454</v>
      </c>
      <c r="M352" s="197" t="str">
        <f t="shared" si="9"/>
        <v>Yes</v>
      </c>
      <c r="N352" s="197">
        <f>35*(20*4*4+40*5*5+(40*3*3+1)*150+(150+1)*10)</f>
        <v>1994300</v>
      </c>
      <c r="O352" s="197">
        <f>35*(26*26*20*(4*4+1)+9*9*40*(5*5+1)+(3*3*40+1)*150+(150+1)*10)*2*3*800*60000</f>
        <v>3726979200000000</v>
      </c>
      <c r="P352" s="385" t="s">
        <v>1647</v>
      </c>
      <c r="Q352" s="197">
        <v>60000</v>
      </c>
      <c r="R352" s="182">
        <v>3</v>
      </c>
      <c r="S352" s="197">
        <f>35*(26*26*20*(4*4+1)+9*9*40*(5*5+1)+(3*3*40+1)*150+(150+1)*10)*2</f>
        <v>25881800</v>
      </c>
      <c r="T352" s="182"/>
      <c r="U352" s="182">
        <f>14*35</f>
        <v>490</v>
      </c>
      <c r="V352" s="182"/>
      <c r="W352" s="182">
        <f t="shared" si="36"/>
        <v>0.021</v>
      </c>
      <c r="X352" s="182"/>
      <c r="Y352" s="182"/>
      <c r="Z352" s="182"/>
      <c r="AA352" s="399">
        <v>0.0833259334877972</v>
      </c>
      <c r="AB352" s="372"/>
      <c r="AC352" s="372"/>
      <c r="AD352" s="372" t="str">
        <f t="shared" si="35"/>
        <v>Academia</v>
      </c>
      <c r="AE352" s="372"/>
      <c r="AF352" s="372"/>
      <c r="AG352" s="372"/>
    </row>
    <row r="353" ht="12.75" spans="1:33">
      <c r="A353" s="356" t="s">
        <v>1705</v>
      </c>
      <c r="B353" s="215" t="s">
        <v>126</v>
      </c>
      <c r="C353" s="215" t="s">
        <v>874</v>
      </c>
      <c r="D353" s="215" t="s">
        <v>1267</v>
      </c>
      <c r="E353" s="215" t="s">
        <v>134</v>
      </c>
      <c r="F353" s="215" t="s">
        <v>1698</v>
      </c>
      <c r="G353" s="361">
        <v>41063</v>
      </c>
      <c r="H353" s="360">
        <f t="shared" si="34"/>
        <v>1063</v>
      </c>
      <c r="I353" s="356" t="s">
        <v>1699</v>
      </c>
      <c r="J353" s="375" t="s">
        <v>1700</v>
      </c>
      <c r="K353" s="379">
        <v>6680</v>
      </c>
      <c r="L353" s="184" t="s">
        <v>454</v>
      </c>
      <c r="M353" s="199" t="str">
        <f t="shared" si="9"/>
        <v>Yes</v>
      </c>
      <c r="N353" s="199">
        <f>(21+1)*4000+3*(4000+1)*4000+(4000+1)*185</f>
        <v>48840185</v>
      </c>
      <c r="O353" s="199"/>
      <c r="P353" s="380" t="s">
        <v>1706</v>
      </c>
      <c r="Q353" s="199">
        <v>41620</v>
      </c>
      <c r="R353" s="184">
        <v>4</v>
      </c>
      <c r="S353" s="199"/>
      <c r="T353" s="184"/>
      <c r="U353" s="184"/>
      <c r="V353" s="184"/>
      <c r="W353" s="184"/>
      <c r="X353" s="184"/>
      <c r="Y353" s="184"/>
      <c r="Z353" s="184"/>
      <c r="AA353" s="396" t="s">
        <v>49</v>
      </c>
      <c r="AB353" s="376"/>
      <c r="AC353" s="376"/>
      <c r="AD353" s="376" t="str">
        <f t="shared" si="35"/>
        <v>Academia</v>
      </c>
      <c r="AE353" s="376"/>
      <c r="AF353" s="376"/>
      <c r="AG353" s="376"/>
    </row>
    <row r="354" ht="12.75" spans="1:33">
      <c r="A354" s="353" t="s">
        <v>1707</v>
      </c>
      <c r="B354" s="192" t="s">
        <v>41</v>
      </c>
      <c r="C354" s="192" t="s">
        <v>1231</v>
      </c>
      <c r="D354" s="192" t="s">
        <v>1267</v>
      </c>
      <c r="E354" s="192" t="s">
        <v>134</v>
      </c>
      <c r="F354" s="192" t="s">
        <v>1698</v>
      </c>
      <c r="G354" s="367">
        <v>41063</v>
      </c>
      <c r="H354" s="363">
        <f t="shared" si="34"/>
        <v>1063</v>
      </c>
      <c r="I354" s="353" t="s">
        <v>1699</v>
      </c>
      <c r="J354" s="371" t="s">
        <v>1700</v>
      </c>
      <c r="K354" s="236">
        <v>6680</v>
      </c>
      <c r="L354" s="182" t="s">
        <v>454</v>
      </c>
      <c r="M354" s="197" t="str">
        <f t="shared" si="9"/>
        <v>Yes</v>
      </c>
      <c r="N354" s="197"/>
      <c r="O354" s="197"/>
      <c r="P354" s="385"/>
      <c r="Q354" s="197"/>
      <c r="R354" s="182"/>
      <c r="S354" s="197"/>
      <c r="T354" s="182"/>
      <c r="U354" s="182"/>
      <c r="V354" s="182"/>
      <c r="W354" s="182"/>
      <c r="X354" s="182"/>
      <c r="Y354" s="182"/>
      <c r="Z354" s="182"/>
      <c r="AA354" s="399" t="s">
        <v>49</v>
      </c>
      <c r="AB354" s="372"/>
      <c r="AC354" s="372"/>
      <c r="AD354" s="372" t="str">
        <f t="shared" si="35"/>
        <v>Academia</v>
      </c>
      <c r="AE354" s="372"/>
      <c r="AF354" s="372"/>
      <c r="AG354" s="372"/>
    </row>
    <row r="355" ht="12.75" spans="1:33">
      <c r="A355" s="356" t="s">
        <v>1708</v>
      </c>
      <c r="B355" s="215" t="s">
        <v>41</v>
      </c>
      <c r="C355" s="215" t="s">
        <v>176</v>
      </c>
      <c r="D355" s="215" t="s">
        <v>1267</v>
      </c>
      <c r="E355" s="215" t="s">
        <v>134</v>
      </c>
      <c r="F355" s="215" t="s">
        <v>1698</v>
      </c>
      <c r="G355" s="361">
        <v>41063</v>
      </c>
      <c r="H355" s="360">
        <f t="shared" si="34"/>
        <v>1063</v>
      </c>
      <c r="I355" s="356" t="s">
        <v>1699</v>
      </c>
      <c r="J355" s="375" t="s">
        <v>1700</v>
      </c>
      <c r="K355" s="379">
        <v>6680</v>
      </c>
      <c r="L355" s="184" t="s">
        <v>454</v>
      </c>
      <c r="M355" s="199" t="str">
        <f t="shared" si="9"/>
        <v>Yes</v>
      </c>
      <c r="N355" s="199"/>
      <c r="O355" s="199"/>
      <c r="P355" s="380" t="s">
        <v>184</v>
      </c>
      <c r="Q355" s="199">
        <f>1000*1000</f>
        <v>1000000</v>
      </c>
      <c r="R355" s="184">
        <v>7</v>
      </c>
      <c r="S355" s="199"/>
      <c r="T355" s="184"/>
      <c r="U355" s="184"/>
      <c r="V355" s="184"/>
      <c r="W355" s="184"/>
      <c r="X355" s="184"/>
      <c r="Y355" s="184"/>
      <c r="Z355" s="184"/>
      <c r="AA355" s="396" t="s">
        <v>49</v>
      </c>
      <c r="AB355" s="376"/>
      <c r="AC355" s="376"/>
      <c r="AD355" s="376" t="str">
        <f t="shared" si="35"/>
        <v>Academia</v>
      </c>
      <c r="AE355" s="376"/>
      <c r="AF355" s="376"/>
      <c r="AG355" s="376"/>
    </row>
    <row r="356" ht="12.75" spans="1:33">
      <c r="A356" s="353"/>
      <c r="B356" s="192"/>
      <c r="C356" s="192"/>
      <c r="D356" s="192" t="s">
        <v>1709</v>
      </c>
      <c r="E356" s="192" t="s">
        <v>327</v>
      </c>
      <c r="F356" s="192" t="s">
        <v>1710</v>
      </c>
      <c r="G356" s="367">
        <v>41076</v>
      </c>
      <c r="H356" s="363">
        <f t="shared" si="34"/>
        <v>1076</v>
      </c>
      <c r="I356" s="353" t="s">
        <v>1711</v>
      </c>
      <c r="J356" s="371" t="s">
        <v>1712</v>
      </c>
      <c r="K356" s="236">
        <v>7138</v>
      </c>
      <c r="L356" s="182" t="s">
        <v>454</v>
      </c>
      <c r="M356" s="197" t="str">
        <f t="shared" si="9"/>
        <v>Yes</v>
      </c>
      <c r="N356" s="197"/>
      <c r="O356" s="197"/>
      <c r="P356" s="385"/>
      <c r="Q356" s="197"/>
      <c r="R356" s="182"/>
      <c r="S356" s="197"/>
      <c r="T356" s="182"/>
      <c r="U356" s="182"/>
      <c r="V356" s="182"/>
      <c r="W356" s="182"/>
      <c r="X356" s="182"/>
      <c r="Y356" s="182"/>
      <c r="Z356" s="182"/>
      <c r="AA356" s="399" t="s">
        <v>49</v>
      </c>
      <c r="AB356" s="372"/>
      <c r="AC356" s="372"/>
      <c r="AD356" s="372" t="str">
        <f t="shared" si="35"/>
        <v>Industry</v>
      </c>
      <c r="AE356" s="372"/>
      <c r="AF356" s="372"/>
      <c r="AG356" s="372"/>
    </row>
    <row r="357" ht="12.75" spans="1:33">
      <c r="A357" s="356"/>
      <c r="B357" s="215" t="s">
        <v>51</v>
      </c>
      <c r="C357" s="215"/>
      <c r="D357" s="215" t="s">
        <v>85</v>
      </c>
      <c r="E357" s="215" t="s">
        <v>35</v>
      </c>
      <c r="F357" s="215" t="s">
        <v>1713</v>
      </c>
      <c r="G357" s="361">
        <v>41098</v>
      </c>
      <c r="H357" s="360">
        <f t="shared" si="34"/>
        <v>1098</v>
      </c>
      <c r="I357" s="356" t="s">
        <v>1714</v>
      </c>
      <c r="J357" s="375" t="s">
        <v>1715</v>
      </c>
      <c r="K357" s="379">
        <v>489</v>
      </c>
      <c r="L357" s="184"/>
      <c r="M357" s="199" t="str">
        <f t="shared" si="9"/>
        <v>No</v>
      </c>
      <c r="N357" s="199"/>
      <c r="O357" s="199"/>
      <c r="P357" s="380"/>
      <c r="Q357" s="199"/>
      <c r="R357" s="184"/>
      <c r="S357" s="199"/>
      <c r="T357" s="184"/>
      <c r="U357" s="184"/>
      <c r="V357" s="184"/>
      <c r="W357" s="184"/>
      <c r="X357" s="184"/>
      <c r="Y357" s="184"/>
      <c r="Z357" s="184"/>
      <c r="AA357" s="396" t="s">
        <v>49</v>
      </c>
      <c r="AB357" s="376"/>
      <c r="AC357" s="376"/>
      <c r="AD357" s="376" t="str">
        <f t="shared" si="35"/>
        <v>Industry</v>
      </c>
      <c r="AE357" s="376"/>
      <c r="AF357" s="376"/>
      <c r="AG357" s="376"/>
    </row>
    <row r="358" ht="12.75" spans="1:33">
      <c r="A358" s="353" t="s">
        <v>1716</v>
      </c>
      <c r="B358" s="192" t="s">
        <v>51</v>
      </c>
      <c r="C358" s="192" t="s">
        <v>1010</v>
      </c>
      <c r="D358" s="192" t="s">
        <v>1392</v>
      </c>
      <c r="E358" s="192" t="s">
        <v>134</v>
      </c>
      <c r="F358" s="192" t="s">
        <v>1717</v>
      </c>
      <c r="G358" s="367">
        <v>41102</v>
      </c>
      <c r="H358" s="363">
        <f t="shared" si="34"/>
        <v>1102</v>
      </c>
      <c r="I358" s="353" t="s">
        <v>1718</v>
      </c>
      <c r="J358" s="371" t="s">
        <v>1719</v>
      </c>
      <c r="K358" s="236">
        <v>1459</v>
      </c>
      <c r="L358" s="182" t="s">
        <v>454</v>
      </c>
      <c r="M358" s="197" t="str">
        <f t="shared" si="9"/>
        <v>Yes</v>
      </c>
      <c r="N358" s="197">
        <f>10000*(50+50*3+3*50)+50*2*50+50*2*50+(50+1)*5</f>
        <v>3510255</v>
      </c>
      <c r="O358" s="197"/>
      <c r="P358" s="385"/>
      <c r="Q358" s="197"/>
      <c r="R358" s="182"/>
      <c r="S358" s="197"/>
      <c r="T358" s="182"/>
      <c r="U358" s="182"/>
      <c r="V358" s="182"/>
      <c r="W358" s="182"/>
      <c r="X358" s="182"/>
      <c r="Y358" s="182"/>
      <c r="Z358" s="182"/>
      <c r="AA358" s="399" t="s">
        <v>49</v>
      </c>
      <c r="AB358" s="372"/>
      <c r="AC358" s="372" t="s">
        <v>1720</v>
      </c>
      <c r="AD358" s="372" t="str">
        <f t="shared" si="35"/>
        <v>Academia</v>
      </c>
      <c r="AE358" s="372"/>
      <c r="AF358" s="372"/>
      <c r="AG358" s="372"/>
    </row>
    <row r="359" ht="12.75" spans="1:33">
      <c r="A359" s="356"/>
      <c r="B359" s="215"/>
      <c r="C359" s="215"/>
      <c r="D359" s="215" t="s">
        <v>1721</v>
      </c>
      <c r="E359" s="215" t="s">
        <v>134</v>
      </c>
      <c r="F359" s="215" t="s">
        <v>1722</v>
      </c>
      <c r="G359" s="361">
        <v>41245</v>
      </c>
      <c r="H359" s="360">
        <f t="shared" si="34"/>
        <v>1245</v>
      </c>
      <c r="I359" s="356" t="s">
        <v>1723</v>
      </c>
      <c r="J359" s="375" t="s">
        <v>1724</v>
      </c>
      <c r="K359" s="384">
        <v>5671</v>
      </c>
      <c r="L359" s="184" t="s">
        <v>454</v>
      </c>
      <c r="M359" s="199" t="str">
        <f t="shared" si="9"/>
        <v>Yes</v>
      </c>
      <c r="N359" s="199"/>
      <c r="O359" s="199"/>
      <c r="P359" s="380"/>
      <c r="Q359" s="199"/>
      <c r="R359" s="184"/>
      <c r="S359" s="199"/>
      <c r="T359" s="184"/>
      <c r="U359" s="184"/>
      <c r="V359" s="184"/>
      <c r="W359" s="184"/>
      <c r="X359" s="184"/>
      <c r="Y359" s="184"/>
      <c r="Z359" s="184"/>
      <c r="AA359" s="396" t="s">
        <v>49</v>
      </c>
      <c r="AB359" s="376"/>
      <c r="AC359" s="376"/>
      <c r="AD359" s="376" t="str">
        <f t="shared" si="35"/>
        <v>Academia</v>
      </c>
      <c r="AE359" s="376"/>
      <c r="AF359" s="376"/>
      <c r="AG359" s="376"/>
    </row>
    <row r="360" ht="12.75" spans="1:33">
      <c r="A360" s="353"/>
      <c r="B360" s="192"/>
      <c r="C360" s="192"/>
      <c r="D360" s="192" t="s">
        <v>1725</v>
      </c>
      <c r="E360" s="192" t="s">
        <v>134</v>
      </c>
      <c r="F360" s="192" t="s">
        <v>1726</v>
      </c>
      <c r="G360" s="367">
        <v>40644</v>
      </c>
      <c r="H360" s="363">
        <f t="shared" si="34"/>
        <v>644</v>
      </c>
      <c r="I360" s="353" t="s">
        <v>1727</v>
      </c>
      <c r="J360" s="371" t="s">
        <v>1728</v>
      </c>
      <c r="K360" s="236">
        <v>2664</v>
      </c>
      <c r="L360" s="182" t="s">
        <v>454</v>
      </c>
      <c r="M360" s="197" t="str">
        <f t="shared" si="9"/>
        <v>Yes</v>
      </c>
      <c r="N360" s="197"/>
      <c r="O360" s="197"/>
      <c r="P360" s="385"/>
      <c r="Q360" s="197"/>
      <c r="R360" s="182"/>
      <c r="S360" s="410"/>
      <c r="T360" s="182"/>
      <c r="U360" s="182"/>
      <c r="V360" s="182"/>
      <c r="W360" s="182"/>
      <c r="X360" s="182"/>
      <c r="Y360" s="182"/>
      <c r="Z360" s="182"/>
      <c r="AA360" s="399" t="s">
        <v>49</v>
      </c>
      <c r="AB360" s="372"/>
      <c r="AC360" s="372"/>
      <c r="AD360" s="372" t="str">
        <f t="shared" si="35"/>
        <v>Academia</v>
      </c>
      <c r="AE360" s="372"/>
      <c r="AF360" s="372"/>
      <c r="AG360" s="372"/>
    </row>
    <row r="361" ht="12.75" spans="1:33">
      <c r="A361" s="415"/>
      <c r="B361" s="215"/>
      <c r="C361" s="215"/>
      <c r="D361" s="215" t="s">
        <v>1656</v>
      </c>
      <c r="E361" s="215" t="s">
        <v>134</v>
      </c>
      <c r="F361" s="215" t="s">
        <v>1729</v>
      </c>
      <c r="G361" s="361">
        <v>40646</v>
      </c>
      <c r="H361" s="360">
        <f t="shared" si="34"/>
        <v>646</v>
      </c>
      <c r="I361" s="356" t="s">
        <v>1730</v>
      </c>
      <c r="J361" s="375" t="s">
        <v>1731</v>
      </c>
      <c r="K361" s="379">
        <v>7215</v>
      </c>
      <c r="L361" s="184" t="s">
        <v>454</v>
      </c>
      <c r="M361" s="199" t="str">
        <f t="shared" si="9"/>
        <v>Yes</v>
      </c>
      <c r="N361" s="199"/>
      <c r="O361" s="199"/>
      <c r="P361" s="380"/>
      <c r="Q361" s="199"/>
      <c r="R361" s="184"/>
      <c r="S361" s="403"/>
      <c r="T361" s="184"/>
      <c r="U361" s="184"/>
      <c r="V361" s="184"/>
      <c r="W361" s="184"/>
      <c r="X361" s="184"/>
      <c r="Y361" s="184"/>
      <c r="Z361" s="184"/>
      <c r="AA361" s="396" t="s">
        <v>49</v>
      </c>
      <c r="AB361" s="376"/>
      <c r="AC361" s="376"/>
      <c r="AD361" s="376" t="str">
        <f t="shared" si="35"/>
        <v>Academia</v>
      </c>
      <c r="AE361" s="376"/>
      <c r="AF361" s="376"/>
      <c r="AG361" s="376"/>
    </row>
    <row r="362" ht="12.75" spans="1:33">
      <c r="A362" s="353"/>
      <c r="B362" s="192" t="s">
        <v>51</v>
      </c>
      <c r="C362" s="192"/>
      <c r="D362" s="192" t="s">
        <v>1732</v>
      </c>
      <c r="E362" s="192" t="s">
        <v>134</v>
      </c>
      <c r="F362" s="192" t="s">
        <v>1733</v>
      </c>
      <c r="G362" s="367">
        <v>40685</v>
      </c>
      <c r="H362" s="363">
        <f t="shared" si="34"/>
        <v>685</v>
      </c>
      <c r="I362" s="353" t="s">
        <v>1734</v>
      </c>
      <c r="J362" s="371" t="s">
        <v>1735</v>
      </c>
      <c r="K362" s="236">
        <v>1244</v>
      </c>
      <c r="L362" s="182" t="s">
        <v>454</v>
      </c>
      <c r="M362" s="197" t="str">
        <f t="shared" si="9"/>
        <v>Yes</v>
      </c>
      <c r="N362" s="197"/>
      <c r="O362" s="197"/>
      <c r="P362" s="385" t="s">
        <v>1736</v>
      </c>
      <c r="Q362" s="197">
        <f>0.75*930000</f>
        <v>697500</v>
      </c>
      <c r="R362" s="182"/>
      <c r="S362" s="200"/>
      <c r="T362" s="182"/>
      <c r="U362" s="182"/>
      <c r="V362" s="182"/>
      <c r="W362" s="182"/>
      <c r="X362" s="182"/>
      <c r="Y362" s="182"/>
      <c r="Z362" s="182"/>
      <c r="AA362" s="399" t="s">
        <v>49</v>
      </c>
      <c r="AB362" s="372"/>
      <c r="AC362" s="372" t="s">
        <v>1637</v>
      </c>
      <c r="AD362" s="372" t="str">
        <f t="shared" si="35"/>
        <v>Academia</v>
      </c>
      <c r="AE362" s="372"/>
      <c r="AF362" s="372"/>
      <c r="AG362" s="372"/>
    </row>
    <row r="363" ht="12.75" spans="1:33">
      <c r="A363" s="356"/>
      <c r="B363" s="215" t="s">
        <v>51</v>
      </c>
      <c r="C363" s="215" t="s">
        <v>1737</v>
      </c>
      <c r="D363" s="215" t="s">
        <v>1738</v>
      </c>
      <c r="E363" s="215" t="s">
        <v>327</v>
      </c>
      <c r="F363" s="215" t="s">
        <v>1739</v>
      </c>
      <c r="G363" s="361">
        <v>40713</v>
      </c>
      <c r="H363" s="360">
        <f t="shared" si="34"/>
        <v>713</v>
      </c>
      <c r="I363" s="356" t="s">
        <v>1740</v>
      </c>
      <c r="J363" s="375" t="s">
        <v>1741</v>
      </c>
      <c r="K363" s="379">
        <v>316</v>
      </c>
      <c r="L363" s="184"/>
      <c r="M363" s="199" t="str">
        <f t="shared" si="9"/>
        <v>No</v>
      </c>
      <c r="N363" s="199"/>
      <c r="O363" s="199"/>
      <c r="P363" s="380"/>
      <c r="Q363" s="199"/>
      <c r="R363" s="184"/>
      <c r="S363" s="403"/>
      <c r="T363" s="184"/>
      <c r="U363" s="184"/>
      <c r="V363" s="184"/>
      <c r="W363" s="184"/>
      <c r="X363" s="184"/>
      <c r="Y363" s="184"/>
      <c r="Z363" s="184"/>
      <c r="AA363" s="396" t="s">
        <v>49</v>
      </c>
      <c r="AB363" s="376"/>
      <c r="AC363" s="376"/>
      <c r="AD363" s="376" t="str">
        <f t="shared" si="35"/>
        <v>Industry</v>
      </c>
      <c r="AE363" s="376"/>
      <c r="AF363" s="376"/>
      <c r="AG363" s="376"/>
    </row>
    <row r="364" ht="12.75" spans="1:33">
      <c r="A364" s="353"/>
      <c r="B364" s="192" t="s">
        <v>51</v>
      </c>
      <c r="C364" s="192"/>
      <c r="D364" s="192" t="s">
        <v>1392</v>
      </c>
      <c r="E364" s="192" t="s">
        <v>134</v>
      </c>
      <c r="F364" s="192" t="s">
        <v>1742</v>
      </c>
      <c r="G364" s="367">
        <v>40725</v>
      </c>
      <c r="H364" s="363">
        <f t="shared" si="34"/>
        <v>725</v>
      </c>
      <c r="I364" s="353" t="s">
        <v>1743</v>
      </c>
      <c r="J364" s="371" t="s">
        <v>1744</v>
      </c>
      <c r="K364" s="236">
        <v>1477</v>
      </c>
      <c r="L364" s="182" t="s">
        <v>454</v>
      </c>
      <c r="M364" s="197" t="str">
        <f t="shared" si="9"/>
        <v>Yes</v>
      </c>
      <c r="N364" s="197"/>
      <c r="O364" s="197"/>
      <c r="P364" s="385"/>
      <c r="Q364" s="197"/>
      <c r="R364" s="182"/>
      <c r="S364" s="200"/>
      <c r="T364" s="182"/>
      <c r="U364" s="182"/>
      <c r="V364" s="182"/>
      <c r="W364" s="182"/>
      <c r="X364" s="182"/>
      <c r="Y364" s="182"/>
      <c r="Z364" s="182"/>
      <c r="AA364" s="399" t="s">
        <v>49</v>
      </c>
      <c r="AB364" s="372"/>
      <c r="AC364" s="372"/>
      <c r="AD364" s="372" t="str">
        <f t="shared" si="35"/>
        <v>Academia</v>
      </c>
      <c r="AE364" s="372"/>
      <c r="AF364" s="372"/>
      <c r="AG364" s="372"/>
    </row>
    <row r="365" ht="12.75" spans="1:33">
      <c r="A365" s="356" t="s">
        <v>1745</v>
      </c>
      <c r="B365" s="215" t="s">
        <v>256</v>
      </c>
      <c r="C365" s="215"/>
      <c r="D365" s="356" t="s">
        <v>1746</v>
      </c>
      <c r="E365" s="215" t="s">
        <v>134</v>
      </c>
      <c r="F365" s="215" t="s">
        <v>1747</v>
      </c>
      <c r="G365" s="361">
        <v>40786</v>
      </c>
      <c r="H365" s="360">
        <f t="shared" si="34"/>
        <v>786</v>
      </c>
      <c r="I365" s="356" t="s">
        <v>1748</v>
      </c>
      <c r="J365" s="375" t="s">
        <v>1749</v>
      </c>
      <c r="K365" s="379">
        <v>86</v>
      </c>
      <c r="L365" s="184"/>
      <c r="M365" s="199" t="str">
        <f t="shared" si="9"/>
        <v>No</v>
      </c>
      <c r="N365" s="199">
        <f>1*25*25+3*25*25+2*25*25+2*25*25+2*25*25+10*25*25+25*25</f>
        <v>13125</v>
      </c>
      <c r="O365" s="203"/>
      <c r="P365" s="380"/>
      <c r="Q365" s="199"/>
      <c r="R365" s="184"/>
      <c r="S365" s="199"/>
      <c r="T365" s="184"/>
      <c r="U365" s="184"/>
      <c r="V365" s="184"/>
      <c r="W365" s="184"/>
      <c r="X365" s="184"/>
      <c r="Y365" s="184"/>
      <c r="Z365" s="184"/>
      <c r="AA365" s="396" t="s">
        <v>49</v>
      </c>
      <c r="AB365" s="376"/>
      <c r="AC365" s="376"/>
      <c r="AD365" s="376" t="str">
        <f t="shared" si="35"/>
        <v>Academia</v>
      </c>
      <c r="AE365" s="376"/>
      <c r="AF365" s="376"/>
      <c r="AG365" s="376"/>
    </row>
    <row r="366" ht="12.75" spans="1:33">
      <c r="A366" s="353"/>
      <c r="B366" s="192"/>
      <c r="C366" s="192"/>
      <c r="D366" s="192" t="s">
        <v>1750</v>
      </c>
      <c r="E366" s="192" t="s">
        <v>327</v>
      </c>
      <c r="F366" s="192" t="s">
        <v>1751</v>
      </c>
      <c r="G366" s="367">
        <v>40819</v>
      </c>
      <c r="H366" s="363">
        <f t="shared" si="34"/>
        <v>819</v>
      </c>
      <c r="I366" s="353" t="s">
        <v>1752</v>
      </c>
      <c r="J366" s="371" t="s">
        <v>1753</v>
      </c>
      <c r="K366" s="236">
        <v>8811</v>
      </c>
      <c r="L366" s="182" t="s">
        <v>454</v>
      </c>
      <c r="M366" s="197" t="str">
        <f t="shared" si="9"/>
        <v>Yes</v>
      </c>
      <c r="N366" s="197"/>
      <c r="O366" s="197"/>
      <c r="P366" s="385"/>
      <c r="Q366" s="197"/>
      <c r="R366" s="182"/>
      <c r="S366" s="197"/>
      <c r="T366" s="182"/>
      <c r="U366" s="182"/>
      <c r="V366" s="182"/>
      <c r="W366" s="182"/>
      <c r="X366" s="182"/>
      <c r="Y366" s="182"/>
      <c r="Z366" s="182"/>
      <c r="AA366" s="399" t="s">
        <v>49</v>
      </c>
      <c r="AB366" s="372"/>
      <c r="AC366" s="372"/>
      <c r="AD366" s="372" t="str">
        <f t="shared" si="35"/>
        <v>Industry</v>
      </c>
      <c r="AE366" s="372"/>
      <c r="AF366" s="372"/>
      <c r="AG366" s="372"/>
    </row>
    <row r="367" ht="12.75" spans="1:33">
      <c r="A367" s="356" t="s">
        <v>1754</v>
      </c>
      <c r="B367" s="215" t="s">
        <v>41</v>
      </c>
      <c r="C367" s="215" t="s">
        <v>1755</v>
      </c>
      <c r="D367" s="215" t="s">
        <v>1756</v>
      </c>
      <c r="E367" s="215" t="s">
        <v>134</v>
      </c>
      <c r="F367" s="215" t="s">
        <v>1757</v>
      </c>
      <c r="G367" s="361">
        <v>40853</v>
      </c>
      <c r="H367" s="360">
        <f t="shared" si="34"/>
        <v>853</v>
      </c>
      <c r="I367" s="356" t="s">
        <v>1758</v>
      </c>
      <c r="J367" s="375" t="s">
        <v>1759</v>
      </c>
      <c r="K367" s="379">
        <v>1061</v>
      </c>
      <c r="L367" s="184" t="s">
        <v>454</v>
      </c>
      <c r="M367" s="199" t="str">
        <f t="shared" si="9"/>
        <v>Yes</v>
      </c>
      <c r="N367" s="199">
        <f>800*2*2+200*30+30+200*30+30</f>
        <v>15260</v>
      </c>
      <c r="O367" s="199"/>
      <c r="P367" s="380" t="s">
        <v>1760</v>
      </c>
      <c r="Q367" s="199">
        <v>4652</v>
      </c>
      <c r="R367" s="184"/>
      <c r="S367" s="203"/>
      <c r="T367" s="184"/>
      <c r="U367" s="184"/>
      <c r="V367" s="184"/>
      <c r="W367" s="184"/>
      <c r="X367" s="184" t="s">
        <v>1761</v>
      </c>
      <c r="Y367" s="184"/>
      <c r="Z367" s="184"/>
      <c r="AA367" s="396" t="s">
        <v>49</v>
      </c>
      <c r="AB367" s="376"/>
      <c r="AC367" s="376"/>
      <c r="AD367" s="376" t="str">
        <f t="shared" si="35"/>
        <v>Academia</v>
      </c>
      <c r="AE367" s="376"/>
      <c r="AF367" s="376"/>
      <c r="AG367" s="376"/>
    </row>
    <row r="368" ht="12.75" spans="1:33">
      <c r="A368" s="353" t="s">
        <v>1762</v>
      </c>
      <c r="B368" s="192" t="s">
        <v>51</v>
      </c>
      <c r="C368" s="192"/>
      <c r="D368" s="192" t="s">
        <v>1763</v>
      </c>
      <c r="E368" s="192" t="s">
        <v>327</v>
      </c>
      <c r="F368" s="192" t="s">
        <v>1764</v>
      </c>
      <c r="G368" s="367">
        <v>40855</v>
      </c>
      <c r="H368" s="363">
        <f t="shared" si="34"/>
        <v>855</v>
      </c>
      <c r="I368" s="353" t="s">
        <v>1765</v>
      </c>
      <c r="J368" s="371" t="s">
        <v>1766</v>
      </c>
      <c r="K368" s="236">
        <v>7640</v>
      </c>
      <c r="L368" s="182" t="s">
        <v>454</v>
      </c>
      <c r="M368" s="197" t="str">
        <f t="shared" si="9"/>
        <v>Yes</v>
      </c>
      <c r="N368" s="197">
        <f>50*100000</f>
        <v>5000000</v>
      </c>
      <c r="O368" s="200"/>
      <c r="P368" s="385"/>
      <c r="Q368" s="197">
        <v>852000000</v>
      </c>
      <c r="R368" s="182"/>
      <c r="S368" s="197"/>
      <c r="T368" s="182"/>
      <c r="U368" s="182"/>
      <c r="V368" s="182"/>
      <c r="W368" s="182"/>
      <c r="X368" s="182"/>
      <c r="Y368" s="182"/>
      <c r="Z368" s="182"/>
      <c r="AA368" s="399" t="s">
        <v>49</v>
      </c>
      <c r="AB368" s="372"/>
      <c r="AC368" s="372"/>
      <c r="AD368" s="372" t="str">
        <f t="shared" si="35"/>
        <v>Industry</v>
      </c>
      <c r="AE368" s="372"/>
      <c r="AF368" s="372"/>
      <c r="AG368" s="372"/>
    </row>
    <row r="369" ht="12.75" spans="1:33">
      <c r="A369" s="356"/>
      <c r="B369" s="215"/>
      <c r="C369" s="215"/>
      <c r="D369" s="215" t="s">
        <v>1767</v>
      </c>
      <c r="E369" s="215" t="s">
        <v>134</v>
      </c>
      <c r="F369" s="215" t="s">
        <v>1768</v>
      </c>
      <c r="G369" s="361">
        <v>40858</v>
      </c>
      <c r="H369" s="360">
        <f t="shared" si="34"/>
        <v>858</v>
      </c>
      <c r="I369" s="356" t="s">
        <v>1769</v>
      </c>
      <c r="J369" s="375" t="s">
        <v>1770</v>
      </c>
      <c r="K369" s="379">
        <v>2124</v>
      </c>
      <c r="L369" s="184" t="s">
        <v>454</v>
      </c>
      <c r="M369" s="199" t="str">
        <f t="shared" si="9"/>
        <v>Yes</v>
      </c>
      <c r="N369" s="199"/>
      <c r="O369" s="199"/>
      <c r="P369" s="380"/>
      <c r="Q369" s="199"/>
      <c r="R369" s="184"/>
      <c r="S369" s="199"/>
      <c r="T369" s="184"/>
      <c r="U369" s="184"/>
      <c r="V369" s="184"/>
      <c r="W369" s="184"/>
      <c r="X369" s="184"/>
      <c r="Y369" s="184"/>
      <c r="Z369" s="184"/>
      <c r="AA369" s="396" t="s">
        <v>49</v>
      </c>
      <c r="AB369" s="376"/>
      <c r="AC369" s="376"/>
      <c r="AD369" s="376" t="str">
        <f t="shared" si="35"/>
        <v>Academia</v>
      </c>
      <c r="AE369" s="376"/>
      <c r="AF369" s="376"/>
      <c r="AG369" s="376"/>
    </row>
    <row r="370" ht="12.75" spans="1:33">
      <c r="A370" s="353" t="s">
        <v>1771</v>
      </c>
      <c r="B370" s="192" t="s">
        <v>126</v>
      </c>
      <c r="C370" s="192" t="s">
        <v>1772</v>
      </c>
      <c r="D370" s="192" t="s">
        <v>1732</v>
      </c>
      <c r="E370" s="192" t="s">
        <v>134</v>
      </c>
      <c r="F370" s="192" t="s">
        <v>1773</v>
      </c>
      <c r="G370" s="354">
        <v>40447</v>
      </c>
      <c r="H370" s="363">
        <f t="shared" si="34"/>
        <v>447</v>
      </c>
      <c r="I370" s="353" t="s">
        <v>1774</v>
      </c>
      <c r="J370" s="371" t="s">
        <v>1775</v>
      </c>
      <c r="K370" s="236">
        <v>5665</v>
      </c>
      <c r="L370" s="182" t="s">
        <v>454</v>
      </c>
      <c r="M370" s="197" t="str">
        <f t="shared" si="9"/>
        <v>Yes</v>
      </c>
      <c r="N370" s="197">
        <f>100000*400+400*100000</f>
        <v>80000000</v>
      </c>
      <c r="O370" s="197">
        <f t="shared" ref="O370:O371" si="37">S370*3*Q370*20</f>
        <v>6.144e+16</v>
      </c>
      <c r="P370" s="385" t="s">
        <v>1776</v>
      </c>
      <c r="Q370" s="197">
        <v>6400000</v>
      </c>
      <c r="R370" s="182"/>
      <c r="S370" s="197">
        <f t="shared" ref="S370:S371" si="38">2*N370</f>
        <v>160000000</v>
      </c>
      <c r="T370" s="182"/>
      <c r="U370" s="182"/>
      <c r="V370" s="182"/>
      <c r="W370" s="182"/>
      <c r="X370" s="182"/>
      <c r="Y370" s="182"/>
      <c r="Z370" s="182"/>
      <c r="AA370" s="399">
        <v>2.0283479276474</v>
      </c>
      <c r="AB370" s="372"/>
      <c r="AC370" s="372"/>
      <c r="AD370" s="372" t="str">
        <f t="shared" si="35"/>
        <v>Academia</v>
      </c>
      <c r="AE370" s="372"/>
      <c r="AF370" s="372"/>
      <c r="AG370" s="372"/>
    </row>
    <row r="371" ht="12.75" spans="1:33">
      <c r="A371" s="356" t="s">
        <v>1777</v>
      </c>
      <c r="B371" s="215" t="s">
        <v>126</v>
      </c>
      <c r="C371" s="215" t="s">
        <v>1772</v>
      </c>
      <c r="D371" s="215" t="s">
        <v>1732</v>
      </c>
      <c r="E371" s="215" t="s">
        <v>134</v>
      </c>
      <c r="F371" s="215" t="s">
        <v>1773</v>
      </c>
      <c r="G371" s="357">
        <v>40447</v>
      </c>
      <c r="H371" s="360">
        <f t="shared" si="34"/>
        <v>447</v>
      </c>
      <c r="I371" s="356" t="s">
        <v>1774</v>
      </c>
      <c r="J371" s="375" t="s">
        <v>1775</v>
      </c>
      <c r="K371" s="379">
        <v>5665</v>
      </c>
      <c r="L371" s="184" t="s">
        <v>454</v>
      </c>
      <c r="M371" s="199" t="str">
        <f t="shared" si="9"/>
        <v>Yes</v>
      </c>
      <c r="N371" s="199">
        <f>(39+500)*500+500*10000</f>
        <v>5269500</v>
      </c>
      <c r="O371" s="199">
        <f t="shared" si="37"/>
        <v>3414636000000000</v>
      </c>
      <c r="P371" s="383" t="s">
        <v>1778</v>
      </c>
      <c r="Q371" s="199">
        <v>5400000</v>
      </c>
      <c r="R371" s="184"/>
      <c r="S371" s="199">
        <f t="shared" si="38"/>
        <v>10539000</v>
      </c>
      <c r="T371" s="184"/>
      <c r="U371" s="184"/>
      <c r="V371" s="184"/>
      <c r="W371" s="184"/>
      <c r="X371" s="184"/>
      <c r="Y371" s="184"/>
      <c r="Z371" s="184"/>
      <c r="AA371" s="396">
        <v>0.113055458262314</v>
      </c>
      <c r="AB371" s="376"/>
      <c r="AC371" s="376"/>
      <c r="AD371" s="376" t="str">
        <f t="shared" si="35"/>
        <v>Academia</v>
      </c>
      <c r="AE371" s="376"/>
      <c r="AF371" s="376"/>
      <c r="AG371" s="376"/>
    </row>
    <row r="372" customHeight="1" spans="1:33">
      <c r="A372" s="353" t="s">
        <v>1779</v>
      </c>
      <c r="B372" s="192" t="s">
        <v>41</v>
      </c>
      <c r="C372" s="192" t="s">
        <v>1780</v>
      </c>
      <c r="D372" s="192" t="s">
        <v>1656</v>
      </c>
      <c r="E372" s="192" t="s">
        <v>134</v>
      </c>
      <c r="F372" s="192" t="s">
        <v>1781</v>
      </c>
      <c r="G372" s="367">
        <v>40311</v>
      </c>
      <c r="H372" s="363">
        <f t="shared" si="34"/>
        <v>311</v>
      </c>
      <c r="I372" s="353" t="s">
        <v>1782</v>
      </c>
      <c r="J372" s="371" t="s">
        <v>1783</v>
      </c>
      <c r="K372" s="236">
        <v>13309</v>
      </c>
      <c r="L372" s="182" t="s">
        <v>454</v>
      </c>
      <c r="M372" s="197" t="str">
        <f t="shared" si="9"/>
        <v>Yes</v>
      </c>
      <c r="N372" s="197">
        <v>7082000</v>
      </c>
      <c r="O372" s="197">
        <v>350000000000000</v>
      </c>
      <c r="P372" s="385" t="s">
        <v>1647</v>
      </c>
      <c r="Q372" s="197"/>
      <c r="R372" s="182"/>
      <c r="S372" s="197">
        <v>14000000</v>
      </c>
      <c r="T372" s="182"/>
      <c r="U372" s="182"/>
      <c r="V372" s="182"/>
      <c r="W372" s="182"/>
      <c r="X372" s="182"/>
      <c r="Y372" s="182"/>
      <c r="Z372" s="182"/>
      <c r="AA372" s="399">
        <v>0.0129257750226527</v>
      </c>
      <c r="AB372" s="372"/>
      <c r="AC372" s="372"/>
      <c r="AD372" s="372" t="str">
        <f t="shared" si="35"/>
        <v>Academia</v>
      </c>
      <c r="AE372" s="372"/>
      <c r="AF372" s="372"/>
      <c r="AG372" s="372"/>
    </row>
    <row r="373" ht="12.75" spans="1:33">
      <c r="A373" s="356" t="s">
        <v>1784</v>
      </c>
      <c r="B373" s="215" t="s">
        <v>41</v>
      </c>
      <c r="C373" s="215" t="s">
        <v>1231</v>
      </c>
      <c r="D373" s="215" t="s">
        <v>1785</v>
      </c>
      <c r="E373" s="215" t="s">
        <v>134</v>
      </c>
      <c r="F373" s="215" t="s">
        <v>1786</v>
      </c>
      <c r="G373" s="361">
        <v>40238</v>
      </c>
      <c r="H373" s="360">
        <f t="shared" si="34"/>
        <v>238</v>
      </c>
      <c r="I373" s="356" t="s">
        <v>1787</v>
      </c>
      <c r="J373" s="375" t="s">
        <v>1788</v>
      </c>
      <c r="K373" s="384">
        <v>1264</v>
      </c>
      <c r="L373" s="184" t="s">
        <v>454</v>
      </c>
      <c r="M373" s="199" t="str">
        <f t="shared" si="9"/>
        <v>Yes</v>
      </c>
      <c r="N373" s="199">
        <v>12110000</v>
      </c>
      <c r="O373" s="199">
        <f>N373*2*3*Q373*30</f>
        <v>130788000000000</v>
      </c>
      <c r="P373" s="380" t="s">
        <v>1647</v>
      </c>
      <c r="Q373" s="199">
        <v>60000</v>
      </c>
      <c r="R373" s="184"/>
      <c r="S373" s="199"/>
      <c r="T373" s="184"/>
      <c r="U373" s="184"/>
      <c r="V373" s="184"/>
      <c r="W373" s="184"/>
      <c r="X373" s="184"/>
      <c r="Y373" s="184"/>
      <c r="Z373" s="184"/>
      <c r="AA373" s="396">
        <v>0.00738138726456491</v>
      </c>
      <c r="AB373" s="376"/>
      <c r="AC373" s="376"/>
      <c r="AD373" s="376" t="str">
        <f t="shared" si="35"/>
        <v>Academia</v>
      </c>
      <c r="AE373" s="376"/>
      <c r="AF373" s="376"/>
      <c r="AG373" s="376"/>
    </row>
    <row r="374" ht="12.75" spans="1:33">
      <c r="A374" s="353"/>
      <c r="B374" s="192"/>
      <c r="C374" s="192"/>
      <c r="D374" s="192" t="s">
        <v>1789</v>
      </c>
      <c r="E374" s="192" t="s">
        <v>134</v>
      </c>
      <c r="F374" s="192" t="s">
        <v>1790</v>
      </c>
      <c r="G374" s="367">
        <v>40181</v>
      </c>
      <c r="H374" s="363">
        <f t="shared" si="34"/>
        <v>181</v>
      </c>
      <c r="I374" s="353" t="s">
        <v>1791</v>
      </c>
      <c r="J374" s="371" t="s">
        <v>1792</v>
      </c>
      <c r="K374" s="236">
        <v>6232</v>
      </c>
      <c r="L374" s="182" t="s">
        <v>454</v>
      </c>
      <c r="M374" s="197" t="str">
        <f t="shared" si="9"/>
        <v>Yes</v>
      </c>
      <c r="N374" s="197"/>
      <c r="O374" s="197"/>
      <c r="P374" s="385"/>
      <c r="Q374" s="197"/>
      <c r="R374" s="182"/>
      <c r="S374" s="197"/>
      <c r="T374" s="182"/>
      <c r="U374" s="182"/>
      <c r="V374" s="182"/>
      <c r="W374" s="182"/>
      <c r="X374" s="182"/>
      <c r="Y374" s="182"/>
      <c r="Z374" s="182"/>
      <c r="AA374" s="399" t="s">
        <v>49</v>
      </c>
      <c r="AB374" s="372"/>
      <c r="AC374" s="372"/>
      <c r="AD374" s="372" t="str">
        <f t="shared" si="35"/>
        <v>Academia</v>
      </c>
      <c r="AE374" s="372"/>
      <c r="AF374" s="372"/>
      <c r="AG374" s="372"/>
    </row>
    <row r="375" ht="12.75" spans="1:33">
      <c r="A375" s="356" t="s">
        <v>1793</v>
      </c>
      <c r="B375" s="215" t="s">
        <v>51</v>
      </c>
      <c r="C375" s="215"/>
      <c r="D375" s="215" t="s">
        <v>1794</v>
      </c>
      <c r="E375" s="215" t="s">
        <v>134</v>
      </c>
      <c r="F375" s="215" t="s">
        <v>1795</v>
      </c>
      <c r="G375" s="361">
        <v>40330</v>
      </c>
      <c r="H375" s="360">
        <f t="shared" si="34"/>
        <v>330</v>
      </c>
      <c r="I375" s="356" t="s">
        <v>1796</v>
      </c>
      <c r="J375" s="375" t="s">
        <v>1797</v>
      </c>
      <c r="K375" s="379">
        <v>2510</v>
      </c>
      <c r="L375" s="184" t="s">
        <v>454</v>
      </c>
      <c r="M375" s="199" t="str">
        <f t="shared" si="9"/>
        <v>Yes</v>
      </c>
      <c r="N375" s="199"/>
      <c r="O375" s="199"/>
      <c r="P375" s="380"/>
      <c r="Q375" s="199">
        <v>37000000</v>
      </c>
      <c r="R375" s="184"/>
      <c r="S375" s="199"/>
      <c r="T375" s="184"/>
      <c r="U375" s="184"/>
      <c r="V375" s="184"/>
      <c r="W375" s="184"/>
      <c r="X375" s="184"/>
      <c r="Y375" s="184"/>
      <c r="Z375" s="184"/>
      <c r="AA375" s="396" t="s">
        <v>49</v>
      </c>
      <c r="AB375" s="376"/>
      <c r="AC375" s="376"/>
      <c r="AD375" s="376" t="str">
        <f t="shared" si="35"/>
        <v>Academia</v>
      </c>
      <c r="AE375" s="376"/>
      <c r="AF375" s="376"/>
      <c r="AG375" s="376"/>
    </row>
    <row r="376" ht="12.75" spans="1:33">
      <c r="A376" s="353"/>
      <c r="B376" s="192" t="s">
        <v>41</v>
      </c>
      <c r="C376" s="192"/>
      <c r="D376" s="192" t="s">
        <v>1798</v>
      </c>
      <c r="E376" s="192" t="s">
        <v>134</v>
      </c>
      <c r="F376" s="192" t="s">
        <v>1799</v>
      </c>
      <c r="G376" s="367">
        <v>40342</v>
      </c>
      <c r="H376" s="363">
        <f t="shared" si="34"/>
        <v>342</v>
      </c>
      <c r="I376" s="353" t="s">
        <v>1800</v>
      </c>
      <c r="J376" s="371" t="s">
        <v>1801</v>
      </c>
      <c r="K376" s="236">
        <v>1314</v>
      </c>
      <c r="L376" s="182" t="s">
        <v>454</v>
      </c>
      <c r="M376" s="197" t="str">
        <f t="shared" si="9"/>
        <v>Yes</v>
      </c>
      <c r="N376" s="197"/>
      <c r="O376" s="197"/>
      <c r="P376" s="385"/>
      <c r="Q376" s="197"/>
      <c r="R376" s="182"/>
      <c r="S376" s="197"/>
      <c r="T376" s="182"/>
      <c r="U376" s="182"/>
      <c r="V376" s="182"/>
      <c r="W376" s="182"/>
      <c r="X376" s="182"/>
      <c r="Y376" s="182"/>
      <c r="Z376" s="182"/>
      <c r="AA376" s="399" t="s">
        <v>49</v>
      </c>
      <c r="AB376" s="372"/>
      <c r="AC376" s="372"/>
      <c r="AD376" s="372" t="str">
        <f t="shared" si="35"/>
        <v>Academia</v>
      </c>
      <c r="AE376" s="372"/>
      <c r="AF376" s="372"/>
      <c r="AG376" s="372"/>
    </row>
    <row r="377" ht="12.75" spans="1:33">
      <c r="A377" s="356" t="s">
        <v>1802</v>
      </c>
      <c r="B377" s="215" t="s">
        <v>41</v>
      </c>
      <c r="C377" s="215"/>
      <c r="D377" s="215" t="s">
        <v>1622</v>
      </c>
      <c r="E377" s="215" t="s">
        <v>134</v>
      </c>
      <c r="F377" s="215" t="s">
        <v>1803</v>
      </c>
      <c r="G377" s="361">
        <v>40342</v>
      </c>
      <c r="H377" s="360">
        <f t="shared" si="34"/>
        <v>342</v>
      </c>
      <c r="I377" s="356" t="s">
        <v>1804</v>
      </c>
      <c r="J377" s="375" t="s">
        <v>1805</v>
      </c>
      <c r="K377" s="379">
        <v>1516</v>
      </c>
      <c r="L377" s="184" t="s">
        <v>454</v>
      </c>
      <c r="M377" s="199" t="str">
        <f t="shared" si="9"/>
        <v>Yes</v>
      </c>
      <c r="N377" s="199"/>
      <c r="O377" s="199"/>
      <c r="P377" s="380"/>
      <c r="Q377" s="199"/>
      <c r="R377" s="184"/>
      <c r="S377" s="199"/>
      <c r="T377" s="184"/>
      <c r="U377" s="184"/>
      <c r="V377" s="184"/>
      <c r="W377" s="184"/>
      <c r="X377" s="184"/>
      <c r="Y377" s="184"/>
      <c r="Z377" s="184"/>
      <c r="AA377" s="396" t="s">
        <v>49</v>
      </c>
      <c r="AB377" s="376"/>
      <c r="AC377" s="376"/>
      <c r="AD377" s="376" t="str">
        <f t="shared" si="35"/>
        <v>Academia</v>
      </c>
      <c r="AE377" s="376"/>
      <c r="AF377" s="376"/>
      <c r="AG377" s="376"/>
    </row>
    <row r="378" ht="12.75" spans="1:33">
      <c r="A378" s="353" t="s">
        <v>1806</v>
      </c>
      <c r="B378" s="192" t="s">
        <v>41</v>
      </c>
      <c r="C378" s="192" t="s">
        <v>821</v>
      </c>
      <c r="D378" s="192" t="s">
        <v>1267</v>
      </c>
      <c r="E378" s="192" t="s">
        <v>134</v>
      </c>
      <c r="F378" s="192" t="s">
        <v>1807</v>
      </c>
      <c r="G378" s="367">
        <v>40344</v>
      </c>
      <c r="H378" s="363">
        <f t="shared" si="34"/>
        <v>344</v>
      </c>
      <c r="I378" s="353" t="s">
        <v>1808</v>
      </c>
      <c r="J378" s="371" t="s">
        <v>1809</v>
      </c>
      <c r="K378" s="236">
        <v>13997</v>
      </c>
      <c r="L378" s="182" t="s">
        <v>454</v>
      </c>
      <c r="M378" s="197" t="str">
        <f t="shared" si="9"/>
        <v>Yes</v>
      </c>
      <c r="N378" s="197">
        <f>(32*32*2+1)*4000+(4000+1)*2000+(2000+1)*58320/9720</f>
        <v>16210006</v>
      </c>
      <c r="O378" s="197"/>
      <c r="P378" s="385"/>
      <c r="Q378" s="197">
        <v>291600</v>
      </c>
      <c r="R378" s="182"/>
      <c r="S378" s="197"/>
      <c r="T378" s="182"/>
      <c r="U378" s="182"/>
      <c r="V378" s="182"/>
      <c r="W378" s="182"/>
      <c r="X378" s="182"/>
      <c r="Y378" s="182"/>
      <c r="Z378" s="182"/>
      <c r="AA378" s="399" t="s">
        <v>49</v>
      </c>
      <c r="AB378" s="372"/>
      <c r="AC378" s="372"/>
      <c r="AD378" s="372" t="str">
        <f t="shared" si="35"/>
        <v>Academia</v>
      </c>
      <c r="AE378" s="372"/>
      <c r="AF378" s="372"/>
      <c r="AG378" s="372"/>
    </row>
    <row r="379" ht="12.75" spans="1:33">
      <c r="A379" s="356" t="s">
        <v>1810</v>
      </c>
      <c r="B379" s="215" t="s">
        <v>41</v>
      </c>
      <c r="C379" s="215" t="s">
        <v>1811</v>
      </c>
      <c r="D379" s="215" t="s">
        <v>1267</v>
      </c>
      <c r="E379" s="215" t="s">
        <v>134</v>
      </c>
      <c r="F379" s="215" t="s">
        <v>1807</v>
      </c>
      <c r="G379" s="357">
        <v>40344</v>
      </c>
      <c r="H379" s="360">
        <f t="shared" si="34"/>
        <v>344</v>
      </c>
      <c r="I379" s="356" t="s">
        <v>1808</v>
      </c>
      <c r="J379" s="375" t="s">
        <v>1809</v>
      </c>
      <c r="K379" s="379">
        <v>13997</v>
      </c>
      <c r="L379" s="184" t="s">
        <v>454</v>
      </c>
      <c r="M379" s="199" t="str">
        <f t="shared" si="9"/>
        <v>Yes</v>
      </c>
      <c r="N379" s="199"/>
      <c r="O379" s="199"/>
      <c r="P379" s="380"/>
      <c r="Q379" s="199"/>
      <c r="R379" s="184"/>
      <c r="S379" s="199"/>
      <c r="T379" s="184"/>
      <c r="U379" s="184"/>
      <c r="V379" s="184"/>
      <c r="W379" s="184"/>
      <c r="X379" s="184"/>
      <c r="Y379" s="184"/>
      <c r="Z379" s="184"/>
      <c r="AA379" s="396" t="s">
        <v>49</v>
      </c>
      <c r="AB379" s="376"/>
      <c r="AC379" s="376"/>
      <c r="AD379" s="376" t="str">
        <f t="shared" si="35"/>
        <v>Academia</v>
      </c>
      <c r="AE379" s="376"/>
      <c r="AF379" s="376"/>
      <c r="AG379" s="376"/>
    </row>
    <row r="380" ht="14.25" customHeight="1" spans="1:33">
      <c r="A380" s="353"/>
      <c r="B380" s="192"/>
      <c r="C380" s="192"/>
      <c r="D380" s="192" t="s">
        <v>1267</v>
      </c>
      <c r="E380" s="192" t="s">
        <v>134</v>
      </c>
      <c r="F380" s="192" t="s">
        <v>1812</v>
      </c>
      <c r="G380" s="367">
        <v>40392</v>
      </c>
      <c r="H380" s="363">
        <f t="shared" si="34"/>
        <v>392</v>
      </c>
      <c r="I380" s="353" t="s">
        <v>1813</v>
      </c>
      <c r="J380" s="371" t="s">
        <v>1814</v>
      </c>
      <c r="K380" s="236">
        <v>3335</v>
      </c>
      <c r="L380" s="182" t="s">
        <v>454</v>
      </c>
      <c r="M380" s="197" t="str">
        <f t="shared" si="9"/>
        <v>Yes</v>
      </c>
      <c r="N380" s="197"/>
      <c r="O380" s="197"/>
      <c r="P380" s="385"/>
      <c r="Q380" s="197"/>
      <c r="R380" s="182"/>
      <c r="S380" s="197"/>
      <c r="T380" s="182"/>
      <c r="U380" s="182"/>
      <c r="V380" s="182"/>
      <c r="W380" s="182"/>
      <c r="X380" s="182"/>
      <c r="Y380" s="182"/>
      <c r="Z380" s="182"/>
      <c r="AA380" s="399" t="s">
        <v>49</v>
      </c>
      <c r="AB380" s="372"/>
      <c r="AC380" s="372"/>
      <c r="AD380" s="372" t="str">
        <f t="shared" si="35"/>
        <v>Academia</v>
      </c>
      <c r="AE380" s="372"/>
      <c r="AF380" s="372"/>
      <c r="AG380" s="372"/>
    </row>
    <row r="381" ht="12.75" spans="1:33">
      <c r="A381" s="356"/>
      <c r="B381" s="215" t="s">
        <v>41</v>
      </c>
      <c r="C381" s="215"/>
      <c r="D381" s="215" t="s">
        <v>1815</v>
      </c>
      <c r="E381" s="215" t="s">
        <v>35</v>
      </c>
      <c r="F381" s="215" t="s">
        <v>1816</v>
      </c>
      <c r="G381" s="361">
        <v>40426</v>
      </c>
      <c r="H381" s="360">
        <f t="shared" si="34"/>
        <v>426</v>
      </c>
      <c r="I381" s="356" t="s">
        <v>1817</v>
      </c>
      <c r="J381" s="375" t="s">
        <v>1818</v>
      </c>
      <c r="K381" s="379">
        <v>3062</v>
      </c>
      <c r="L381" s="184" t="s">
        <v>454</v>
      </c>
      <c r="M381" s="199" t="str">
        <f t="shared" si="9"/>
        <v>Yes</v>
      </c>
      <c r="N381" s="199"/>
      <c r="O381" s="199"/>
      <c r="P381" s="380"/>
      <c r="Q381" s="199"/>
      <c r="R381" s="184"/>
      <c r="S381" s="199"/>
      <c r="T381" s="184"/>
      <c r="U381" s="184"/>
      <c r="V381" s="184"/>
      <c r="W381" s="184"/>
      <c r="X381" s="184"/>
      <c r="Y381" s="184"/>
      <c r="Z381" s="184"/>
      <c r="AA381" s="396" t="s">
        <v>49</v>
      </c>
      <c r="AB381" s="376"/>
      <c r="AC381" s="376"/>
      <c r="AD381" s="376" t="str">
        <f t="shared" si="35"/>
        <v>Industry</v>
      </c>
      <c r="AE381" s="376"/>
      <c r="AF381" s="376"/>
      <c r="AG381" s="376"/>
    </row>
    <row r="382" ht="12.75" spans="1:33">
      <c r="A382" s="353"/>
      <c r="B382" s="192" t="s">
        <v>434</v>
      </c>
      <c r="C382" s="192"/>
      <c r="D382" s="192" t="s">
        <v>1181</v>
      </c>
      <c r="E382" s="192" t="s">
        <v>35</v>
      </c>
      <c r="F382" s="192" t="s">
        <v>1819</v>
      </c>
      <c r="G382" s="367">
        <v>40447</v>
      </c>
      <c r="H382" s="363">
        <f t="shared" si="34"/>
        <v>447</v>
      </c>
      <c r="I382" s="353" t="s">
        <v>1820</v>
      </c>
      <c r="J382" s="371" t="s">
        <v>1821</v>
      </c>
      <c r="K382" s="236">
        <v>1074</v>
      </c>
      <c r="L382" s="182" t="s">
        <v>454</v>
      </c>
      <c r="M382" s="197" t="str">
        <f t="shared" si="9"/>
        <v>Yes</v>
      </c>
      <c r="N382" s="197"/>
      <c r="O382" s="197"/>
      <c r="P382" s="385"/>
      <c r="Q382" s="197">
        <f>10000000000</f>
        <v>10000000000</v>
      </c>
      <c r="R382" s="182"/>
      <c r="S382" s="200"/>
      <c r="T382" s="182"/>
      <c r="U382" s="182"/>
      <c r="V382" s="182"/>
      <c r="W382" s="182"/>
      <c r="X382" s="182"/>
      <c r="Y382" s="182"/>
      <c r="Z382" s="182"/>
      <c r="AA382" s="399" t="s">
        <v>49</v>
      </c>
      <c r="AB382" s="372"/>
      <c r="AC382" s="372"/>
      <c r="AD382" s="372" t="str">
        <f t="shared" si="35"/>
        <v>Industry</v>
      </c>
      <c r="AE382" s="372"/>
      <c r="AF382" s="372"/>
      <c r="AG382" s="372"/>
    </row>
    <row r="383" ht="12.75" spans="1:33">
      <c r="A383" s="356"/>
      <c r="B383" s="215" t="s">
        <v>51</v>
      </c>
      <c r="C383" s="215"/>
      <c r="D383" s="215" t="s">
        <v>1822</v>
      </c>
      <c r="E383" s="215" t="s">
        <v>327</v>
      </c>
      <c r="F383" s="215" t="s">
        <v>1823</v>
      </c>
      <c r="G383" s="361">
        <v>40528</v>
      </c>
      <c r="H383" s="360">
        <f t="shared" si="34"/>
        <v>528</v>
      </c>
      <c r="I383" s="356" t="s">
        <v>1824</v>
      </c>
      <c r="J383" s="375" t="s">
        <v>1825</v>
      </c>
      <c r="K383" s="379">
        <v>2274</v>
      </c>
      <c r="L383" s="184" t="s">
        <v>454</v>
      </c>
      <c r="M383" s="199" t="str">
        <f t="shared" si="9"/>
        <v>Yes</v>
      </c>
      <c r="N383" s="199"/>
      <c r="O383" s="199"/>
      <c r="P383" s="380"/>
      <c r="Q383" s="199"/>
      <c r="R383" s="184"/>
      <c r="S383" s="403"/>
      <c r="T383" s="184"/>
      <c r="U383" s="184"/>
      <c r="V383" s="184"/>
      <c r="W383" s="184"/>
      <c r="X383" s="184"/>
      <c r="Y383" s="184"/>
      <c r="Z383" s="184"/>
      <c r="AA383" s="396" t="s">
        <v>49</v>
      </c>
      <c r="AB383" s="376"/>
      <c r="AC383" s="376"/>
      <c r="AD383" s="376" t="str">
        <f t="shared" si="35"/>
        <v>Industry</v>
      </c>
      <c r="AE383" s="376"/>
      <c r="AF383" s="376"/>
      <c r="AG383" s="376"/>
    </row>
    <row r="384" ht="12.75" spans="1:33">
      <c r="A384" s="353" t="s">
        <v>1826</v>
      </c>
      <c r="B384" s="192" t="s">
        <v>199</v>
      </c>
      <c r="C384" s="192"/>
      <c r="D384" s="192" t="s">
        <v>1392</v>
      </c>
      <c r="E384" s="192" t="s">
        <v>134</v>
      </c>
      <c r="F384" s="192" t="s">
        <v>1827</v>
      </c>
      <c r="G384" s="367">
        <v>39979</v>
      </c>
      <c r="H384" s="363">
        <f t="shared" si="34"/>
        <v>9979</v>
      </c>
      <c r="I384" s="353" t="s">
        <v>1828</v>
      </c>
      <c r="J384" s="371" t="s">
        <v>1829</v>
      </c>
      <c r="K384" s="236">
        <v>789</v>
      </c>
      <c r="L384" s="182"/>
      <c r="M384" s="197" t="str">
        <f t="shared" si="9"/>
        <v>No</v>
      </c>
      <c r="N384" s="197">
        <v>100000000</v>
      </c>
      <c r="O384" s="197">
        <v>1000000000000000</v>
      </c>
      <c r="P384" s="385"/>
      <c r="Q384" s="197">
        <v>1000000</v>
      </c>
      <c r="R384" s="182"/>
      <c r="S384" s="197"/>
      <c r="T384" s="182"/>
      <c r="U384" s="182"/>
      <c r="V384" s="182"/>
      <c r="W384" s="182"/>
      <c r="X384" s="182"/>
      <c r="Y384" s="182"/>
      <c r="Z384" s="182"/>
      <c r="AA384" s="399">
        <v>0.0567799020351146</v>
      </c>
      <c r="AB384" s="372"/>
      <c r="AC384" s="372"/>
      <c r="AD384" s="372" t="str">
        <f t="shared" si="35"/>
        <v>Academia</v>
      </c>
      <c r="AE384" s="372"/>
      <c r="AF384" s="372"/>
      <c r="AG384" s="372"/>
    </row>
    <row r="385" ht="12.75" spans="1:33">
      <c r="A385" s="356" t="s">
        <v>1830</v>
      </c>
      <c r="B385" s="215"/>
      <c r="C385" s="215"/>
      <c r="D385" s="215" t="s">
        <v>1267</v>
      </c>
      <c r="E385" s="215" t="s">
        <v>134</v>
      </c>
      <c r="F385" s="215" t="s">
        <v>1831</v>
      </c>
      <c r="G385" s="361">
        <v>39919</v>
      </c>
      <c r="H385" s="360">
        <f t="shared" si="34"/>
        <v>9919</v>
      </c>
      <c r="I385" s="356" t="s">
        <v>1830</v>
      </c>
      <c r="J385" s="375" t="s">
        <v>1832</v>
      </c>
      <c r="K385" s="384">
        <v>2666</v>
      </c>
      <c r="L385" s="184" t="s">
        <v>454</v>
      </c>
      <c r="M385" s="199" t="str">
        <f t="shared" si="9"/>
        <v>Yes</v>
      </c>
      <c r="N385" s="199"/>
      <c r="O385" s="199"/>
      <c r="P385" s="380"/>
      <c r="Q385" s="199"/>
      <c r="R385" s="184"/>
      <c r="S385" s="199"/>
      <c r="T385" s="184"/>
      <c r="U385" s="184"/>
      <c r="V385" s="184"/>
      <c r="W385" s="184"/>
      <c r="X385" s="184"/>
      <c r="Y385" s="184"/>
      <c r="Z385" s="184"/>
      <c r="AA385" s="396" t="s">
        <v>49</v>
      </c>
      <c r="AB385" s="376"/>
      <c r="AC385" s="376"/>
      <c r="AD385" s="376" t="str">
        <f t="shared" si="35"/>
        <v>Academia</v>
      </c>
      <c r="AE385" s="376"/>
      <c r="AF385" s="376"/>
      <c r="AG385" s="376"/>
    </row>
    <row r="386" ht="12.75" spans="1:33">
      <c r="A386" s="353"/>
      <c r="B386" s="192"/>
      <c r="C386" s="192"/>
      <c r="D386" s="192" t="s">
        <v>1392</v>
      </c>
      <c r="E386" s="192" t="s">
        <v>134</v>
      </c>
      <c r="F386" s="192" t="s">
        <v>1833</v>
      </c>
      <c r="G386" s="367">
        <v>39978</v>
      </c>
      <c r="H386" s="363">
        <f t="shared" si="34"/>
        <v>9978</v>
      </c>
      <c r="I386" s="353" t="s">
        <v>1834</v>
      </c>
      <c r="J386" s="371" t="s">
        <v>1835</v>
      </c>
      <c r="K386" s="236">
        <v>2964</v>
      </c>
      <c r="L386" s="182" t="s">
        <v>454</v>
      </c>
      <c r="M386" s="197" t="str">
        <f t="shared" si="9"/>
        <v>Yes</v>
      </c>
      <c r="N386" s="197"/>
      <c r="O386" s="197"/>
      <c r="P386" s="385"/>
      <c r="Q386" s="197"/>
      <c r="R386" s="182"/>
      <c r="S386" s="197"/>
      <c r="T386" s="182"/>
      <c r="U386" s="182"/>
      <c r="V386" s="182"/>
      <c r="W386" s="182"/>
      <c r="X386" s="182"/>
      <c r="Y386" s="182"/>
      <c r="Z386" s="182"/>
      <c r="AA386" s="399" t="s">
        <v>49</v>
      </c>
      <c r="AB386" s="372"/>
      <c r="AC386" s="372"/>
      <c r="AD386" s="372" t="str">
        <f t="shared" si="35"/>
        <v>Academia</v>
      </c>
      <c r="AE386" s="372"/>
      <c r="AF386" s="372"/>
      <c r="AG386" s="372"/>
    </row>
    <row r="387" ht="12.75" spans="1:33">
      <c r="A387" s="356" t="s">
        <v>1836</v>
      </c>
      <c r="B387" s="215" t="s">
        <v>434</v>
      </c>
      <c r="C387" s="215" t="s">
        <v>1837</v>
      </c>
      <c r="D387" s="215" t="s">
        <v>1838</v>
      </c>
      <c r="E387" s="215" t="s">
        <v>35</v>
      </c>
      <c r="F387" s="215" t="s">
        <v>1839</v>
      </c>
      <c r="G387" s="361">
        <v>40026</v>
      </c>
      <c r="H387" s="360">
        <f t="shared" si="34"/>
        <v>26</v>
      </c>
      <c r="I387" s="356" t="s">
        <v>1840</v>
      </c>
      <c r="J387" s="375" t="s">
        <v>1841</v>
      </c>
      <c r="K387" s="379">
        <v>158</v>
      </c>
      <c r="L387" s="184"/>
      <c r="M387" s="199" t="str">
        <f t="shared" si="9"/>
        <v>No</v>
      </c>
      <c r="N387" s="199"/>
      <c r="O387" s="199"/>
      <c r="P387" s="380" t="s">
        <v>1842</v>
      </c>
      <c r="Q387" s="199">
        <f>100480507</f>
        <v>100480507</v>
      </c>
      <c r="R387" s="184"/>
      <c r="S387" s="199"/>
      <c r="T387" s="184"/>
      <c r="U387" s="184"/>
      <c r="V387" s="184"/>
      <c r="W387" s="184"/>
      <c r="X387" s="184"/>
      <c r="Y387" s="184"/>
      <c r="Z387" s="184"/>
      <c r="AA387" s="396" t="s">
        <v>49</v>
      </c>
      <c r="AB387" s="376"/>
      <c r="AC387" s="376"/>
      <c r="AD387" s="376" t="str">
        <f t="shared" si="35"/>
        <v>Industry</v>
      </c>
      <c r="AE387" s="376"/>
      <c r="AF387" s="376"/>
      <c r="AG387" s="376"/>
    </row>
    <row r="388" ht="12.75" spans="1:33">
      <c r="A388" s="353" t="s">
        <v>1843</v>
      </c>
      <c r="B388" s="192" t="s">
        <v>1844</v>
      </c>
      <c r="C388" s="192" t="s">
        <v>1845</v>
      </c>
      <c r="D388" s="192" t="s">
        <v>815</v>
      </c>
      <c r="E388" s="192" t="s">
        <v>134</v>
      </c>
      <c r="F388" s="192" t="s">
        <v>1846</v>
      </c>
      <c r="G388" s="354">
        <v>40026</v>
      </c>
      <c r="H388" s="363">
        <f t="shared" si="34"/>
        <v>26</v>
      </c>
      <c r="I388" s="353" t="s">
        <v>1847</v>
      </c>
      <c r="J388" s="371" t="s">
        <v>1848</v>
      </c>
      <c r="K388" s="238">
        <v>295</v>
      </c>
      <c r="L388" s="182"/>
      <c r="M388" s="197" t="str">
        <f t="shared" si="9"/>
        <v>No</v>
      </c>
      <c r="N388" s="197">
        <f>8094*10</f>
        <v>80940</v>
      </c>
      <c r="O388" s="197"/>
      <c r="P388" s="385" t="s">
        <v>1849</v>
      </c>
      <c r="Q388" s="373">
        <f>50*5.86</f>
        <v>293</v>
      </c>
      <c r="R388" s="182"/>
      <c r="S388" s="197"/>
      <c r="T388" s="182"/>
      <c r="U388" s="182"/>
      <c r="V388" s="182"/>
      <c r="W388" s="182"/>
      <c r="X388" s="182"/>
      <c r="Y388" s="182"/>
      <c r="Z388" s="182"/>
      <c r="AA388" s="399" t="s">
        <v>49</v>
      </c>
      <c r="AB388" s="372"/>
      <c r="AC388" s="372" t="s">
        <v>1850</v>
      </c>
      <c r="AD388" s="372" t="str">
        <f t="shared" si="35"/>
        <v>Academia</v>
      </c>
      <c r="AE388" s="372"/>
      <c r="AF388" s="372"/>
      <c r="AG388" s="372"/>
    </row>
    <row r="389" ht="12.75" spans="1:33">
      <c r="A389" s="356"/>
      <c r="B389" s="215" t="s">
        <v>434</v>
      </c>
      <c r="C389" s="215" t="s">
        <v>1837</v>
      </c>
      <c r="D389" s="215" t="s">
        <v>1838</v>
      </c>
      <c r="E389" s="215" t="s">
        <v>35</v>
      </c>
      <c r="F389" s="215" t="s">
        <v>1851</v>
      </c>
      <c r="G389" s="361">
        <v>40026</v>
      </c>
      <c r="H389" s="360">
        <f t="shared" si="34"/>
        <v>26</v>
      </c>
      <c r="I389" s="356" t="s">
        <v>1852</v>
      </c>
      <c r="J389" s="375" t="s">
        <v>1853</v>
      </c>
      <c r="K389" s="379">
        <v>507</v>
      </c>
      <c r="L389" s="184"/>
      <c r="M389" s="199" t="str">
        <f t="shared" si="9"/>
        <v>No</v>
      </c>
      <c r="N389" s="199"/>
      <c r="O389" s="199"/>
      <c r="P389" s="380" t="s">
        <v>1842</v>
      </c>
      <c r="Q389" s="199">
        <f t="shared" ref="Q389:Q391" si="39">100480507</f>
        <v>100480507</v>
      </c>
      <c r="R389" s="184"/>
      <c r="S389" s="199"/>
      <c r="T389" s="184"/>
      <c r="U389" s="184"/>
      <c r="V389" s="184"/>
      <c r="W389" s="184"/>
      <c r="X389" s="184"/>
      <c r="Y389" s="184"/>
      <c r="Z389" s="184"/>
      <c r="AA389" s="396" t="s">
        <v>49</v>
      </c>
      <c r="AB389" s="376"/>
      <c r="AC389" s="376"/>
      <c r="AD389" s="376" t="str">
        <f t="shared" si="35"/>
        <v>Industry</v>
      </c>
      <c r="AE389" s="376"/>
      <c r="AF389" s="376"/>
      <c r="AG389" s="376"/>
    </row>
    <row r="390" ht="12.75" spans="1:33">
      <c r="A390" s="353"/>
      <c r="B390" s="192" t="s">
        <v>434</v>
      </c>
      <c r="C390" s="192" t="s">
        <v>1837</v>
      </c>
      <c r="D390" s="192" t="s">
        <v>1838</v>
      </c>
      <c r="E390" s="192" t="s">
        <v>35</v>
      </c>
      <c r="F390" s="192" t="s">
        <v>1854</v>
      </c>
      <c r="G390" s="367">
        <v>40026</v>
      </c>
      <c r="H390" s="363">
        <f t="shared" si="34"/>
        <v>26</v>
      </c>
      <c r="I390" s="353" t="s">
        <v>1855</v>
      </c>
      <c r="J390" s="371" t="s">
        <v>1856</v>
      </c>
      <c r="K390" s="238">
        <v>237</v>
      </c>
      <c r="L390" s="182"/>
      <c r="M390" s="197" t="str">
        <f t="shared" si="9"/>
        <v>No</v>
      </c>
      <c r="N390" s="197"/>
      <c r="O390" s="197"/>
      <c r="P390" s="385" t="s">
        <v>1842</v>
      </c>
      <c r="Q390" s="197">
        <f t="shared" si="39"/>
        <v>100480507</v>
      </c>
      <c r="R390" s="182"/>
      <c r="S390" s="197"/>
      <c r="T390" s="182"/>
      <c r="U390" s="182"/>
      <c r="V390" s="182"/>
      <c r="W390" s="182"/>
      <c r="X390" s="182"/>
      <c r="Y390" s="182"/>
      <c r="Z390" s="182"/>
      <c r="AA390" s="399" t="s">
        <v>49</v>
      </c>
      <c r="AB390" s="372"/>
      <c r="AC390" s="372"/>
      <c r="AD390" s="372" t="str">
        <f t="shared" si="35"/>
        <v>Industry</v>
      </c>
      <c r="AE390" s="372"/>
      <c r="AF390" s="372"/>
      <c r="AG390" s="372"/>
    </row>
    <row r="391" ht="12.75" spans="1:33">
      <c r="A391" s="356"/>
      <c r="B391" s="215" t="s">
        <v>434</v>
      </c>
      <c r="C391" s="215" t="s">
        <v>1837</v>
      </c>
      <c r="D391" s="215" t="s">
        <v>1857</v>
      </c>
      <c r="E391" s="215" t="s">
        <v>35</v>
      </c>
      <c r="F391" s="215" t="s">
        <v>1858</v>
      </c>
      <c r="G391" s="361">
        <v>40026</v>
      </c>
      <c r="H391" s="360">
        <f t="shared" si="34"/>
        <v>26</v>
      </c>
      <c r="I391" s="356" t="s">
        <v>1859</v>
      </c>
      <c r="J391" s="375" t="s">
        <v>1860</v>
      </c>
      <c r="K391" s="379">
        <v>111</v>
      </c>
      <c r="L391" s="184"/>
      <c r="M391" s="199" t="str">
        <f t="shared" si="9"/>
        <v>No</v>
      </c>
      <c r="N391" s="199"/>
      <c r="O391" s="199"/>
      <c r="P391" s="380" t="s">
        <v>1842</v>
      </c>
      <c r="Q391" s="199">
        <f t="shared" si="39"/>
        <v>100480507</v>
      </c>
      <c r="R391" s="184"/>
      <c r="S391" s="199"/>
      <c r="T391" s="184"/>
      <c r="U391" s="184"/>
      <c r="V391" s="184"/>
      <c r="W391" s="184"/>
      <c r="X391" s="184"/>
      <c r="Y391" s="184"/>
      <c r="Z391" s="184"/>
      <c r="AA391" s="396" t="s">
        <v>49</v>
      </c>
      <c r="AB391" s="376"/>
      <c r="AC391" s="376"/>
      <c r="AD391" s="376" t="str">
        <f t="shared" si="35"/>
        <v>Industry</v>
      </c>
      <c r="AE391" s="376"/>
      <c r="AF391" s="376"/>
      <c r="AG391" s="376"/>
    </row>
    <row r="392" ht="12.75" spans="1:33">
      <c r="A392" s="353" t="s">
        <v>1861</v>
      </c>
      <c r="B392" s="192" t="s">
        <v>1844</v>
      </c>
      <c r="C392" s="192" t="s">
        <v>1845</v>
      </c>
      <c r="D392" s="192" t="s">
        <v>815</v>
      </c>
      <c r="E392" s="192" t="s">
        <v>134</v>
      </c>
      <c r="F392" s="192" t="s">
        <v>1846</v>
      </c>
      <c r="G392" s="354">
        <v>40027</v>
      </c>
      <c r="H392" s="363">
        <f t="shared" si="34"/>
        <v>27</v>
      </c>
      <c r="I392" s="353" t="s">
        <v>1847</v>
      </c>
      <c r="J392" s="371" t="s">
        <v>1848</v>
      </c>
      <c r="K392" s="238">
        <v>295</v>
      </c>
      <c r="L392" s="182"/>
      <c r="M392" s="197" t="str">
        <f t="shared" si="9"/>
        <v>No</v>
      </c>
      <c r="N392" s="197">
        <f>4438*30</f>
        <v>133140</v>
      </c>
      <c r="O392" s="197"/>
      <c r="P392" s="385" t="s">
        <v>1849</v>
      </c>
      <c r="Q392" s="373">
        <f>10.37*128</f>
        <v>1327.36</v>
      </c>
      <c r="R392" s="182"/>
      <c r="S392" s="197"/>
      <c r="T392" s="182"/>
      <c r="U392" s="182"/>
      <c r="V392" s="182"/>
      <c r="W392" s="182"/>
      <c r="X392" s="182"/>
      <c r="Y392" s="182"/>
      <c r="Z392" s="182"/>
      <c r="AA392" s="399" t="s">
        <v>49</v>
      </c>
      <c r="AB392" s="372"/>
      <c r="AC392" s="372" t="s">
        <v>1850</v>
      </c>
      <c r="AD392" s="372" t="str">
        <f t="shared" si="35"/>
        <v>Academia</v>
      </c>
      <c r="AE392" s="372"/>
      <c r="AF392" s="372"/>
      <c r="AG392" s="372"/>
    </row>
    <row r="393" ht="12.75" spans="1:33">
      <c r="A393" s="356"/>
      <c r="B393" s="215" t="s">
        <v>434</v>
      </c>
      <c r="C393" s="215"/>
      <c r="D393" s="215" t="s">
        <v>1862</v>
      </c>
      <c r="E393" s="215" t="s">
        <v>35</v>
      </c>
      <c r="F393" s="215" t="s">
        <v>1863</v>
      </c>
      <c r="G393" s="361">
        <v>40032</v>
      </c>
      <c r="H393" s="360">
        <f t="shared" si="34"/>
        <v>32</v>
      </c>
      <c r="I393" s="356" t="s">
        <v>1864</v>
      </c>
      <c r="J393" s="375" t="s">
        <v>1865</v>
      </c>
      <c r="K393" s="379">
        <v>8913</v>
      </c>
      <c r="L393" s="184" t="s">
        <v>454</v>
      </c>
      <c r="M393" s="199" t="str">
        <f t="shared" si="9"/>
        <v>Yes</v>
      </c>
      <c r="N393" s="199"/>
      <c r="O393" s="199"/>
      <c r="P393" s="380" t="s">
        <v>1842</v>
      </c>
      <c r="Q393" s="199">
        <v>100480507</v>
      </c>
      <c r="R393" s="184"/>
      <c r="S393" s="199"/>
      <c r="T393" s="184"/>
      <c r="U393" s="184"/>
      <c r="V393" s="184"/>
      <c r="W393" s="184"/>
      <c r="X393" s="184"/>
      <c r="Y393" s="184"/>
      <c r="Z393" s="184"/>
      <c r="AA393" s="396" t="s">
        <v>49</v>
      </c>
      <c r="AB393" s="376"/>
      <c r="AC393" s="376"/>
      <c r="AD393" s="376" t="str">
        <f t="shared" si="35"/>
        <v>Industry</v>
      </c>
      <c r="AE393" s="376"/>
      <c r="AF393" s="376"/>
      <c r="AG393" s="376"/>
    </row>
    <row r="394" ht="12.75" spans="1:33">
      <c r="A394" s="353"/>
      <c r="B394" s="192" t="s">
        <v>51</v>
      </c>
      <c r="C394" s="192"/>
      <c r="D394" s="192" t="s">
        <v>1866</v>
      </c>
      <c r="E394" s="192" t="s">
        <v>134</v>
      </c>
      <c r="F394" s="192" t="s">
        <v>1867</v>
      </c>
      <c r="G394" s="367">
        <v>40057</v>
      </c>
      <c r="H394" s="363">
        <f t="shared" si="34"/>
        <v>57</v>
      </c>
      <c r="I394" s="353" t="s">
        <v>1868</v>
      </c>
      <c r="J394" s="371" t="s">
        <v>1869</v>
      </c>
      <c r="K394" s="236">
        <v>787</v>
      </c>
      <c r="L394" s="182"/>
      <c r="M394" s="197" t="str">
        <f t="shared" si="9"/>
        <v>No</v>
      </c>
      <c r="N394" s="197"/>
      <c r="O394" s="197"/>
      <c r="P394" s="385"/>
      <c r="Q394" s="197">
        <v>11112</v>
      </c>
      <c r="R394" s="182"/>
      <c r="S394" s="197"/>
      <c r="T394" s="182"/>
      <c r="U394" s="182"/>
      <c r="V394" s="182"/>
      <c r="W394" s="182"/>
      <c r="X394" s="182"/>
      <c r="Y394" s="182"/>
      <c r="Z394" s="182"/>
      <c r="AA394" s="399" t="s">
        <v>49</v>
      </c>
      <c r="AB394" s="372"/>
      <c r="AC394" s="372"/>
      <c r="AD394" s="372" t="str">
        <f t="shared" si="35"/>
        <v>Academia</v>
      </c>
      <c r="AE394" s="372"/>
      <c r="AF394" s="372"/>
      <c r="AG394" s="372"/>
    </row>
    <row r="395" ht="12.75" spans="1:33">
      <c r="A395" s="356" t="s">
        <v>1870</v>
      </c>
      <c r="B395" s="215" t="s">
        <v>434</v>
      </c>
      <c r="C395" s="215" t="s">
        <v>1837</v>
      </c>
      <c r="D395" s="215" t="s">
        <v>1838</v>
      </c>
      <c r="E395" s="215" t="s">
        <v>35</v>
      </c>
      <c r="F395" s="215" t="s">
        <v>1839</v>
      </c>
      <c r="G395" s="361">
        <v>40077</v>
      </c>
      <c r="H395" s="360">
        <f t="shared" si="34"/>
        <v>77</v>
      </c>
      <c r="I395" s="356" t="s">
        <v>1871</v>
      </c>
      <c r="J395" s="375" t="s">
        <v>1872</v>
      </c>
      <c r="K395" s="384">
        <v>238</v>
      </c>
      <c r="L395" s="184"/>
      <c r="M395" s="199" t="str">
        <f t="shared" si="9"/>
        <v>No</v>
      </c>
      <c r="N395" s="199"/>
      <c r="O395" s="199"/>
      <c r="P395" s="380" t="s">
        <v>1842</v>
      </c>
      <c r="Q395" s="199">
        <v>100480507</v>
      </c>
      <c r="R395" s="184"/>
      <c r="S395" s="203"/>
      <c r="T395" s="184"/>
      <c r="U395" s="184"/>
      <c r="V395" s="184"/>
      <c r="W395" s="205"/>
      <c r="X395" s="184"/>
      <c r="Y395" s="184"/>
      <c r="Z395" s="184"/>
      <c r="AA395" s="396" t="s">
        <v>49</v>
      </c>
      <c r="AB395" s="376"/>
      <c r="AC395" s="376"/>
      <c r="AD395" s="376" t="str">
        <f t="shared" si="35"/>
        <v>Industry</v>
      </c>
      <c r="AE395" s="376"/>
      <c r="AF395" s="376"/>
      <c r="AG395" s="376"/>
    </row>
    <row r="396" ht="12.75" spans="1:33">
      <c r="A396" s="353"/>
      <c r="B396" s="192" t="s">
        <v>1873</v>
      </c>
      <c r="C396" s="192"/>
      <c r="D396" s="192" t="s">
        <v>1874</v>
      </c>
      <c r="E396" s="192" t="s">
        <v>360</v>
      </c>
      <c r="F396" s="192" t="s">
        <v>1875</v>
      </c>
      <c r="G396" s="367">
        <v>40085</v>
      </c>
      <c r="H396" s="363">
        <f t="shared" si="34"/>
        <v>85</v>
      </c>
      <c r="I396" s="353" t="s">
        <v>1876</v>
      </c>
      <c r="J396" s="371" t="s">
        <v>1877</v>
      </c>
      <c r="K396" s="236">
        <v>2203</v>
      </c>
      <c r="L396" s="182" t="s">
        <v>454</v>
      </c>
      <c r="M396" s="197" t="str">
        <f t="shared" si="9"/>
        <v>Yes</v>
      </c>
      <c r="N396" s="197"/>
      <c r="O396" s="197"/>
      <c r="P396" s="385"/>
      <c r="Q396" s="197"/>
      <c r="R396" s="182"/>
      <c r="S396" s="197"/>
      <c r="T396" s="182"/>
      <c r="U396" s="182"/>
      <c r="V396" s="182"/>
      <c r="W396" s="182"/>
      <c r="X396" s="182"/>
      <c r="Y396" s="182"/>
      <c r="Z396" s="182"/>
      <c r="AA396" s="399" t="s">
        <v>49</v>
      </c>
      <c r="AB396" s="372"/>
      <c r="AC396" s="372"/>
      <c r="AD396" s="372" t="str">
        <f t="shared" si="35"/>
        <v>Industry</v>
      </c>
      <c r="AE396" s="372"/>
      <c r="AF396" s="372"/>
      <c r="AG396" s="372"/>
    </row>
    <row r="397" ht="12.75" spans="1:33">
      <c r="A397" s="356"/>
      <c r="B397" s="215" t="s">
        <v>51</v>
      </c>
      <c r="C397" s="215"/>
      <c r="D397" s="215" t="s">
        <v>1878</v>
      </c>
      <c r="E397" s="215" t="s">
        <v>134</v>
      </c>
      <c r="F397" s="215" t="s">
        <v>1879</v>
      </c>
      <c r="G397" s="361">
        <v>40128</v>
      </c>
      <c r="H397" s="360">
        <f t="shared" si="34"/>
        <v>128</v>
      </c>
      <c r="I397" s="356" t="s">
        <v>1880</v>
      </c>
      <c r="J397" s="375" t="s">
        <v>1881</v>
      </c>
      <c r="K397" s="379">
        <v>6424</v>
      </c>
      <c r="L397" s="184" t="s">
        <v>454</v>
      </c>
      <c r="M397" s="199" t="str">
        <f t="shared" si="9"/>
        <v>Yes</v>
      </c>
      <c r="N397" s="199"/>
      <c r="O397" s="199"/>
      <c r="P397" s="380"/>
      <c r="Q397" s="199"/>
      <c r="R397" s="184"/>
      <c r="S397" s="199"/>
      <c r="T397" s="184"/>
      <c r="U397" s="184"/>
      <c r="V397" s="184"/>
      <c r="W397" s="184"/>
      <c r="X397" s="184"/>
      <c r="Y397" s="184"/>
      <c r="Z397" s="184"/>
      <c r="AA397" s="396" t="s">
        <v>49</v>
      </c>
      <c r="AB397" s="376"/>
      <c r="AC397" s="376"/>
      <c r="AD397" s="376" t="str">
        <f t="shared" si="35"/>
        <v>Academia</v>
      </c>
      <c r="AE397" s="376"/>
      <c r="AF397" s="376"/>
      <c r="AG397" s="376"/>
    </row>
    <row r="398" ht="12.75" spans="1:33">
      <c r="A398" s="353"/>
      <c r="B398" s="192"/>
      <c r="C398" s="192"/>
      <c r="D398" s="192" t="s">
        <v>1882</v>
      </c>
      <c r="E398" s="192" t="s">
        <v>134</v>
      </c>
      <c r="F398" s="192" t="s">
        <v>1883</v>
      </c>
      <c r="G398" s="367">
        <v>40132</v>
      </c>
      <c r="H398" s="363">
        <f t="shared" si="34"/>
        <v>132</v>
      </c>
      <c r="I398" s="353" t="s">
        <v>1884</v>
      </c>
      <c r="J398" s="371" t="s">
        <v>1885</v>
      </c>
      <c r="K398" s="236">
        <v>9782</v>
      </c>
      <c r="L398" s="182" t="s">
        <v>454</v>
      </c>
      <c r="M398" s="197" t="str">
        <f t="shared" si="9"/>
        <v>Yes</v>
      </c>
      <c r="N398" s="197"/>
      <c r="O398" s="197"/>
      <c r="P398" s="385"/>
      <c r="Q398" s="197"/>
      <c r="R398" s="182"/>
      <c r="S398" s="197"/>
      <c r="T398" s="182"/>
      <c r="U398" s="182"/>
      <c r="V398" s="182"/>
      <c r="W398" s="182"/>
      <c r="X398" s="182"/>
      <c r="Y398" s="182"/>
      <c r="Z398" s="182"/>
      <c r="AA398" s="399" t="s">
        <v>49</v>
      </c>
      <c r="AB398" s="372"/>
      <c r="AC398" s="372"/>
      <c r="AD398" s="372" t="str">
        <f t="shared" si="35"/>
        <v>Academia</v>
      </c>
      <c r="AE398" s="372"/>
      <c r="AF398" s="372"/>
      <c r="AG398" s="372"/>
    </row>
    <row r="399" ht="12.75" spans="1:33">
      <c r="A399" s="356"/>
      <c r="B399" s="215" t="s">
        <v>41</v>
      </c>
      <c r="C399" s="215"/>
      <c r="D399" s="215" t="s">
        <v>1886</v>
      </c>
      <c r="E399" s="215" t="s">
        <v>134</v>
      </c>
      <c r="F399" s="215" t="s">
        <v>1887</v>
      </c>
      <c r="G399" s="361">
        <v>39622</v>
      </c>
      <c r="H399" s="360">
        <f t="shared" si="34"/>
        <v>9622</v>
      </c>
      <c r="I399" s="356" t="s">
        <v>1888</v>
      </c>
      <c r="J399" s="375" t="s">
        <v>1889</v>
      </c>
      <c r="K399" s="379">
        <v>3093</v>
      </c>
      <c r="L399" s="184" t="s">
        <v>454</v>
      </c>
      <c r="M399" s="199" t="str">
        <f t="shared" si="9"/>
        <v>Yes</v>
      </c>
      <c r="N399" s="199"/>
      <c r="O399" s="199"/>
      <c r="P399" s="380"/>
      <c r="Q399" s="199"/>
      <c r="R399" s="184"/>
      <c r="S399" s="199"/>
      <c r="T399" s="184"/>
      <c r="U399" s="184"/>
      <c r="V399" s="184"/>
      <c r="W399" s="184"/>
      <c r="X399" s="184"/>
      <c r="Y399" s="184"/>
      <c r="Z399" s="184"/>
      <c r="AA399" s="396" t="s">
        <v>49</v>
      </c>
      <c r="AB399" s="376"/>
      <c r="AC399" s="376"/>
      <c r="AD399" s="376" t="str">
        <f t="shared" si="35"/>
        <v>Academia</v>
      </c>
      <c r="AE399" s="376"/>
      <c r="AF399" s="376"/>
      <c r="AG399" s="376"/>
    </row>
    <row r="400" ht="12.75" spans="1:33">
      <c r="A400" s="353" t="s">
        <v>1890</v>
      </c>
      <c r="B400" s="192"/>
      <c r="C400" s="192"/>
      <c r="D400" s="192" t="s">
        <v>1656</v>
      </c>
      <c r="E400" s="192" t="s">
        <v>134</v>
      </c>
      <c r="F400" s="192" t="s">
        <v>1891</v>
      </c>
      <c r="G400" s="367">
        <v>39634</v>
      </c>
      <c r="H400" s="363">
        <f t="shared" si="34"/>
        <v>9634</v>
      </c>
      <c r="I400" s="353" t="s">
        <v>1892</v>
      </c>
      <c r="J400" s="371" t="s">
        <v>1893</v>
      </c>
      <c r="K400" s="238">
        <v>6295</v>
      </c>
      <c r="L400" s="182"/>
      <c r="M400" s="197" t="str">
        <f t="shared" si="9"/>
        <v>Yes</v>
      </c>
      <c r="N400" s="197"/>
      <c r="O400" s="197"/>
      <c r="P400" s="385"/>
      <c r="Q400" s="197"/>
      <c r="R400" s="182"/>
      <c r="S400" s="197"/>
      <c r="T400" s="182"/>
      <c r="U400" s="182"/>
      <c r="V400" s="182"/>
      <c r="W400" s="182"/>
      <c r="X400" s="182"/>
      <c r="Y400" s="182"/>
      <c r="Z400" s="182"/>
      <c r="AA400" s="399" t="s">
        <v>49</v>
      </c>
      <c r="AB400" s="372"/>
      <c r="AC400" s="372"/>
      <c r="AD400" s="372" t="str">
        <f t="shared" si="35"/>
        <v>Academia</v>
      </c>
      <c r="AE400" s="372"/>
      <c r="AF400" s="372"/>
      <c r="AG400" s="372"/>
    </row>
    <row r="401" ht="12.75" spans="1:33">
      <c r="A401" s="356"/>
      <c r="B401" s="215"/>
      <c r="C401" s="215"/>
      <c r="D401" s="215" t="s">
        <v>1894</v>
      </c>
      <c r="E401" s="215" t="s">
        <v>327</v>
      </c>
      <c r="F401" s="215" t="s">
        <v>1895</v>
      </c>
      <c r="G401" s="361">
        <v>39634</v>
      </c>
      <c r="H401" s="360">
        <f t="shared" si="34"/>
        <v>9634</v>
      </c>
      <c r="I401" s="356" t="s">
        <v>1896</v>
      </c>
      <c r="J401" s="375" t="s">
        <v>1897</v>
      </c>
      <c r="K401" s="384">
        <v>1087</v>
      </c>
      <c r="L401" s="184"/>
      <c r="M401" s="199" t="str">
        <f t="shared" si="9"/>
        <v>Yes</v>
      </c>
      <c r="N401" s="199"/>
      <c r="O401" s="199"/>
      <c r="P401" s="380"/>
      <c r="Q401" s="199"/>
      <c r="R401" s="184"/>
      <c r="S401" s="199"/>
      <c r="T401" s="184"/>
      <c r="U401" s="184"/>
      <c r="V401" s="184"/>
      <c r="W401" s="184"/>
      <c r="X401" s="184"/>
      <c r="Y401" s="184"/>
      <c r="Z401" s="184"/>
      <c r="AA401" s="396" t="s">
        <v>49</v>
      </c>
      <c r="AB401" s="376"/>
      <c r="AC401" s="376"/>
      <c r="AD401" s="376" t="str">
        <f t="shared" si="35"/>
        <v>Industry</v>
      </c>
      <c r="AE401" s="376"/>
      <c r="AF401" s="376"/>
      <c r="AG401" s="376"/>
    </row>
    <row r="402" ht="12.75" spans="1:33">
      <c r="A402" s="353"/>
      <c r="B402" s="192" t="s">
        <v>51</v>
      </c>
      <c r="C402" s="192"/>
      <c r="D402" s="192" t="s">
        <v>1898</v>
      </c>
      <c r="E402" s="192" t="s">
        <v>35</v>
      </c>
      <c r="F402" s="192" t="s">
        <v>1899</v>
      </c>
      <c r="G402" s="367">
        <v>39634</v>
      </c>
      <c r="H402" s="363">
        <f t="shared" si="34"/>
        <v>9634</v>
      </c>
      <c r="I402" s="353" t="s">
        <v>1900</v>
      </c>
      <c r="J402" s="371" t="s">
        <v>1901</v>
      </c>
      <c r="K402" s="236">
        <v>5759</v>
      </c>
      <c r="L402" s="182" t="s">
        <v>454</v>
      </c>
      <c r="M402" s="197" t="str">
        <f t="shared" si="9"/>
        <v>Yes</v>
      </c>
      <c r="N402" s="197"/>
      <c r="O402" s="197"/>
      <c r="P402" s="385"/>
      <c r="Q402" s="197">
        <v>631000000</v>
      </c>
      <c r="R402" s="182"/>
      <c r="S402" s="197"/>
      <c r="T402" s="182"/>
      <c r="U402" s="182"/>
      <c r="V402" s="182"/>
      <c r="W402" s="182"/>
      <c r="X402" s="182"/>
      <c r="Y402" s="182"/>
      <c r="Z402" s="182"/>
      <c r="AA402" s="399" t="s">
        <v>49</v>
      </c>
      <c r="AB402" s="372"/>
      <c r="AC402" s="372" t="s">
        <v>1902</v>
      </c>
      <c r="AD402" s="372" t="str">
        <f t="shared" si="35"/>
        <v>Industry</v>
      </c>
      <c r="AE402" s="372"/>
      <c r="AF402" s="372"/>
      <c r="AG402" s="372"/>
    </row>
    <row r="403" ht="12.75" spans="1:33">
      <c r="A403" s="356" t="s">
        <v>1903</v>
      </c>
      <c r="B403" s="215" t="s">
        <v>51</v>
      </c>
      <c r="C403" s="215" t="s">
        <v>1904</v>
      </c>
      <c r="D403" s="215" t="s">
        <v>1905</v>
      </c>
      <c r="E403" s="215" t="s">
        <v>327</v>
      </c>
      <c r="F403" s="215" t="s">
        <v>1906</v>
      </c>
      <c r="G403" s="361">
        <v>39644</v>
      </c>
      <c r="H403" s="360">
        <f t="shared" si="34"/>
        <v>9644</v>
      </c>
      <c r="I403" s="356" t="s">
        <v>1907</v>
      </c>
      <c r="J403" s="375" t="s">
        <v>1908</v>
      </c>
      <c r="K403" s="384">
        <v>243</v>
      </c>
      <c r="L403" s="184"/>
      <c r="M403" s="199" t="str">
        <f t="shared" si="9"/>
        <v>No</v>
      </c>
      <c r="N403" s="199">
        <v>3000000</v>
      </c>
      <c r="O403" s="199"/>
      <c r="P403" s="380"/>
      <c r="Q403" s="199">
        <f>11314+11413+43360</f>
        <v>66087</v>
      </c>
      <c r="R403" s="184"/>
      <c r="S403" s="199"/>
      <c r="T403" s="184"/>
      <c r="U403" s="184"/>
      <c r="V403" s="184"/>
      <c r="W403" s="184"/>
      <c r="X403" s="184"/>
      <c r="Y403" s="184"/>
      <c r="Z403" s="184"/>
      <c r="AA403" s="396" t="s">
        <v>49</v>
      </c>
      <c r="AB403" s="376"/>
      <c r="AC403" s="376"/>
      <c r="AD403" s="376" t="str">
        <f t="shared" si="35"/>
        <v>Industry</v>
      </c>
      <c r="AE403" s="376"/>
      <c r="AF403" s="376"/>
      <c r="AG403" s="376"/>
    </row>
    <row r="404" ht="12.75" spans="1:33">
      <c r="A404" s="353" t="s">
        <v>1909</v>
      </c>
      <c r="B404" s="192" t="s">
        <v>1910</v>
      </c>
      <c r="C404" s="192" t="s">
        <v>1911</v>
      </c>
      <c r="D404" s="192" t="s">
        <v>1089</v>
      </c>
      <c r="E404" s="192" t="s">
        <v>327</v>
      </c>
      <c r="F404" s="192" t="s">
        <v>1912</v>
      </c>
      <c r="G404" s="367">
        <v>39652</v>
      </c>
      <c r="H404" s="363">
        <f t="shared" si="34"/>
        <v>9652</v>
      </c>
      <c r="I404" s="353" t="s">
        <v>1913</v>
      </c>
      <c r="J404" s="371" t="s">
        <v>1914</v>
      </c>
      <c r="K404" s="236">
        <v>1840</v>
      </c>
      <c r="L404" s="182" t="s">
        <v>454</v>
      </c>
      <c r="M404" s="197" t="str">
        <f t="shared" si="9"/>
        <v>Yes</v>
      </c>
      <c r="N404" s="197"/>
      <c r="O404" s="197"/>
      <c r="P404" s="385"/>
      <c r="Q404" s="197"/>
      <c r="R404" s="182"/>
      <c r="S404" s="200"/>
      <c r="T404" s="182"/>
      <c r="U404" s="182"/>
      <c r="V404" s="182"/>
      <c r="W404" s="204"/>
      <c r="X404" s="182"/>
      <c r="Y404" s="182"/>
      <c r="Z404" s="182"/>
      <c r="AA404" s="399" t="s">
        <v>49</v>
      </c>
      <c r="AB404" s="372"/>
      <c r="AC404" s="372"/>
      <c r="AD404" s="372" t="str">
        <f t="shared" si="35"/>
        <v>Industry</v>
      </c>
      <c r="AE404" s="372"/>
      <c r="AF404" s="372"/>
      <c r="AG404" s="372"/>
    </row>
    <row r="405" ht="12.75" spans="1:33">
      <c r="A405" s="356"/>
      <c r="B405" s="215" t="s">
        <v>41</v>
      </c>
      <c r="C405" s="215"/>
      <c r="D405" s="215" t="s">
        <v>1915</v>
      </c>
      <c r="E405" s="215" t="s">
        <v>134</v>
      </c>
      <c r="F405" s="215" t="s">
        <v>1916</v>
      </c>
      <c r="G405" s="361">
        <v>39771</v>
      </c>
      <c r="H405" s="360">
        <f t="shared" si="34"/>
        <v>9771</v>
      </c>
      <c r="I405" s="356" t="s">
        <v>1917</v>
      </c>
      <c r="J405" s="375" t="s">
        <v>1918</v>
      </c>
      <c r="K405" s="384">
        <v>124</v>
      </c>
      <c r="L405" s="184"/>
      <c r="M405" s="199" t="str">
        <f t="shared" si="9"/>
        <v>No</v>
      </c>
      <c r="N405" s="199"/>
      <c r="O405" s="199"/>
      <c r="P405" s="380"/>
      <c r="Q405" s="199"/>
      <c r="R405" s="184"/>
      <c r="S405" s="199"/>
      <c r="T405" s="184"/>
      <c r="U405" s="184"/>
      <c r="V405" s="184"/>
      <c r="W405" s="184"/>
      <c r="X405" s="184"/>
      <c r="Y405" s="184"/>
      <c r="Z405" s="184"/>
      <c r="AA405" s="396" t="s">
        <v>49</v>
      </c>
      <c r="AB405" s="376"/>
      <c r="AC405" s="376"/>
      <c r="AD405" s="376" t="str">
        <f t="shared" si="35"/>
        <v>Academia</v>
      </c>
      <c r="AE405" s="376"/>
      <c r="AF405" s="376"/>
      <c r="AG405" s="376"/>
    </row>
    <row r="406" ht="12.75" spans="1:33">
      <c r="A406" s="353" t="s">
        <v>1919</v>
      </c>
      <c r="B406" s="192" t="s">
        <v>434</v>
      </c>
      <c r="C406" s="192" t="s">
        <v>1837</v>
      </c>
      <c r="D406" s="192" t="s">
        <v>1838</v>
      </c>
      <c r="E406" s="192" t="s">
        <v>35</v>
      </c>
      <c r="F406" s="192" t="s">
        <v>1920</v>
      </c>
      <c r="G406" s="367">
        <v>39777</v>
      </c>
      <c r="H406" s="363">
        <f t="shared" si="34"/>
        <v>9777</v>
      </c>
      <c r="I406" s="353" t="s">
        <v>1921</v>
      </c>
      <c r="J406" s="371" t="s">
        <v>1922</v>
      </c>
      <c r="K406" s="236">
        <v>35</v>
      </c>
      <c r="L406" s="182" t="s">
        <v>1923</v>
      </c>
      <c r="M406" s="197" t="str">
        <f t="shared" si="9"/>
        <v>Yes</v>
      </c>
      <c r="N406" s="197"/>
      <c r="O406" s="197"/>
      <c r="P406" s="385" t="s">
        <v>1842</v>
      </c>
      <c r="Q406" s="197">
        <f>100480507</f>
        <v>100480507</v>
      </c>
      <c r="R406" s="182"/>
      <c r="S406" s="197"/>
      <c r="T406" s="182"/>
      <c r="U406" s="182"/>
      <c r="V406" s="182"/>
      <c r="W406" s="182"/>
      <c r="X406" s="182"/>
      <c r="Y406" s="182"/>
      <c r="Z406" s="182"/>
      <c r="AA406" s="399" t="s">
        <v>49</v>
      </c>
      <c r="AB406" s="372"/>
      <c r="AC406" s="372"/>
      <c r="AD406" s="372" t="str">
        <f t="shared" si="35"/>
        <v>Industry</v>
      </c>
      <c r="AE406" s="372"/>
      <c r="AF406" s="372"/>
      <c r="AG406" s="372"/>
    </row>
    <row r="407" ht="12.75" spans="1:33">
      <c r="A407" s="356" t="s">
        <v>1924</v>
      </c>
      <c r="B407" s="215" t="s">
        <v>199</v>
      </c>
      <c r="C407" s="215"/>
      <c r="D407" s="215" t="s">
        <v>1267</v>
      </c>
      <c r="E407" s="215" t="s">
        <v>134</v>
      </c>
      <c r="F407" s="215" t="s">
        <v>1925</v>
      </c>
      <c r="G407" s="361">
        <v>39792</v>
      </c>
      <c r="H407" s="360">
        <f t="shared" si="34"/>
        <v>9792</v>
      </c>
      <c r="I407" s="356" t="s">
        <v>1924</v>
      </c>
      <c r="J407" s="375" t="s">
        <v>1926</v>
      </c>
      <c r="K407" s="379">
        <v>1487</v>
      </c>
      <c r="L407" s="184" t="s">
        <v>454</v>
      </c>
      <c r="M407" s="199" t="str">
        <f t="shared" si="9"/>
        <v>Yes</v>
      </c>
      <c r="N407" s="199">
        <v>2600000</v>
      </c>
      <c r="O407" s="199"/>
      <c r="P407" s="380"/>
      <c r="Q407" s="199">
        <f>8314+302207</f>
        <v>310521</v>
      </c>
      <c r="R407" s="184"/>
      <c r="S407" s="199"/>
      <c r="T407" s="184"/>
      <c r="U407" s="184"/>
      <c r="V407" s="184"/>
      <c r="W407" s="184"/>
      <c r="X407" s="184"/>
      <c r="Y407" s="184"/>
      <c r="Z407" s="184"/>
      <c r="AA407" s="396" t="s">
        <v>49</v>
      </c>
      <c r="AB407" s="376"/>
      <c r="AC407" s="376"/>
      <c r="AD407" s="376" t="str">
        <f t="shared" si="35"/>
        <v>Academia</v>
      </c>
      <c r="AE407" s="376"/>
      <c r="AF407" s="376"/>
      <c r="AG407" s="376"/>
    </row>
    <row r="408" ht="12.75" spans="1:33">
      <c r="A408" s="353"/>
      <c r="B408" s="192" t="s">
        <v>51</v>
      </c>
      <c r="C408" s="192"/>
      <c r="D408" s="192" t="s">
        <v>1479</v>
      </c>
      <c r="E408" s="192" t="s">
        <v>134</v>
      </c>
      <c r="F408" s="192" t="s">
        <v>1927</v>
      </c>
      <c r="G408" s="367">
        <v>39234</v>
      </c>
      <c r="H408" s="363">
        <f t="shared" si="34"/>
        <v>9234</v>
      </c>
      <c r="I408" s="353" t="s">
        <v>1928</v>
      </c>
      <c r="J408" s="371" t="s">
        <v>1929</v>
      </c>
      <c r="K408" s="236">
        <v>6097</v>
      </c>
      <c r="L408" s="182" t="s">
        <v>454</v>
      </c>
      <c r="M408" s="197" t="str">
        <f t="shared" si="9"/>
        <v>Yes</v>
      </c>
      <c r="N408" s="197"/>
      <c r="O408" s="197"/>
      <c r="P408" s="385"/>
      <c r="Q408" s="197"/>
      <c r="R408" s="182"/>
      <c r="S408" s="200"/>
      <c r="T408" s="182"/>
      <c r="U408" s="182"/>
      <c r="V408" s="182"/>
      <c r="W408" s="204"/>
      <c r="X408" s="182"/>
      <c r="Y408" s="182"/>
      <c r="Z408" s="182"/>
      <c r="AA408" s="399" t="s">
        <v>49</v>
      </c>
      <c r="AB408" s="372"/>
      <c r="AC408" s="372"/>
      <c r="AD408" s="372" t="str">
        <f t="shared" si="35"/>
        <v>Academia</v>
      </c>
      <c r="AE408" s="372"/>
      <c r="AF408" s="372"/>
      <c r="AG408" s="372"/>
    </row>
    <row r="409" ht="12.75" spans="1:33">
      <c r="A409" s="356" t="s">
        <v>1930</v>
      </c>
      <c r="B409" s="215" t="s">
        <v>51</v>
      </c>
      <c r="C409" s="215"/>
      <c r="D409" s="215" t="s">
        <v>1931</v>
      </c>
      <c r="E409" s="215" t="s">
        <v>134</v>
      </c>
      <c r="F409" s="215" t="s">
        <v>1932</v>
      </c>
      <c r="G409" s="361">
        <v>39234</v>
      </c>
      <c r="H409" s="360">
        <f t="shared" si="34"/>
        <v>9234</v>
      </c>
      <c r="I409" s="356" t="s">
        <v>1933</v>
      </c>
      <c r="J409" s="375" t="s">
        <v>1934</v>
      </c>
      <c r="K409" s="384">
        <v>383</v>
      </c>
      <c r="L409" s="184"/>
      <c r="M409" s="199" t="str">
        <f t="shared" si="9"/>
        <v>No</v>
      </c>
      <c r="N409" s="199">
        <f>700+700*(700-1)</f>
        <v>490000</v>
      </c>
      <c r="O409" s="199"/>
      <c r="P409" s="380"/>
      <c r="Q409" s="199">
        <v>792</v>
      </c>
      <c r="R409" s="184"/>
      <c r="S409" s="203"/>
      <c r="T409" s="184"/>
      <c r="U409" s="184"/>
      <c r="V409" s="184"/>
      <c r="W409" s="205"/>
      <c r="X409" s="184"/>
      <c r="Y409" s="184"/>
      <c r="Z409" s="184"/>
      <c r="AA409" s="396" t="s">
        <v>49</v>
      </c>
      <c r="AB409" s="376"/>
      <c r="AC409" s="376" t="s">
        <v>1935</v>
      </c>
      <c r="AD409" s="376" t="str">
        <f t="shared" si="35"/>
        <v>Academia</v>
      </c>
      <c r="AE409" s="376"/>
      <c r="AF409" s="376"/>
      <c r="AG409" s="376"/>
    </row>
    <row r="410" ht="12.75" spans="1:33">
      <c r="A410" s="353"/>
      <c r="B410" s="192"/>
      <c r="C410" s="192"/>
      <c r="D410" s="192" t="s">
        <v>1656</v>
      </c>
      <c r="E410" s="192" t="s">
        <v>134</v>
      </c>
      <c r="F410" s="192" t="s">
        <v>1936</v>
      </c>
      <c r="G410" s="367">
        <v>39234</v>
      </c>
      <c r="H410" s="363">
        <f t="shared" si="34"/>
        <v>9234</v>
      </c>
      <c r="I410" s="353" t="s">
        <v>1937</v>
      </c>
      <c r="J410" s="371" t="s">
        <v>1938</v>
      </c>
      <c r="K410" s="238">
        <v>1115</v>
      </c>
      <c r="L410" s="182"/>
      <c r="M410" s="197" t="str">
        <f t="shared" si="9"/>
        <v>Yes</v>
      </c>
      <c r="N410" s="197"/>
      <c r="O410" s="197"/>
      <c r="P410" s="385"/>
      <c r="Q410" s="197"/>
      <c r="R410" s="182"/>
      <c r="S410" s="197"/>
      <c r="T410" s="182"/>
      <c r="U410" s="182"/>
      <c r="V410" s="182"/>
      <c r="W410" s="182"/>
      <c r="X410" s="182"/>
      <c r="Y410" s="182"/>
      <c r="Z410" s="182"/>
      <c r="AA410" s="399" t="s">
        <v>49</v>
      </c>
      <c r="AB410" s="372"/>
      <c r="AC410" s="372"/>
      <c r="AD410" s="372" t="str">
        <f t="shared" si="35"/>
        <v>Academia</v>
      </c>
      <c r="AE410" s="372"/>
      <c r="AF410" s="372"/>
      <c r="AG410" s="372"/>
    </row>
    <row r="411" ht="12.75" spans="1:33">
      <c r="A411" s="356" t="s">
        <v>1939</v>
      </c>
      <c r="B411" s="215" t="s">
        <v>434</v>
      </c>
      <c r="C411" s="215"/>
      <c r="D411" s="215" t="s">
        <v>1267</v>
      </c>
      <c r="E411" s="215" t="s">
        <v>134</v>
      </c>
      <c r="F411" s="215" t="s">
        <v>1940</v>
      </c>
      <c r="G411" s="361">
        <v>39253</v>
      </c>
      <c r="H411" s="360">
        <f t="shared" si="34"/>
        <v>9253</v>
      </c>
      <c r="I411" s="356" t="s">
        <v>1941</v>
      </c>
      <c r="J411" s="375" t="s">
        <v>1942</v>
      </c>
      <c r="K411" s="384">
        <v>2140</v>
      </c>
      <c r="L411" s="184"/>
      <c r="M411" s="199" t="str">
        <f t="shared" si="9"/>
        <v>Yes</v>
      </c>
      <c r="N411" s="199"/>
      <c r="O411" s="199"/>
      <c r="P411" s="380" t="s">
        <v>1842</v>
      </c>
      <c r="Q411" s="199">
        <v>100480507</v>
      </c>
      <c r="R411" s="184"/>
      <c r="S411" s="199"/>
      <c r="T411" s="184"/>
      <c r="U411" s="184"/>
      <c r="V411" s="184"/>
      <c r="W411" s="184"/>
      <c r="X411" s="184"/>
      <c r="Y411" s="184"/>
      <c r="Z411" s="184"/>
      <c r="AA411" s="396" t="s">
        <v>49</v>
      </c>
      <c r="AB411" s="376"/>
      <c r="AC411" s="376"/>
      <c r="AD411" s="376" t="str">
        <f t="shared" si="35"/>
        <v>Academia</v>
      </c>
      <c r="AE411" s="376"/>
      <c r="AF411" s="376"/>
      <c r="AG411" s="376"/>
    </row>
    <row r="412" ht="12.75" spans="1:33">
      <c r="A412" s="353"/>
      <c r="B412" s="192" t="s">
        <v>434</v>
      </c>
      <c r="C412" s="192"/>
      <c r="D412" s="192" t="s">
        <v>1943</v>
      </c>
      <c r="E412" s="192" t="s">
        <v>134</v>
      </c>
      <c r="F412" s="192" t="s">
        <v>1944</v>
      </c>
      <c r="G412" s="367">
        <v>39306</v>
      </c>
      <c r="H412" s="363">
        <f t="shared" si="34"/>
        <v>9306</v>
      </c>
      <c r="I412" s="353" t="s">
        <v>1945</v>
      </c>
      <c r="J412" s="371" t="s">
        <v>1946</v>
      </c>
      <c r="K412" s="236">
        <v>1117</v>
      </c>
      <c r="L412" s="182" t="s">
        <v>454</v>
      </c>
      <c r="M412" s="197" t="str">
        <f t="shared" si="9"/>
        <v>Yes</v>
      </c>
      <c r="N412" s="197"/>
      <c r="O412" s="197"/>
      <c r="P412" s="385" t="s">
        <v>1842</v>
      </c>
      <c r="Q412" s="197">
        <v>100480507</v>
      </c>
      <c r="R412" s="182"/>
      <c r="S412" s="200"/>
      <c r="T412" s="182"/>
      <c r="U412" s="182"/>
      <c r="V412" s="182"/>
      <c r="W412" s="204"/>
      <c r="X412" s="182"/>
      <c r="Y412" s="182"/>
      <c r="Z412" s="182"/>
      <c r="AA412" s="399" t="s">
        <v>49</v>
      </c>
      <c r="AB412" s="372"/>
      <c r="AC412" s="372"/>
      <c r="AD412" s="372" t="str">
        <f t="shared" si="35"/>
        <v>Academia</v>
      </c>
      <c r="AE412" s="372"/>
      <c r="AF412" s="372"/>
      <c r="AG412" s="372"/>
    </row>
    <row r="413" ht="12.75" spans="1:33">
      <c r="A413" s="356"/>
      <c r="B413" s="215" t="s">
        <v>41</v>
      </c>
      <c r="C413" s="215"/>
      <c r="D413" s="215" t="s">
        <v>1947</v>
      </c>
      <c r="E413" s="215" t="s">
        <v>134</v>
      </c>
      <c r="F413" s="215" t="s">
        <v>1948</v>
      </c>
      <c r="G413" s="361">
        <v>39348</v>
      </c>
      <c r="H413" s="360">
        <f t="shared" si="34"/>
        <v>9348</v>
      </c>
      <c r="I413" s="356" t="s">
        <v>1949</v>
      </c>
      <c r="J413" s="375" t="s">
        <v>1950</v>
      </c>
      <c r="K413" s="384">
        <v>287</v>
      </c>
      <c r="L413" s="184"/>
      <c r="M413" s="199" t="str">
        <f t="shared" si="9"/>
        <v>No</v>
      </c>
      <c r="N413" s="199"/>
      <c r="O413" s="199"/>
      <c r="P413" s="380"/>
      <c r="Q413" s="199"/>
      <c r="R413" s="184"/>
      <c r="S413" s="199"/>
      <c r="T413" s="184"/>
      <c r="U413" s="184"/>
      <c r="V413" s="184"/>
      <c r="W413" s="184"/>
      <c r="X413" s="184"/>
      <c r="Y413" s="184"/>
      <c r="Z413" s="184"/>
      <c r="AA413" s="396" t="s">
        <v>49</v>
      </c>
      <c r="AB413" s="376"/>
      <c r="AC413" s="376"/>
      <c r="AD413" s="376" t="str">
        <f t="shared" si="35"/>
        <v>Academia</v>
      </c>
      <c r="AE413" s="376"/>
      <c r="AF413" s="376"/>
      <c r="AG413" s="376"/>
    </row>
    <row r="414" ht="12.75" spans="1:33">
      <c r="A414" s="353"/>
      <c r="B414" s="192" t="s">
        <v>434</v>
      </c>
      <c r="C414" s="192"/>
      <c r="D414" s="192" t="s">
        <v>1838</v>
      </c>
      <c r="E414" s="192" t="s">
        <v>35</v>
      </c>
      <c r="F414" s="192" t="s">
        <v>1951</v>
      </c>
      <c r="G414" s="367">
        <v>39383</v>
      </c>
      <c r="H414" s="363">
        <f t="shared" si="34"/>
        <v>9383</v>
      </c>
      <c r="I414" s="353" t="s">
        <v>1952</v>
      </c>
      <c r="J414" s="371" t="s">
        <v>1953</v>
      </c>
      <c r="K414" s="236">
        <v>687</v>
      </c>
      <c r="L414" s="182"/>
      <c r="M414" s="197" t="str">
        <f t="shared" si="9"/>
        <v>No</v>
      </c>
      <c r="N414" s="197"/>
      <c r="O414" s="197"/>
      <c r="P414" s="385"/>
      <c r="Q414" s="197"/>
      <c r="R414" s="182"/>
      <c r="S414" s="200"/>
      <c r="T414" s="182"/>
      <c r="U414" s="182"/>
      <c r="V414" s="182"/>
      <c r="W414" s="204"/>
      <c r="X414" s="182"/>
      <c r="Y414" s="182"/>
      <c r="Z414" s="182"/>
      <c r="AA414" s="399" t="s">
        <v>49</v>
      </c>
      <c r="AB414" s="372"/>
      <c r="AC414" s="372"/>
      <c r="AD414" s="372" t="str">
        <f t="shared" si="35"/>
        <v>Industry</v>
      </c>
      <c r="AE414" s="372"/>
      <c r="AF414" s="372"/>
      <c r="AG414" s="372"/>
    </row>
    <row r="415" ht="12.75" spans="1:33">
      <c r="A415" s="356"/>
      <c r="B415" s="215"/>
      <c r="C415" s="215"/>
      <c r="D415" s="215" t="s">
        <v>1954</v>
      </c>
      <c r="E415" s="215" t="s">
        <v>35</v>
      </c>
      <c r="F415" s="215" t="s">
        <v>1955</v>
      </c>
      <c r="G415" s="361">
        <v>39419</v>
      </c>
      <c r="H415" s="360">
        <f t="shared" si="34"/>
        <v>9419</v>
      </c>
      <c r="I415" s="356" t="s">
        <v>1956</v>
      </c>
      <c r="J415" s="375" t="s">
        <v>1957</v>
      </c>
      <c r="K415" s="379">
        <v>1695</v>
      </c>
      <c r="L415" s="184" t="s">
        <v>454</v>
      </c>
      <c r="M415" s="199" t="str">
        <f t="shared" si="9"/>
        <v>Yes</v>
      </c>
      <c r="N415" s="199"/>
      <c r="O415" s="199"/>
      <c r="P415" s="380"/>
      <c r="Q415" s="199"/>
      <c r="R415" s="184"/>
      <c r="S415" s="203"/>
      <c r="T415" s="184"/>
      <c r="U415" s="184"/>
      <c r="V415" s="184"/>
      <c r="W415" s="205"/>
      <c r="X415" s="184"/>
      <c r="Y415" s="184"/>
      <c r="Z415" s="184"/>
      <c r="AA415" s="396" t="s">
        <v>49</v>
      </c>
      <c r="AB415" s="376"/>
      <c r="AC415" s="376"/>
      <c r="AD415" s="376" t="str">
        <f t="shared" si="35"/>
        <v>Industry</v>
      </c>
      <c r="AE415" s="376"/>
      <c r="AF415" s="376"/>
      <c r="AG415" s="376"/>
    </row>
    <row r="416" ht="12.75" spans="1:33">
      <c r="A416" s="353" t="s">
        <v>1958</v>
      </c>
      <c r="B416" s="192" t="s">
        <v>41</v>
      </c>
      <c r="C416" s="192" t="s">
        <v>1231</v>
      </c>
      <c r="D416" s="192" t="s">
        <v>1947</v>
      </c>
      <c r="E416" s="192" t="s">
        <v>134</v>
      </c>
      <c r="F416" s="192" t="s">
        <v>1959</v>
      </c>
      <c r="G416" s="367">
        <v>39419</v>
      </c>
      <c r="H416" s="363">
        <f t="shared" si="34"/>
        <v>9419</v>
      </c>
      <c r="I416" s="353" t="s">
        <v>1960</v>
      </c>
      <c r="J416" s="371" t="s">
        <v>1961</v>
      </c>
      <c r="K416" s="238">
        <v>341</v>
      </c>
      <c r="L416" s="182"/>
      <c r="M416" s="197" t="str">
        <f t="shared" si="9"/>
        <v>No</v>
      </c>
      <c r="N416" s="197">
        <v>100881</v>
      </c>
      <c r="O416" s="197"/>
      <c r="P416" s="385"/>
      <c r="Q416" s="197"/>
      <c r="R416" s="182"/>
      <c r="S416" s="197"/>
      <c r="T416" s="182"/>
      <c r="U416" s="182"/>
      <c r="V416" s="182"/>
      <c r="W416" s="182"/>
      <c r="X416" s="182"/>
      <c r="Y416" s="182"/>
      <c r="Z416" s="182"/>
      <c r="AA416" s="399" t="s">
        <v>49</v>
      </c>
      <c r="AB416" s="372"/>
      <c r="AC416" s="372"/>
      <c r="AD416" s="372" t="str">
        <f t="shared" si="35"/>
        <v>Academia</v>
      </c>
      <c r="AE416" s="372"/>
      <c r="AF416" s="372"/>
      <c r="AG416" s="372"/>
    </row>
    <row r="417" ht="12.75" spans="1:33">
      <c r="A417" s="356" t="s">
        <v>1962</v>
      </c>
      <c r="B417" s="215" t="s">
        <v>1910</v>
      </c>
      <c r="C417" s="215" t="s">
        <v>1911</v>
      </c>
      <c r="D417" s="215" t="s">
        <v>1166</v>
      </c>
      <c r="E417" s="215" t="s">
        <v>327</v>
      </c>
      <c r="F417" s="215" t="s">
        <v>1963</v>
      </c>
      <c r="G417" s="361">
        <v>38718</v>
      </c>
      <c r="H417" s="360">
        <f t="shared" si="34"/>
        <v>8718</v>
      </c>
      <c r="I417" s="356" t="s">
        <v>1964</v>
      </c>
      <c r="J417" s="375" t="s">
        <v>1965</v>
      </c>
      <c r="K417" s="379">
        <v>2561</v>
      </c>
      <c r="L417" s="184" t="s">
        <v>454</v>
      </c>
      <c r="M417" s="199" t="str">
        <f t="shared" si="9"/>
        <v>Yes</v>
      </c>
      <c r="N417" s="199"/>
      <c r="O417" s="199"/>
      <c r="P417" s="380"/>
      <c r="Q417" s="199"/>
      <c r="R417" s="184"/>
      <c r="S417" s="203"/>
      <c r="T417" s="184"/>
      <c r="U417" s="184"/>
      <c r="V417" s="184"/>
      <c r="W417" s="205"/>
      <c r="X417" s="184"/>
      <c r="Y417" s="184"/>
      <c r="Z417" s="184"/>
      <c r="AA417" s="396" t="s">
        <v>49</v>
      </c>
      <c r="AB417" s="376"/>
      <c r="AC417" s="376"/>
      <c r="AD417" s="376" t="str">
        <f t="shared" si="35"/>
        <v>Industry</v>
      </c>
      <c r="AE417" s="376"/>
      <c r="AF417" s="376"/>
      <c r="AG417" s="376"/>
    </row>
    <row r="418" ht="12.75" spans="1:33">
      <c r="A418" s="353"/>
      <c r="B418" s="192"/>
      <c r="C418" s="192"/>
      <c r="D418" s="192" t="s">
        <v>1966</v>
      </c>
      <c r="E418" s="192" t="s">
        <v>134</v>
      </c>
      <c r="F418" s="192" t="s">
        <v>1967</v>
      </c>
      <c r="G418" s="367">
        <v>38750</v>
      </c>
      <c r="H418" s="363">
        <f t="shared" si="34"/>
        <v>8750</v>
      </c>
      <c r="I418" s="353" t="s">
        <v>1968</v>
      </c>
      <c r="J418" s="371" t="s">
        <v>1969</v>
      </c>
      <c r="K418" s="238">
        <v>365</v>
      </c>
      <c r="L418" s="182"/>
      <c r="M418" s="197" t="str">
        <f t="shared" si="9"/>
        <v>No</v>
      </c>
      <c r="N418" s="197"/>
      <c r="O418" s="197"/>
      <c r="P418" s="385"/>
      <c r="Q418" s="197"/>
      <c r="R418" s="182"/>
      <c r="S418" s="197"/>
      <c r="T418" s="182"/>
      <c r="U418" s="182"/>
      <c r="V418" s="182"/>
      <c r="W418" s="182"/>
      <c r="X418" s="182"/>
      <c r="Y418" s="182"/>
      <c r="Z418" s="182"/>
      <c r="AA418" s="399" t="s">
        <v>49</v>
      </c>
      <c r="AB418" s="372"/>
      <c r="AC418" s="372"/>
      <c r="AD418" s="372" t="str">
        <f t="shared" si="35"/>
        <v>Academia</v>
      </c>
      <c r="AE418" s="372"/>
      <c r="AF418" s="372"/>
      <c r="AG418" s="372"/>
    </row>
    <row r="419" ht="12.75" spans="1:33">
      <c r="A419" s="356"/>
      <c r="B419" s="215" t="s">
        <v>1910</v>
      </c>
      <c r="C419" s="215" t="s">
        <v>1970</v>
      </c>
      <c r="D419" s="215" t="s">
        <v>1971</v>
      </c>
      <c r="E419" s="215" t="s">
        <v>134</v>
      </c>
      <c r="F419" s="215" t="s">
        <v>1972</v>
      </c>
      <c r="G419" s="361">
        <v>38785</v>
      </c>
      <c r="H419" s="360">
        <f t="shared" si="34"/>
        <v>8785</v>
      </c>
      <c r="I419" s="356" t="s">
        <v>1973</v>
      </c>
      <c r="J419" s="375" t="s">
        <v>1974</v>
      </c>
      <c r="K419" s="384">
        <v>81</v>
      </c>
      <c r="L419" s="184"/>
      <c r="M419" s="199" t="str">
        <f t="shared" si="9"/>
        <v>No</v>
      </c>
      <c r="N419" s="199"/>
      <c r="O419" s="199"/>
      <c r="P419" s="380"/>
      <c r="Q419" s="199"/>
      <c r="R419" s="184"/>
      <c r="S419" s="203"/>
      <c r="T419" s="184"/>
      <c r="U419" s="184"/>
      <c r="V419" s="184"/>
      <c r="W419" s="205"/>
      <c r="X419" s="184"/>
      <c r="Y419" s="184"/>
      <c r="Z419" s="184"/>
      <c r="AA419" s="396" t="s">
        <v>49</v>
      </c>
      <c r="AB419" s="376"/>
      <c r="AC419" s="376"/>
      <c r="AD419" s="376" t="str">
        <f t="shared" si="35"/>
        <v>Academia</v>
      </c>
      <c r="AE419" s="376"/>
      <c r="AF419" s="376"/>
      <c r="AG419" s="376"/>
    </row>
    <row r="420" ht="12.75" spans="1:33">
      <c r="A420" s="353" t="s">
        <v>1975</v>
      </c>
      <c r="B420" s="192" t="s">
        <v>41</v>
      </c>
      <c r="C420" s="192" t="s">
        <v>1976</v>
      </c>
      <c r="D420" s="192" t="s">
        <v>1977</v>
      </c>
      <c r="E420" s="192" t="s">
        <v>134</v>
      </c>
      <c r="F420" s="192" t="s">
        <v>1978</v>
      </c>
      <c r="G420" s="367">
        <v>38844</v>
      </c>
      <c r="H420" s="363">
        <f t="shared" si="34"/>
        <v>8844</v>
      </c>
      <c r="I420" s="353" t="s">
        <v>1979</v>
      </c>
      <c r="J420" s="371" t="s">
        <v>1980</v>
      </c>
      <c r="K420" s="236">
        <v>5419</v>
      </c>
      <c r="L420" s="182" t="s">
        <v>454</v>
      </c>
      <c r="M420" s="197" t="str">
        <f t="shared" si="9"/>
        <v>Yes</v>
      </c>
      <c r="N420" s="197"/>
      <c r="O420" s="197"/>
      <c r="P420" s="385"/>
      <c r="Q420" s="197"/>
      <c r="R420" s="182"/>
      <c r="S420" s="197"/>
      <c r="T420" s="182"/>
      <c r="U420" s="182"/>
      <c r="V420" s="182"/>
      <c r="W420" s="182"/>
      <c r="X420" s="182"/>
      <c r="Y420" s="182"/>
      <c r="Z420" s="182"/>
      <c r="AA420" s="399" t="s">
        <v>49</v>
      </c>
      <c r="AB420" s="372"/>
      <c r="AC420" s="372"/>
      <c r="AD420" s="372" t="str">
        <f t="shared" si="35"/>
        <v>Academia</v>
      </c>
      <c r="AE420" s="372"/>
      <c r="AF420" s="372"/>
      <c r="AG420" s="372"/>
    </row>
    <row r="421" ht="12.75" spans="1:33">
      <c r="A421" s="356"/>
      <c r="B421" s="215" t="s">
        <v>41</v>
      </c>
      <c r="C421" s="215"/>
      <c r="D421" s="215" t="s">
        <v>1981</v>
      </c>
      <c r="E421" s="215" t="s">
        <v>134</v>
      </c>
      <c r="F421" s="215" t="s">
        <v>1982</v>
      </c>
      <c r="G421" s="361">
        <v>38885</v>
      </c>
      <c r="H421" s="360">
        <f t="shared" si="34"/>
        <v>8885</v>
      </c>
      <c r="I421" s="356" t="s">
        <v>1983</v>
      </c>
      <c r="J421" s="375" t="s">
        <v>1984</v>
      </c>
      <c r="K421" s="379">
        <v>9807</v>
      </c>
      <c r="L421" s="184" t="s">
        <v>454</v>
      </c>
      <c r="M421" s="199" t="str">
        <f t="shared" si="9"/>
        <v>Yes</v>
      </c>
      <c r="N421" s="199"/>
      <c r="O421" s="199"/>
      <c r="P421" s="380"/>
      <c r="Q421" s="199"/>
      <c r="R421" s="184"/>
      <c r="S421" s="199"/>
      <c r="T421" s="184"/>
      <c r="U421" s="184"/>
      <c r="V421" s="184"/>
      <c r="W421" s="184"/>
      <c r="X421" s="184"/>
      <c r="Y421" s="184"/>
      <c r="Z421" s="184"/>
      <c r="AA421" s="396" t="s">
        <v>49</v>
      </c>
      <c r="AB421" s="376"/>
      <c r="AC421" s="376"/>
      <c r="AD421" s="376" t="str">
        <f t="shared" si="35"/>
        <v>Academia</v>
      </c>
      <c r="AE421" s="376"/>
      <c r="AF421" s="376"/>
      <c r="AG421" s="376"/>
    </row>
    <row r="422" ht="12.75" spans="1:33">
      <c r="A422" s="353" t="s">
        <v>1985</v>
      </c>
      <c r="B422" s="192" t="s">
        <v>41</v>
      </c>
      <c r="C422" s="192" t="s">
        <v>1986</v>
      </c>
      <c r="D422" s="192" t="s">
        <v>1689</v>
      </c>
      <c r="E422" s="192" t="s">
        <v>134</v>
      </c>
      <c r="F422" s="192" t="s">
        <v>1987</v>
      </c>
      <c r="G422" s="367">
        <v>38885</v>
      </c>
      <c r="H422" s="363">
        <f t="shared" si="34"/>
        <v>8885</v>
      </c>
      <c r="I422" s="353" t="s">
        <v>1988</v>
      </c>
      <c r="J422" s="371" t="s">
        <v>1989</v>
      </c>
      <c r="K422" s="236">
        <v>2691</v>
      </c>
      <c r="L422" s="182" t="s">
        <v>454</v>
      </c>
      <c r="M422" s="197" t="str">
        <f t="shared" si="9"/>
        <v>Yes</v>
      </c>
      <c r="N422" s="197">
        <f>15*(6*6+1)+30*(15*9*9+1)+2*(30+1)</f>
        <v>37097</v>
      </c>
      <c r="O422" s="197"/>
      <c r="P422" s="385"/>
      <c r="Q422" s="197">
        <v>217470</v>
      </c>
      <c r="R422" s="182"/>
      <c r="S422" s="197"/>
      <c r="T422" s="182"/>
      <c r="U422" s="182"/>
      <c r="V422" s="182"/>
      <c r="W422" s="182"/>
      <c r="X422" s="182"/>
      <c r="Y422" s="182"/>
      <c r="Z422" s="182"/>
      <c r="AA422" s="399" t="s">
        <v>49</v>
      </c>
      <c r="AB422" s="372"/>
      <c r="AC422" s="372"/>
      <c r="AD422" s="372" t="str">
        <f t="shared" si="35"/>
        <v>Academia</v>
      </c>
      <c r="AE422" s="372"/>
      <c r="AF422" s="372"/>
      <c r="AG422" s="372"/>
    </row>
    <row r="423" ht="12.75" spans="1:33">
      <c r="A423" s="356" t="s">
        <v>1990</v>
      </c>
      <c r="B423" s="215" t="s">
        <v>126</v>
      </c>
      <c r="C423" s="215" t="s">
        <v>874</v>
      </c>
      <c r="D423" s="215" t="s">
        <v>1991</v>
      </c>
      <c r="E423" s="215" t="s">
        <v>134</v>
      </c>
      <c r="F423" s="215" t="s">
        <v>1992</v>
      </c>
      <c r="G423" s="361">
        <v>38893</v>
      </c>
      <c r="H423" s="360">
        <f t="shared" si="34"/>
        <v>8893</v>
      </c>
      <c r="I423" s="356" t="s">
        <v>1993</v>
      </c>
      <c r="J423" s="375" t="s">
        <v>1994</v>
      </c>
      <c r="K423" s="379">
        <v>3288</v>
      </c>
      <c r="L423" s="184" t="s">
        <v>454</v>
      </c>
      <c r="M423" s="199" t="str">
        <f t="shared" si="9"/>
        <v>Yes</v>
      </c>
      <c r="N423" s="199">
        <v>114662</v>
      </c>
      <c r="O423" s="199"/>
      <c r="P423" s="380" t="s">
        <v>1706</v>
      </c>
      <c r="Q423" s="199">
        <v>41620</v>
      </c>
      <c r="R423" s="184"/>
      <c r="S423" s="199"/>
      <c r="T423" s="184"/>
      <c r="U423" s="184"/>
      <c r="V423" s="184"/>
      <c r="W423" s="184"/>
      <c r="X423" s="184"/>
      <c r="Y423" s="184"/>
      <c r="Z423" s="184"/>
      <c r="AA423" s="396" t="s">
        <v>49</v>
      </c>
      <c r="AB423" s="376"/>
      <c r="AC423" s="376"/>
      <c r="AD423" s="376" t="str">
        <f t="shared" si="35"/>
        <v>Academia</v>
      </c>
      <c r="AE423" s="376"/>
      <c r="AF423" s="376"/>
      <c r="AG423" s="376"/>
    </row>
    <row r="424" ht="12.75" spans="1:33">
      <c r="A424" s="353" t="s">
        <v>1995</v>
      </c>
      <c r="B424" s="192" t="s">
        <v>51</v>
      </c>
      <c r="C424" s="192"/>
      <c r="D424" s="192" t="s">
        <v>1166</v>
      </c>
      <c r="E424" s="192" t="s">
        <v>134</v>
      </c>
      <c r="F424" s="192" t="s">
        <v>1996</v>
      </c>
      <c r="G424" s="367">
        <v>38905</v>
      </c>
      <c r="H424" s="363">
        <f t="shared" si="34"/>
        <v>8905</v>
      </c>
      <c r="I424" s="353" t="s">
        <v>1997</v>
      </c>
      <c r="J424" s="371" t="s">
        <v>1998</v>
      </c>
      <c r="K424" s="236">
        <v>571</v>
      </c>
      <c r="L424" s="182"/>
      <c r="M424" s="197" t="str">
        <f t="shared" si="9"/>
        <v>No</v>
      </c>
      <c r="N424" s="197">
        <v>100</v>
      </c>
      <c r="O424" s="197"/>
      <c r="P424" s="374"/>
      <c r="Q424" s="197">
        <v>850750</v>
      </c>
      <c r="R424" s="182"/>
      <c r="S424" s="197"/>
      <c r="T424" s="182"/>
      <c r="U424" s="182"/>
      <c r="V424" s="182"/>
      <c r="W424" s="182"/>
      <c r="X424" s="182"/>
      <c r="Y424" s="182"/>
      <c r="Z424" s="182"/>
      <c r="AA424" s="399" t="s">
        <v>49</v>
      </c>
      <c r="AB424" s="372"/>
      <c r="AC424" s="372" t="s">
        <v>1999</v>
      </c>
      <c r="AD424" s="372" t="str">
        <f t="shared" si="35"/>
        <v>Academia</v>
      </c>
      <c r="AE424" s="372"/>
      <c r="AF424" s="372"/>
      <c r="AG424" s="372"/>
    </row>
    <row r="425" ht="12.75" spans="1:33">
      <c r="A425" s="356" t="s">
        <v>2000</v>
      </c>
      <c r="B425" s="215" t="s">
        <v>41</v>
      </c>
      <c r="C425" s="215" t="s">
        <v>1811</v>
      </c>
      <c r="D425" s="215" t="s">
        <v>1267</v>
      </c>
      <c r="E425" s="215" t="s">
        <v>134</v>
      </c>
      <c r="F425" s="215" t="s">
        <v>2001</v>
      </c>
      <c r="G425" s="361">
        <v>38916</v>
      </c>
      <c r="H425" s="360">
        <f t="shared" si="34"/>
        <v>8916</v>
      </c>
      <c r="I425" s="356" t="s">
        <v>2002</v>
      </c>
      <c r="J425" s="375" t="s">
        <v>2003</v>
      </c>
      <c r="K425" s="379">
        <v>15697</v>
      </c>
      <c r="L425" s="184" t="s">
        <v>454</v>
      </c>
      <c r="M425" s="199" t="str">
        <f t="shared" si="9"/>
        <v>Yes</v>
      </c>
      <c r="N425" s="199">
        <v>3800000</v>
      </c>
      <c r="O425" s="199"/>
      <c r="P425" s="380"/>
      <c r="Q425" s="199">
        <v>70000</v>
      </c>
      <c r="R425" s="184"/>
      <c r="S425" s="199"/>
      <c r="T425" s="184"/>
      <c r="U425" s="184"/>
      <c r="V425" s="184"/>
      <c r="W425" s="184"/>
      <c r="X425" s="184"/>
      <c r="Y425" s="184"/>
      <c r="Z425" s="184"/>
      <c r="AA425" s="396" t="s">
        <v>49</v>
      </c>
      <c r="AB425" s="376"/>
      <c r="AC425" s="376"/>
      <c r="AD425" s="376" t="str">
        <f t="shared" si="35"/>
        <v>Academia</v>
      </c>
      <c r="AE425" s="376"/>
      <c r="AF425" s="376"/>
      <c r="AG425" s="376"/>
    </row>
    <row r="426" ht="12.75" spans="1:33">
      <c r="A426" s="353" t="s">
        <v>2004</v>
      </c>
      <c r="B426" s="192" t="s">
        <v>41</v>
      </c>
      <c r="C426" s="192" t="s">
        <v>1231</v>
      </c>
      <c r="D426" s="192" t="s">
        <v>2005</v>
      </c>
      <c r="E426" s="192" t="s">
        <v>134</v>
      </c>
      <c r="F426" s="192" t="s">
        <v>2006</v>
      </c>
      <c r="G426" s="367">
        <v>38916</v>
      </c>
      <c r="H426" s="363">
        <f t="shared" si="34"/>
        <v>8916</v>
      </c>
      <c r="I426" s="353" t="s">
        <v>2007</v>
      </c>
      <c r="J426" s="371" t="s">
        <v>2008</v>
      </c>
      <c r="K426" s="236">
        <v>16071</v>
      </c>
      <c r="L426" s="182" t="s">
        <v>454</v>
      </c>
      <c r="M426" s="197" t="str">
        <f t="shared" si="9"/>
        <v>Yes</v>
      </c>
      <c r="N426" s="197">
        <f>1600000</f>
        <v>1600000</v>
      </c>
      <c r="O426" s="197"/>
      <c r="P426" s="416" t="s">
        <v>1647</v>
      </c>
      <c r="Q426" s="197">
        <v>60000</v>
      </c>
      <c r="R426" s="182"/>
      <c r="S426" s="197"/>
      <c r="T426" s="182"/>
      <c r="U426" s="182"/>
      <c r="V426" s="182"/>
      <c r="W426" s="182"/>
      <c r="X426" s="182"/>
      <c r="Y426" s="182"/>
      <c r="Z426" s="182"/>
      <c r="AA426" s="399" t="s">
        <v>49</v>
      </c>
      <c r="AB426" s="372"/>
      <c r="AC426" s="372"/>
      <c r="AD426" s="372" t="str">
        <f t="shared" si="35"/>
        <v>Academia</v>
      </c>
      <c r="AE426" s="372"/>
      <c r="AF426" s="372"/>
      <c r="AG426" s="372"/>
    </row>
    <row r="427" ht="12.75" spans="1:33">
      <c r="A427" s="356"/>
      <c r="B427" s="215"/>
      <c r="C427" s="368"/>
      <c r="D427" s="215" t="s">
        <v>2009</v>
      </c>
      <c r="E427" s="215" t="s">
        <v>134</v>
      </c>
      <c r="F427" s="215" t="s">
        <v>2010</v>
      </c>
      <c r="G427" s="361">
        <v>39052</v>
      </c>
      <c r="H427" s="360">
        <v>2006</v>
      </c>
      <c r="I427" s="356" t="s">
        <v>2011</v>
      </c>
      <c r="J427" s="375" t="s">
        <v>2012</v>
      </c>
      <c r="K427" s="379">
        <v>3111</v>
      </c>
      <c r="L427" s="184" t="s">
        <v>454</v>
      </c>
      <c r="M427" s="199" t="str">
        <f t="shared" si="9"/>
        <v>Yes</v>
      </c>
      <c r="N427" s="199"/>
      <c r="O427" s="199"/>
      <c r="P427" s="380"/>
      <c r="Q427" s="199"/>
      <c r="R427" s="184"/>
      <c r="S427" s="199"/>
      <c r="T427" s="184"/>
      <c r="U427" s="184"/>
      <c r="V427" s="184"/>
      <c r="W427" s="184"/>
      <c r="X427" s="184"/>
      <c r="Y427" s="184"/>
      <c r="Z427" s="184"/>
      <c r="AA427" s="396" t="s">
        <v>49</v>
      </c>
      <c r="AB427" s="376"/>
      <c r="AC427" s="376"/>
      <c r="AD427" s="376" t="str">
        <f t="shared" si="35"/>
        <v>Academia</v>
      </c>
      <c r="AE427" s="376"/>
      <c r="AF427" s="376"/>
      <c r="AG427" s="376"/>
    </row>
    <row r="428" ht="12.75" spans="1:33">
      <c r="A428" s="353"/>
      <c r="B428" s="192" t="s">
        <v>41</v>
      </c>
      <c r="C428" s="192"/>
      <c r="D428" s="192" t="s">
        <v>1622</v>
      </c>
      <c r="E428" s="192" t="s">
        <v>134</v>
      </c>
      <c r="F428" s="192" t="s">
        <v>2013</v>
      </c>
      <c r="G428" s="367">
        <v>39055</v>
      </c>
      <c r="H428" s="363">
        <f t="shared" ref="H428:H442" si="40">IF(INT(RIGHT(G428,4))&lt;1,"",INT(RIGHT(G428,4)))</f>
        <v>9055</v>
      </c>
      <c r="I428" s="353" t="s">
        <v>2014</v>
      </c>
      <c r="J428" s="371" t="s">
        <v>2015</v>
      </c>
      <c r="K428" s="238">
        <v>1601</v>
      </c>
      <c r="L428" s="182" t="s">
        <v>454</v>
      </c>
      <c r="M428" s="197" t="str">
        <f t="shared" si="9"/>
        <v>Yes</v>
      </c>
      <c r="N428" s="197"/>
      <c r="O428" s="197"/>
      <c r="P428" s="381" t="s">
        <v>1647</v>
      </c>
      <c r="Q428" s="197">
        <v>60000</v>
      </c>
      <c r="R428" s="182"/>
      <c r="S428" s="197"/>
      <c r="T428" s="182"/>
      <c r="U428" s="182"/>
      <c r="V428" s="182"/>
      <c r="W428" s="182"/>
      <c r="X428" s="182"/>
      <c r="Y428" s="182"/>
      <c r="Z428" s="182"/>
      <c r="AA428" s="399" t="s">
        <v>49</v>
      </c>
      <c r="AB428" s="372"/>
      <c r="AC428" s="372"/>
      <c r="AD428" s="372" t="str">
        <f t="shared" si="35"/>
        <v>Academia</v>
      </c>
      <c r="AE428" s="372"/>
      <c r="AF428" s="372"/>
      <c r="AG428" s="372"/>
    </row>
    <row r="429" ht="12.75" spans="1:33">
      <c r="A429" s="356"/>
      <c r="B429" s="215"/>
      <c r="C429" s="215"/>
      <c r="D429" s="215" t="s">
        <v>1656</v>
      </c>
      <c r="E429" s="215" t="s">
        <v>134</v>
      </c>
      <c r="F429" s="215" t="s">
        <v>2016</v>
      </c>
      <c r="G429" s="361">
        <v>39055</v>
      </c>
      <c r="H429" s="360">
        <f t="shared" si="40"/>
        <v>9055</v>
      </c>
      <c r="I429" s="356" t="s">
        <v>2017</v>
      </c>
      <c r="J429" s="375" t="s">
        <v>2018</v>
      </c>
      <c r="K429" s="379">
        <v>5605</v>
      </c>
      <c r="L429" s="184" t="s">
        <v>454</v>
      </c>
      <c r="M429" s="199" t="str">
        <f t="shared" si="9"/>
        <v>Yes</v>
      </c>
      <c r="N429" s="199"/>
      <c r="O429" s="199"/>
      <c r="P429" s="380"/>
      <c r="Q429" s="199"/>
      <c r="R429" s="184"/>
      <c r="S429" s="203"/>
      <c r="T429" s="184"/>
      <c r="U429" s="184"/>
      <c r="V429" s="184"/>
      <c r="W429" s="205"/>
      <c r="X429" s="184"/>
      <c r="Y429" s="184"/>
      <c r="Z429" s="184"/>
      <c r="AA429" s="396" t="s">
        <v>49</v>
      </c>
      <c r="AB429" s="376"/>
      <c r="AC429" s="376"/>
      <c r="AD429" s="376" t="str">
        <f t="shared" si="35"/>
        <v>Academia</v>
      </c>
      <c r="AE429" s="376"/>
      <c r="AF429" s="376"/>
      <c r="AG429" s="376"/>
    </row>
    <row r="430" ht="12.75" spans="1:33">
      <c r="A430" s="353" t="s">
        <v>2019</v>
      </c>
      <c r="B430" s="192" t="s">
        <v>126</v>
      </c>
      <c r="C430" s="192" t="s">
        <v>874</v>
      </c>
      <c r="D430" s="192" t="s">
        <v>2020</v>
      </c>
      <c r="E430" s="192" t="s">
        <v>134</v>
      </c>
      <c r="F430" s="192" t="s">
        <v>2021</v>
      </c>
      <c r="G430" s="367">
        <v>38565</v>
      </c>
      <c r="H430" s="363">
        <f t="shared" si="40"/>
        <v>8565</v>
      </c>
      <c r="I430" s="353" t="s">
        <v>2022</v>
      </c>
      <c r="J430" s="371" t="s">
        <v>2023</v>
      </c>
      <c r="K430" s="236">
        <v>3386</v>
      </c>
      <c r="L430" s="182" t="s">
        <v>454</v>
      </c>
      <c r="M430" s="197" t="str">
        <f t="shared" si="9"/>
        <v>Yes</v>
      </c>
      <c r="N430" s="197">
        <v>152061</v>
      </c>
      <c r="O430" s="389">
        <v>24124575958774.9</v>
      </c>
      <c r="P430" s="381" t="s">
        <v>1706</v>
      </c>
      <c r="Q430" s="197">
        <v>41620</v>
      </c>
      <c r="R430" s="182"/>
      <c r="S430" s="197"/>
      <c r="T430" s="182"/>
      <c r="U430" s="182"/>
      <c r="V430" s="182"/>
      <c r="W430" s="182"/>
      <c r="X430" s="182"/>
      <c r="Y430" s="182"/>
      <c r="Z430" s="182"/>
      <c r="AA430" s="399" t="s">
        <v>49</v>
      </c>
      <c r="AB430" s="372"/>
      <c r="AC430" s="372"/>
      <c r="AD430" s="372" t="str">
        <f t="shared" si="35"/>
        <v>Academia</v>
      </c>
      <c r="AE430" s="372"/>
      <c r="AF430" s="372"/>
      <c r="AG430" s="372"/>
    </row>
    <row r="431" ht="12.75" spans="1:33">
      <c r="A431" s="356" t="s">
        <v>2024</v>
      </c>
      <c r="B431" s="215" t="s">
        <v>199</v>
      </c>
      <c r="C431" s="215"/>
      <c r="D431" s="215" t="s">
        <v>2025</v>
      </c>
      <c r="E431" s="215" t="s">
        <v>134</v>
      </c>
      <c r="F431" s="215" t="s">
        <v>2026</v>
      </c>
      <c r="G431" s="361">
        <v>38464</v>
      </c>
      <c r="H431" s="360">
        <f t="shared" si="40"/>
        <v>8464</v>
      </c>
      <c r="I431" s="356" t="s">
        <v>2027</v>
      </c>
      <c r="J431" s="375" t="s">
        <v>2028</v>
      </c>
      <c r="K431" s="379">
        <v>1682</v>
      </c>
      <c r="L431" s="184" t="s">
        <v>454</v>
      </c>
      <c r="M431" s="199" t="str">
        <f t="shared" si="9"/>
        <v>Yes</v>
      </c>
      <c r="N431" s="199">
        <v>178</v>
      </c>
      <c r="O431" s="199"/>
      <c r="P431" s="380"/>
      <c r="Q431" s="199">
        <v>5400</v>
      </c>
      <c r="R431" s="184"/>
      <c r="S431" s="203"/>
      <c r="T431" s="184"/>
      <c r="U431" s="184"/>
      <c r="V431" s="184"/>
      <c r="W431" s="205"/>
      <c r="X431" s="184"/>
      <c r="Y431" s="184"/>
      <c r="Z431" s="184"/>
      <c r="AA431" s="396" t="s">
        <v>49</v>
      </c>
      <c r="AB431" s="376"/>
      <c r="AC431" s="376"/>
      <c r="AD431" s="376" t="str">
        <f t="shared" si="35"/>
        <v>Academia</v>
      </c>
      <c r="AE431" s="376"/>
      <c r="AF431" s="376"/>
      <c r="AG431" s="376"/>
    </row>
    <row r="432" ht="12.75" spans="1:33">
      <c r="A432" s="353" t="s">
        <v>2029</v>
      </c>
      <c r="B432" s="192" t="s">
        <v>51</v>
      </c>
      <c r="C432" s="192" t="s">
        <v>144</v>
      </c>
      <c r="D432" s="192" t="s">
        <v>1756</v>
      </c>
      <c r="E432" s="192" t="s">
        <v>134</v>
      </c>
      <c r="F432" s="192" t="s">
        <v>2030</v>
      </c>
      <c r="G432" s="367">
        <v>38504</v>
      </c>
      <c r="H432" s="363">
        <f t="shared" si="40"/>
        <v>8504</v>
      </c>
      <c r="I432" s="353" t="s">
        <v>2031</v>
      </c>
      <c r="J432" s="371" t="s">
        <v>2032</v>
      </c>
      <c r="K432" s="236">
        <v>1487</v>
      </c>
      <c r="L432" s="182" t="s">
        <v>454</v>
      </c>
      <c r="M432" s="197" t="str">
        <f t="shared" si="9"/>
        <v>Yes</v>
      </c>
      <c r="N432" s="197">
        <f>24000000*5</f>
        <v>120000000</v>
      </c>
      <c r="O432" s="197"/>
      <c r="P432" s="385"/>
      <c r="Q432" s="197">
        <f>(7.2+9.2+155)*1000000</f>
        <v>171400000</v>
      </c>
      <c r="R432" s="182"/>
      <c r="S432" s="197"/>
      <c r="T432" s="182"/>
      <c r="U432" s="182"/>
      <c r="V432" s="182"/>
      <c r="W432" s="182"/>
      <c r="X432" s="182"/>
      <c r="Y432" s="182"/>
      <c r="Z432" s="182"/>
      <c r="AA432" s="399" t="s">
        <v>49</v>
      </c>
      <c r="AB432" s="372"/>
      <c r="AC432" s="372" t="s">
        <v>2033</v>
      </c>
      <c r="AD432" s="372" t="str">
        <f t="shared" si="35"/>
        <v>Academia</v>
      </c>
      <c r="AE432" s="372"/>
      <c r="AF432" s="372"/>
      <c r="AG432" s="372"/>
    </row>
    <row r="433" ht="12.75" spans="1:33">
      <c r="A433" s="356"/>
      <c r="B433" s="215"/>
      <c r="C433" s="215"/>
      <c r="D433" s="215" t="s">
        <v>2034</v>
      </c>
      <c r="E433" s="215" t="s">
        <v>134</v>
      </c>
      <c r="F433" s="215" t="s">
        <v>2035</v>
      </c>
      <c r="G433" s="361">
        <v>38523</v>
      </c>
      <c r="H433" s="360">
        <f t="shared" si="40"/>
        <v>8523</v>
      </c>
      <c r="I433" s="356" t="s">
        <v>2036</v>
      </c>
      <c r="J433" s="375" t="s">
        <v>2037</v>
      </c>
      <c r="K433" s="379">
        <v>6868</v>
      </c>
      <c r="L433" s="184" t="s">
        <v>454</v>
      </c>
      <c r="M433" s="199" t="str">
        <f t="shared" si="9"/>
        <v>Yes</v>
      </c>
      <c r="N433" s="199"/>
      <c r="O433" s="199"/>
      <c r="P433" s="380"/>
      <c r="Q433" s="199"/>
      <c r="R433" s="184"/>
      <c r="S433" s="203"/>
      <c r="T433" s="184"/>
      <c r="U433" s="184"/>
      <c r="V433" s="184"/>
      <c r="W433" s="205"/>
      <c r="X433" s="184"/>
      <c r="Y433" s="184"/>
      <c r="Z433" s="184"/>
      <c r="AA433" s="396" t="s">
        <v>49</v>
      </c>
      <c r="AB433" s="376"/>
      <c r="AC433" s="376"/>
      <c r="AD433" s="376" t="str">
        <f t="shared" si="35"/>
        <v>Academia</v>
      </c>
      <c r="AE433" s="376"/>
      <c r="AF433" s="376"/>
      <c r="AG433" s="376"/>
    </row>
    <row r="434" ht="12.75" spans="1:33">
      <c r="A434" s="353"/>
      <c r="B434" s="192" t="s">
        <v>41</v>
      </c>
      <c r="C434" s="192"/>
      <c r="D434" s="192" t="s">
        <v>1689</v>
      </c>
      <c r="E434" s="192" t="s">
        <v>134</v>
      </c>
      <c r="F434" s="192" t="s">
        <v>2038</v>
      </c>
      <c r="G434" s="367">
        <v>38523</v>
      </c>
      <c r="H434" s="363">
        <f t="shared" si="40"/>
        <v>8523</v>
      </c>
      <c r="I434" s="353" t="s">
        <v>2039</v>
      </c>
      <c r="J434" s="371" t="s">
        <v>2040</v>
      </c>
      <c r="K434" s="236">
        <v>3054</v>
      </c>
      <c r="L434" s="182" t="s">
        <v>454</v>
      </c>
      <c r="M434" s="197" t="str">
        <f t="shared" si="9"/>
        <v>Yes</v>
      </c>
      <c r="N434" s="197"/>
      <c r="O434" s="197"/>
      <c r="P434" s="385"/>
      <c r="Q434" s="197">
        <v>140000</v>
      </c>
      <c r="R434" s="182"/>
      <c r="S434" s="200"/>
      <c r="T434" s="182"/>
      <c r="U434" s="182"/>
      <c r="V434" s="182"/>
      <c r="W434" s="204"/>
      <c r="X434" s="182"/>
      <c r="Y434" s="182"/>
      <c r="Z434" s="182"/>
      <c r="AA434" s="399" t="s">
        <v>49</v>
      </c>
      <c r="AB434" s="372"/>
      <c r="AC434" s="372"/>
      <c r="AD434" s="372" t="str">
        <f t="shared" si="35"/>
        <v>Academia</v>
      </c>
      <c r="AE434" s="372"/>
      <c r="AF434" s="372"/>
      <c r="AG434" s="372"/>
    </row>
    <row r="435" ht="12.75" spans="1:33">
      <c r="A435" s="356"/>
      <c r="B435" s="215" t="s">
        <v>41</v>
      </c>
      <c r="C435" s="215"/>
      <c r="D435" s="215" t="s">
        <v>2041</v>
      </c>
      <c r="E435" s="215" t="s">
        <v>134</v>
      </c>
      <c r="F435" s="215" t="s">
        <v>2042</v>
      </c>
      <c r="G435" s="361">
        <v>38528</v>
      </c>
      <c r="H435" s="360">
        <f t="shared" si="40"/>
        <v>8528</v>
      </c>
      <c r="I435" s="356" t="s">
        <v>2043</v>
      </c>
      <c r="J435" s="375" t="s">
        <v>2044</v>
      </c>
      <c r="K435" s="379">
        <v>36578</v>
      </c>
      <c r="L435" s="184" t="s">
        <v>454</v>
      </c>
      <c r="M435" s="199" t="str">
        <f t="shared" si="9"/>
        <v>Yes</v>
      </c>
      <c r="N435" s="199"/>
      <c r="O435" s="199"/>
      <c r="P435" s="378"/>
      <c r="Q435" s="199">
        <v>1805</v>
      </c>
      <c r="R435" s="184"/>
      <c r="S435" s="199"/>
      <c r="T435" s="184"/>
      <c r="U435" s="184"/>
      <c r="V435" s="184"/>
      <c r="W435" s="184"/>
      <c r="X435" s="184"/>
      <c r="Y435" s="184"/>
      <c r="Z435" s="184"/>
      <c r="AA435" s="396" t="s">
        <v>49</v>
      </c>
      <c r="AB435" s="376"/>
      <c r="AC435" s="376"/>
      <c r="AD435" s="376" t="str">
        <f t="shared" si="35"/>
        <v>Academia</v>
      </c>
      <c r="AE435" s="376"/>
      <c r="AF435" s="376"/>
      <c r="AG435" s="376"/>
    </row>
    <row r="436" ht="12.75" spans="1:33">
      <c r="A436" s="353"/>
      <c r="B436" s="192"/>
      <c r="C436" s="192"/>
      <c r="D436" s="192" t="s">
        <v>1166</v>
      </c>
      <c r="E436" s="192" t="s">
        <v>134</v>
      </c>
      <c r="F436" s="192" t="s">
        <v>2045</v>
      </c>
      <c r="G436" s="367">
        <v>38047</v>
      </c>
      <c r="H436" s="363">
        <f t="shared" si="40"/>
        <v>8047</v>
      </c>
      <c r="I436" s="353" t="s">
        <v>2046</v>
      </c>
      <c r="J436" s="371" t="s">
        <v>2047</v>
      </c>
      <c r="K436" s="236">
        <v>1764</v>
      </c>
      <c r="L436" s="182" t="s">
        <v>454</v>
      </c>
      <c r="M436" s="197" t="str">
        <f t="shared" si="9"/>
        <v>Yes</v>
      </c>
      <c r="N436" s="197"/>
      <c r="O436" s="197"/>
      <c r="P436" s="385"/>
      <c r="Q436" s="197">
        <v>600</v>
      </c>
      <c r="R436" s="182"/>
      <c r="S436" s="200"/>
      <c r="T436" s="182"/>
      <c r="U436" s="182"/>
      <c r="V436" s="182"/>
      <c r="W436" s="204"/>
      <c r="X436" s="182"/>
      <c r="Y436" s="182"/>
      <c r="Z436" s="182"/>
      <c r="AA436" s="399" t="s">
        <v>49</v>
      </c>
      <c r="AB436" s="372"/>
      <c r="AC436" s="372"/>
      <c r="AD436" s="372" t="str">
        <f t="shared" si="35"/>
        <v>Academia</v>
      </c>
      <c r="AE436" s="372"/>
      <c r="AF436" s="372"/>
      <c r="AG436" s="372"/>
    </row>
    <row r="437" ht="12.75" spans="1:33">
      <c r="A437" s="356"/>
      <c r="B437" s="215"/>
      <c r="C437" s="215"/>
      <c r="D437" s="215" t="s">
        <v>2048</v>
      </c>
      <c r="E437" s="215" t="s">
        <v>134</v>
      </c>
      <c r="F437" s="215" t="s">
        <v>2049</v>
      </c>
      <c r="G437" s="361">
        <v>38139</v>
      </c>
      <c r="H437" s="360">
        <f t="shared" si="40"/>
        <v>8139</v>
      </c>
      <c r="I437" s="356" t="s">
        <v>2050</v>
      </c>
      <c r="J437" s="375" t="s">
        <v>2051</v>
      </c>
      <c r="K437" s="379">
        <v>471</v>
      </c>
      <c r="L437" s="184"/>
      <c r="M437" s="199" t="str">
        <f t="shared" si="9"/>
        <v>No</v>
      </c>
      <c r="N437" s="199"/>
      <c r="O437" s="199"/>
      <c r="P437" s="380"/>
      <c r="Q437" s="199"/>
      <c r="R437" s="184"/>
      <c r="S437" s="203"/>
      <c r="T437" s="184"/>
      <c r="U437" s="184"/>
      <c r="V437" s="184"/>
      <c r="W437" s="205"/>
      <c r="X437" s="184"/>
      <c r="Y437" s="184"/>
      <c r="Z437" s="184"/>
      <c r="AA437" s="396" t="s">
        <v>49</v>
      </c>
      <c r="AB437" s="376"/>
      <c r="AC437" s="376"/>
      <c r="AD437" s="376" t="str">
        <f t="shared" si="35"/>
        <v>Academia</v>
      </c>
      <c r="AE437" s="376"/>
      <c r="AF437" s="376"/>
      <c r="AG437" s="376"/>
    </row>
    <row r="438" ht="12.75" spans="1:33">
      <c r="A438" s="353" t="s">
        <v>2052</v>
      </c>
      <c r="B438" s="192" t="s">
        <v>1910</v>
      </c>
      <c r="C438" s="192" t="s">
        <v>1911</v>
      </c>
      <c r="D438" s="192" t="s">
        <v>1089</v>
      </c>
      <c r="E438" s="192" t="s">
        <v>134</v>
      </c>
      <c r="F438" s="192" t="s">
        <v>2053</v>
      </c>
      <c r="G438" s="367">
        <v>38152</v>
      </c>
      <c r="H438" s="363">
        <f t="shared" si="40"/>
        <v>8152</v>
      </c>
      <c r="I438" s="353" t="s">
        <v>2054</v>
      </c>
      <c r="J438" s="371" t="s">
        <v>2055</v>
      </c>
      <c r="K438" s="236">
        <v>66</v>
      </c>
      <c r="L438" s="182"/>
      <c r="M438" s="197" t="str">
        <f t="shared" si="9"/>
        <v>No</v>
      </c>
      <c r="N438" s="197"/>
      <c r="O438" s="197"/>
      <c r="P438" s="385"/>
      <c r="Q438" s="197"/>
      <c r="R438" s="182"/>
      <c r="S438" s="200"/>
      <c r="T438" s="182"/>
      <c r="U438" s="182"/>
      <c r="V438" s="182"/>
      <c r="W438" s="204"/>
      <c r="X438" s="182"/>
      <c r="Y438" s="182"/>
      <c r="Z438" s="182"/>
      <c r="AA438" s="399" t="s">
        <v>49</v>
      </c>
      <c r="AB438" s="372"/>
      <c r="AC438" s="372"/>
      <c r="AD438" s="372" t="str">
        <f t="shared" si="35"/>
        <v>Academia</v>
      </c>
      <c r="AE438" s="372"/>
      <c r="AF438" s="372"/>
      <c r="AG438" s="372"/>
    </row>
    <row r="439" ht="12.75" spans="1:33">
      <c r="A439" s="356"/>
      <c r="B439" s="215" t="s">
        <v>51</v>
      </c>
      <c r="C439" s="215" t="s">
        <v>2056</v>
      </c>
      <c r="D439" s="215" t="s">
        <v>2057</v>
      </c>
      <c r="E439" s="215" t="s">
        <v>134</v>
      </c>
      <c r="F439" s="215" t="s">
        <v>2058</v>
      </c>
      <c r="G439" s="361">
        <v>38169</v>
      </c>
      <c r="H439" s="360">
        <f t="shared" si="40"/>
        <v>8169</v>
      </c>
      <c r="I439" s="356" t="s">
        <v>2059</v>
      </c>
      <c r="J439" s="375" t="s">
        <v>2060</v>
      </c>
      <c r="K439" s="379">
        <v>475</v>
      </c>
      <c r="L439" s="184"/>
      <c r="M439" s="199" t="str">
        <f t="shared" si="9"/>
        <v>No</v>
      </c>
      <c r="N439" s="199"/>
      <c r="O439" s="199"/>
      <c r="P439" s="380"/>
      <c r="Q439" s="199">
        <v>5000</v>
      </c>
      <c r="R439" s="184"/>
      <c r="S439" s="203"/>
      <c r="T439" s="184"/>
      <c r="U439" s="184"/>
      <c r="V439" s="184"/>
      <c r="W439" s="205"/>
      <c r="X439" s="184"/>
      <c r="Y439" s="184"/>
      <c r="Z439" s="184"/>
      <c r="AA439" s="396" t="s">
        <v>49</v>
      </c>
      <c r="AB439" s="376"/>
      <c r="AC439" s="376"/>
      <c r="AD439" s="376" t="str">
        <f t="shared" si="35"/>
        <v>Academia</v>
      </c>
      <c r="AE439" s="376"/>
      <c r="AF439" s="376"/>
      <c r="AG439" s="376"/>
    </row>
    <row r="440" ht="12.75" spans="1:33">
      <c r="A440" s="353" t="s">
        <v>2061</v>
      </c>
      <c r="B440" s="192" t="s">
        <v>41</v>
      </c>
      <c r="C440" s="192" t="s">
        <v>1231</v>
      </c>
      <c r="D440" s="192" t="s">
        <v>2062</v>
      </c>
      <c r="E440" s="192" t="s">
        <v>134</v>
      </c>
      <c r="F440" s="192" t="s">
        <v>2063</v>
      </c>
      <c r="G440" s="367">
        <v>38198</v>
      </c>
      <c r="H440" s="363">
        <f t="shared" si="40"/>
        <v>8198</v>
      </c>
      <c r="I440" s="353" t="s">
        <v>2064</v>
      </c>
      <c r="J440" s="371" t="s">
        <v>2065</v>
      </c>
      <c r="K440" s="236">
        <v>188</v>
      </c>
      <c r="L440" s="182"/>
      <c r="M440" s="197" t="str">
        <f t="shared" si="9"/>
        <v>No</v>
      </c>
      <c r="N440" s="197">
        <f>10000*10</f>
        <v>100000</v>
      </c>
      <c r="O440" s="197"/>
      <c r="P440" s="385"/>
      <c r="Q440" s="197">
        <v>10000</v>
      </c>
      <c r="R440" s="182">
        <v>1</v>
      </c>
      <c r="S440" s="200"/>
      <c r="T440" s="182"/>
      <c r="U440" s="182">
        <v>45</v>
      </c>
      <c r="V440" s="182">
        <v>500</v>
      </c>
      <c r="W440" s="204"/>
      <c r="X440" s="182"/>
      <c r="Y440" s="182"/>
      <c r="Z440" s="182"/>
      <c r="AA440" s="399" t="s">
        <v>49</v>
      </c>
      <c r="AB440" s="372"/>
      <c r="AC440" s="372"/>
      <c r="AD440" s="372" t="str">
        <f t="shared" si="35"/>
        <v>Academia</v>
      </c>
      <c r="AE440" s="372"/>
      <c r="AF440" s="372"/>
      <c r="AG440" s="372"/>
    </row>
    <row r="441" ht="12.75" spans="1:33">
      <c r="A441" s="356" t="s">
        <v>2066</v>
      </c>
      <c r="B441" s="215" t="s">
        <v>51</v>
      </c>
      <c r="C441" s="215" t="s">
        <v>267</v>
      </c>
      <c r="D441" s="215" t="s">
        <v>2067</v>
      </c>
      <c r="E441" s="215" t="s">
        <v>134</v>
      </c>
      <c r="F441" s="215" t="s">
        <v>2068</v>
      </c>
      <c r="G441" s="361">
        <v>37695</v>
      </c>
      <c r="H441" s="360">
        <f t="shared" si="40"/>
        <v>7695</v>
      </c>
      <c r="I441" s="356" t="s">
        <v>2069</v>
      </c>
      <c r="J441" s="375" t="s">
        <v>2070</v>
      </c>
      <c r="K441" s="379">
        <v>7627</v>
      </c>
      <c r="L441" s="184" t="s">
        <v>454</v>
      </c>
      <c r="M441" s="199" t="str">
        <f t="shared" si="9"/>
        <v>Yes</v>
      </c>
      <c r="N441" s="199">
        <f>17964*(1+6*100+60)+60*(1+(6-1)*100)</f>
        <v>11904264</v>
      </c>
      <c r="O441" s="199">
        <f>(16383*(1+6*100+60)+60*(1+6*100)+6*100)*2*3*1000000*20</f>
        <v>1303898760000000</v>
      </c>
      <c r="P441" s="380" t="s">
        <v>2071</v>
      </c>
      <c r="Q441" s="199">
        <f>1000000</f>
        <v>1000000</v>
      </c>
      <c r="R441" s="184"/>
      <c r="S441" s="199">
        <f>(16383*(1+6*100+60)+60*(1+6*100)+6*100)*2</f>
        <v>21731646</v>
      </c>
      <c r="T441" s="184"/>
      <c r="U441" s="184">
        <f>3*7*24*40</f>
        <v>20160</v>
      </c>
      <c r="V441" s="184"/>
      <c r="W441" s="184"/>
      <c r="X441" s="184"/>
      <c r="Y441" s="184"/>
      <c r="Z441" s="184"/>
      <c r="AA441" s="396" t="s">
        <v>49</v>
      </c>
      <c r="AB441" s="376"/>
      <c r="AC441" s="376"/>
      <c r="AD441" s="376" t="str">
        <f t="shared" si="35"/>
        <v>Academia</v>
      </c>
      <c r="AE441" s="376"/>
      <c r="AF441" s="376"/>
      <c r="AG441" s="376"/>
    </row>
    <row r="442" ht="12.75" spans="1:33">
      <c r="A442" s="353"/>
      <c r="B442" s="192" t="s">
        <v>434</v>
      </c>
      <c r="C442" s="192"/>
      <c r="D442" s="192" t="s">
        <v>898</v>
      </c>
      <c r="E442" s="192" t="s">
        <v>327</v>
      </c>
      <c r="F442" s="192" t="s">
        <v>2072</v>
      </c>
      <c r="G442" s="367">
        <v>37622</v>
      </c>
      <c r="H442" s="363">
        <f t="shared" si="40"/>
        <v>7622</v>
      </c>
      <c r="I442" s="353" t="s">
        <v>2073</v>
      </c>
      <c r="J442" s="371" t="s">
        <v>2074</v>
      </c>
      <c r="K442" s="236">
        <v>7262</v>
      </c>
      <c r="L442" s="182" t="s">
        <v>454</v>
      </c>
      <c r="M442" s="197" t="str">
        <f t="shared" si="9"/>
        <v>Yes</v>
      </c>
      <c r="N442" s="197"/>
      <c r="O442" s="197"/>
      <c r="P442" s="385"/>
      <c r="Q442" s="197"/>
      <c r="R442" s="182"/>
      <c r="S442" s="197"/>
      <c r="T442" s="182"/>
      <c r="U442" s="182"/>
      <c r="V442" s="182"/>
      <c r="W442" s="182"/>
      <c r="X442" s="182"/>
      <c r="Y442" s="182"/>
      <c r="Z442" s="182"/>
      <c r="AA442" s="399" t="s">
        <v>49</v>
      </c>
      <c r="AB442" s="372"/>
      <c r="AC442" s="372"/>
      <c r="AD442" s="372" t="str">
        <f t="shared" si="35"/>
        <v>Industry</v>
      </c>
      <c r="AE442" s="372"/>
      <c r="AF442" s="372"/>
      <c r="AG442" s="372"/>
    </row>
    <row r="443" ht="12.75" spans="1:33">
      <c r="A443" s="356"/>
      <c r="B443" s="215" t="s">
        <v>41</v>
      </c>
      <c r="C443" s="215" t="s">
        <v>305</v>
      </c>
      <c r="D443" s="215" t="s">
        <v>2075</v>
      </c>
      <c r="E443" s="215" t="s">
        <v>134</v>
      </c>
      <c r="F443" s="215" t="s">
        <v>2076</v>
      </c>
      <c r="G443" s="357">
        <v>37622</v>
      </c>
      <c r="H443" s="358">
        <v>2003</v>
      </c>
      <c r="I443" s="215" t="s">
        <v>2077</v>
      </c>
      <c r="J443" s="375" t="s">
        <v>2078</v>
      </c>
      <c r="K443" s="377">
        <v>949</v>
      </c>
      <c r="L443" s="376" t="s">
        <v>1923</v>
      </c>
      <c r="M443" s="199" t="str">
        <f t="shared" si="9"/>
        <v>Yes</v>
      </c>
      <c r="N443" s="205"/>
      <c r="O443" s="203"/>
      <c r="P443" s="378"/>
      <c r="Q443" s="203"/>
      <c r="R443" s="205"/>
      <c r="S443" s="205"/>
      <c r="T443" s="205"/>
      <c r="U443" s="205"/>
      <c r="V443" s="205"/>
      <c r="W443" s="205"/>
      <c r="X443" s="205"/>
      <c r="Y443" s="205"/>
      <c r="Z443" s="205"/>
      <c r="AA443" s="395" t="s">
        <v>49</v>
      </c>
      <c r="AB443" s="376"/>
      <c r="AC443" s="376"/>
      <c r="AD443" s="376" t="s">
        <v>134</v>
      </c>
      <c r="AE443" s="376"/>
      <c r="AF443" s="376"/>
      <c r="AG443" s="376"/>
    </row>
    <row r="444" ht="12.75" spans="1:33">
      <c r="A444" s="353" t="s">
        <v>2079</v>
      </c>
      <c r="B444" s="192" t="s">
        <v>51</v>
      </c>
      <c r="C444" s="192" t="s">
        <v>2080</v>
      </c>
      <c r="D444" s="192" t="s">
        <v>2081</v>
      </c>
      <c r="E444" s="192" t="s">
        <v>134</v>
      </c>
      <c r="F444" s="192" t="s">
        <v>2082</v>
      </c>
      <c r="G444" s="367">
        <v>37654</v>
      </c>
      <c r="H444" s="363">
        <f t="shared" ref="H444:H446" si="41">IF(INT(RIGHT(G444,4))&lt;1,"",INT(RIGHT(G444,4)))</f>
        <v>7654</v>
      </c>
      <c r="I444" s="353" t="s">
        <v>2083</v>
      </c>
      <c r="J444" s="371" t="s">
        <v>2084</v>
      </c>
      <c r="K444" s="236">
        <v>38724</v>
      </c>
      <c r="L444" s="182" t="s">
        <v>454</v>
      </c>
      <c r="M444" s="197" t="str">
        <f t="shared" si="9"/>
        <v>Yes</v>
      </c>
      <c r="N444" s="197"/>
      <c r="O444" s="197"/>
      <c r="P444" s="385"/>
      <c r="Q444" s="197"/>
      <c r="R444" s="182"/>
      <c r="S444" s="197"/>
      <c r="T444" s="182"/>
      <c r="U444" s="182"/>
      <c r="V444" s="182"/>
      <c r="W444" s="182"/>
      <c r="X444" s="182"/>
      <c r="Y444" s="182"/>
      <c r="Z444" s="182"/>
      <c r="AA444" s="399" t="s">
        <v>49</v>
      </c>
      <c r="AB444" s="372"/>
      <c r="AC444" s="372" t="s">
        <v>2085</v>
      </c>
      <c r="AD444" s="372" t="str">
        <f t="shared" ref="AD444:AD492" si="42">_xlfn.IFS($E444="Academia","Academia",$E444="Research Collective","TO MANUALLY ADJUST",TRUE,"Industry")</f>
        <v>Academia</v>
      </c>
      <c r="AE444" s="372"/>
      <c r="AF444" s="372"/>
      <c r="AG444" s="372"/>
    </row>
    <row r="445" ht="12.75" spans="1:33">
      <c r="A445" s="356" t="s">
        <v>2086</v>
      </c>
      <c r="B445" s="215" t="s">
        <v>51</v>
      </c>
      <c r="C445" s="215" t="s">
        <v>144</v>
      </c>
      <c r="D445" s="215" t="s">
        <v>2087</v>
      </c>
      <c r="E445" s="215" t="s">
        <v>134</v>
      </c>
      <c r="F445" s="215" t="s">
        <v>2088</v>
      </c>
      <c r="G445" s="361">
        <v>37742</v>
      </c>
      <c r="H445" s="360">
        <f t="shared" si="41"/>
        <v>7742</v>
      </c>
      <c r="I445" s="356" t="s">
        <v>2089</v>
      </c>
      <c r="J445" s="375" t="s">
        <v>2090</v>
      </c>
      <c r="K445" s="379">
        <v>4270</v>
      </c>
      <c r="L445" s="184" t="s">
        <v>454</v>
      </c>
      <c r="M445" s="199" t="str">
        <f t="shared" si="9"/>
        <v>Yes</v>
      </c>
      <c r="N445" s="199">
        <f>1996000+3866964+2674322+641604</f>
        <v>9178890</v>
      </c>
      <c r="O445" s="199"/>
      <c r="P445" s="380"/>
      <c r="Q445" s="199">
        <v>20000000</v>
      </c>
      <c r="R445" s="184"/>
      <c r="S445" s="199"/>
      <c r="T445" s="184"/>
      <c r="U445" s="184"/>
      <c r="V445" s="184"/>
      <c r="W445" s="184"/>
      <c r="X445" s="184"/>
      <c r="Y445" s="184"/>
      <c r="Z445" s="184"/>
      <c r="AA445" s="396" t="s">
        <v>49</v>
      </c>
      <c r="AB445" s="376"/>
      <c r="AC445" s="376"/>
      <c r="AD445" s="376" t="str">
        <f t="shared" si="42"/>
        <v>Academia</v>
      </c>
      <c r="AE445" s="376"/>
      <c r="AF445" s="376"/>
      <c r="AG445" s="376"/>
    </row>
    <row r="446" customHeight="1" spans="1:33">
      <c r="A446" s="353" t="s">
        <v>2091</v>
      </c>
      <c r="B446" s="192" t="s">
        <v>41</v>
      </c>
      <c r="C446" s="192"/>
      <c r="D446" s="192" t="s">
        <v>950</v>
      </c>
      <c r="E446" s="192" t="s">
        <v>134</v>
      </c>
      <c r="F446" s="192" t="s">
        <v>2092</v>
      </c>
      <c r="G446" s="367">
        <v>37790</v>
      </c>
      <c r="H446" s="363">
        <f t="shared" si="41"/>
        <v>7790</v>
      </c>
      <c r="I446" s="353" t="s">
        <v>2093</v>
      </c>
      <c r="J446" s="371" t="s">
        <v>2094</v>
      </c>
      <c r="K446" s="236">
        <v>2970</v>
      </c>
      <c r="L446" s="182" t="s">
        <v>454</v>
      </c>
      <c r="M446" s="197" t="str">
        <f t="shared" si="9"/>
        <v>Yes</v>
      </c>
      <c r="N446" s="197">
        <v>451</v>
      </c>
      <c r="O446" s="197"/>
      <c r="P446" s="385"/>
      <c r="Q446" s="197">
        <f>7*500</f>
        <v>3500</v>
      </c>
      <c r="R446" s="182"/>
      <c r="S446" s="200"/>
      <c r="T446" s="182"/>
      <c r="U446" s="182"/>
      <c r="V446" s="182"/>
      <c r="W446" s="204"/>
      <c r="X446" s="182"/>
      <c r="Y446" s="182"/>
      <c r="Z446" s="182"/>
      <c r="AA446" s="399" t="s">
        <v>49</v>
      </c>
      <c r="AB446" s="372"/>
      <c r="AC446" s="372"/>
      <c r="AD446" s="372" t="str">
        <f t="shared" si="42"/>
        <v>Academia</v>
      </c>
      <c r="AE446" s="372"/>
      <c r="AF446" s="372"/>
      <c r="AG446" s="372"/>
    </row>
    <row r="447" ht="12.75" spans="1:33">
      <c r="A447" s="356" t="s">
        <v>2095</v>
      </c>
      <c r="B447" s="215" t="s">
        <v>41</v>
      </c>
      <c r="C447" s="215" t="s">
        <v>1231</v>
      </c>
      <c r="D447" s="215" t="s">
        <v>2096</v>
      </c>
      <c r="E447" s="215" t="s">
        <v>35</v>
      </c>
      <c r="F447" s="215" t="s">
        <v>2097</v>
      </c>
      <c r="G447" s="361">
        <v>37839</v>
      </c>
      <c r="H447" s="360">
        <v>2003</v>
      </c>
      <c r="I447" s="356" t="s">
        <v>2098</v>
      </c>
      <c r="J447" s="375" t="s">
        <v>2099</v>
      </c>
      <c r="K447" s="384">
        <v>3065</v>
      </c>
      <c r="L447" s="184" t="s">
        <v>454</v>
      </c>
      <c r="M447" s="199" t="str">
        <f t="shared" si="9"/>
        <v>Yes</v>
      </c>
      <c r="N447" s="199"/>
      <c r="O447" s="199"/>
      <c r="P447" s="380" t="s">
        <v>1647</v>
      </c>
      <c r="Q447" s="199">
        <v>50000</v>
      </c>
      <c r="R447" s="184"/>
      <c r="S447" s="199"/>
      <c r="T447" s="184"/>
      <c r="U447" s="184"/>
      <c r="V447" s="184"/>
      <c r="W447" s="184"/>
      <c r="X447" s="184"/>
      <c r="Y447" s="184"/>
      <c r="Z447" s="184"/>
      <c r="AA447" s="396" t="s">
        <v>49</v>
      </c>
      <c r="AB447" s="376"/>
      <c r="AC447" s="376"/>
      <c r="AD447" s="376" t="str">
        <f t="shared" si="42"/>
        <v>Industry</v>
      </c>
      <c r="AE447" s="376"/>
      <c r="AF447" s="376"/>
      <c r="AG447" s="376"/>
    </row>
    <row r="448" ht="12.75" spans="1:33">
      <c r="A448" s="353" t="s">
        <v>2100</v>
      </c>
      <c r="B448" s="192" t="s">
        <v>51</v>
      </c>
      <c r="C448" s="192" t="s">
        <v>2101</v>
      </c>
      <c r="D448" s="192" t="s">
        <v>2102</v>
      </c>
      <c r="E448" s="192" t="s">
        <v>327</v>
      </c>
      <c r="F448" s="192" t="s">
        <v>2103</v>
      </c>
      <c r="G448" s="367">
        <v>37404</v>
      </c>
      <c r="H448" s="363">
        <f t="shared" ref="H448:H538" si="43">IF(INT(RIGHT(G448,4))&lt;1,"",INT(RIGHT(G448,4)))</f>
        <v>7404</v>
      </c>
      <c r="I448" s="353" t="s">
        <v>2104</v>
      </c>
      <c r="J448" s="371" t="s">
        <v>2105</v>
      </c>
      <c r="K448" s="236">
        <v>10656</v>
      </c>
      <c r="L448" s="182" t="s">
        <v>454</v>
      </c>
      <c r="M448" s="197" t="str">
        <f t="shared" si="9"/>
        <v>Yes</v>
      </c>
      <c r="N448" s="197"/>
      <c r="O448" s="197"/>
      <c r="P448" s="385" t="s">
        <v>2106</v>
      </c>
      <c r="Q448" s="197">
        <f>752+1301</f>
        <v>2053</v>
      </c>
      <c r="R448" s="182"/>
      <c r="S448" s="197"/>
      <c r="T448" s="182"/>
      <c r="U448" s="182"/>
      <c r="V448" s="182"/>
      <c r="W448" s="182"/>
      <c r="X448" s="182"/>
      <c r="Y448" s="182"/>
      <c r="Z448" s="182"/>
      <c r="AA448" s="399" t="s">
        <v>49</v>
      </c>
      <c r="AB448" s="372"/>
      <c r="AC448" s="372"/>
      <c r="AD448" s="372" t="str">
        <f t="shared" si="42"/>
        <v>Industry</v>
      </c>
      <c r="AE448" s="372"/>
      <c r="AF448" s="372"/>
      <c r="AG448" s="372"/>
    </row>
    <row r="449" ht="12.75" spans="1:33">
      <c r="A449" s="356"/>
      <c r="B449" s="215" t="s">
        <v>51</v>
      </c>
      <c r="C449" s="215"/>
      <c r="D449" s="215" t="s">
        <v>1838</v>
      </c>
      <c r="E449" s="215" t="s">
        <v>35</v>
      </c>
      <c r="F449" s="215" t="s">
        <v>2107</v>
      </c>
      <c r="G449" s="361">
        <v>37408</v>
      </c>
      <c r="H449" s="360">
        <f t="shared" si="43"/>
        <v>7408</v>
      </c>
      <c r="I449" s="356" t="s">
        <v>2108</v>
      </c>
      <c r="J449" s="375" t="s">
        <v>2109</v>
      </c>
      <c r="K449" s="379">
        <v>2582</v>
      </c>
      <c r="L449" s="184" t="s">
        <v>454</v>
      </c>
      <c r="M449" s="199" t="str">
        <f t="shared" si="9"/>
        <v>Yes</v>
      </c>
      <c r="N449" s="199"/>
      <c r="O449" s="199"/>
      <c r="P449" s="383"/>
      <c r="Q449" s="199"/>
      <c r="R449" s="184"/>
      <c r="S449" s="199"/>
      <c r="T449" s="184"/>
      <c r="U449" s="184"/>
      <c r="V449" s="184"/>
      <c r="W449" s="184"/>
      <c r="X449" s="184"/>
      <c r="Y449" s="184"/>
      <c r="Z449" s="184"/>
      <c r="AA449" s="396" t="s">
        <v>49</v>
      </c>
      <c r="AB449" s="376"/>
      <c r="AC449" s="376"/>
      <c r="AD449" s="376" t="str">
        <f t="shared" si="42"/>
        <v>Industry</v>
      </c>
      <c r="AE449" s="376"/>
      <c r="AF449" s="376"/>
      <c r="AG449" s="376"/>
    </row>
    <row r="450" ht="12.75" spans="1:33">
      <c r="A450" s="353"/>
      <c r="B450" s="192" t="s">
        <v>51</v>
      </c>
      <c r="C450" s="192"/>
      <c r="D450" s="192" t="s">
        <v>2087</v>
      </c>
      <c r="E450" s="192" t="s">
        <v>327</v>
      </c>
      <c r="F450" s="192" t="s">
        <v>2110</v>
      </c>
      <c r="G450" s="367">
        <v>37408</v>
      </c>
      <c r="H450" s="363">
        <f t="shared" si="43"/>
        <v>7408</v>
      </c>
      <c r="I450" s="353" t="s">
        <v>2111</v>
      </c>
      <c r="J450" s="371" t="s">
        <v>2112</v>
      </c>
      <c r="K450" s="236">
        <v>623</v>
      </c>
      <c r="L450" s="182"/>
      <c r="M450" s="197" t="str">
        <f t="shared" si="9"/>
        <v>No</v>
      </c>
      <c r="N450" s="197"/>
      <c r="O450" s="197"/>
      <c r="P450" s="385" t="s">
        <v>2113</v>
      </c>
      <c r="Q450" s="197">
        <v>1073480</v>
      </c>
      <c r="R450" s="182"/>
      <c r="S450" s="197"/>
      <c r="T450" s="182"/>
      <c r="U450" s="182"/>
      <c r="V450" s="182"/>
      <c r="W450" s="182"/>
      <c r="X450" s="182"/>
      <c r="Y450" s="182"/>
      <c r="Z450" s="182"/>
      <c r="AA450" s="399" t="s">
        <v>49</v>
      </c>
      <c r="AB450" s="372"/>
      <c r="AC450" s="372" t="s">
        <v>2114</v>
      </c>
      <c r="AD450" s="372" t="str">
        <f t="shared" si="42"/>
        <v>Industry</v>
      </c>
      <c r="AE450" s="372"/>
      <c r="AF450" s="372"/>
      <c r="AG450" s="372"/>
    </row>
    <row r="451" ht="12.75" spans="1:33">
      <c r="A451" s="356"/>
      <c r="B451" s="215"/>
      <c r="C451" s="215"/>
      <c r="D451" s="215" t="s">
        <v>2115</v>
      </c>
      <c r="E451" s="215" t="s">
        <v>134</v>
      </c>
      <c r="F451" s="215" t="s">
        <v>2116</v>
      </c>
      <c r="G451" s="361">
        <v>37408</v>
      </c>
      <c r="H451" s="360">
        <f t="shared" si="43"/>
        <v>7408</v>
      </c>
      <c r="I451" s="356" t="s">
        <v>2117</v>
      </c>
      <c r="J451" s="375" t="s">
        <v>2118</v>
      </c>
      <c r="K451" s="379">
        <v>3366</v>
      </c>
      <c r="L451" s="184" t="s">
        <v>454</v>
      </c>
      <c r="M451" s="199" t="str">
        <f t="shared" si="9"/>
        <v>Yes</v>
      </c>
      <c r="N451" s="199"/>
      <c r="O451" s="199"/>
      <c r="P451" s="380"/>
      <c r="Q451" s="199"/>
      <c r="R451" s="184"/>
      <c r="S451" s="199"/>
      <c r="T451" s="184"/>
      <c r="U451" s="184"/>
      <c r="V451" s="184"/>
      <c r="W451" s="184"/>
      <c r="X451" s="184"/>
      <c r="Y451" s="184"/>
      <c r="Z451" s="184"/>
      <c r="AA451" s="396" t="s">
        <v>49</v>
      </c>
      <c r="AB451" s="376"/>
      <c r="AC451" s="376"/>
      <c r="AD451" s="376" t="str">
        <f t="shared" si="42"/>
        <v>Academia</v>
      </c>
      <c r="AE451" s="376"/>
      <c r="AF451" s="376"/>
      <c r="AG451" s="376"/>
    </row>
    <row r="452" ht="12.75" spans="1:33">
      <c r="A452" s="353"/>
      <c r="B452" s="192" t="s">
        <v>51</v>
      </c>
      <c r="C452" s="192" t="s">
        <v>144</v>
      </c>
      <c r="D452" s="192" t="s">
        <v>2119</v>
      </c>
      <c r="E452" s="192" t="s">
        <v>134</v>
      </c>
      <c r="F452" s="192" t="s">
        <v>2120</v>
      </c>
      <c r="G452" s="367">
        <v>37443</v>
      </c>
      <c r="H452" s="363">
        <f t="shared" si="43"/>
        <v>7443</v>
      </c>
      <c r="I452" s="353" t="s">
        <v>2121</v>
      </c>
      <c r="J452" s="371" t="s">
        <v>2122</v>
      </c>
      <c r="K452" s="236">
        <v>1413</v>
      </c>
      <c r="L452" s="182" t="s">
        <v>454</v>
      </c>
      <c r="M452" s="197" t="str">
        <f t="shared" si="9"/>
        <v>Yes</v>
      </c>
      <c r="N452" s="197"/>
      <c r="O452" s="197"/>
      <c r="P452" s="381"/>
      <c r="Q452" s="197">
        <v>519523</v>
      </c>
      <c r="R452" s="182"/>
      <c r="S452" s="197"/>
      <c r="T452" s="182"/>
      <c r="U452" s="182"/>
      <c r="V452" s="182"/>
      <c r="W452" s="182"/>
      <c r="X452" s="182"/>
      <c r="Y452" s="182"/>
      <c r="Z452" s="182"/>
      <c r="AA452" s="399" t="s">
        <v>49</v>
      </c>
      <c r="AB452" s="372"/>
      <c r="AC452" s="372"/>
      <c r="AD452" s="372" t="str">
        <f t="shared" si="42"/>
        <v>Academia</v>
      </c>
      <c r="AE452" s="372"/>
      <c r="AF452" s="372"/>
      <c r="AG452" s="372"/>
    </row>
    <row r="453" ht="12.75" spans="1:33">
      <c r="A453" s="356"/>
      <c r="B453" s="215" t="s">
        <v>51</v>
      </c>
      <c r="C453" s="215"/>
      <c r="D453" s="215" t="s">
        <v>2123</v>
      </c>
      <c r="E453" s="215" t="s">
        <v>35</v>
      </c>
      <c r="F453" s="215" t="s">
        <v>2124</v>
      </c>
      <c r="G453" s="361">
        <v>37443</v>
      </c>
      <c r="H453" s="360">
        <f t="shared" si="43"/>
        <v>7443</v>
      </c>
      <c r="I453" s="356" t="s">
        <v>2125</v>
      </c>
      <c r="J453" s="375" t="s">
        <v>2126</v>
      </c>
      <c r="K453" s="379">
        <v>15825</v>
      </c>
      <c r="L453" s="184" t="s">
        <v>454</v>
      </c>
      <c r="M453" s="199" t="str">
        <f t="shared" si="9"/>
        <v>Yes</v>
      </c>
      <c r="N453" s="199"/>
      <c r="O453" s="199"/>
      <c r="P453" s="380"/>
      <c r="Q453" s="199"/>
      <c r="R453" s="184"/>
      <c r="S453" s="199"/>
      <c r="T453" s="184"/>
      <c r="U453" s="184"/>
      <c r="V453" s="184"/>
      <c r="W453" s="184"/>
      <c r="X453" s="184"/>
      <c r="Y453" s="184"/>
      <c r="Z453" s="184"/>
      <c r="AA453" s="396" t="s">
        <v>49</v>
      </c>
      <c r="AB453" s="376"/>
      <c r="AC453" s="376"/>
      <c r="AD453" s="376" t="str">
        <f t="shared" si="42"/>
        <v>Industry</v>
      </c>
      <c r="AE453" s="376"/>
      <c r="AF453" s="376"/>
      <c r="AG453" s="376"/>
    </row>
    <row r="454" ht="12.75" spans="1:33">
      <c r="A454" s="353"/>
      <c r="B454" s="192"/>
      <c r="C454" s="192"/>
      <c r="D454" s="192" t="s">
        <v>2127</v>
      </c>
      <c r="E454" s="192" t="s">
        <v>134</v>
      </c>
      <c r="F454" s="192" t="s">
        <v>2128</v>
      </c>
      <c r="G454" s="367">
        <v>37530</v>
      </c>
      <c r="H454" s="363">
        <f t="shared" si="43"/>
        <v>7530</v>
      </c>
      <c r="I454" s="353" t="s">
        <v>2129</v>
      </c>
      <c r="J454" s="371" t="s">
        <v>2130</v>
      </c>
      <c r="K454" s="236">
        <v>656</v>
      </c>
      <c r="L454" s="182"/>
      <c r="M454" s="197" t="str">
        <f t="shared" si="9"/>
        <v>No</v>
      </c>
      <c r="N454" s="197"/>
      <c r="O454" s="197"/>
      <c r="P454" s="385"/>
      <c r="Q454" s="197"/>
      <c r="R454" s="182"/>
      <c r="S454" s="197"/>
      <c r="T454" s="182"/>
      <c r="U454" s="182"/>
      <c r="V454" s="182"/>
      <c r="W454" s="182"/>
      <c r="X454" s="182"/>
      <c r="Y454" s="182"/>
      <c r="Z454" s="182"/>
      <c r="AA454" s="399" t="s">
        <v>49</v>
      </c>
      <c r="AB454" s="372"/>
      <c r="AC454" s="372"/>
      <c r="AD454" s="372" t="str">
        <f t="shared" si="42"/>
        <v>Academia</v>
      </c>
      <c r="AE454" s="372"/>
      <c r="AF454" s="372"/>
      <c r="AG454" s="372"/>
    </row>
    <row r="455" ht="12.75" spans="1:33">
      <c r="A455" s="356" t="s">
        <v>2131</v>
      </c>
      <c r="B455" s="215" t="s">
        <v>41</v>
      </c>
      <c r="C455" s="215" t="s">
        <v>1811</v>
      </c>
      <c r="D455" s="215" t="s">
        <v>2132</v>
      </c>
      <c r="E455" s="215" t="s">
        <v>327</v>
      </c>
      <c r="F455" s="215" t="s">
        <v>2133</v>
      </c>
      <c r="G455" s="361">
        <v>37233</v>
      </c>
      <c r="H455" s="360">
        <f t="shared" si="43"/>
        <v>7233</v>
      </c>
      <c r="I455" s="356" t="s">
        <v>2134</v>
      </c>
      <c r="J455" s="375" t="s">
        <v>2135</v>
      </c>
      <c r="K455" s="379">
        <v>23449</v>
      </c>
      <c r="L455" s="184" t="s">
        <v>454</v>
      </c>
      <c r="M455" s="199" t="str">
        <f t="shared" si="9"/>
        <v>Yes</v>
      </c>
      <c r="N455" s="199">
        <v>120000000</v>
      </c>
      <c r="O455" s="199">
        <v>63000000000000</v>
      </c>
      <c r="P455" s="383"/>
      <c r="Q455" s="199">
        <v>14460</v>
      </c>
      <c r="R455" s="184"/>
      <c r="S455" s="199">
        <v>67000000</v>
      </c>
      <c r="T455" s="184"/>
      <c r="U455" s="184"/>
      <c r="V455" s="184"/>
      <c r="W455" s="184"/>
      <c r="X455" s="184"/>
      <c r="Y455" s="184"/>
      <c r="Z455" s="184"/>
      <c r="AA455" s="396" t="s">
        <v>49</v>
      </c>
      <c r="AB455" s="376"/>
      <c r="AC455" s="376"/>
      <c r="AD455" s="376" t="str">
        <f t="shared" si="42"/>
        <v>Industry</v>
      </c>
      <c r="AE455" s="376"/>
      <c r="AF455" s="376"/>
      <c r="AG455" s="376"/>
    </row>
    <row r="456" ht="12.75" spans="1:33">
      <c r="A456" s="353" t="s">
        <v>2136</v>
      </c>
      <c r="B456" s="192" t="s">
        <v>51</v>
      </c>
      <c r="C456" s="192"/>
      <c r="D456" s="192" t="s">
        <v>2137</v>
      </c>
      <c r="E456" s="192" t="s">
        <v>134</v>
      </c>
      <c r="F456" s="192" t="s">
        <v>2138</v>
      </c>
      <c r="G456" s="367">
        <v>37078</v>
      </c>
      <c r="H456" s="363">
        <f t="shared" si="43"/>
        <v>7078</v>
      </c>
      <c r="I456" s="353" t="s">
        <v>2139</v>
      </c>
      <c r="J456" s="371" t="s">
        <v>2140</v>
      </c>
      <c r="K456" s="236">
        <v>422</v>
      </c>
      <c r="L456" s="182"/>
      <c r="M456" s="197" t="str">
        <f t="shared" si="9"/>
        <v>No</v>
      </c>
      <c r="N456" s="197"/>
      <c r="O456" s="197"/>
      <c r="P456" s="385"/>
      <c r="Q456" s="197"/>
      <c r="R456" s="182"/>
      <c r="S456" s="197"/>
      <c r="T456" s="182"/>
      <c r="U456" s="182"/>
      <c r="V456" s="182"/>
      <c r="W456" s="182"/>
      <c r="X456" s="182"/>
      <c r="Y456" s="182"/>
      <c r="Z456" s="182"/>
      <c r="AA456" s="399" t="s">
        <v>49</v>
      </c>
      <c r="AB456" s="372"/>
      <c r="AC456" s="372"/>
      <c r="AD456" s="372" t="str">
        <f t="shared" si="42"/>
        <v>Academia</v>
      </c>
      <c r="AE456" s="372"/>
      <c r="AF456" s="372"/>
      <c r="AG456" s="372"/>
    </row>
    <row r="457" ht="12.75" spans="1:33">
      <c r="A457" s="356"/>
      <c r="B457" s="215"/>
      <c r="C457" s="215"/>
      <c r="D457" s="215" t="s">
        <v>1166</v>
      </c>
      <c r="E457" s="215" t="s">
        <v>134</v>
      </c>
      <c r="F457" s="215" t="s">
        <v>2141</v>
      </c>
      <c r="G457" s="361">
        <v>37165</v>
      </c>
      <c r="H457" s="360">
        <f t="shared" si="43"/>
        <v>7165</v>
      </c>
      <c r="I457" s="356" t="s">
        <v>2142</v>
      </c>
      <c r="J457" s="375" t="s">
        <v>2143</v>
      </c>
      <c r="K457" s="379">
        <v>14291</v>
      </c>
      <c r="L457" s="184" t="s">
        <v>454</v>
      </c>
      <c r="M457" s="199" t="str">
        <f t="shared" si="9"/>
        <v>Yes</v>
      </c>
      <c r="N457" s="199"/>
      <c r="O457" s="199"/>
      <c r="P457" s="383"/>
      <c r="Q457" s="199"/>
      <c r="R457" s="184"/>
      <c r="S457" s="199"/>
      <c r="T457" s="184"/>
      <c r="U457" s="184"/>
      <c r="V457" s="184"/>
      <c r="W457" s="184"/>
      <c r="X457" s="184"/>
      <c r="Y457" s="184"/>
      <c r="Z457" s="184"/>
      <c r="AA457" s="396" t="s">
        <v>49</v>
      </c>
      <c r="AB457" s="376"/>
      <c r="AC457" s="376"/>
      <c r="AD457" s="376" t="str">
        <f t="shared" si="42"/>
        <v>Academia</v>
      </c>
      <c r="AE457" s="376"/>
      <c r="AF457" s="376"/>
      <c r="AG457" s="376"/>
    </row>
    <row r="458" ht="12.75" spans="1:33">
      <c r="A458" s="353"/>
      <c r="B458" s="192" t="s">
        <v>434</v>
      </c>
      <c r="C458" s="192"/>
      <c r="D458" s="192" t="s">
        <v>2144</v>
      </c>
      <c r="E458" s="192" t="s">
        <v>134</v>
      </c>
      <c r="F458" s="192" t="s">
        <v>2145</v>
      </c>
      <c r="G458" s="367">
        <v>36721</v>
      </c>
      <c r="H458" s="363">
        <f t="shared" si="43"/>
        <v>6721</v>
      </c>
      <c r="I458" s="353" t="s">
        <v>2146</v>
      </c>
      <c r="J458" s="371" t="s">
        <v>2147</v>
      </c>
      <c r="K458" s="236">
        <v>2126</v>
      </c>
      <c r="L458" s="182" t="s">
        <v>454</v>
      </c>
      <c r="M458" s="197" t="str">
        <f t="shared" si="9"/>
        <v>Yes</v>
      </c>
      <c r="N458" s="197"/>
      <c r="O458" s="197"/>
      <c r="P458" s="385"/>
      <c r="Q458" s="197"/>
      <c r="R458" s="182"/>
      <c r="S458" s="197"/>
      <c r="T458" s="182"/>
      <c r="U458" s="182"/>
      <c r="V458" s="182"/>
      <c r="W458" s="182"/>
      <c r="X458" s="182"/>
      <c r="Y458" s="182"/>
      <c r="Z458" s="182"/>
      <c r="AA458" s="399" t="s">
        <v>49</v>
      </c>
      <c r="AB458" s="372"/>
      <c r="AC458" s="372"/>
      <c r="AD458" s="372" t="str">
        <f t="shared" si="42"/>
        <v>Academia</v>
      </c>
      <c r="AE458" s="372"/>
      <c r="AF458" s="372"/>
      <c r="AG458" s="372"/>
    </row>
    <row r="459" ht="12.75" spans="1:33">
      <c r="A459" s="356" t="s">
        <v>2148</v>
      </c>
      <c r="B459" s="215" t="s">
        <v>199</v>
      </c>
      <c r="C459" s="215" t="s">
        <v>2149</v>
      </c>
      <c r="D459" s="215" t="s">
        <v>2115</v>
      </c>
      <c r="E459" s="215" t="s">
        <v>134</v>
      </c>
      <c r="F459" s="215" t="s">
        <v>2150</v>
      </c>
      <c r="G459" s="361">
        <v>36733</v>
      </c>
      <c r="H459" s="360">
        <f t="shared" si="43"/>
        <v>6733</v>
      </c>
      <c r="I459" s="356" t="s">
        <v>2151</v>
      </c>
      <c r="J459" s="375" t="s">
        <v>2152</v>
      </c>
      <c r="K459" s="379">
        <v>630</v>
      </c>
      <c r="L459" s="184"/>
      <c r="M459" s="199" t="str">
        <f t="shared" si="9"/>
        <v>No</v>
      </c>
      <c r="N459" s="199">
        <v>17</v>
      </c>
      <c r="O459" s="199"/>
      <c r="P459" s="380"/>
      <c r="Q459" s="199">
        <v>64970000</v>
      </c>
      <c r="R459" s="184"/>
      <c r="S459" s="199"/>
      <c r="T459" s="184"/>
      <c r="U459" s="184"/>
      <c r="V459" s="184"/>
      <c r="W459" s="184"/>
      <c r="X459" s="184"/>
      <c r="Y459" s="184"/>
      <c r="Z459" s="184"/>
      <c r="AA459" s="396" t="s">
        <v>49</v>
      </c>
      <c r="AB459" s="376"/>
      <c r="AC459" s="376"/>
      <c r="AD459" s="376" t="str">
        <f t="shared" si="42"/>
        <v>Academia</v>
      </c>
      <c r="AE459" s="376"/>
      <c r="AF459" s="376"/>
      <c r="AG459" s="376"/>
    </row>
    <row r="460" ht="12.75" spans="1:33">
      <c r="A460" s="353"/>
      <c r="B460" s="192" t="s">
        <v>51</v>
      </c>
      <c r="C460" s="192"/>
      <c r="D460" s="192" t="s">
        <v>2153</v>
      </c>
      <c r="E460" s="192" t="s">
        <v>134</v>
      </c>
      <c r="F460" s="192" t="s">
        <v>2154</v>
      </c>
      <c r="G460" s="367">
        <v>36770</v>
      </c>
      <c r="H460" s="363">
        <f t="shared" si="43"/>
        <v>6770</v>
      </c>
      <c r="I460" s="353" t="s">
        <v>2155</v>
      </c>
      <c r="J460" s="371" t="s">
        <v>2156</v>
      </c>
      <c r="K460" s="236">
        <v>2329</v>
      </c>
      <c r="L460" s="182" t="s">
        <v>454</v>
      </c>
      <c r="M460" s="197" t="str">
        <f t="shared" si="9"/>
        <v>Yes</v>
      </c>
      <c r="N460" s="197"/>
      <c r="O460" s="197"/>
      <c r="P460" s="385" t="s">
        <v>2157</v>
      </c>
      <c r="Q460" s="197">
        <v>50000</v>
      </c>
      <c r="R460" s="182"/>
      <c r="S460" s="197"/>
      <c r="T460" s="182"/>
      <c r="U460" s="182"/>
      <c r="V460" s="182"/>
      <c r="W460" s="182"/>
      <c r="X460" s="182"/>
      <c r="Y460" s="182"/>
      <c r="Z460" s="182"/>
      <c r="AA460" s="399" t="s">
        <v>49</v>
      </c>
      <c r="AB460" s="372"/>
      <c r="AC460" s="372"/>
      <c r="AD460" s="372" t="str">
        <f t="shared" si="42"/>
        <v>Academia</v>
      </c>
      <c r="AE460" s="372"/>
      <c r="AF460" s="372"/>
      <c r="AG460" s="372"/>
    </row>
    <row r="461" ht="12.75" spans="1:33">
      <c r="A461" s="356"/>
      <c r="B461" s="215" t="s">
        <v>51</v>
      </c>
      <c r="C461" s="215"/>
      <c r="D461" s="215" t="s">
        <v>2158</v>
      </c>
      <c r="E461" s="215" t="s">
        <v>134</v>
      </c>
      <c r="F461" s="215" t="s">
        <v>2159</v>
      </c>
      <c r="G461" s="361">
        <v>36802</v>
      </c>
      <c r="H461" s="360">
        <f t="shared" si="43"/>
        <v>6802</v>
      </c>
      <c r="I461" s="356" t="s">
        <v>2160</v>
      </c>
      <c r="J461" s="375" t="s">
        <v>2161</v>
      </c>
      <c r="K461" s="379">
        <v>1315</v>
      </c>
      <c r="L461" s="184" t="s">
        <v>454</v>
      </c>
      <c r="M461" s="199" t="str">
        <f t="shared" si="9"/>
        <v>Yes</v>
      </c>
      <c r="N461" s="199"/>
      <c r="O461" s="199"/>
      <c r="P461" s="380"/>
      <c r="Q461" s="199"/>
      <c r="R461" s="184"/>
      <c r="S461" s="199"/>
      <c r="T461" s="184"/>
      <c r="U461" s="184"/>
      <c r="V461" s="184"/>
      <c r="W461" s="184"/>
      <c r="X461" s="184"/>
      <c r="Y461" s="184"/>
      <c r="Z461" s="184"/>
      <c r="AA461" s="396" t="s">
        <v>49</v>
      </c>
      <c r="AB461" s="376"/>
      <c r="AC461" s="376" t="s">
        <v>2114</v>
      </c>
      <c r="AD461" s="376" t="str">
        <f t="shared" si="42"/>
        <v>Academia</v>
      </c>
      <c r="AE461" s="376"/>
      <c r="AF461" s="376"/>
      <c r="AG461" s="376"/>
    </row>
    <row r="462" ht="12.75" spans="1:33">
      <c r="A462" s="353" t="s">
        <v>2162</v>
      </c>
      <c r="B462" s="192"/>
      <c r="C462" s="192"/>
      <c r="D462" s="192" t="s">
        <v>2115</v>
      </c>
      <c r="E462" s="192" t="s">
        <v>134</v>
      </c>
      <c r="F462" s="192" t="s">
        <v>2163</v>
      </c>
      <c r="G462" s="367">
        <v>36162</v>
      </c>
      <c r="H462" s="363">
        <f t="shared" si="43"/>
        <v>6162</v>
      </c>
      <c r="I462" s="353" t="s">
        <v>2164</v>
      </c>
      <c r="J462" s="371" t="s">
        <v>2165</v>
      </c>
      <c r="K462" s="236">
        <v>4522</v>
      </c>
      <c r="L462" s="182" t="s">
        <v>454</v>
      </c>
      <c r="M462" s="197" t="str">
        <f t="shared" si="9"/>
        <v>Yes</v>
      </c>
      <c r="N462" s="197">
        <v>276</v>
      </c>
      <c r="O462" s="197"/>
      <c r="P462" s="385"/>
      <c r="Q462" s="197">
        <v>30000</v>
      </c>
      <c r="R462" s="182"/>
      <c r="S462" s="197"/>
      <c r="T462" s="182"/>
      <c r="U462" s="182"/>
      <c r="V462" s="182"/>
      <c r="W462" s="182"/>
      <c r="X462" s="182"/>
      <c r="Y462" s="182"/>
      <c r="Z462" s="182"/>
      <c r="AA462" s="399" t="s">
        <v>49</v>
      </c>
      <c r="AB462" s="372"/>
      <c r="AC462" s="372"/>
      <c r="AD462" s="372" t="str">
        <f t="shared" si="42"/>
        <v>Academia</v>
      </c>
      <c r="AE462" s="372"/>
      <c r="AF462" s="372"/>
      <c r="AG462" s="372"/>
    </row>
    <row r="463" ht="12.75" spans="1:33">
      <c r="A463" s="356" t="s">
        <v>2166</v>
      </c>
      <c r="B463" s="215" t="s">
        <v>51</v>
      </c>
      <c r="C463" s="215" t="s">
        <v>144</v>
      </c>
      <c r="D463" s="215" t="s">
        <v>2167</v>
      </c>
      <c r="E463" s="215" t="s">
        <v>360</v>
      </c>
      <c r="F463" s="215" t="s">
        <v>2168</v>
      </c>
      <c r="G463" s="361">
        <v>36343</v>
      </c>
      <c r="H463" s="360">
        <f t="shared" si="43"/>
        <v>6343</v>
      </c>
      <c r="I463" s="356" t="s">
        <v>2169</v>
      </c>
      <c r="J463" s="375" t="s">
        <v>2170</v>
      </c>
      <c r="K463" s="379">
        <v>1921</v>
      </c>
      <c r="L463" s="184" t="s">
        <v>454</v>
      </c>
      <c r="M463" s="199" t="str">
        <f t="shared" si="9"/>
        <v>Yes</v>
      </c>
      <c r="N463" s="199"/>
      <c r="O463" s="199"/>
      <c r="P463" s="380"/>
      <c r="Q463" s="199">
        <f>40000*20</f>
        <v>800000</v>
      </c>
      <c r="R463" s="184"/>
      <c r="S463" s="199"/>
      <c r="T463" s="184"/>
      <c r="U463" s="184"/>
      <c r="V463" s="184"/>
      <c r="W463" s="184"/>
      <c r="X463" s="184"/>
      <c r="Y463" s="184"/>
      <c r="Z463" s="184"/>
      <c r="AA463" s="396" t="s">
        <v>49</v>
      </c>
      <c r="AB463" s="376"/>
      <c r="AC463" s="376"/>
      <c r="AD463" s="376" t="str">
        <f t="shared" si="42"/>
        <v>Industry</v>
      </c>
      <c r="AE463" s="376"/>
      <c r="AF463" s="376"/>
      <c r="AG463" s="376"/>
    </row>
    <row r="464" ht="12.75" spans="1:33">
      <c r="A464" s="353"/>
      <c r="B464" s="192" t="s">
        <v>41</v>
      </c>
      <c r="C464" s="192" t="s">
        <v>1231</v>
      </c>
      <c r="D464" s="192" t="s">
        <v>2171</v>
      </c>
      <c r="E464" s="192" t="s">
        <v>35</v>
      </c>
      <c r="F464" s="192" t="s">
        <v>2172</v>
      </c>
      <c r="G464" s="367">
        <v>36495</v>
      </c>
      <c r="H464" s="363">
        <f t="shared" si="43"/>
        <v>6495</v>
      </c>
      <c r="I464" s="353" t="s">
        <v>2173</v>
      </c>
      <c r="J464" s="371" t="s">
        <v>2174</v>
      </c>
      <c r="K464" s="236">
        <v>1731</v>
      </c>
      <c r="L464" s="182" t="s">
        <v>454</v>
      </c>
      <c r="M464" s="197" t="str">
        <f t="shared" si="9"/>
        <v>Yes</v>
      </c>
      <c r="N464" s="197"/>
      <c r="O464" s="197"/>
      <c r="P464" s="381" t="s">
        <v>1647</v>
      </c>
      <c r="Q464" s="197">
        <v>60000</v>
      </c>
      <c r="R464" s="182"/>
      <c r="S464" s="197"/>
      <c r="T464" s="182"/>
      <c r="U464" s="182"/>
      <c r="V464" s="182"/>
      <c r="W464" s="182"/>
      <c r="X464" s="182"/>
      <c r="Y464" s="182"/>
      <c r="Z464" s="182"/>
      <c r="AA464" s="399" t="s">
        <v>49</v>
      </c>
      <c r="AB464" s="372"/>
      <c r="AC464" s="372"/>
      <c r="AD464" s="372" t="str">
        <f t="shared" si="42"/>
        <v>Industry</v>
      </c>
      <c r="AE464" s="372"/>
      <c r="AF464" s="372"/>
      <c r="AG464" s="372"/>
    </row>
    <row r="465" ht="12.75" spans="1:33">
      <c r="A465" s="356" t="s">
        <v>2175</v>
      </c>
      <c r="B465" s="215" t="s">
        <v>41</v>
      </c>
      <c r="C465" s="215" t="s">
        <v>1231</v>
      </c>
      <c r="D465" s="215" t="s">
        <v>1838</v>
      </c>
      <c r="E465" s="215" t="s">
        <v>44</v>
      </c>
      <c r="F465" s="215" t="s">
        <v>2176</v>
      </c>
      <c r="G465" s="361">
        <v>36100</v>
      </c>
      <c r="H465" s="360">
        <f t="shared" si="43"/>
        <v>6100</v>
      </c>
      <c r="I465" s="356" t="s">
        <v>2177</v>
      </c>
      <c r="J465" s="375" t="s">
        <v>2178</v>
      </c>
      <c r="K465" s="379">
        <v>38581</v>
      </c>
      <c r="L465" s="184" t="s">
        <v>1923</v>
      </c>
      <c r="M465" s="199" t="str">
        <f t="shared" si="9"/>
        <v>Yes</v>
      </c>
      <c r="N465" s="199">
        <v>60000</v>
      </c>
      <c r="O465" s="199">
        <f>390408*2*3*60000*20</f>
        <v>2810937600000</v>
      </c>
      <c r="P465" s="380" t="s">
        <v>1647</v>
      </c>
      <c r="Q465" s="199">
        <v>60000</v>
      </c>
      <c r="R465" s="184">
        <v>6</v>
      </c>
      <c r="S465" s="199">
        <f>390408*2</f>
        <v>780816</v>
      </c>
      <c r="T465" s="184"/>
      <c r="U465" s="184"/>
      <c r="V465" s="184"/>
      <c r="W465" s="184">
        <f>21/1000</f>
        <v>0.021</v>
      </c>
      <c r="X465" s="184"/>
      <c r="Y465" s="184"/>
      <c r="Z465" s="184"/>
      <c r="AA465" s="396" t="s">
        <v>49</v>
      </c>
      <c r="AB465" s="376"/>
      <c r="AC465" s="376"/>
      <c r="AD465" s="376" t="str">
        <f t="shared" si="42"/>
        <v>Industry</v>
      </c>
      <c r="AE465" s="376"/>
      <c r="AF465" s="376"/>
      <c r="AG465" s="376"/>
    </row>
    <row r="466" ht="12.75" spans="1:33">
      <c r="A466" s="353" t="s">
        <v>2179</v>
      </c>
      <c r="B466" s="192" t="s">
        <v>126</v>
      </c>
      <c r="C466" s="192" t="s">
        <v>2180</v>
      </c>
      <c r="D466" s="192" t="s">
        <v>2181</v>
      </c>
      <c r="E466" s="192" t="s">
        <v>134</v>
      </c>
      <c r="F466" s="192" t="s">
        <v>2182</v>
      </c>
      <c r="G466" s="367">
        <v>35930</v>
      </c>
      <c r="H466" s="363">
        <f t="shared" si="43"/>
        <v>5930</v>
      </c>
      <c r="I466" s="353" t="s">
        <v>2183</v>
      </c>
      <c r="J466" s="371" t="s">
        <v>2184</v>
      </c>
      <c r="K466" s="236">
        <v>231</v>
      </c>
      <c r="L466" s="182"/>
      <c r="M466" s="197" t="str">
        <f t="shared" si="9"/>
        <v>No</v>
      </c>
      <c r="N466" s="197">
        <f>(102+35+1)*35+(43+35+1)*30+(30+8+1)*8</f>
        <v>7512</v>
      </c>
      <c r="O466" s="389">
        <v>226690156032.018</v>
      </c>
      <c r="P466" s="374"/>
      <c r="Q466" s="197">
        <f>28191/2</f>
        <v>14095.5</v>
      </c>
      <c r="R466" s="182"/>
      <c r="S466" s="197"/>
      <c r="T466" s="182"/>
      <c r="U466" s="182"/>
      <c r="V466" s="182"/>
      <c r="W466" s="182"/>
      <c r="X466" s="182"/>
      <c r="Y466" s="182"/>
      <c r="Z466" s="182"/>
      <c r="AA466" s="399" t="s">
        <v>49</v>
      </c>
      <c r="AB466" s="372"/>
      <c r="AC466" s="372"/>
      <c r="AD466" s="372" t="str">
        <f t="shared" si="42"/>
        <v>Academia</v>
      </c>
      <c r="AE466" s="372"/>
      <c r="AF466" s="372"/>
      <c r="AG466" s="372"/>
    </row>
    <row r="467" ht="12.75" spans="1:33">
      <c r="A467" s="356"/>
      <c r="B467" s="215" t="s">
        <v>126</v>
      </c>
      <c r="C467" s="215"/>
      <c r="D467" s="215" t="s">
        <v>2185</v>
      </c>
      <c r="E467" s="215" t="s">
        <v>134</v>
      </c>
      <c r="F467" s="215" t="s">
        <v>2186</v>
      </c>
      <c r="G467" s="361">
        <v>35810</v>
      </c>
      <c r="H467" s="360">
        <f t="shared" si="43"/>
        <v>5810</v>
      </c>
      <c r="I467" s="356" t="s">
        <v>2187</v>
      </c>
      <c r="J467" s="375" t="s">
        <v>2188</v>
      </c>
      <c r="K467" s="379">
        <v>3058</v>
      </c>
      <c r="L467" s="184" t="s">
        <v>454</v>
      </c>
      <c r="M467" s="199" t="str">
        <f t="shared" si="9"/>
        <v>Yes</v>
      </c>
      <c r="N467" s="199"/>
      <c r="O467" s="199"/>
      <c r="P467" s="378"/>
      <c r="Q467" s="199"/>
      <c r="R467" s="184"/>
      <c r="S467" s="199"/>
      <c r="T467" s="184"/>
      <c r="U467" s="184"/>
      <c r="V467" s="184"/>
      <c r="W467" s="184"/>
      <c r="X467" s="184"/>
      <c r="Y467" s="184"/>
      <c r="Z467" s="184"/>
      <c r="AA467" s="396" t="s">
        <v>49</v>
      </c>
      <c r="AB467" s="376"/>
      <c r="AC467" s="376"/>
      <c r="AD467" s="376" t="str">
        <f t="shared" si="42"/>
        <v>Academia</v>
      </c>
      <c r="AE467" s="376"/>
      <c r="AF467" s="376"/>
      <c r="AG467" s="376"/>
    </row>
    <row r="468" ht="12.75" spans="1:33">
      <c r="A468" s="353"/>
      <c r="B468" s="192" t="s">
        <v>41</v>
      </c>
      <c r="C468" s="192" t="s">
        <v>1811</v>
      </c>
      <c r="D468" s="192" t="s">
        <v>1089</v>
      </c>
      <c r="E468" s="192" t="s">
        <v>134</v>
      </c>
      <c r="F468" s="192" t="s">
        <v>2189</v>
      </c>
      <c r="G468" s="367">
        <v>35969</v>
      </c>
      <c r="H468" s="363">
        <f t="shared" si="43"/>
        <v>5969</v>
      </c>
      <c r="I468" s="353" t="s">
        <v>2190</v>
      </c>
      <c r="J468" s="371" t="s">
        <v>2191</v>
      </c>
      <c r="K468" s="236">
        <v>602</v>
      </c>
      <c r="L468" s="182"/>
      <c r="M468" s="197" t="str">
        <f t="shared" si="9"/>
        <v>No</v>
      </c>
      <c r="N468" s="197"/>
      <c r="O468" s="197"/>
      <c r="P468" s="374"/>
      <c r="Q468" s="197">
        <f>991*120+1552</f>
        <v>120472</v>
      </c>
      <c r="R468" s="182"/>
      <c r="S468" s="197"/>
      <c r="T468" s="182"/>
      <c r="U468" s="182"/>
      <c r="V468" s="182"/>
      <c r="W468" s="182"/>
      <c r="X468" s="182"/>
      <c r="Y468" s="182"/>
      <c r="Z468" s="182"/>
      <c r="AA468" s="399" t="s">
        <v>49</v>
      </c>
      <c r="AB468" s="372"/>
      <c r="AC468" s="372"/>
      <c r="AD468" s="372" t="str">
        <f t="shared" si="42"/>
        <v>Academia</v>
      </c>
      <c r="AE468" s="372"/>
      <c r="AF468" s="372"/>
      <c r="AG468" s="372"/>
    </row>
    <row r="469" ht="12.75" spans="1:33">
      <c r="A469" s="356"/>
      <c r="B469" s="215" t="s">
        <v>199</v>
      </c>
      <c r="C469" s="215" t="s">
        <v>2192</v>
      </c>
      <c r="D469" s="215" t="s">
        <v>2193</v>
      </c>
      <c r="E469" s="215" t="s">
        <v>327</v>
      </c>
      <c r="F469" s="215" t="s">
        <v>2194</v>
      </c>
      <c r="G469" s="361">
        <v>35977</v>
      </c>
      <c r="H469" s="360">
        <f t="shared" si="43"/>
        <v>5977</v>
      </c>
      <c r="I469" s="356" t="s">
        <v>2195</v>
      </c>
      <c r="J469" s="375" t="s">
        <v>2196</v>
      </c>
      <c r="K469" s="379">
        <v>1564</v>
      </c>
      <c r="L469" s="184" t="s">
        <v>454</v>
      </c>
      <c r="M469" s="199" t="str">
        <f t="shared" si="9"/>
        <v>Yes</v>
      </c>
      <c r="N469" s="199"/>
      <c r="O469" s="199"/>
      <c r="P469" s="380"/>
      <c r="Q469" s="199">
        <v>45000</v>
      </c>
      <c r="R469" s="184"/>
      <c r="S469" s="199"/>
      <c r="T469" s="184"/>
      <c r="U469" s="184"/>
      <c r="V469" s="184"/>
      <c r="W469" s="184"/>
      <c r="X469" s="184"/>
      <c r="Y469" s="184"/>
      <c r="Z469" s="184"/>
      <c r="AA469" s="396" t="s">
        <v>49</v>
      </c>
      <c r="AB469" s="376"/>
      <c r="AC469" s="376"/>
      <c r="AD469" s="376" t="str">
        <f t="shared" si="42"/>
        <v>Industry</v>
      </c>
      <c r="AE469" s="376"/>
      <c r="AF469" s="376"/>
      <c r="AG469" s="376"/>
    </row>
    <row r="470" ht="12.75" spans="1:33">
      <c r="A470" s="353" t="s">
        <v>2197</v>
      </c>
      <c r="B470" s="192" t="s">
        <v>199</v>
      </c>
      <c r="C470" s="192" t="s">
        <v>2198</v>
      </c>
      <c r="D470" s="192" t="s">
        <v>2199</v>
      </c>
      <c r="E470" s="192" t="s">
        <v>134</v>
      </c>
      <c r="F470" s="192" t="s">
        <v>2200</v>
      </c>
      <c r="G470" s="367">
        <v>35749</v>
      </c>
      <c r="H470" s="363">
        <f t="shared" si="43"/>
        <v>5749</v>
      </c>
      <c r="I470" s="353" t="s">
        <v>2201</v>
      </c>
      <c r="J470" s="371" t="s">
        <v>2202</v>
      </c>
      <c r="K470" s="236">
        <v>51992</v>
      </c>
      <c r="L470" s="182" t="s">
        <v>454</v>
      </c>
      <c r="M470" s="197" t="str">
        <f t="shared" si="9"/>
        <v>Yes</v>
      </c>
      <c r="N470" s="197">
        <v>10504</v>
      </c>
      <c r="O470" s="197">
        <f>5000000*100*S470</f>
        <v>21008000000000</v>
      </c>
      <c r="P470" s="374"/>
      <c r="Q470" s="197">
        <v>1273000</v>
      </c>
      <c r="R470" s="182"/>
      <c r="S470" s="197">
        <f>N470*4</f>
        <v>42016</v>
      </c>
      <c r="T470" s="182"/>
      <c r="U470" s="182"/>
      <c r="V470" s="182"/>
      <c r="W470" s="182"/>
      <c r="X470" s="182"/>
      <c r="Y470" s="182"/>
      <c r="Z470" s="182"/>
      <c r="AA470" s="399" t="s">
        <v>49</v>
      </c>
      <c r="AB470" s="372"/>
      <c r="AC470" s="372"/>
      <c r="AD470" s="372" t="str">
        <f t="shared" si="42"/>
        <v>Academia</v>
      </c>
      <c r="AE470" s="372"/>
      <c r="AF470" s="372"/>
      <c r="AG470" s="372"/>
    </row>
    <row r="471" ht="12.75" spans="1:33">
      <c r="A471" s="356"/>
      <c r="B471" s="215" t="s">
        <v>41</v>
      </c>
      <c r="C471" s="215"/>
      <c r="D471" s="215" t="s">
        <v>815</v>
      </c>
      <c r="E471" s="215" t="s">
        <v>134</v>
      </c>
      <c r="F471" s="215" t="s">
        <v>2203</v>
      </c>
      <c r="G471" s="361">
        <v>35598</v>
      </c>
      <c r="H471" s="360">
        <f t="shared" si="43"/>
        <v>5598</v>
      </c>
      <c r="I471" s="356" t="s">
        <v>2204</v>
      </c>
      <c r="J471" s="375" t="s">
        <v>2205</v>
      </c>
      <c r="K471" s="379">
        <v>3851</v>
      </c>
      <c r="L471" s="184" t="s">
        <v>454</v>
      </c>
      <c r="M471" s="199" t="str">
        <f t="shared" si="9"/>
        <v>Yes</v>
      </c>
      <c r="N471" s="199"/>
      <c r="O471" s="199"/>
      <c r="P471" s="378"/>
      <c r="Q471" s="199">
        <v>50000</v>
      </c>
      <c r="R471" s="184"/>
      <c r="S471" s="199"/>
      <c r="T471" s="184"/>
      <c r="U471" s="184"/>
      <c r="V471" s="184"/>
      <c r="W471" s="184"/>
      <c r="X471" s="184"/>
      <c r="Y471" s="184"/>
      <c r="Z471" s="184"/>
      <c r="AA471" s="396" t="s">
        <v>49</v>
      </c>
      <c r="AB471" s="376"/>
      <c r="AC471" s="376"/>
      <c r="AD471" s="376" t="str">
        <f t="shared" si="42"/>
        <v>Academia</v>
      </c>
      <c r="AE471" s="376"/>
      <c r="AF471" s="376"/>
      <c r="AG471" s="376"/>
    </row>
    <row r="472" ht="12.75" spans="1:33">
      <c r="A472" s="353"/>
      <c r="B472" s="192" t="s">
        <v>51</v>
      </c>
      <c r="C472" s="192"/>
      <c r="D472" s="192" t="s">
        <v>2206</v>
      </c>
      <c r="E472" s="192" t="s">
        <v>134</v>
      </c>
      <c r="F472" s="192" t="s">
        <v>2207</v>
      </c>
      <c r="G472" s="367">
        <v>35612</v>
      </c>
      <c r="H472" s="363">
        <f t="shared" si="43"/>
        <v>5612</v>
      </c>
      <c r="I472" s="353" t="s">
        <v>2208</v>
      </c>
      <c r="J472" s="371" t="s">
        <v>2209</v>
      </c>
      <c r="K472" s="236">
        <v>954</v>
      </c>
      <c r="L472" s="182"/>
      <c r="M472" s="197" t="str">
        <f t="shared" si="9"/>
        <v>No</v>
      </c>
      <c r="N472" s="197"/>
      <c r="O472" s="197"/>
      <c r="P472" s="374"/>
      <c r="Q472" s="197"/>
      <c r="R472" s="182"/>
      <c r="S472" s="197"/>
      <c r="T472" s="182"/>
      <c r="U472" s="182"/>
      <c r="V472" s="182"/>
      <c r="W472" s="182"/>
      <c r="X472" s="182" t="s">
        <v>1761</v>
      </c>
      <c r="Y472" s="182"/>
      <c r="Z472" s="182"/>
      <c r="AA472" s="399" t="s">
        <v>49</v>
      </c>
      <c r="AB472" s="372"/>
      <c r="AC472" s="372"/>
      <c r="AD472" s="372" t="str">
        <f t="shared" si="42"/>
        <v>Academia</v>
      </c>
      <c r="AE472" s="372"/>
      <c r="AF472" s="372"/>
      <c r="AG472" s="372"/>
    </row>
    <row r="473" ht="12.75" spans="1:33">
      <c r="A473" s="356" t="s">
        <v>2210</v>
      </c>
      <c r="B473" s="215" t="s">
        <v>126</v>
      </c>
      <c r="C473" s="215" t="s">
        <v>874</v>
      </c>
      <c r="D473" s="215" t="s">
        <v>2211</v>
      </c>
      <c r="E473" s="215" t="s">
        <v>35</v>
      </c>
      <c r="F473" s="215" t="s">
        <v>2212</v>
      </c>
      <c r="G473" s="361">
        <v>35735</v>
      </c>
      <c r="H473" s="360">
        <f t="shared" si="43"/>
        <v>5735</v>
      </c>
      <c r="I473" s="356" t="s">
        <v>2213</v>
      </c>
      <c r="J473" s="375" t="s">
        <v>2214</v>
      </c>
      <c r="K473" s="384">
        <v>6094</v>
      </c>
      <c r="L473" s="376" t="s">
        <v>454</v>
      </c>
      <c r="M473" s="199" t="str">
        <f t="shared" si="9"/>
        <v>Yes</v>
      </c>
      <c r="N473" s="199">
        <v>13000</v>
      </c>
      <c r="O473" s="199"/>
      <c r="P473" s="383" t="s">
        <v>1706</v>
      </c>
      <c r="Q473" s="199">
        <f>3696*20</f>
        <v>73920</v>
      </c>
      <c r="R473" s="184"/>
      <c r="S473" s="199"/>
      <c r="T473" s="184"/>
      <c r="U473" s="184"/>
      <c r="V473" s="184"/>
      <c r="W473" s="184"/>
      <c r="X473" s="184"/>
      <c r="Y473" s="184"/>
      <c r="Z473" s="184"/>
      <c r="AA473" s="396" t="s">
        <v>49</v>
      </c>
      <c r="AB473" s="376"/>
      <c r="AC473" s="376"/>
      <c r="AD473" s="376" t="str">
        <f t="shared" si="42"/>
        <v>Industry</v>
      </c>
      <c r="AE473" s="376"/>
      <c r="AF473" s="376"/>
      <c r="AG473" s="376"/>
    </row>
    <row r="474" ht="12.75" spans="1:33">
      <c r="A474" s="353"/>
      <c r="B474" s="192"/>
      <c r="C474" s="192"/>
      <c r="D474" s="192" t="s">
        <v>2215</v>
      </c>
      <c r="E474" s="192" t="s">
        <v>134</v>
      </c>
      <c r="F474" s="192" t="s">
        <v>2216</v>
      </c>
      <c r="G474" s="367">
        <v>35765</v>
      </c>
      <c r="H474" s="363">
        <f t="shared" si="43"/>
        <v>5765</v>
      </c>
      <c r="I474" s="353" t="s">
        <v>2217</v>
      </c>
      <c r="J474" s="371" t="s">
        <v>2218</v>
      </c>
      <c r="K474" s="238">
        <v>4257</v>
      </c>
      <c r="L474" s="182" t="s">
        <v>454</v>
      </c>
      <c r="M474" s="197" t="str">
        <f t="shared" si="9"/>
        <v>Yes</v>
      </c>
      <c r="N474" s="197"/>
      <c r="O474" s="197"/>
      <c r="P474" s="374"/>
      <c r="Q474" s="197">
        <v>10</v>
      </c>
      <c r="R474" s="182"/>
      <c r="S474" s="197"/>
      <c r="T474" s="182"/>
      <c r="U474" s="182"/>
      <c r="V474" s="182"/>
      <c r="W474" s="182"/>
      <c r="X474" s="182"/>
      <c r="Y474" s="182"/>
      <c r="Z474" s="182"/>
      <c r="AA474" s="399" t="s">
        <v>49</v>
      </c>
      <c r="AB474" s="372"/>
      <c r="AC474" s="372"/>
      <c r="AD474" s="372" t="str">
        <f t="shared" si="42"/>
        <v>Academia</v>
      </c>
      <c r="AE474" s="372"/>
      <c r="AF474" s="372"/>
      <c r="AG474" s="372"/>
    </row>
    <row r="475" ht="12.75" spans="1:33">
      <c r="A475" s="356" t="s">
        <v>2219</v>
      </c>
      <c r="B475" s="215" t="s">
        <v>41</v>
      </c>
      <c r="C475" s="215" t="s">
        <v>1811</v>
      </c>
      <c r="D475" s="215" t="s">
        <v>1089</v>
      </c>
      <c r="E475" s="215" t="s">
        <v>134</v>
      </c>
      <c r="F475" s="215" t="s">
        <v>2220</v>
      </c>
      <c r="G475" s="361">
        <v>35234</v>
      </c>
      <c r="H475" s="360">
        <f t="shared" si="43"/>
        <v>5234</v>
      </c>
      <c r="I475" s="356" t="s">
        <v>2221</v>
      </c>
      <c r="J475" s="375" t="s">
        <v>2222</v>
      </c>
      <c r="K475" s="379">
        <v>6011</v>
      </c>
      <c r="L475" s="184" t="s">
        <v>454</v>
      </c>
      <c r="M475" s="199" t="str">
        <f t="shared" si="9"/>
        <v>Yes</v>
      </c>
      <c r="N475" s="199">
        <f>2095+4357</f>
        <v>6452</v>
      </c>
      <c r="O475" s="199">
        <f>2*N475*3*(15*1050+1000+8000)</f>
        <v>958122000</v>
      </c>
      <c r="P475" s="380"/>
      <c r="Q475" s="199">
        <f>8000+1050</f>
        <v>9050</v>
      </c>
      <c r="R475" s="184"/>
      <c r="S475" s="199">
        <f>2*N475</f>
        <v>12904</v>
      </c>
      <c r="T475" s="184"/>
      <c r="U475" s="184"/>
      <c r="V475" s="184"/>
      <c r="W475" s="184"/>
      <c r="X475" s="184"/>
      <c r="Y475" s="184"/>
      <c r="Z475" s="184"/>
      <c r="AA475" s="396" t="s">
        <v>49</v>
      </c>
      <c r="AB475" s="376"/>
      <c r="AC475" s="376"/>
      <c r="AD475" s="376" t="str">
        <f t="shared" si="42"/>
        <v>Academia</v>
      </c>
      <c r="AE475" s="376"/>
      <c r="AF475" s="376"/>
      <c r="AG475" s="376"/>
    </row>
    <row r="476" ht="12.75" spans="1:33">
      <c r="A476" s="353" t="s">
        <v>2223</v>
      </c>
      <c r="B476" s="192" t="s">
        <v>51</v>
      </c>
      <c r="C476" s="192" t="s">
        <v>2224</v>
      </c>
      <c r="D476" s="192" t="s">
        <v>2225</v>
      </c>
      <c r="E476" s="192" t="s">
        <v>134</v>
      </c>
      <c r="F476" s="192" t="s">
        <v>2226</v>
      </c>
      <c r="G476" s="367">
        <v>35282</v>
      </c>
      <c r="H476" s="363">
        <f t="shared" si="43"/>
        <v>5282</v>
      </c>
      <c r="I476" s="418" t="s">
        <v>2227</v>
      </c>
      <c r="J476" s="371" t="s">
        <v>2228</v>
      </c>
      <c r="K476" s="236">
        <v>1099</v>
      </c>
      <c r="L476" s="182" t="s">
        <v>454</v>
      </c>
      <c r="M476" s="197" t="str">
        <f t="shared" si="9"/>
        <v>Yes</v>
      </c>
      <c r="N476" s="197"/>
      <c r="O476" s="197"/>
      <c r="P476" s="374"/>
      <c r="Q476" s="197">
        <f>62849+44805+13768+15888+150279+154727</f>
        <v>442316</v>
      </c>
      <c r="R476" s="182"/>
      <c r="S476" s="197"/>
      <c r="T476" s="182"/>
      <c r="U476" s="182"/>
      <c r="V476" s="182"/>
      <c r="W476" s="182"/>
      <c r="X476" s="182" t="s">
        <v>1761</v>
      </c>
      <c r="Y476" s="182"/>
      <c r="Z476" s="182"/>
      <c r="AA476" s="399" t="s">
        <v>49</v>
      </c>
      <c r="AB476" s="372"/>
      <c r="AC476" s="372" t="s">
        <v>2114</v>
      </c>
      <c r="AD476" s="372" t="str">
        <f t="shared" si="42"/>
        <v>Academia</v>
      </c>
      <c r="AE476" s="372"/>
      <c r="AF476" s="372"/>
      <c r="AG476" s="372"/>
    </row>
    <row r="477" ht="12.75" spans="1:33">
      <c r="A477" s="356"/>
      <c r="B477" s="215"/>
      <c r="C477" s="215"/>
      <c r="D477" s="215" t="s">
        <v>2229</v>
      </c>
      <c r="E477" s="215" t="s">
        <v>35</v>
      </c>
      <c r="F477" s="215" t="s">
        <v>2230</v>
      </c>
      <c r="G477" s="361">
        <v>34700</v>
      </c>
      <c r="H477" s="360">
        <f t="shared" si="43"/>
        <v>4700</v>
      </c>
      <c r="I477" s="356" t="s">
        <v>2231</v>
      </c>
      <c r="J477" s="375" t="s">
        <v>2232</v>
      </c>
      <c r="K477" s="379">
        <v>176</v>
      </c>
      <c r="L477" s="184"/>
      <c r="M477" s="199" t="str">
        <f t="shared" si="9"/>
        <v>No</v>
      </c>
      <c r="N477" s="199"/>
      <c r="O477" s="199"/>
      <c r="P477" s="380"/>
      <c r="Q477" s="199"/>
      <c r="R477" s="184"/>
      <c r="S477" s="199"/>
      <c r="T477" s="184"/>
      <c r="U477" s="184"/>
      <c r="V477" s="184"/>
      <c r="W477" s="184"/>
      <c r="X477" s="184"/>
      <c r="Y477" s="184"/>
      <c r="Z477" s="184" t="s">
        <v>2233</v>
      </c>
      <c r="AA477" s="396" t="s">
        <v>49</v>
      </c>
      <c r="AB477" s="376"/>
      <c r="AC477" s="376"/>
      <c r="AD477" s="376" t="str">
        <f t="shared" si="42"/>
        <v>Industry</v>
      </c>
      <c r="AE477" s="376"/>
      <c r="AF477" s="376"/>
      <c r="AG477" s="376"/>
    </row>
    <row r="478" ht="12.75" spans="1:33">
      <c r="A478" s="353"/>
      <c r="B478" s="192" t="s">
        <v>51</v>
      </c>
      <c r="C478" s="192"/>
      <c r="D478" s="192" t="s">
        <v>2234</v>
      </c>
      <c r="E478" s="192" t="s">
        <v>134</v>
      </c>
      <c r="F478" s="192" t="s">
        <v>2235</v>
      </c>
      <c r="G478" s="367">
        <v>34876</v>
      </c>
      <c r="H478" s="363">
        <f t="shared" si="43"/>
        <v>4876</v>
      </c>
      <c r="I478" s="353" t="s">
        <v>2236</v>
      </c>
      <c r="J478" s="371" t="s">
        <v>2237</v>
      </c>
      <c r="K478" s="236">
        <v>2996</v>
      </c>
      <c r="L478" s="182" t="s">
        <v>454</v>
      </c>
      <c r="M478" s="197" t="str">
        <f t="shared" si="9"/>
        <v>Yes</v>
      </c>
      <c r="N478" s="197"/>
      <c r="O478" s="197"/>
      <c r="P478" s="374"/>
      <c r="Q478" s="197">
        <v>460000000</v>
      </c>
      <c r="R478" s="182"/>
      <c r="S478" s="197"/>
      <c r="T478" s="182"/>
      <c r="U478" s="182"/>
      <c r="V478" s="182"/>
      <c r="W478" s="182"/>
      <c r="X478" s="182"/>
      <c r="Y478" s="182"/>
      <c r="Z478" s="182"/>
      <c r="AA478" s="399" t="s">
        <v>49</v>
      </c>
      <c r="AB478" s="372"/>
      <c r="AC478" s="372" t="s">
        <v>2238</v>
      </c>
      <c r="AD478" s="372" t="str">
        <f t="shared" si="42"/>
        <v>Academia</v>
      </c>
      <c r="AE478" s="372"/>
      <c r="AF478" s="372"/>
      <c r="AG478" s="372"/>
    </row>
    <row r="479" ht="12.75" spans="1:33">
      <c r="A479" s="356" t="s">
        <v>2239</v>
      </c>
      <c r="B479" s="215"/>
      <c r="C479" s="215"/>
      <c r="D479" s="215" t="s">
        <v>2240</v>
      </c>
      <c r="E479" s="215" t="s">
        <v>35</v>
      </c>
      <c r="F479" s="215" t="s">
        <v>2241</v>
      </c>
      <c r="G479" s="361">
        <v>34925</v>
      </c>
      <c r="H479" s="360">
        <f t="shared" si="43"/>
        <v>4925</v>
      </c>
      <c r="I479" s="356" t="s">
        <v>2242</v>
      </c>
      <c r="J479" s="375" t="s">
        <v>2243</v>
      </c>
      <c r="K479" s="379">
        <v>4678</v>
      </c>
      <c r="L479" s="184" t="s">
        <v>454</v>
      </c>
      <c r="M479" s="199" t="str">
        <f t="shared" si="9"/>
        <v>Yes</v>
      </c>
      <c r="N479" s="199"/>
      <c r="O479" s="199"/>
      <c r="P479" s="383" t="s">
        <v>1647</v>
      </c>
      <c r="Q479" s="199">
        <v>60000</v>
      </c>
      <c r="R479" s="184"/>
      <c r="S479" s="199"/>
      <c r="T479" s="184"/>
      <c r="U479" s="184"/>
      <c r="V479" s="184"/>
      <c r="W479" s="184"/>
      <c r="X479" s="184"/>
      <c r="Y479" s="184"/>
      <c r="Z479" s="184"/>
      <c r="AA479" s="396" t="s">
        <v>49</v>
      </c>
      <c r="AB479" s="376"/>
      <c r="AC479" s="376"/>
      <c r="AD479" s="376" t="str">
        <f t="shared" si="42"/>
        <v>Industry</v>
      </c>
      <c r="AE479" s="376"/>
      <c r="AF479" s="376"/>
      <c r="AG479" s="376"/>
    </row>
    <row r="480" ht="12.75" spans="1:33">
      <c r="A480" s="353" t="s">
        <v>2244</v>
      </c>
      <c r="B480" s="192"/>
      <c r="C480" s="192"/>
      <c r="D480" s="192" t="s">
        <v>2240</v>
      </c>
      <c r="E480" s="192" t="s">
        <v>35</v>
      </c>
      <c r="F480" s="192" t="s">
        <v>2245</v>
      </c>
      <c r="G480" s="367">
        <v>34943</v>
      </c>
      <c r="H480" s="363">
        <f t="shared" si="43"/>
        <v>4943</v>
      </c>
      <c r="I480" s="353" t="s">
        <v>2246</v>
      </c>
      <c r="J480" s="371" t="s">
        <v>2247</v>
      </c>
      <c r="K480" s="236">
        <v>48968</v>
      </c>
      <c r="L480" s="182" t="s">
        <v>454</v>
      </c>
      <c r="M480" s="197" t="str">
        <f t="shared" si="9"/>
        <v>Yes</v>
      </c>
      <c r="N480" s="197">
        <v>100000000</v>
      </c>
      <c r="O480" s="197"/>
      <c r="P480" s="381" t="s">
        <v>1647</v>
      </c>
      <c r="Q480" s="197">
        <v>60000</v>
      </c>
      <c r="R480" s="182"/>
      <c r="S480" s="197"/>
      <c r="T480" s="182"/>
      <c r="U480" s="182"/>
      <c r="V480" s="182"/>
      <c r="W480" s="182"/>
      <c r="X480" s="182"/>
      <c r="Y480" s="182"/>
      <c r="Z480" s="182"/>
      <c r="AA480" s="399" t="s">
        <v>49</v>
      </c>
      <c r="AB480" s="372"/>
      <c r="AC480" s="372"/>
      <c r="AD480" s="372" t="str">
        <f t="shared" si="42"/>
        <v>Industry</v>
      </c>
      <c r="AE480" s="372"/>
      <c r="AF480" s="372"/>
      <c r="AG480" s="372"/>
    </row>
    <row r="481" ht="12.75" spans="1:33">
      <c r="A481" s="356"/>
      <c r="B481" s="215" t="s">
        <v>51</v>
      </c>
      <c r="C481" s="215" t="s">
        <v>1737</v>
      </c>
      <c r="D481" s="215" t="s">
        <v>2248</v>
      </c>
      <c r="E481" s="215" t="s">
        <v>134</v>
      </c>
      <c r="F481" s="215" t="s">
        <v>2249</v>
      </c>
      <c r="G481" s="361">
        <v>34486</v>
      </c>
      <c r="H481" s="360">
        <f t="shared" si="43"/>
        <v>4486</v>
      </c>
      <c r="I481" s="356" t="s">
        <v>2250</v>
      </c>
      <c r="J481" s="375" t="s">
        <v>2251</v>
      </c>
      <c r="K481" s="379">
        <v>788</v>
      </c>
      <c r="L481" s="184"/>
      <c r="M481" s="199" t="str">
        <f t="shared" si="9"/>
        <v>No</v>
      </c>
      <c r="N481" s="199">
        <f>(26500-1)*76+(76-1)*76*76</f>
        <v>2447124</v>
      </c>
      <c r="O481" s="199"/>
      <c r="P481" s="378"/>
      <c r="Q481" s="199">
        <v>1000000</v>
      </c>
      <c r="R481" s="184" t="s">
        <v>1546</v>
      </c>
      <c r="S481" s="199"/>
      <c r="T481" s="184"/>
      <c r="U481" s="184"/>
      <c r="V481" s="184"/>
      <c r="W481" s="184"/>
      <c r="X481" s="184"/>
      <c r="Y481" s="184"/>
      <c r="Z481" s="184"/>
      <c r="AA481" s="396" t="s">
        <v>49</v>
      </c>
      <c r="AB481" s="376"/>
      <c r="AC481" s="376"/>
      <c r="AD481" s="376" t="str">
        <f t="shared" si="42"/>
        <v>Academia</v>
      </c>
      <c r="AE481" s="376"/>
      <c r="AF481" s="376"/>
      <c r="AG481" s="376"/>
    </row>
    <row r="482" ht="12.75" spans="1:33">
      <c r="A482" s="353" t="s">
        <v>2252</v>
      </c>
      <c r="B482" s="192" t="s">
        <v>434</v>
      </c>
      <c r="C482" s="192"/>
      <c r="D482" s="192" t="s">
        <v>2253</v>
      </c>
      <c r="E482" s="192" t="s">
        <v>134</v>
      </c>
      <c r="F482" s="192" t="s">
        <v>2254</v>
      </c>
      <c r="G482" s="367">
        <v>34629</v>
      </c>
      <c r="H482" s="363">
        <f t="shared" si="43"/>
        <v>4629</v>
      </c>
      <c r="I482" s="353" t="s">
        <v>2255</v>
      </c>
      <c r="J482" s="371" t="s">
        <v>2256</v>
      </c>
      <c r="K482" s="236">
        <v>7733</v>
      </c>
      <c r="L482" s="182" t="s">
        <v>454</v>
      </c>
      <c r="M482" s="197" t="str">
        <f t="shared" si="9"/>
        <v>Yes</v>
      </c>
      <c r="N482" s="197">
        <f>10000*10000</f>
        <v>100000000</v>
      </c>
      <c r="O482" s="197"/>
      <c r="P482" s="374"/>
      <c r="Q482" s="197">
        <f>10000*10000</f>
        <v>100000000</v>
      </c>
      <c r="R482" s="182"/>
      <c r="S482" s="197"/>
      <c r="T482" s="182"/>
      <c r="U482" s="182"/>
      <c r="V482" s="182"/>
      <c r="W482" s="182"/>
      <c r="X482" s="182"/>
      <c r="Y482" s="182"/>
      <c r="Z482" s="182"/>
      <c r="AA482" s="399" t="s">
        <v>49</v>
      </c>
      <c r="AB482" s="372"/>
      <c r="AC482" s="372"/>
      <c r="AD482" s="372" t="str">
        <f t="shared" si="42"/>
        <v>Academia</v>
      </c>
      <c r="AE482" s="372"/>
      <c r="AF482" s="372"/>
      <c r="AG482" s="372"/>
    </row>
    <row r="483" ht="12.75" spans="1:33">
      <c r="A483" s="356" t="s">
        <v>2257</v>
      </c>
      <c r="B483" s="215" t="s">
        <v>51</v>
      </c>
      <c r="C483" s="215" t="s">
        <v>144</v>
      </c>
      <c r="D483" s="215" t="s">
        <v>2258</v>
      </c>
      <c r="E483" s="215" t="s">
        <v>35</v>
      </c>
      <c r="F483" s="215" t="s">
        <v>2259</v>
      </c>
      <c r="G483" s="361">
        <v>34135</v>
      </c>
      <c r="H483" s="360">
        <f t="shared" si="43"/>
        <v>4135</v>
      </c>
      <c r="I483" s="356" t="s">
        <v>2260</v>
      </c>
      <c r="J483" s="375" t="s">
        <v>2261</v>
      </c>
      <c r="K483" s="379">
        <v>5752</v>
      </c>
      <c r="L483" s="184" t="s">
        <v>454</v>
      </c>
      <c r="M483" s="199" t="str">
        <f t="shared" si="9"/>
        <v>Yes</v>
      </c>
      <c r="N483" s="199">
        <f>1658364</f>
        <v>1658364</v>
      </c>
      <c r="O483" s="199"/>
      <c r="P483" s="380" t="s">
        <v>2262</v>
      </c>
      <c r="Q483" s="377">
        <f>1778620*30</f>
        <v>53358600</v>
      </c>
      <c r="R483" s="184"/>
      <c r="S483" s="199"/>
      <c r="T483" s="419"/>
      <c r="U483" s="419"/>
      <c r="V483" s="184"/>
      <c r="W483" s="184"/>
      <c r="X483" s="184"/>
      <c r="Y483" s="184"/>
      <c r="Z483" s="184"/>
      <c r="AA483" s="396" t="s">
        <v>49</v>
      </c>
      <c r="AB483" s="376"/>
      <c r="AC483" s="376" t="s">
        <v>2114</v>
      </c>
      <c r="AD483" s="376" t="str">
        <f t="shared" si="42"/>
        <v>Industry</v>
      </c>
      <c r="AE483" s="376"/>
      <c r="AF483" s="376"/>
      <c r="AG483" s="376"/>
    </row>
    <row r="484" ht="12.75" spans="1:33">
      <c r="A484" s="353" t="s">
        <v>2263</v>
      </c>
      <c r="B484" s="192" t="s">
        <v>256</v>
      </c>
      <c r="C484" s="192" t="s">
        <v>2264</v>
      </c>
      <c r="D484" s="192" t="s">
        <v>2265</v>
      </c>
      <c r="E484" s="192" t="s">
        <v>35</v>
      </c>
      <c r="F484" s="192" t="s">
        <v>2266</v>
      </c>
      <c r="G484" s="367">
        <v>33725</v>
      </c>
      <c r="H484" s="363">
        <f t="shared" si="43"/>
        <v>3725</v>
      </c>
      <c r="I484" s="353" t="s">
        <v>2267</v>
      </c>
      <c r="J484" s="371" t="s">
        <v>2268</v>
      </c>
      <c r="K484" s="236">
        <v>1344</v>
      </c>
      <c r="L484" s="182" t="s">
        <v>454</v>
      </c>
      <c r="M484" s="197" t="str">
        <f t="shared" si="9"/>
        <v>Yes</v>
      </c>
      <c r="N484" s="197">
        <v>25000</v>
      </c>
      <c r="O484" s="389">
        <v>18232157622832.7</v>
      </c>
      <c r="P484" s="385"/>
      <c r="Q484" s="197">
        <f>300000*21</f>
        <v>6300000</v>
      </c>
      <c r="R484" s="182">
        <v>1</v>
      </c>
      <c r="S484" s="197"/>
      <c r="T484" s="182"/>
      <c r="U484" s="182"/>
      <c r="V484" s="182"/>
      <c r="W484" s="182"/>
      <c r="X484" s="182"/>
      <c r="Y484" s="182"/>
      <c r="Z484" s="182"/>
      <c r="AA484" s="399" t="s">
        <v>49</v>
      </c>
      <c r="AB484" s="372"/>
      <c r="AC484" s="372"/>
      <c r="AD484" s="372" t="str">
        <f t="shared" si="42"/>
        <v>Industry</v>
      </c>
      <c r="AE484" s="372"/>
      <c r="AF484" s="372"/>
      <c r="AG484" s="372"/>
    </row>
    <row r="485" ht="12.75" spans="1:33">
      <c r="A485" s="356" t="s">
        <v>2269</v>
      </c>
      <c r="B485" s="215" t="s">
        <v>126</v>
      </c>
      <c r="C485" s="215" t="s">
        <v>874</v>
      </c>
      <c r="D485" s="215" t="s">
        <v>2270</v>
      </c>
      <c r="E485" s="215" t="s">
        <v>134</v>
      </c>
      <c r="F485" s="215" t="s">
        <v>2271</v>
      </c>
      <c r="G485" s="361">
        <v>33848</v>
      </c>
      <c r="H485" s="360">
        <f t="shared" si="43"/>
        <v>3848</v>
      </c>
      <c r="I485" s="356" t="s">
        <v>2272</v>
      </c>
      <c r="J485" s="375" t="s">
        <v>2273</v>
      </c>
      <c r="K485" s="379">
        <v>1223</v>
      </c>
      <c r="L485" s="184" t="s">
        <v>454</v>
      </c>
      <c r="M485" s="199" t="str">
        <f t="shared" si="9"/>
        <v>Yes</v>
      </c>
      <c r="N485" s="199">
        <f>20*(9+1)+2*20*(20+1)+6*(20+1)</f>
        <v>1166</v>
      </c>
      <c r="O485" s="199">
        <f>(20*(9+1)+2*20*(20+1)+6*(20+1))*3*871</f>
        <v>3046758</v>
      </c>
      <c r="P485" s="380"/>
      <c r="Q485" s="199">
        <v>871</v>
      </c>
      <c r="R485" s="184"/>
      <c r="S485" s="199"/>
      <c r="T485" s="184"/>
      <c r="U485" s="184"/>
      <c r="V485" s="184"/>
      <c r="W485" s="184"/>
      <c r="X485" s="184"/>
      <c r="Y485" s="184"/>
      <c r="Z485" s="184"/>
      <c r="AA485" s="396" t="s">
        <v>49</v>
      </c>
      <c r="AB485" s="376"/>
      <c r="AC485" s="376"/>
      <c r="AD485" s="376" t="str">
        <f t="shared" si="42"/>
        <v>Academia</v>
      </c>
      <c r="AE485" s="376"/>
      <c r="AF485" s="376"/>
      <c r="AG485" s="376"/>
    </row>
    <row r="486" ht="12.75" spans="1:33">
      <c r="A486" s="353"/>
      <c r="B486" s="192"/>
      <c r="C486" s="192"/>
      <c r="D486" s="192" t="s">
        <v>1058</v>
      </c>
      <c r="E486" s="192" t="s">
        <v>134</v>
      </c>
      <c r="F486" s="192" t="s">
        <v>2274</v>
      </c>
      <c r="G486" s="367">
        <v>33725</v>
      </c>
      <c r="H486" s="363">
        <f t="shared" si="43"/>
        <v>3725</v>
      </c>
      <c r="I486" s="353" t="s">
        <v>2275</v>
      </c>
      <c r="J486" s="371" t="s">
        <v>2276</v>
      </c>
      <c r="K486" s="236">
        <v>6528</v>
      </c>
      <c r="L486" s="182" t="s">
        <v>454</v>
      </c>
      <c r="M486" s="197" t="str">
        <f t="shared" si="9"/>
        <v>Yes</v>
      </c>
      <c r="N486" s="197"/>
      <c r="O486" s="197"/>
      <c r="P486" s="385"/>
      <c r="Q486" s="197"/>
      <c r="R486" s="182"/>
      <c r="S486" s="197"/>
      <c r="T486" s="182"/>
      <c r="U486" s="182"/>
      <c r="V486" s="182"/>
      <c r="W486" s="182"/>
      <c r="X486" s="182"/>
      <c r="Y486" s="182"/>
      <c r="Z486" s="182"/>
      <c r="AA486" s="399" t="s">
        <v>49</v>
      </c>
      <c r="AB486" s="372"/>
      <c r="AC486" s="372"/>
      <c r="AD486" s="372" t="str">
        <f t="shared" si="42"/>
        <v>Academia</v>
      </c>
      <c r="AE486" s="372"/>
      <c r="AF486" s="372"/>
      <c r="AG486" s="372"/>
    </row>
    <row r="487" ht="12.75" spans="1:33">
      <c r="A487" s="356" t="s">
        <v>2277</v>
      </c>
      <c r="B487" s="215" t="s">
        <v>199</v>
      </c>
      <c r="C487" s="215" t="s">
        <v>2278</v>
      </c>
      <c r="D487" s="215" t="s">
        <v>2279</v>
      </c>
      <c r="E487" s="215" t="s">
        <v>134</v>
      </c>
      <c r="F487" s="215" t="s">
        <v>2280</v>
      </c>
      <c r="G487" s="361">
        <v>33413</v>
      </c>
      <c r="H487" s="360">
        <f t="shared" si="43"/>
        <v>3413</v>
      </c>
      <c r="I487" s="356" t="s">
        <v>2281</v>
      </c>
      <c r="J487" s="375" t="s">
        <v>2282</v>
      </c>
      <c r="K487" s="379">
        <v>132</v>
      </c>
      <c r="L487" s="184"/>
      <c r="M487" s="199" t="str">
        <f t="shared" si="9"/>
        <v>No</v>
      </c>
      <c r="N487" s="199">
        <v>429409</v>
      </c>
      <c r="O487" s="199"/>
      <c r="P487" s="380"/>
      <c r="Q487" s="199"/>
      <c r="R487" s="184"/>
      <c r="S487" s="199"/>
      <c r="T487" s="184"/>
      <c r="U487" s="184"/>
      <c r="V487" s="184"/>
      <c r="W487" s="184"/>
      <c r="X487" s="184"/>
      <c r="Y487" s="184"/>
      <c r="Z487" s="184"/>
      <c r="AA487" s="396" t="s">
        <v>49</v>
      </c>
      <c r="AB487" s="376"/>
      <c r="AC487" s="376"/>
      <c r="AD487" s="376" t="str">
        <f t="shared" si="42"/>
        <v>Academia</v>
      </c>
      <c r="AE487" s="376"/>
      <c r="AF487" s="376"/>
      <c r="AG487" s="376"/>
    </row>
    <row r="488" ht="12.75" spans="1:33">
      <c r="A488" s="353"/>
      <c r="B488" s="192" t="s">
        <v>51</v>
      </c>
      <c r="C488" s="192"/>
      <c r="D488" s="192" t="s">
        <v>2283</v>
      </c>
      <c r="E488" s="192" t="s">
        <v>134</v>
      </c>
      <c r="F488" s="192" t="s">
        <v>2284</v>
      </c>
      <c r="G488" s="367">
        <v>33482</v>
      </c>
      <c r="H488" s="363">
        <f t="shared" si="43"/>
        <v>3482</v>
      </c>
      <c r="I488" s="353" t="s">
        <v>2285</v>
      </c>
      <c r="J488" s="371" t="s">
        <v>2286</v>
      </c>
      <c r="K488" s="236">
        <v>1717</v>
      </c>
      <c r="L488" s="182" t="s">
        <v>454</v>
      </c>
      <c r="M488" s="197" t="str">
        <f t="shared" si="9"/>
        <v>Yes</v>
      </c>
      <c r="N488" s="197"/>
      <c r="O488" s="197"/>
      <c r="P488" s="385"/>
      <c r="Q488" s="197">
        <f>34605+10000*3.92+10000*4.38+10000*6.02</f>
        <v>177805</v>
      </c>
      <c r="R488" s="182"/>
      <c r="S488" s="197"/>
      <c r="T488" s="182"/>
      <c r="U488" s="182"/>
      <c r="V488" s="182"/>
      <c r="W488" s="182"/>
      <c r="X488" s="182"/>
      <c r="Y488" s="182"/>
      <c r="Z488" s="182"/>
      <c r="AA488" s="399" t="s">
        <v>49</v>
      </c>
      <c r="AB488" s="372"/>
      <c r="AC488" s="372" t="s">
        <v>2287</v>
      </c>
      <c r="AD488" s="372" t="str">
        <f t="shared" si="42"/>
        <v>Academia</v>
      </c>
      <c r="AE488" s="372"/>
      <c r="AF488" s="372"/>
      <c r="AG488" s="372"/>
    </row>
    <row r="489" ht="12.75" spans="1:33">
      <c r="A489" s="356" t="s">
        <v>2288</v>
      </c>
      <c r="B489" s="215"/>
      <c r="C489" s="215"/>
      <c r="D489" s="215" t="s">
        <v>2289</v>
      </c>
      <c r="E489" s="215" t="s">
        <v>134</v>
      </c>
      <c r="F489" s="215" t="s">
        <v>2290</v>
      </c>
      <c r="G489" s="361">
        <v>33117</v>
      </c>
      <c r="H489" s="360">
        <f t="shared" si="43"/>
        <v>3117</v>
      </c>
      <c r="I489" s="356" t="s">
        <v>2291</v>
      </c>
      <c r="J489" s="375" t="s">
        <v>2292</v>
      </c>
      <c r="K489" s="379">
        <v>3013</v>
      </c>
      <c r="L489" s="184" t="s">
        <v>454</v>
      </c>
      <c r="M489" s="199" t="str">
        <f t="shared" si="9"/>
        <v>Yes</v>
      </c>
      <c r="N489" s="199"/>
      <c r="O489" s="199"/>
      <c r="P489" s="380"/>
      <c r="Q489" s="199"/>
      <c r="R489" s="184"/>
      <c r="S489" s="199"/>
      <c r="T489" s="184"/>
      <c r="U489" s="184"/>
      <c r="V489" s="184"/>
      <c r="W489" s="184"/>
      <c r="X489" s="184"/>
      <c r="Y489" s="184"/>
      <c r="Z489" s="184"/>
      <c r="AA489" s="396" t="s">
        <v>49</v>
      </c>
      <c r="AB489" s="376"/>
      <c r="AC489" s="376"/>
      <c r="AD489" s="376" t="str">
        <f t="shared" si="42"/>
        <v>Academia</v>
      </c>
      <c r="AE489" s="376"/>
      <c r="AF489" s="376"/>
      <c r="AG489" s="376"/>
    </row>
    <row r="490" ht="12.75" spans="1:33">
      <c r="A490" s="353"/>
      <c r="B490" s="192"/>
      <c r="C490" s="192"/>
      <c r="D490" s="192" t="s">
        <v>2293</v>
      </c>
      <c r="E490" s="192" t="s">
        <v>134</v>
      </c>
      <c r="F490" s="192" t="s">
        <v>2294</v>
      </c>
      <c r="G490" s="367">
        <v>33208</v>
      </c>
      <c r="H490" s="363">
        <f t="shared" si="43"/>
        <v>3208</v>
      </c>
      <c r="I490" s="353" t="s">
        <v>2295</v>
      </c>
      <c r="J490" s="371" t="s">
        <v>2296</v>
      </c>
      <c r="K490" s="236">
        <v>1046</v>
      </c>
      <c r="L490" s="182" t="s">
        <v>454</v>
      </c>
      <c r="M490" s="197" t="str">
        <f t="shared" si="9"/>
        <v>Yes</v>
      </c>
      <c r="N490" s="197"/>
      <c r="O490" s="197"/>
      <c r="P490" s="385"/>
      <c r="Q490" s="197"/>
      <c r="R490" s="182"/>
      <c r="S490" s="197"/>
      <c r="T490" s="182"/>
      <c r="U490" s="182"/>
      <c r="V490" s="182"/>
      <c r="W490" s="182"/>
      <c r="X490" s="182"/>
      <c r="Y490" s="182"/>
      <c r="Z490" s="182"/>
      <c r="AA490" s="399" t="s">
        <v>49</v>
      </c>
      <c r="AB490" s="372"/>
      <c r="AC490" s="372"/>
      <c r="AD490" s="372" t="str">
        <f t="shared" si="42"/>
        <v>Academia</v>
      </c>
      <c r="AE490" s="372"/>
      <c r="AF490" s="372"/>
      <c r="AG490" s="372"/>
    </row>
    <row r="491" ht="12.75" spans="1:33">
      <c r="A491" s="356" t="s">
        <v>2297</v>
      </c>
      <c r="B491" s="215" t="s">
        <v>1910</v>
      </c>
      <c r="C491" s="215"/>
      <c r="D491" s="215" t="s">
        <v>2298</v>
      </c>
      <c r="E491" s="215" t="s">
        <v>134</v>
      </c>
      <c r="F491" s="215" t="s">
        <v>2299</v>
      </c>
      <c r="G491" s="361">
        <v>32843</v>
      </c>
      <c r="H491" s="360">
        <f t="shared" si="43"/>
        <v>2843</v>
      </c>
      <c r="I491" s="356" t="s">
        <v>2300</v>
      </c>
      <c r="J491" s="375" t="s">
        <v>2301</v>
      </c>
      <c r="K491" s="379">
        <v>1579</v>
      </c>
      <c r="L491" s="184" t="s">
        <v>454</v>
      </c>
      <c r="M491" s="199" t="str">
        <f t="shared" si="9"/>
        <v>Yes</v>
      </c>
      <c r="N491" s="199">
        <v>3994</v>
      </c>
      <c r="O491" s="411">
        <v>81187041441.209</v>
      </c>
      <c r="P491" s="380" t="s">
        <v>2302</v>
      </c>
      <c r="Q491" s="199">
        <v>1200</v>
      </c>
      <c r="R491" s="184">
        <v>1</v>
      </c>
      <c r="S491" s="199"/>
      <c r="T491" s="184"/>
      <c r="U491" s="184"/>
      <c r="V491" s="184"/>
      <c r="W491" s="184"/>
      <c r="X491" s="184"/>
      <c r="Y491" s="184"/>
      <c r="Z491" s="184"/>
      <c r="AA491" s="396" t="s">
        <v>49</v>
      </c>
      <c r="AB491" s="376"/>
      <c r="AC491" s="376"/>
      <c r="AD491" s="376" t="str">
        <f t="shared" si="42"/>
        <v>Academia</v>
      </c>
      <c r="AE491" s="376"/>
      <c r="AF491" s="376"/>
      <c r="AG491" s="376"/>
    </row>
    <row r="492" ht="12.75" spans="1:33">
      <c r="A492" s="353" t="s">
        <v>2303</v>
      </c>
      <c r="B492" s="192" t="s">
        <v>41</v>
      </c>
      <c r="C492" s="192" t="s">
        <v>1231</v>
      </c>
      <c r="D492" s="192" t="s">
        <v>2240</v>
      </c>
      <c r="E492" s="192" t="s">
        <v>35</v>
      </c>
      <c r="F492" s="192" t="s">
        <v>2304</v>
      </c>
      <c r="G492" s="367">
        <v>32843</v>
      </c>
      <c r="H492" s="363">
        <f t="shared" si="43"/>
        <v>2843</v>
      </c>
      <c r="I492" s="353" t="s">
        <v>2305</v>
      </c>
      <c r="J492" s="371" t="s">
        <v>2306</v>
      </c>
      <c r="K492" s="236">
        <v>9052</v>
      </c>
      <c r="L492" s="182" t="s">
        <v>454</v>
      </c>
      <c r="M492" s="197" t="str">
        <f t="shared" si="9"/>
        <v>Yes</v>
      </c>
      <c r="N492" s="197">
        <v>9760</v>
      </c>
      <c r="O492" s="197">
        <f>S492*2*Q492*23</f>
        <v>43372117520</v>
      </c>
      <c r="P492" s="197" t="s">
        <v>2307</v>
      </c>
      <c r="Q492" s="197">
        <v>7291</v>
      </c>
      <c r="R492" s="182">
        <v>3</v>
      </c>
      <c r="S492" s="197">
        <f>2*64660</f>
        <v>129320</v>
      </c>
      <c r="T492" s="182"/>
      <c r="U492" s="182"/>
      <c r="V492" s="182"/>
      <c r="W492" s="182"/>
      <c r="X492" s="182"/>
      <c r="Y492" s="182"/>
      <c r="Z492" s="182"/>
      <c r="AA492" s="399" t="s">
        <v>49</v>
      </c>
      <c r="AB492" s="372"/>
      <c r="AC492" s="372"/>
      <c r="AD492" s="372" t="str">
        <f t="shared" si="42"/>
        <v>Industry</v>
      </c>
      <c r="AE492" s="372"/>
      <c r="AF492" s="372"/>
      <c r="AG492" s="372"/>
    </row>
    <row r="493" ht="12.75" spans="1:33">
      <c r="A493" s="356" t="s">
        <v>2308</v>
      </c>
      <c r="B493" s="215" t="s">
        <v>199</v>
      </c>
      <c r="C493" s="215" t="s">
        <v>2309</v>
      </c>
      <c r="D493" s="184" t="s">
        <v>2310</v>
      </c>
      <c r="E493" s="186" t="s">
        <v>134</v>
      </c>
      <c r="F493" s="215" t="s">
        <v>2311</v>
      </c>
      <c r="G493" s="187">
        <v>32509</v>
      </c>
      <c r="H493" s="417">
        <f t="shared" si="43"/>
        <v>2509</v>
      </c>
      <c r="I493" s="215" t="s">
        <v>2312</v>
      </c>
      <c r="J493" s="198" t="s">
        <v>2313</v>
      </c>
      <c r="K493" s="236">
        <v>1132</v>
      </c>
      <c r="L493" s="184" t="s">
        <v>454</v>
      </c>
      <c r="M493" s="199" t="str">
        <f t="shared" si="9"/>
        <v>Yes</v>
      </c>
      <c r="N493" s="199">
        <f>10</f>
        <v>10</v>
      </c>
      <c r="O493" s="199">
        <f>10*6*4*1000*50*10</f>
        <v>120000000</v>
      </c>
      <c r="P493" s="380"/>
      <c r="Q493" s="199">
        <v>4</v>
      </c>
      <c r="R493" s="184"/>
      <c r="S493" s="199"/>
      <c r="T493" s="184"/>
      <c r="U493" s="184"/>
      <c r="V493" s="184"/>
      <c r="W493" s="184"/>
      <c r="X493" s="184"/>
      <c r="Y493" s="184"/>
      <c r="Z493" s="184"/>
      <c r="AA493" s="396" t="s">
        <v>49</v>
      </c>
      <c r="AB493" s="376"/>
      <c r="AC493" s="376"/>
      <c r="AD493" s="376"/>
      <c r="AE493" s="376"/>
      <c r="AF493" s="376"/>
      <c r="AG493" s="376"/>
    </row>
    <row r="494" ht="12.75" spans="1:33">
      <c r="A494" s="353" t="s">
        <v>2314</v>
      </c>
      <c r="B494" s="192"/>
      <c r="C494" s="192"/>
      <c r="D494" s="192" t="s">
        <v>2315</v>
      </c>
      <c r="E494" s="192" t="s">
        <v>134</v>
      </c>
      <c r="F494" s="192" t="s">
        <v>2316</v>
      </c>
      <c r="G494" s="367">
        <v>32509</v>
      </c>
      <c r="H494" s="363">
        <f t="shared" si="43"/>
        <v>2509</v>
      </c>
      <c r="I494" s="353" t="s">
        <v>2317</v>
      </c>
      <c r="J494" s="371" t="s">
        <v>2318</v>
      </c>
      <c r="K494" s="236">
        <v>8025</v>
      </c>
      <c r="L494" s="182" t="s">
        <v>454</v>
      </c>
      <c r="M494" s="197" t="str">
        <f t="shared" si="9"/>
        <v>Yes</v>
      </c>
      <c r="N494" s="197"/>
      <c r="O494" s="197"/>
      <c r="P494" s="385"/>
      <c r="Q494" s="197"/>
      <c r="R494" s="182"/>
      <c r="S494" s="197"/>
      <c r="T494" s="182"/>
      <c r="U494" s="182"/>
      <c r="V494" s="182"/>
      <c r="W494" s="182"/>
      <c r="X494" s="182"/>
      <c r="Y494" s="182"/>
      <c r="Z494" s="182"/>
      <c r="AA494" s="399" t="s">
        <v>49</v>
      </c>
      <c r="AB494" s="372"/>
      <c r="AC494" s="372"/>
      <c r="AD494" s="372" t="str">
        <f t="shared" ref="AD494:AD503" si="44">_xlfn.IFS($E494="Academia","Academia",$E494="Research Collective","TO MANUALLY ADJUST",TRUE,"Industry")</f>
        <v>Academia</v>
      </c>
      <c r="AE494" s="372"/>
      <c r="AF494" s="372"/>
      <c r="AG494" s="372"/>
    </row>
    <row r="495" ht="12.75" spans="1:33">
      <c r="A495" s="356" t="s">
        <v>2319</v>
      </c>
      <c r="B495" s="215"/>
      <c r="C495" s="215"/>
      <c r="D495" s="215" t="s">
        <v>2320</v>
      </c>
      <c r="E495" s="215" t="s">
        <v>327</v>
      </c>
      <c r="F495" s="215" t="s">
        <v>2321</v>
      </c>
      <c r="G495" s="361">
        <v>32570</v>
      </c>
      <c r="H495" s="360">
        <f t="shared" si="43"/>
        <v>2570</v>
      </c>
      <c r="I495" s="356" t="s">
        <v>2322</v>
      </c>
      <c r="J495" s="375" t="s">
        <v>2323</v>
      </c>
      <c r="K495" s="379">
        <v>3445</v>
      </c>
      <c r="L495" s="184" t="s">
        <v>454</v>
      </c>
      <c r="M495" s="199" t="str">
        <f t="shared" si="9"/>
        <v>Yes</v>
      </c>
      <c r="N495" s="199"/>
      <c r="O495" s="199"/>
      <c r="P495" s="380"/>
      <c r="Q495" s="199"/>
      <c r="R495" s="184"/>
      <c r="S495" s="199"/>
      <c r="T495" s="184"/>
      <c r="U495" s="184"/>
      <c r="V495" s="184"/>
      <c r="W495" s="184"/>
      <c r="X495" s="184"/>
      <c r="Y495" s="184"/>
      <c r="Z495" s="184"/>
      <c r="AA495" s="396" t="s">
        <v>49</v>
      </c>
      <c r="AB495" s="376"/>
      <c r="AC495" s="376"/>
      <c r="AD495" s="376" t="str">
        <f t="shared" si="44"/>
        <v>Industry</v>
      </c>
      <c r="AE495" s="376"/>
      <c r="AF495" s="376"/>
      <c r="AG495" s="376"/>
    </row>
    <row r="496" ht="12.75" spans="1:33">
      <c r="A496" s="353"/>
      <c r="B496" s="192"/>
      <c r="C496" s="192"/>
      <c r="D496" s="192" t="s">
        <v>2324</v>
      </c>
      <c r="E496" s="192" t="s">
        <v>134</v>
      </c>
      <c r="F496" s="192" t="s">
        <v>2325</v>
      </c>
      <c r="G496" s="367">
        <v>32576</v>
      </c>
      <c r="H496" s="363">
        <f t="shared" si="43"/>
        <v>2576</v>
      </c>
      <c r="I496" s="353" t="s">
        <v>2326</v>
      </c>
      <c r="J496" s="371" t="s">
        <v>2327</v>
      </c>
      <c r="K496" s="236">
        <v>21663</v>
      </c>
      <c r="L496" s="182" t="s">
        <v>454</v>
      </c>
      <c r="M496" s="197" t="str">
        <f t="shared" si="9"/>
        <v>Yes</v>
      </c>
      <c r="N496" s="197"/>
      <c r="O496" s="197"/>
      <c r="P496" s="385"/>
      <c r="Q496" s="197"/>
      <c r="R496" s="182"/>
      <c r="S496" s="197"/>
      <c r="T496" s="182"/>
      <c r="U496" s="182"/>
      <c r="V496" s="182"/>
      <c r="W496" s="182"/>
      <c r="X496" s="182"/>
      <c r="Y496" s="182"/>
      <c r="Z496" s="182"/>
      <c r="AA496" s="399" t="s">
        <v>49</v>
      </c>
      <c r="AB496" s="372"/>
      <c r="AC496" s="372"/>
      <c r="AD496" s="372" t="str">
        <f t="shared" si="44"/>
        <v>Academia</v>
      </c>
      <c r="AE496" s="372"/>
      <c r="AF496" s="372"/>
      <c r="AG496" s="372"/>
    </row>
    <row r="497" ht="12.75" spans="1:33">
      <c r="A497" s="356"/>
      <c r="B497" s="215" t="s">
        <v>41</v>
      </c>
      <c r="C497" s="215"/>
      <c r="D497" s="215" t="s">
        <v>2328</v>
      </c>
      <c r="E497" s="215" t="s">
        <v>35</v>
      </c>
      <c r="F497" s="215" t="s">
        <v>2329</v>
      </c>
      <c r="G497" s="361">
        <v>32325</v>
      </c>
      <c r="H497" s="360">
        <f t="shared" si="43"/>
        <v>2325</v>
      </c>
      <c r="I497" s="356" t="s">
        <v>2330</v>
      </c>
      <c r="J497" s="375" t="s">
        <v>2331</v>
      </c>
      <c r="K497" s="379">
        <v>19068</v>
      </c>
      <c r="L497" s="184" t="s">
        <v>454</v>
      </c>
      <c r="M497" s="199" t="str">
        <f t="shared" si="9"/>
        <v>Yes</v>
      </c>
      <c r="N497" s="199"/>
      <c r="O497" s="199"/>
      <c r="P497" s="380"/>
      <c r="Q497" s="199">
        <v>1500</v>
      </c>
      <c r="R497" s="184"/>
      <c r="S497" s="199"/>
      <c r="T497" s="184"/>
      <c r="U497" s="184"/>
      <c r="V497" s="184"/>
      <c r="W497" s="184"/>
      <c r="X497" s="184"/>
      <c r="Y497" s="184"/>
      <c r="Z497" s="184"/>
      <c r="AA497" s="396" t="s">
        <v>49</v>
      </c>
      <c r="AB497" s="376"/>
      <c r="AC497" s="376"/>
      <c r="AD497" s="376" t="str">
        <f t="shared" si="44"/>
        <v>Industry</v>
      </c>
      <c r="AE497" s="376"/>
      <c r="AF497" s="376"/>
      <c r="AG497" s="376"/>
    </row>
    <row r="498" ht="12.75" spans="1:33">
      <c r="A498" s="353" t="s">
        <v>2332</v>
      </c>
      <c r="B498" s="192" t="s">
        <v>199</v>
      </c>
      <c r="C498" s="192" t="s">
        <v>2309</v>
      </c>
      <c r="D498" s="192" t="s">
        <v>1166</v>
      </c>
      <c r="E498" s="192" t="s">
        <v>134</v>
      </c>
      <c r="F498" s="192" t="s">
        <v>2333</v>
      </c>
      <c r="G498" s="367">
        <v>32348</v>
      </c>
      <c r="H498" s="363">
        <f t="shared" si="43"/>
        <v>2348</v>
      </c>
      <c r="I498" s="353" t="s">
        <v>2334</v>
      </c>
      <c r="J498" s="371" t="s">
        <v>2335</v>
      </c>
      <c r="K498" s="236">
        <v>81</v>
      </c>
      <c r="L498" s="182"/>
      <c r="M498" s="197" t="str">
        <f t="shared" si="9"/>
        <v>No</v>
      </c>
      <c r="N498" s="197"/>
      <c r="O498" s="197"/>
      <c r="P498" s="385"/>
      <c r="Q498" s="197"/>
      <c r="R498" s="182"/>
      <c r="S498" s="197"/>
      <c r="T498" s="182"/>
      <c r="U498" s="182"/>
      <c r="V498" s="182"/>
      <c r="W498" s="182"/>
      <c r="X498" s="182"/>
      <c r="Y498" s="182"/>
      <c r="Z498" s="182"/>
      <c r="AA498" s="399" t="s">
        <v>49</v>
      </c>
      <c r="AB498" s="372"/>
      <c r="AC498" s="372"/>
      <c r="AD498" s="372" t="str">
        <f t="shared" si="44"/>
        <v>Academia</v>
      </c>
      <c r="AE498" s="372"/>
      <c r="AF498" s="372"/>
      <c r="AG498" s="372"/>
    </row>
    <row r="499" ht="12.75" spans="1:33">
      <c r="A499" s="356" t="s">
        <v>2336</v>
      </c>
      <c r="B499" s="215" t="s">
        <v>256</v>
      </c>
      <c r="C499" s="215" t="s">
        <v>2337</v>
      </c>
      <c r="D499" s="215" t="s">
        <v>1166</v>
      </c>
      <c r="E499" s="215" t="s">
        <v>134</v>
      </c>
      <c r="F499" s="215" t="s">
        <v>2338</v>
      </c>
      <c r="G499" s="361">
        <v>32348</v>
      </c>
      <c r="H499" s="360">
        <f t="shared" si="43"/>
        <v>2348</v>
      </c>
      <c r="I499" s="356" t="s">
        <v>2339</v>
      </c>
      <c r="J499" s="375" t="s">
        <v>2340</v>
      </c>
      <c r="K499" s="379">
        <v>80</v>
      </c>
      <c r="L499" s="184"/>
      <c r="M499" s="199" t="str">
        <f t="shared" si="9"/>
        <v>No</v>
      </c>
      <c r="N499" s="199">
        <f>11*10</f>
        <v>110</v>
      </c>
      <c r="O499" s="199"/>
      <c r="P499" s="380"/>
      <c r="Q499" s="199"/>
      <c r="R499" s="184"/>
      <c r="S499" s="199"/>
      <c r="T499" s="184"/>
      <c r="U499" s="184"/>
      <c r="V499" s="184"/>
      <c r="W499" s="184"/>
      <c r="X499" s="184"/>
      <c r="Y499" s="184"/>
      <c r="Z499" s="184"/>
      <c r="AA499" s="396" t="s">
        <v>49</v>
      </c>
      <c r="AB499" s="376"/>
      <c r="AC499" s="376"/>
      <c r="AD499" s="376" t="str">
        <f t="shared" si="44"/>
        <v>Academia</v>
      </c>
      <c r="AE499" s="376"/>
      <c r="AF499" s="376"/>
      <c r="AG499" s="376"/>
    </row>
    <row r="500" ht="12.75" spans="1:33">
      <c r="A500" s="353" t="s">
        <v>2341</v>
      </c>
      <c r="B500" s="192" t="s">
        <v>126</v>
      </c>
      <c r="C500" s="192" t="s">
        <v>2180</v>
      </c>
      <c r="D500" s="192" t="s">
        <v>2342</v>
      </c>
      <c r="E500" s="192" t="s">
        <v>134</v>
      </c>
      <c r="F500" s="192" t="s">
        <v>2343</v>
      </c>
      <c r="G500" s="367">
        <v>31934</v>
      </c>
      <c r="H500" s="363">
        <f t="shared" si="43"/>
        <v>1934</v>
      </c>
      <c r="I500" s="353" t="s">
        <v>2344</v>
      </c>
      <c r="J500" s="371" t="s">
        <v>2345</v>
      </c>
      <c r="K500" s="236">
        <v>2558</v>
      </c>
      <c r="L500" s="182" t="s">
        <v>454</v>
      </c>
      <c r="M500" s="197" t="str">
        <f t="shared" si="9"/>
        <v>Yes</v>
      </c>
      <c r="N500" s="197">
        <v>18629</v>
      </c>
      <c r="O500" s="389">
        <v>81187041441.209</v>
      </c>
      <c r="P500" s="385"/>
      <c r="Q500" s="197">
        <v>21036</v>
      </c>
      <c r="R500" s="182">
        <v>1</v>
      </c>
      <c r="S500" s="197"/>
      <c r="T500" s="182"/>
      <c r="U500" s="182"/>
      <c r="V500" s="182"/>
      <c r="W500" s="182"/>
      <c r="X500" s="182"/>
      <c r="Y500" s="182"/>
      <c r="Z500" s="182"/>
      <c r="AA500" s="399" t="s">
        <v>49</v>
      </c>
      <c r="AB500" s="372"/>
      <c r="AC500" s="372"/>
      <c r="AD500" s="372" t="str">
        <f t="shared" si="44"/>
        <v>Academia</v>
      </c>
      <c r="AE500" s="372"/>
      <c r="AF500" s="372"/>
      <c r="AG500" s="372"/>
    </row>
    <row r="501" ht="12.75" spans="1:33">
      <c r="A501" s="356"/>
      <c r="B501" s="215" t="s">
        <v>41</v>
      </c>
      <c r="C501" s="215"/>
      <c r="D501" s="215" t="s">
        <v>2346</v>
      </c>
      <c r="E501" s="215" t="s">
        <v>134</v>
      </c>
      <c r="F501" s="215" t="s">
        <v>2347</v>
      </c>
      <c r="G501" s="361">
        <v>31868</v>
      </c>
      <c r="H501" s="360">
        <f t="shared" si="43"/>
        <v>1868</v>
      </c>
      <c r="I501" s="356" t="s">
        <v>2348</v>
      </c>
      <c r="J501" s="375" t="s">
        <v>2349</v>
      </c>
      <c r="K501" s="379">
        <v>7588</v>
      </c>
      <c r="L501" s="184" t="s">
        <v>454</v>
      </c>
      <c r="M501" s="199" t="str">
        <f t="shared" si="9"/>
        <v>Yes</v>
      </c>
      <c r="N501" s="199"/>
      <c r="O501" s="199"/>
      <c r="P501" s="380"/>
      <c r="Q501" s="199"/>
      <c r="R501" s="184"/>
      <c r="S501" s="199"/>
      <c r="T501" s="184"/>
      <c r="U501" s="184"/>
      <c r="V501" s="184"/>
      <c r="W501" s="184"/>
      <c r="X501" s="184"/>
      <c r="Y501" s="184"/>
      <c r="Z501" s="184"/>
      <c r="AA501" s="396" t="s">
        <v>49</v>
      </c>
      <c r="AB501" s="376"/>
      <c r="AC501" s="376"/>
      <c r="AD501" s="376" t="str">
        <f t="shared" si="44"/>
        <v>Academia</v>
      </c>
      <c r="AE501" s="376"/>
      <c r="AF501" s="376"/>
      <c r="AG501" s="376"/>
    </row>
    <row r="502" ht="12.75" spans="1:33">
      <c r="A502" s="353" t="s">
        <v>2350</v>
      </c>
      <c r="B502" s="192" t="s">
        <v>199</v>
      </c>
      <c r="C502" s="192" t="s">
        <v>2351</v>
      </c>
      <c r="D502" s="192" t="s">
        <v>2352</v>
      </c>
      <c r="E502" s="192" t="s">
        <v>134</v>
      </c>
      <c r="F502" s="192" t="s">
        <v>2353</v>
      </c>
      <c r="G502" s="367">
        <v>31686</v>
      </c>
      <c r="H502" s="363">
        <f t="shared" si="43"/>
        <v>1686</v>
      </c>
      <c r="I502" s="353" t="s">
        <v>2354</v>
      </c>
      <c r="J502" s="371" t="s">
        <v>2355</v>
      </c>
      <c r="K502" s="236">
        <v>25301</v>
      </c>
      <c r="L502" s="182" t="s">
        <v>454</v>
      </c>
      <c r="M502" s="197" t="str">
        <f t="shared" si="9"/>
        <v>Yes</v>
      </c>
      <c r="N502" s="197">
        <f>24*6</f>
        <v>144</v>
      </c>
      <c r="O502" s="197">
        <f>S502*2*1500*Q502</f>
        <v>124416000</v>
      </c>
      <c r="P502" s="385"/>
      <c r="Q502" s="197">
        <f>12*12</f>
        <v>144</v>
      </c>
      <c r="R502" s="182"/>
      <c r="S502" s="197">
        <f>N502*2</f>
        <v>288</v>
      </c>
      <c r="T502" s="182"/>
      <c r="U502" s="182"/>
      <c r="V502" s="182"/>
      <c r="W502" s="182"/>
      <c r="X502" s="182" t="s">
        <v>2356</v>
      </c>
      <c r="Y502" s="182"/>
      <c r="Z502" s="182"/>
      <c r="AA502" s="399" t="s">
        <v>49</v>
      </c>
      <c r="AB502" s="372"/>
      <c r="AC502" s="372"/>
      <c r="AD502" s="372" t="str">
        <f t="shared" si="44"/>
        <v>Academia</v>
      </c>
      <c r="AE502" s="372"/>
      <c r="AF502" s="372"/>
      <c r="AG502" s="372"/>
    </row>
    <row r="503" ht="12.75" spans="1:33">
      <c r="A503" s="356"/>
      <c r="B503" s="215"/>
      <c r="C503" s="215"/>
      <c r="D503" s="215" t="s">
        <v>2357</v>
      </c>
      <c r="E503" s="215" t="s">
        <v>134</v>
      </c>
      <c r="F503" s="215" t="s">
        <v>2358</v>
      </c>
      <c r="G503" s="361">
        <v>31415</v>
      </c>
      <c r="H503" s="360">
        <f t="shared" si="43"/>
        <v>1415</v>
      </c>
      <c r="I503" s="356" t="s">
        <v>2359</v>
      </c>
      <c r="J503" s="375" t="s">
        <v>2360</v>
      </c>
      <c r="K503" s="379">
        <v>27322</v>
      </c>
      <c r="L503" s="184" t="s">
        <v>454</v>
      </c>
      <c r="M503" s="199" t="str">
        <f t="shared" si="9"/>
        <v>Yes</v>
      </c>
      <c r="N503" s="199"/>
      <c r="O503" s="199"/>
      <c r="P503" s="380"/>
      <c r="Q503" s="199"/>
      <c r="R503" s="184"/>
      <c r="S503" s="199"/>
      <c r="T503" s="184"/>
      <c r="U503" s="184"/>
      <c r="V503" s="184"/>
      <c r="W503" s="184"/>
      <c r="X503" s="184"/>
      <c r="Y503" s="184"/>
      <c r="Z503" s="184"/>
      <c r="AA503" s="396" t="s">
        <v>49</v>
      </c>
      <c r="AB503" s="376"/>
      <c r="AC503" s="376"/>
      <c r="AD503" s="376" t="str">
        <f t="shared" si="44"/>
        <v>Academia</v>
      </c>
      <c r="AE503" s="376"/>
      <c r="AF503" s="376"/>
      <c r="AG503" s="376"/>
    </row>
    <row r="504" ht="12.75" spans="1:33">
      <c r="A504" s="353" t="s">
        <v>2361</v>
      </c>
      <c r="B504" s="192" t="s">
        <v>51</v>
      </c>
      <c r="C504" s="192" t="s">
        <v>2362</v>
      </c>
      <c r="D504" s="192" t="s">
        <v>1392</v>
      </c>
      <c r="E504" s="192" t="s">
        <v>134</v>
      </c>
      <c r="F504" s="192" t="s">
        <v>2363</v>
      </c>
      <c r="G504" s="367">
        <v>31415</v>
      </c>
      <c r="H504" s="363">
        <f t="shared" si="43"/>
        <v>1415</v>
      </c>
      <c r="I504" s="353" t="s">
        <v>2364</v>
      </c>
      <c r="J504" s="371" t="s">
        <v>2365</v>
      </c>
      <c r="K504" s="238">
        <v>318</v>
      </c>
      <c r="L504" s="182"/>
      <c r="M504" s="197" t="str">
        <f t="shared" si="9"/>
        <v>No</v>
      </c>
      <c r="N504" s="197">
        <f>460*460</f>
        <v>211600</v>
      </c>
      <c r="O504" s="197"/>
      <c r="P504" s="385"/>
      <c r="Q504" s="197"/>
      <c r="R504" s="182"/>
      <c r="S504" s="197"/>
      <c r="T504" s="182"/>
      <c r="U504" s="182"/>
      <c r="V504" s="182"/>
      <c r="W504" s="182"/>
      <c r="X504" s="182"/>
      <c r="Y504" s="182"/>
      <c r="Z504" s="182"/>
      <c r="AA504" s="399" t="s">
        <v>49</v>
      </c>
      <c r="AB504" s="372"/>
      <c r="AC504" s="372" t="s">
        <v>2366</v>
      </c>
      <c r="AD504" s="372" t="str">
        <f>_xlfn.IFS($F504="Academia","Academia",$F504="Research Collective","TO MANUALLY ADJUST",TRUE,"Industry")</f>
        <v>Industry</v>
      </c>
      <c r="AE504" s="372"/>
      <c r="AF504" s="372"/>
      <c r="AG504" s="372"/>
    </row>
    <row r="505" ht="12.75" spans="1:33">
      <c r="A505" s="356"/>
      <c r="B505" s="215"/>
      <c r="C505" s="215"/>
      <c r="D505" s="215" t="s">
        <v>2352</v>
      </c>
      <c r="E505" s="215" t="s">
        <v>134</v>
      </c>
      <c r="F505" s="215" t="s">
        <v>2367</v>
      </c>
      <c r="G505" s="361">
        <v>31417</v>
      </c>
      <c r="H505" s="360">
        <f t="shared" si="43"/>
        <v>1417</v>
      </c>
      <c r="I505" s="356" t="s">
        <v>2368</v>
      </c>
      <c r="J505" s="375" t="s">
        <v>2369</v>
      </c>
      <c r="K505" s="379">
        <v>1502</v>
      </c>
      <c r="L505" s="184" t="s">
        <v>454</v>
      </c>
      <c r="M505" s="199" t="str">
        <f t="shared" si="9"/>
        <v>Yes</v>
      </c>
      <c r="N505" s="199"/>
      <c r="O505" s="199"/>
      <c r="P505" s="380"/>
      <c r="Q505" s="199"/>
      <c r="R505" s="184"/>
      <c r="S505" s="199"/>
      <c r="T505" s="184"/>
      <c r="U505" s="184"/>
      <c r="V505" s="184"/>
      <c r="W505" s="184"/>
      <c r="X505" s="184"/>
      <c r="Y505" s="184"/>
      <c r="Z505" s="184"/>
      <c r="AA505" s="396" t="s">
        <v>49</v>
      </c>
      <c r="AB505" s="376"/>
      <c r="AC505" s="376"/>
      <c r="AD505" s="376" t="str">
        <f t="shared" ref="AD505:AD538" si="45">_xlfn.IFS($E505="Academia","Academia",$E505="Research Collective","TO MANUALLY ADJUST",TRUE,"Industry")</f>
        <v>Academia</v>
      </c>
      <c r="AE505" s="376"/>
      <c r="AF505" s="376"/>
      <c r="AG505" s="376"/>
    </row>
    <row r="506" ht="12.75" spans="1:33">
      <c r="A506" s="353"/>
      <c r="B506" s="192" t="s">
        <v>41</v>
      </c>
      <c r="C506" s="192"/>
      <c r="D506" s="192" t="s">
        <v>2253</v>
      </c>
      <c r="E506" s="192" t="s">
        <v>134</v>
      </c>
      <c r="F506" s="192" t="s">
        <v>2370</v>
      </c>
      <c r="G506" s="367">
        <v>31717</v>
      </c>
      <c r="H506" s="363">
        <f t="shared" si="43"/>
        <v>1717</v>
      </c>
      <c r="I506" s="353" t="s">
        <v>2371</v>
      </c>
      <c r="J506" s="371" t="s">
        <v>2372</v>
      </c>
      <c r="K506" s="236">
        <v>37931</v>
      </c>
      <c r="L506" s="182" t="s">
        <v>454</v>
      </c>
      <c r="M506" s="197" t="str">
        <f t="shared" si="9"/>
        <v>Yes</v>
      </c>
      <c r="N506" s="197"/>
      <c r="O506" s="197"/>
      <c r="P506" s="385"/>
      <c r="Q506" s="197"/>
      <c r="R506" s="182"/>
      <c r="S506" s="197"/>
      <c r="T506" s="182"/>
      <c r="U506" s="182"/>
      <c r="V506" s="182"/>
      <c r="W506" s="182"/>
      <c r="X506" s="182"/>
      <c r="Y506" s="182"/>
      <c r="Z506" s="182"/>
      <c r="AA506" s="399" t="s">
        <v>49</v>
      </c>
      <c r="AB506" s="372"/>
      <c r="AC506" s="372"/>
      <c r="AD506" s="372" t="str">
        <f t="shared" si="45"/>
        <v>Academia</v>
      </c>
      <c r="AE506" s="372"/>
      <c r="AF506" s="372"/>
      <c r="AG506" s="372"/>
    </row>
    <row r="507" ht="12.75" spans="1:33">
      <c r="A507" s="356"/>
      <c r="B507" s="215" t="s">
        <v>51</v>
      </c>
      <c r="C507" s="215"/>
      <c r="D507" s="215" t="s">
        <v>815</v>
      </c>
      <c r="E507" s="215" t="s">
        <v>134</v>
      </c>
      <c r="F507" s="215" t="s">
        <v>2373</v>
      </c>
      <c r="G507" s="361">
        <v>30864</v>
      </c>
      <c r="H507" s="360">
        <f t="shared" si="43"/>
        <v>864</v>
      </c>
      <c r="I507" s="356" t="s">
        <v>2374</v>
      </c>
      <c r="J507" s="375" t="s">
        <v>2375</v>
      </c>
      <c r="K507" s="379">
        <v>4730</v>
      </c>
      <c r="L507" s="184" t="s">
        <v>454</v>
      </c>
      <c r="M507" s="199" t="str">
        <f t="shared" si="9"/>
        <v>Yes</v>
      </c>
      <c r="N507" s="199"/>
      <c r="O507" s="199"/>
      <c r="P507" s="380"/>
      <c r="Q507" s="199"/>
      <c r="R507" s="184"/>
      <c r="S507" s="199"/>
      <c r="T507" s="184"/>
      <c r="U507" s="184"/>
      <c r="V507" s="184"/>
      <c r="W507" s="184"/>
      <c r="X507" s="184"/>
      <c r="Y507" s="184"/>
      <c r="Z507" s="184"/>
      <c r="AA507" s="396" t="s">
        <v>49</v>
      </c>
      <c r="AB507" s="376"/>
      <c r="AC507" s="376"/>
      <c r="AD507" s="376" t="str">
        <f t="shared" si="45"/>
        <v>Academia</v>
      </c>
      <c r="AE507" s="376"/>
      <c r="AF507" s="376"/>
      <c r="AG507" s="376"/>
    </row>
    <row r="508" ht="12.75" spans="1:33">
      <c r="A508" s="353" t="s">
        <v>2376</v>
      </c>
      <c r="B508" s="192" t="s">
        <v>256</v>
      </c>
      <c r="C508" s="192" t="s">
        <v>2337</v>
      </c>
      <c r="D508" s="192" t="s">
        <v>1392</v>
      </c>
      <c r="E508" s="192" t="s">
        <v>134</v>
      </c>
      <c r="F508" s="192" t="s">
        <v>2377</v>
      </c>
      <c r="G508" s="367">
        <v>30560</v>
      </c>
      <c r="H508" s="363">
        <f t="shared" si="43"/>
        <v>560</v>
      </c>
      <c r="I508" s="353" t="s">
        <v>2378</v>
      </c>
      <c r="J508" s="371" t="s">
        <v>2379</v>
      </c>
      <c r="K508" s="236">
        <v>4296</v>
      </c>
      <c r="L508" s="182" t="s">
        <v>454</v>
      </c>
      <c r="M508" s="197" t="str">
        <f t="shared" si="9"/>
        <v>Yes</v>
      </c>
      <c r="N508" s="197">
        <f>162*2</f>
        <v>324</v>
      </c>
      <c r="O508" s="197"/>
      <c r="P508" s="385"/>
      <c r="Q508" s="392"/>
      <c r="R508" s="182"/>
      <c r="S508" s="197"/>
      <c r="T508" s="182"/>
      <c r="U508" s="182"/>
      <c r="V508" s="182"/>
      <c r="W508" s="182"/>
      <c r="X508" s="182"/>
      <c r="Y508" s="182"/>
      <c r="Z508" s="182"/>
      <c r="AA508" s="399" t="s">
        <v>49</v>
      </c>
      <c r="AB508" s="372"/>
      <c r="AC508" s="372"/>
      <c r="AD508" s="372" t="str">
        <f t="shared" si="45"/>
        <v>Academia</v>
      </c>
      <c r="AE508" s="372"/>
      <c r="AF508" s="372"/>
      <c r="AG508" s="372"/>
    </row>
    <row r="509" ht="12.75" spans="1:33">
      <c r="A509" s="356" t="s">
        <v>2380</v>
      </c>
      <c r="B509" s="215" t="s">
        <v>199</v>
      </c>
      <c r="C509" s="215" t="s">
        <v>2381</v>
      </c>
      <c r="D509" s="215" t="s">
        <v>2075</v>
      </c>
      <c r="E509" s="215" t="s">
        <v>134</v>
      </c>
      <c r="F509" s="215" t="s">
        <v>2382</v>
      </c>
      <c r="G509" s="361">
        <v>30042</v>
      </c>
      <c r="H509" s="360">
        <f t="shared" si="43"/>
        <v>42</v>
      </c>
      <c r="I509" s="356" t="s">
        <v>2383</v>
      </c>
      <c r="J509" s="375" t="s">
        <v>2384</v>
      </c>
      <c r="K509" s="379">
        <v>23315</v>
      </c>
      <c r="L509" s="184" t="s">
        <v>454</v>
      </c>
      <c r="M509" s="199" t="str">
        <f t="shared" si="9"/>
        <v>Yes</v>
      </c>
      <c r="N509" s="199">
        <f>100*99</f>
        <v>9900</v>
      </c>
      <c r="O509" s="199"/>
      <c r="P509" s="380"/>
      <c r="Q509" s="199"/>
      <c r="R509" s="184" t="s">
        <v>1546</v>
      </c>
      <c r="S509" s="199"/>
      <c r="T509" s="184"/>
      <c r="U509" s="184"/>
      <c r="V509" s="184"/>
      <c r="W509" s="184"/>
      <c r="X509" s="184"/>
      <c r="Y509" s="184"/>
      <c r="Z509" s="184"/>
      <c r="AA509" s="396" t="s">
        <v>49</v>
      </c>
      <c r="AB509" s="376"/>
      <c r="AC509" s="376"/>
      <c r="AD509" s="376" t="str">
        <f t="shared" si="45"/>
        <v>Academia</v>
      </c>
      <c r="AE509" s="376"/>
      <c r="AF509" s="376"/>
      <c r="AG509" s="376"/>
    </row>
    <row r="510" ht="12.75" spans="1:33">
      <c r="A510" s="353" t="s">
        <v>2385</v>
      </c>
      <c r="B510" s="192" t="s">
        <v>199</v>
      </c>
      <c r="C510" s="192" t="s">
        <v>2386</v>
      </c>
      <c r="D510" s="192" t="s">
        <v>2387</v>
      </c>
      <c r="E510" s="192" t="s">
        <v>134</v>
      </c>
      <c r="F510" s="192" t="s">
        <v>2388</v>
      </c>
      <c r="G510" s="367">
        <v>29792</v>
      </c>
      <c r="H510" s="363">
        <f t="shared" si="43"/>
        <v>9792</v>
      </c>
      <c r="I510" s="353" t="s">
        <v>2389</v>
      </c>
      <c r="J510" s="371" t="s">
        <v>2390</v>
      </c>
      <c r="K510" s="236">
        <v>11841</v>
      </c>
      <c r="L510" s="182" t="s">
        <v>454</v>
      </c>
      <c r="M510" s="197" t="str">
        <f t="shared" si="9"/>
        <v>Yes</v>
      </c>
      <c r="N510" s="197">
        <f>8*8*64</f>
        <v>4096</v>
      </c>
      <c r="O510" s="197"/>
      <c r="P510" s="385"/>
      <c r="Q510" s="197"/>
      <c r="R510" s="182"/>
      <c r="S510" s="197"/>
      <c r="T510" s="182"/>
      <c r="U510" s="182"/>
      <c r="V510" s="182"/>
      <c r="W510" s="182"/>
      <c r="X510" s="182"/>
      <c r="Y510" s="182"/>
      <c r="Z510" s="182"/>
      <c r="AA510" s="399" t="s">
        <v>49</v>
      </c>
      <c r="AB510" s="372"/>
      <c r="AC510" s="372"/>
      <c r="AD510" s="372" t="str">
        <f t="shared" si="45"/>
        <v>Academia</v>
      </c>
      <c r="AE510" s="372"/>
      <c r="AF510" s="372"/>
      <c r="AG510" s="372"/>
    </row>
    <row r="511" ht="12.75" spans="1:33">
      <c r="A511" s="356" t="s">
        <v>2391</v>
      </c>
      <c r="B511" s="215" t="s">
        <v>41</v>
      </c>
      <c r="C511" s="215" t="s">
        <v>1231</v>
      </c>
      <c r="D511" s="215" t="s">
        <v>2392</v>
      </c>
      <c r="E511" s="215" t="s">
        <v>35</v>
      </c>
      <c r="F511" s="215" t="s">
        <v>2393</v>
      </c>
      <c r="G511" s="361">
        <v>29312</v>
      </c>
      <c r="H511" s="360">
        <f t="shared" si="43"/>
        <v>9312</v>
      </c>
      <c r="I511" s="356" t="s">
        <v>2394</v>
      </c>
      <c r="J511" s="375" t="s">
        <v>2395</v>
      </c>
      <c r="K511" s="379">
        <v>5782</v>
      </c>
      <c r="L511" s="184" t="s">
        <v>454</v>
      </c>
      <c r="M511" s="199" t="str">
        <f t="shared" si="9"/>
        <v>Yes</v>
      </c>
      <c r="N511" s="199">
        <f>(16*16*24)*(5*5+1)+(8*8*24)*(5*5*24+1)+(2*2*24)*(5*5*24+1)</f>
        <v>1140576</v>
      </c>
      <c r="O511" s="199">
        <f>2*5*20*N511</f>
        <v>228115200</v>
      </c>
      <c r="P511" s="380"/>
      <c r="Q511" s="199">
        <v>5</v>
      </c>
      <c r="R511" s="184"/>
      <c r="S511" s="199"/>
      <c r="T511" s="184"/>
      <c r="U511" s="184"/>
      <c r="V511" s="184"/>
      <c r="W511" s="184"/>
      <c r="X511" s="184"/>
      <c r="Y511" s="205"/>
      <c r="Z511" s="205"/>
      <c r="AA511" s="396" t="s">
        <v>49</v>
      </c>
      <c r="AB511" s="376"/>
      <c r="AC511" s="376"/>
      <c r="AD511" s="376" t="str">
        <f t="shared" si="45"/>
        <v>Industry</v>
      </c>
      <c r="AE511" s="376"/>
      <c r="AF511" s="376"/>
      <c r="AG511" s="376"/>
    </row>
    <row r="512" ht="12.75" spans="1:33">
      <c r="A512" s="353"/>
      <c r="B512" s="192" t="s">
        <v>41</v>
      </c>
      <c r="C512" s="192"/>
      <c r="D512" s="192" t="s">
        <v>2396</v>
      </c>
      <c r="E512" s="192" t="s">
        <v>134</v>
      </c>
      <c r="F512" s="192" t="s">
        <v>2397</v>
      </c>
      <c r="G512" s="367">
        <v>28977</v>
      </c>
      <c r="H512" s="363">
        <f t="shared" si="43"/>
        <v>8977</v>
      </c>
      <c r="I512" s="353" t="s">
        <v>2398</v>
      </c>
      <c r="J512" s="371" t="s">
        <v>2399</v>
      </c>
      <c r="K512" s="236">
        <v>981</v>
      </c>
      <c r="L512" s="182" t="s">
        <v>1923</v>
      </c>
      <c r="M512" s="197" t="str">
        <f t="shared" si="9"/>
        <v>Yes</v>
      </c>
      <c r="N512" s="197"/>
      <c r="O512" s="197"/>
      <c r="P512" s="385"/>
      <c r="Q512" s="197"/>
      <c r="R512" s="182"/>
      <c r="S512" s="197"/>
      <c r="T512" s="182"/>
      <c r="U512" s="182"/>
      <c r="V512" s="182"/>
      <c r="W512" s="182"/>
      <c r="X512" s="182"/>
      <c r="Y512" s="204"/>
      <c r="Z512" s="204"/>
      <c r="AA512" s="399" t="s">
        <v>49</v>
      </c>
      <c r="AB512" s="372"/>
      <c r="AC512" s="372"/>
      <c r="AD512" s="372" t="str">
        <f t="shared" si="45"/>
        <v>Academia</v>
      </c>
      <c r="AE512" s="372"/>
      <c r="AF512" s="372"/>
      <c r="AG512" s="372"/>
    </row>
    <row r="513" ht="12.75" spans="1:33">
      <c r="A513" s="356" t="s">
        <v>2400</v>
      </c>
      <c r="B513" s="215"/>
      <c r="C513" s="215"/>
      <c r="D513" s="215" t="s">
        <v>2401</v>
      </c>
      <c r="E513" s="215" t="s">
        <v>134</v>
      </c>
      <c r="F513" s="215" t="s">
        <v>2402</v>
      </c>
      <c r="G513" s="361">
        <v>28338</v>
      </c>
      <c r="H513" s="360">
        <f t="shared" si="43"/>
        <v>8338</v>
      </c>
      <c r="I513" s="356" t="s">
        <v>2403</v>
      </c>
      <c r="J513" s="375" t="s">
        <v>2404</v>
      </c>
      <c r="K513" s="384">
        <v>269</v>
      </c>
      <c r="L513" s="184" t="s">
        <v>1923</v>
      </c>
      <c r="M513" s="199" t="str">
        <f t="shared" si="9"/>
        <v>Yes</v>
      </c>
      <c r="N513" s="199"/>
      <c r="O513" s="199"/>
      <c r="P513" s="380"/>
      <c r="Q513" s="199"/>
      <c r="R513" s="184"/>
      <c r="S513" s="199"/>
      <c r="T513" s="184"/>
      <c r="U513" s="184"/>
      <c r="V513" s="184"/>
      <c r="W513" s="184"/>
      <c r="X513" s="184"/>
      <c r="Y513" s="205"/>
      <c r="Z513" s="205"/>
      <c r="AA513" s="396" t="s">
        <v>49</v>
      </c>
      <c r="AB513" s="376"/>
      <c r="AC513" s="376"/>
      <c r="AD513" s="376" t="str">
        <f t="shared" si="45"/>
        <v>Academia</v>
      </c>
      <c r="AE513" s="376"/>
      <c r="AF513" s="376"/>
      <c r="AG513" s="376"/>
    </row>
    <row r="514" ht="12.75" spans="1:33">
      <c r="A514" s="353" t="s">
        <v>2405</v>
      </c>
      <c r="B514" s="192"/>
      <c r="C514" s="192"/>
      <c r="D514" s="192" t="s">
        <v>2406</v>
      </c>
      <c r="E514" s="192" t="s">
        <v>35</v>
      </c>
      <c r="F514" s="192" t="s">
        <v>2407</v>
      </c>
      <c r="G514" s="367">
        <v>27638</v>
      </c>
      <c r="H514" s="363">
        <f t="shared" si="43"/>
        <v>7638</v>
      </c>
      <c r="I514" s="353" t="s">
        <v>2408</v>
      </c>
      <c r="J514" s="371" t="s">
        <v>2409</v>
      </c>
      <c r="K514" s="236">
        <v>791</v>
      </c>
      <c r="L514" s="182" t="s">
        <v>1923</v>
      </c>
      <c r="M514" s="197" t="str">
        <f t="shared" si="9"/>
        <v>Yes</v>
      </c>
      <c r="N514" s="204"/>
      <c r="O514" s="197"/>
      <c r="P514" s="385"/>
      <c r="Q514" s="197"/>
      <c r="R514" s="182"/>
      <c r="S514" s="197"/>
      <c r="T514" s="182"/>
      <c r="U514" s="182"/>
      <c r="V514" s="182"/>
      <c r="W514" s="182"/>
      <c r="X514" s="182"/>
      <c r="Y514" s="204"/>
      <c r="Z514" s="204"/>
      <c r="AA514" s="399" t="s">
        <v>49</v>
      </c>
      <c r="AB514" s="372"/>
      <c r="AC514" s="372"/>
      <c r="AD514" s="372" t="str">
        <f t="shared" si="45"/>
        <v>Industry</v>
      </c>
      <c r="AE514" s="372"/>
      <c r="AF514" s="372"/>
      <c r="AG514" s="372"/>
    </row>
    <row r="515" ht="12.75" spans="1:33">
      <c r="A515" s="356" t="s">
        <v>2410</v>
      </c>
      <c r="B515" s="215" t="s">
        <v>41</v>
      </c>
      <c r="C515" s="215"/>
      <c r="D515" s="215" t="s">
        <v>2411</v>
      </c>
      <c r="E515" s="215" t="s">
        <v>35</v>
      </c>
      <c r="F515" s="215" t="s">
        <v>2412</v>
      </c>
      <c r="G515" s="361">
        <v>27273</v>
      </c>
      <c r="H515" s="360">
        <f t="shared" si="43"/>
        <v>7273</v>
      </c>
      <c r="I515" s="356" t="s">
        <v>2413</v>
      </c>
      <c r="J515" s="375" t="s">
        <v>2414</v>
      </c>
      <c r="K515" s="379">
        <v>23127</v>
      </c>
      <c r="L515" s="184" t="s">
        <v>454</v>
      </c>
      <c r="M515" s="199" t="str">
        <f t="shared" si="9"/>
        <v>Yes</v>
      </c>
      <c r="N515" s="199"/>
      <c r="O515" s="199"/>
      <c r="P515" s="380"/>
      <c r="Q515" s="199"/>
      <c r="R515" s="184"/>
      <c r="S515" s="199"/>
      <c r="T515" s="184"/>
      <c r="U515" s="184"/>
      <c r="V515" s="184"/>
      <c r="W515" s="184"/>
      <c r="X515" s="184"/>
      <c r="Y515" s="184"/>
      <c r="Z515" s="184"/>
      <c r="AA515" s="396" t="s">
        <v>49</v>
      </c>
      <c r="AB515" s="376"/>
      <c r="AC515" s="376"/>
      <c r="AD515" s="376" t="str">
        <f t="shared" si="45"/>
        <v>Industry</v>
      </c>
      <c r="AE515" s="376"/>
      <c r="AF515" s="376"/>
      <c r="AG515" s="376"/>
    </row>
    <row r="516" ht="12.75" spans="1:33">
      <c r="A516" s="353" t="s">
        <v>2415</v>
      </c>
      <c r="B516" s="192" t="s">
        <v>256</v>
      </c>
      <c r="C516" s="192" t="s">
        <v>2416</v>
      </c>
      <c r="D516" s="192" t="s">
        <v>2417</v>
      </c>
      <c r="E516" s="192" t="s">
        <v>134</v>
      </c>
      <c r="F516" s="192" t="s">
        <v>2418</v>
      </c>
      <c r="G516" s="367">
        <v>26908</v>
      </c>
      <c r="H516" s="363">
        <f t="shared" si="43"/>
        <v>6908</v>
      </c>
      <c r="I516" s="353" t="s">
        <v>2419</v>
      </c>
      <c r="J516" s="371" t="s">
        <v>2420</v>
      </c>
      <c r="K516" s="238">
        <v>397</v>
      </c>
      <c r="L516" s="182"/>
      <c r="M516" s="197" t="str">
        <f t="shared" si="9"/>
        <v>No</v>
      </c>
      <c r="N516" s="197">
        <v>21</v>
      </c>
      <c r="O516" s="197"/>
      <c r="P516" s="385"/>
      <c r="Q516" s="197"/>
      <c r="R516" s="182"/>
      <c r="S516" s="197"/>
      <c r="T516" s="182"/>
      <c r="U516" s="182"/>
      <c r="V516" s="182"/>
      <c r="W516" s="182"/>
      <c r="X516" s="182"/>
      <c r="Y516" s="204"/>
      <c r="Z516" s="204"/>
      <c r="AA516" s="399" t="s">
        <v>49</v>
      </c>
      <c r="AB516" s="372"/>
      <c r="AC516" s="372"/>
      <c r="AD516" s="372" t="str">
        <f t="shared" si="45"/>
        <v>Academia</v>
      </c>
      <c r="AE516" s="372"/>
      <c r="AF516" s="372"/>
      <c r="AG516" s="372"/>
    </row>
    <row r="517" ht="12.75" spans="1:33">
      <c r="A517" s="356" t="s">
        <v>2421</v>
      </c>
      <c r="B517" s="215"/>
      <c r="C517" s="215"/>
      <c r="D517" s="215" t="s">
        <v>2253</v>
      </c>
      <c r="E517" s="215" t="s">
        <v>134</v>
      </c>
      <c r="F517" s="215" t="s">
        <v>2422</v>
      </c>
      <c r="G517" s="361">
        <v>25812</v>
      </c>
      <c r="H517" s="360">
        <f t="shared" si="43"/>
        <v>5812</v>
      </c>
      <c r="I517" s="356" t="s">
        <v>2423</v>
      </c>
      <c r="J517" s="375" t="s">
        <v>2424</v>
      </c>
      <c r="K517" s="379">
        <v>1805</v>
      </c>
      <c r="L517" s="184" t="s">
        <v>454</v>
      </c>
      <c r="M517" s="199" t="str">
        <f t="shared" si="9"/>
        <v>Yes</v>
      </c>
      <c r="N517" s="199"/>
      <c r="O517" s="199"/>
      <c r="P517" s="380"/>
      <c r="Q517" s="199"/>
      <c r="R517" s="184"/>
      <c r="S517" s="199"/>
      <c r="T517" s="184"/>
      <c r="U517" s="184"/>
      <c r="V517" s="184"/>
      <c r="W517" s="184"/>
      <c r="X517" s="184"/>
      <c r="Y517" s="184"/>
      <c r="Z517" s="184"/>
      <c r="AA517" s="396" t="s">
        <v>49</v>
      </c>
      <c r="AB517" s="376"/>
      <c r="AC517" s="376"/>
      <c r="AD517" s="376" t="str">
        <f t="shared" si="45"/>
        <v>Academia</v>
      </c>
      <c r="AE517" s="376"/>
      <c r="AF517" s="376"/>
      <c r="AG517" s="376"/>
    </row>
    <row r="518" ht="12.75" spans="1:33">
      <c r="A518" s="353" t="s">
        <v>2425</v>
      </c>
      <c r="B518" s="192" t="s">
        <v>256</v>
      </c>
      <c r="C518" s="192" t="s">
        <v>2426</v>
      </c>
      <c r="D518" s="192" t="s">
        <v>1479</v>
      </c>
      <c r="E518" s="192" t="s">
        <v>134</v>
      </c>
      <c r="F518" s="192" t="s">
        <v>2427</v>
      </c>
      <c r="G518" s="367">
        <v>25020</v>
      </c>
      <c r="H518" s="363">
        <f t="shared" si="43"/>
        <v>5020</v>
      </c>
      <c r="I518" s="353" t="s">
        <v>2428</v>
      </c>
      <c r="J518" s="371" t="s">
        <v>2429</v>
      </c>
      <c r="K518" s="236">
        <v>590</v>
      </c>
      <c r="L518" s="182" t="s">
        <v>1923</v>
      </c>
      <c r="M518" s="197" t="str">
        <f t="shared" si="9"/>
        <v>Yes</v>
      </c>
      <c r="N518" s="197"/>
      <c r="O518" s="197"/>
      <c r="P518" s="385"/>
      <c r="Q518" s="197"/>
      <c r="R518" s="182"/>
      <c r="S518" s="197"/>
      <c r="T518" s="182"/>
      <c r="U518" s="182"/>
      <c r="V518" s="182"/>
      <c r="W518" s="182"/>
      <c r="X518" s="182"/>
      <c r="Y518" s="182"/>
      <c r="Z518" s="182"/>
      <c r="AA518" s="399" t="s">
        <v>49</v>
      </c>
      <c r="AB518" s="372"/>
      <c r="AC518" s="372"/>
      <c r="AD518" s="372" t="str">
        <f t="shared" si="45"/>
        <v>Academia</v>
      </c>
      <c r="AE518" s="372"/>
      <c r="AF518" s="372"/>
      <c r="AG518" s="372"/>
    </row>
    <row r="519" ht="12.75" spans="1:33">
      <c r="A519" s="356" t="s">
        <v>2430</v>
      </c>
      <c r="B519" s="215" t="s">
        <v>256</v>
      </c>
      <c r="C519" s="215" t="s">
        <v>2337</v>
      </c>
      <c r="D519" s="215" t="s">
        <v>1479</v>
      </c>
      <c r="E519" s="215" t="s">
        <v>134</v>
      </c>
      <c r="F519" s="215" t="s">
        <v>2427</v>
      </c>
      <c r="G519" s="357">
        <v>25020</v>
      </c>
      <c r="H519" s="360">
        <f t="shared" si="43"/>
        <v>5020</v>
      </c>
      <c r="I519" s="356" t="s">
        <v>2428</v>
      </c>
      <c r="J519" s="375" t="s">
        <v>2429</v>
      </c>
      <c r="K519" s="379">
        <v>590</v>
      </c>
      <c r="L519" s="184" t="s">
        <v>1923</v>
      </c>
      <c r="M519" s="199" t="str">
        <f t="shared" si="9"/>
        <v>Yes</v>
      </c>
      <c r="N519" s="199"/>
      <c r="O519" s="199"/>
      <c r="P519" s="380"/>
      <c r="Q519" s="199"/>
      <c r="R519" s="184"/>
      <c r="S519" s="199"/>
      <c r="T519" s="184"/>
      <c r="U519" s="184"/>
      <c r="V519" s="184"/>
      <c r="W519" s="184"/>
      <c r="X519" s="184"/>
      <c r="Y519" s="184"/>
      <c r="Z519" s="184"/>
      <c r="AA519" s="396" t="s">
        <v>49</v>
      </c>
      <c r="AB519" s="376"/>
      <c r="AC519" s="376"/>
      <c r="AD519" s="376" t="str">
        <f t="shared" si="45"/>
        <v>Academia</v>
      </c>
      <c r="AE519" s="376"/>
      <c r="AF519" s="376"/>
      <c r="AG519" s="376"/>
    </row>
    <row r="520" ht="12.75" spans="1:33">
      <c r="A520" s="353" t="s">
        <v>2431</v>
      </c>
      <c r="B520" s="192" t="s">
        <v>256</v>
      </c>
      <c r="C520" s="192" t="s">
        <v>2432</v>
      </c>
      <c r="D520" s="192" t="s">
        <v>2433</v>
      </c>
      <c r="E520" s="192" t="s">
        <v>134</v>
      </c>
      <c r="F520" s="192" t="s">
        <v>2434</v>
      </c>
      <c r="G520" s="367">
        <v>24777</v>
      </c>
      <c r="H520" s="363">
        <f t="shared" si="43"/>
        <v>4777</v>
      </c>
      <c r="I520" s="353" t="s">
        <v>2435</v>
      </c>
      <c r="J520" s="371" t="s">
        <v>2436</v>
      </c>
      <c r="K520" s="236">
        <v>747</v>
      </c>
      <c r="L520" s="182"/>
      <c r="M520" s="197" t="str">
        <f t="shared" si="9"/>
        <v>No</v>
      </c>
      <c r="N520" s="197">
        <v>40</v>
      </c>
      <c r="O520" s="197"/>
      <c r="P520" s="385"/>
      <c r="Q520" s="197"/>
      <c r="R520" s="182" t="s">
        <v>1546</v>
      </c>
      <c r="S520" s="197"/>
      <c r="T520" s="182"/>
      <c r="U520" s="182"/>
      <c r="V520" s="182"/>
      <c r="W520" s="182"/>
      <c r="X520" s="182"/>
      <c r="Y520" s="182"/>
      <c r="Z520" s="182"/>
      <c r="AA520" s="399" t="s">
        <v>49</v>
      </c>
      <c r="AB520" s="372"/>
      <c r="AC520" s="372"/>
      <c r="AD520" s="372" t="str">
        <f t="shared" si="45"/>
        <v>Academia</v>
      </c>
      <c r="AE520" s="372"/>
      <c r="AF520" s="372"/>
      <c r="AG520" s="372"/>
    </row>
    <row r="521" ht="12.75" spans="1:33">
      <c r="A521" s="356" t="s">
        <v>2437</v>
      </c>
      <c r="B521" s="215"/>
      <c r="C521" s="215"/>
      <c r="D521" s="215" t="s">
        <v>2438</v>
      </c>
      <c r="E521" s="215" t="s">
        <v>134</v>
      </c>
      <c r="F521" s="215" t="s">
        <v>2439</v>
      </c>
      <c r="G521" s="361">
        <v>23163</v>
      </c>
      <c r="H521" s="360">
        <f t="shared" si="43"/>
        <v>3163</v>
      </c>
      <c r="I521" s="356" t="s">
        <v>2440</v>
      </c>
      <c r="J521" s="375" t="s">
        <v>2441</v>
      </c>
      <c r="K521" s="379">
        <v>34</v>
      </c>
      <c r="L521" s="184"/>
      <c r="M521" s="199" t="str">
        <f t="shared" si="9"/>
        <v>No</v>
      </c>
      <c r="N521" s="199"/>
      <c r="O521" s="199"/>
      <c r="P521" s="380"/>
      <c r="Q521" s="199"/>
      <c r="R521" s="184"/>
      <c r="S521" s="199"/>
      <c r="T521" s="184"/>
      <c r="U521" s="184"/>
      <c r="V521" s="184"/>
      <c r="W521" s="184"/>
      <c r="X521" s="184"/>
      <c r="Y521" s="184"/>
      <c r="Z521" s="184"/>
      <c r="AA521" s="396" t="s">
        <v>49</v>
      </c>
      <c r="AB521" s="376"/>
      <c r="AC521" s="376"/>
      <c r="AD521" s="376" t="str">
        <f t="shared" si="45"/>
        <v>Academia</v>
      </c>
      <c r="AE521" s="376"/>
      <c r="AF521" s="376"/>
      <c r="AG521" s="376"/>
    </row>
    <row r="522" ht="12.75" spans="1:33">
      <c r="A522" s="353" t="s">
        <v>2442</v>
      </c>
      <c r="B522" s="192" t="s">
        <v>256</v>
      </c>
      <c r="C522" s="192" t="s">
        <v>2426</v>
      </c>
      <c r="D522" s="192" t="s">
        <v>1479</v>
      </c>
      <c r="E522" s="192" t="s">
        <v>134</v>
      </c>
      <c r="F522" s="192" t="s">
        <v>2443</v>
      </c>
      <c r="G522" s="367">
        <v>23316</v>
      </c>
      <c r="H522" s="363">
        <f t="shared" si="43"/>
        <v>3316</v>
      </c>
      <c r="I522" s="353" t="s">
        <v>2444</v>
      </c>
      <c r="J522" s="371" t="s">
        <v>2445</v>
      </c>
      <c r="K522" s="236">
        <v>46</v>
      </c>
      <c r="L522" s="182"/>
      <c r="M522" s="197" t="str">
        <f t="shared" si="9"/>
        <v>No</v>
      </c>
      <c r="N522" s="197"/>
      <c r="O522" s="197"/>
      <c r="P522" s="385"/>
      <c r="Q522" s="197"/>
      <c r="R522" s="182"/>
      <c r="S522" s="197"/>
      <c r="T522" s="182"/>
      <c r="U522" s="182"/>
      <c r="V522" s="182"/>
      <c r="W522" s="182"/>
      <c r="X522" s="182"/>
      <c r="Y522" s="182"/>
      <c r="Z522" s="182"/>
      <c r="AA522" s="399" t="s">
        <v>49</v>
      </c>
      <c r="AB522" s="372"/>
      <c r="AC522" s="372"/>
      <c r="AD522" s="372" t="str">
        <f t="shared" si="45"/>
        <v>Academia</v>
      </c>
      <c r="AE522" s="372"/>
      <c r="AF522" s="372"/>
      <c r="AG522" s="372"/>
    </row>
    <row r="523" ht="12.75" spans="1:33">
      <c r="A523" s="356" t="s">
        <v>2446</v>
      </c>
      <c r="B523" s="215"/>
      <c r="C523" s="215"/>
      <c r="D523" s="215" t="s">
        <v>1166</v>
      </c>
      <c r="E523" s="215" t="s">
        <v>134</v>
      </c>
      <c r="F523" s="215" t="s">
        <v>2447</v>
      </c>
      <c r="G523" s="361">
        <v>22828</v>
      </c>
      <c r="H523" s="360">
        <f t="shared" si="43"/>
        <v>2828</v>
      </c>
      <c r="I523" s="356" t="s">
        <v>2448</v>
      </c>
      <c r="J523" s="375" t="s">
        <v>2449</v>
      </c>
      <c r="K523" s="379">
        <v>75</v>
      </c>
      <c r="L523" s="184" t="s">
        <v>1923</v>
      </c>
      <c r="M523" s="199" t="str">
        <f t="shared" si="9"/>
        <v>Yes</v>
      </c>
      <c r="N523" s="199"/>
      <c r="O523" s="199"/>
      <c r="P523" s="380"/>
      <c r="Q523" s="199"/>
      <c r="R523" s="184"/>
      <c r="S523" s="199"/>
      <c r="T523" s="184"/>
      <c r="U523" s="184"/>
      <c r="V523" s="184"/>
      <c r="W523" s="184"/>
      <c r="X523" s="184"/>
      <c r="Y523" s="184"/>
      <c r="Z523" s="184"/>
      <c r="AA523" s="396" t="s">
        <v>49</v>
      </c>
      <c r="AB523" s="376"/>
      <c r="AC523" s="376"/>
      <c r="AD523" s="376" t="str">
        <f t="shared" si="45"/>
        <v>Academia</v>
      </c>
      <c r="AE523" s="376"/>
      <c r="AF523" s="376"/>
      <c r="AG523" s="376"/>
    </row>
    <row r="524" ht="12.75" spans="1:33">
      <c r="A524" s="353"/>
      <c r="B524" s="192"/>
      <c r="C524" s="192"/>
      <c r="D524" s="192" t="s">
        <v>2450</v>
      </c>
      <c r="E524" s="192" t="s">
        <v>134</v>
      </c>
      <c r="F524" s="192" t="s">
        <v>2451</v>
      </c>
      <c r="G524" s="367">
        <v>22282</v>
      </c>
      <c r="H524" s="363">
        <f t="shared" si="43"/>
        <v>2282</v>
      </c>
      <c r="I524" s="353" t="s">
        <v>2452</v>
      </c>
      <c r="J524" s="371" t="s">
        <v>2453</v>
      </c>
      <c r="K524" s="236">
        <v>2430</v>
      </c>
      <c r="L524" s="182" t="s">
        <v>454</v>
      </c>
      <c r="M524" s="197" t="str">
        <f t="shared" si="9"/>
        <v>Yes</v>
      </c>
      <c r="N524" s="197"/>
      <c r="O524" s="197"/>
      <c r="P524" s="385"/>
      <c r="Q524" s="197"/>
      <c r="R524" s="182"/>
      <c r="S524" s="197"/>
      <c r="T524" s="182"/>
      <c r="U524" s="182"/>
      <c r="V524" s="182"/>
      <c r="W524" s="182"/>
      <c r="X524" s="182"/>
      <c r="Y524" s="182"/>
      <c r="Z524" s="182"/>
      <c r="AA524" s="399" t="s">
        <v>49</v>
      </c>
      <c r="AB524" s="372"/>
      <c r="AC524" s="372"/>
      <c r="AD524" s="372" t="str">
        <f t="shared" si="45"/>
        <v>Academia</v>
      </c>
      <c r="AE524" s="372"/>
      <c r="AF524" s="372"/>
      <c r="AG524" s="372"/>
    </row>
    <row r="525" ht="12.75" spans="1:33">
      <c r="A525" s="356"/>
      <c r="B525" s="215"/>
      <c r="C525" s="215"/>
      <c r="D525" s="215" t="s">
        <v>2450</v>
      </c>
      <c r="E525" s="215" t="s">
        <v>134</v>
      </c>
      <c r="F525" s="215" t="s">
        <v>2454</v>
      </c>
      <c r="G525" s="361">
        <v>22463</v>
      </c>
      <c r="H525" s="360">
        <f t="shared" si="43"/>
        <v>2463</v>
      </c>
      <c r="I525" s="356" t="s">
        <v>2455</v>
      </c>
      <c r="J525" s="375" t="s">
        <v>2456</v>
      </c>
      <c r="K525" s="379">
        <v>47</v>
      </c>
      <c r="L525" s="184" t="s">
        <v>1923</v>
      </c>
      <c r="M525" s="199" t="str">
        <f t="shared" si="9"/>
        <v>Yes</v>
      </c>
      <c r="N525" s="199"/>
      <c r="O525" s="199"/>
      <c r="P525" s="380"/>
      <c r="Q525" s="199"/>
      <c r="R525" s="184"/>
      <c r="S525" s="199"/>
      <c r="T525" s="184"/>
      <c r="U525" s="184"/>
      <c r="V525" s="184"/>
      <c r="W525" s="184"/>
      <c r="X525" s="184"/>
      <c r="Y525" s="184"/>
      <c r="Z525" s="184"/>
      <c r="AA525" s="396" t="s">
        <v>49</v>
      </c>
      <c r="AB525" s="376"/>
      <c r="AC525" s="376"/>
      <c r="AD525" s="376" t="str">
        <f t="shared" si="45"/>
        <v>Academia</v>
      </c>
      <c r="AE525" s="376"/>
      <c r="AF525" s="376"/>
      <c r="AG525" s="376"/>
    </row>
    <row r="526" ht="12.75" spans="1:33">
      <c r="A526" s="353"/>
      <c r="B526" s="192"/>
      <c r="C526" s="192" t="s">
        <v>2457</v>
      </c>
      <c r="D526" s="192" t="s">
        <v>2458</v>
      </c>
      <c r="E526" s="192" t="s">
        <v>134</v>
      </c>
      <c r="F526" s="192" t="s">
        <v>2459</v>
      </c>
      <c r="G526" s="367">
        <v>22525</v>
      </c>
      <c r="H526" s="363">
        <f t="shared" si="43"/>
        <v>2525</v>
      </c>
      <c r="I526" s="353" t="s">
        <v>2460</v>
      </c>
      <c r="J526" s="371" t="s">
        <v>2461</v>
      </c>
      <c r="K526" s="238">
        <v>24</v>
      </c>
      <c r="L526" s="182"/>
      <c r="M526" s="197" t="str">
        <f t="shared" si="9"/>
        <v>No</v>
      </c>
      <c r="N526" s="197"/>
      <c r="O526" s="197"/>
      <c r="P526" s="385"/>
      <c r="Q526" s="197"/>
      <c r="R526" s="182"/>
      <c r="S526" s="197"/>
      <c r="T526" s="182"/>
      <c r="U526" s="182"/>
      <c r="V526" s="182"/>
      <c r="W526" s="182"/>
      <c r="X526" s="182"/>
      <c r="Y526" s="182"/>
      <c r="Z526" s="182"/>
      <c r="AA526" s="399" t="s">
        <v>49</v>
      </c>
      <c r="AB526" s="372"/>
      <c r="AC526" s="372"/>
      <c r="AD526" s="372" t="str">
        <f t="shared" si="45"/>
        <v>Academia</v>
      </c>
      <c r="AE526" s="372"/>
      <c r="AF526" s="372"/>
      <c r="AG526" s="372"/>
    </row>
    <row r="527" ht="12.75" spans="1:33">
      <c r="A527" s="356" t="s">
        <v>2462</v>
      </c>
      <c r="B527" s="215" t="s">
        <v>41</v>
      </c>
      <c r="C527" s="215" t="s">
        <v>2463</v>
      </c>
      <c r="D527" s="215" t="s">
        <v>1166</v>
      </c>
      <c r="E527" s="215" t="s">
        <v>134</v>
      </c>
      <c r="F527" s="215" t="s">
        <v>2464</v>
      </c>
      <c r="G527" s="361">
        <v>22097</v>
      </c>
      <c r="H527" s="360">
        <f t="shared" si="43"/>
        <v>2097</v>
      </c>
      <c r="I527" s="356" t="s">
        <v>2465</v>
      </c>
      <c r="J527" s="375" t="s">
        <v>2466</v>
      </c>
      <c r="K527" s="379">
        <v>6329</v>
      </c>
      <c r="L527" s="184" t="s">
        <v>454</v>
      </c>
      <c r="M527" s="199" t="str">
        <f t="shared" si="9"/>
        <v>Yes</v>
      </c>
      <c r="N527" s="199">
        <v>17</v>
      </c>
      <c r="O527" s="411">
        <f>S527*3*Q527</f>
        <v>9900</v>
      </c>
      <c r="P527" s="380"/>
      <c r="Q527" s="199">
        <v>100</v>
      </c>
      <c r="R527" s="184"/>
      <c r="S527" s="199">
        <f>16*2+1</f>
        <v>33</v>
      </c>
      <c r="T527" s="184"/>
      <c r="U527" s="184"/>
      <c r="V527" s="184"/>
      <c r="W527" s="184"/>
      <c r="X527" s="184"/>
      <c r="Y527" s="184"/>
      <c r="Z527" s="184"/>
      <c r="AA527" s="396" t="s">
        <v>49</v>
      </c>
      <c r="AB527" s="376"/>
      <c r="AC527" s="376"/>
      <c r="AD527" s="376" t="str">
        <f t="shared" si="45"/>
        <v>Academia</v>
      </c>
      <c r="AE527" s="376"/>
      <c r="AF527" s="376"/>
      <c r="AG527" s="376"/>
    </row>
    <row r="528" ht="12.75" spans="1:33">
      <c r="A528" s="353" t="s">
        <v>2467</v>
      </c>
      <c r="B528" s="192"/>
      <c r="C528" s="192"/>
      <c r="D528" s="192" t="s">
        <v>1166</v>
      </c>
      <c r="E528" s="192" t="s">
        <v>134</v>
      </c>
      <c r="F528" s="192" t="s">
        <v>2464</v>
      </c>
      <c r="G528" s="367">
        <v>22097</v>
      </c>
      <c r="H528" s="363">
        <f t="shared" si="43"/>
        <v>2097</v>
      </c>
      <c r="I528" s="353" t="s">
        <v>2468</v>
      </c>
      <c r="J528" s="371" t="s">
        <v>2469</v>
      </c>
      <c r="K528" s="236">
        <v>6329</v>
      </c>
      <c r="L528" s="182" t="s">
        <v>454</v>
      </c>
      <c r="M528" s="197" t="str">
        <f t="shared" si="9"/>
        <v>Yes</v>
      </c>
      <c r="N528" s="197"/>
      <c r="O528" s="197"/>
      <c r="P528" s="385"/>
      <c r="Q528" s="197"/>
      <c r="R528" s="182"/>
      <c r="S528" s="197"/>
      <c r="T528" s="182"/>
      <c r="U528" s="182"/>
      <c r="V528" s="182"/>
      <c r="W528" s="182"/>
      <c r="X528" s="182"/>
      <c r="Y528" s="182"/>
      <c r="Z528" s="182"/>
      <c r="AA528" s="399" t="s">
        <v>49</v>
      </c>
      <c r="AB528" s="372"/>
      <c r="AC528" s="372"/>
      <c r="AD528" s="372" t="str">
        <f t="shared" si="45"/>
        <v>Academia</v>
      </c>
      <c r="AE528" s="372"/>
      <c r="AF528" s="372"/>
      <c r="AG528" s="372"/>
    </row>
    <row r="529" ht="12.75" spans="1:33">
      <c r="A529" s="356" t="s">
        <v>2470</v>
      </c>
      <c r="B529" s="215" t="s">
        <v>199</v>
      </c>
      <c r="C529" s="215" t="s">
        <v>2471</v>
      </c>
      <c r="D529" s="215" t="s">
        <v>2253</v>
      </c>
      <c r="E529" s="215" t="s">
        <v>134</v>
      </c>
      <c r="F529" s="215" t="s">
        <v>2472</v>
      </c>
      <c r="G529" s="361">
        <v>21582</v>
      </c>
      <c r="H529" s="360">
        <f t="shared" si="43"/>
        <v>1582</v>
      </c>
      <c r="I529" s="356" t="s">
        <v>2473</v>
      </c>
      <c r="J529" s="375" t="s">
        <v>2474</v>
      </c>
      <c r="K529" s="379">
        <v>1453</v>
      </c>
      <c r="L529" s="184" t="s">
        <v>454</v>
      </c>
      <c r="M529" s="199" t="str">
        <f t="shared" si="9"/>
        <v>Yes</v>
      </c>
      <c r="N529" s="199">
        <v>3000</v>
      </c>
      <c r="O529" s="411">
        <f>600*10^6</f>
        <v>600000000</v>
      </c>
      <c r="P529" s="380"/>
      <c r="Q529" s="199"/>
      <c r="R529" s="184"/>
      <c r="S529" s="199"/>
      <c r="T529" s="184"/>
      <c r="U529" s="184"/>
      <c r="V529" s="184"/>
      <c r="W529" s="184"/>
      <c r="X529" s="184"/>
      <c r="Y529" s="184"/>
      <c r="Z529" s="184"/>
      <c r="AA529" s="396" t="s">
        <v>49</v>
      </c>
      <c r="AB529" s="376"/>
      <c r="AC529" s="376"/>
      <c r="AD529" s="376" t="str">
        <f t="shared" si="45"/>
        <v>Academia</v>
      </c>
      <c r="AE529" s="376"/>
      <c r="AF529" s="376"/>
      <c r="AG529" s="376"/>
    </row>
    <row r="530" ht="12.75" spans="1:33">
      <c r="A530" s="353" t="s">
        <v>2475</v>
      </c>
      <c r="B530" s="192" t="s">
        <v>256</v>
      </c>
      <c r="C530" s="192" t="s">
        <v>2432</v>
      </c>
      <c r="D530" s="192" t="s">
        <v>2265</v>
      </c>
      <c r="E530" s="192" t="s">
        <v>35</v>
      </c>
      <c r="F530" s="192" t="s">
        <v>2476</v>
      </c>
      <c r="G530" s="367">
        <v>21732</v>
      </c>
      <c r="H530" s="363">
        <f t="shared" si="43"/>
        <v>1732</v>
      </c>
      <c r="I530" s="353" t="s">
        <v>2477</v>
      </c>
      <c r="J530" s="371" t="s">
        <v>2478</v>
      </c>
      <c r="K530" s="236">
        <v>4151</v>
      </c>
      <c r="L530" s="182" t="s">
        <v>454</v>
      </c>
      <c r="M530" s="197" t="str">
        <f t="shared" si="9"/>
        <v>Yes</v>
      </c>
      <c r="N530" s="197">
        <v>16</v>
      </c>
      <c r="O530" s="389">
        <f>11900*10*60*60</f>
        <v>428400000</v>
      </c>
      <c r="P530" s="385"/>
      <c r="Q530" s="197">
        <v>53000</v>
      </c>
      <c r="R530" s="182" t="s">
        <v>1546</v>
      </c>
      <c r="S530" s="197"/>
      <c r="T530" s="182"/>
      <c r="U530" s="182">
        <v>9</v>
      </c>
      <c r="V530" s="182">
        <v>7.5</v>
      </c>
      <c r="W530" s="182"/>
      <c r="X530" s="182"/>
      <c r="Y530" s="182"/>
      <c r="Z530" s="182"/>
      <c r="AA530" s="399" t="s">
        <v>49</v>
      </c>
      <c r="AB530" s="372"/>
      <c r="AC530" s="372"/>
      <c r="AD530" s="372" t="str">
        <f t="shared" si="45"/>
        <v>Industry</v>
      </c>
      <c r="AE530" s="372"/>
      <c r="AF530" s="372"/>
      <c r="AG530" s="372"/>
    </row>
    <row r="531" ht="12.75" spans="1:33">
      <c r="A531" s="356" t="s">
        <v>2479</v>
      </c>
      <c r="B531" s="215" t="s">
        <v>41</v>
      </c>
      <c r="C531" s="215" t="s">
        <v>1231</v>
      </c>
      <c r="D531" s="215" t="s">
        <v>2480</v>
      </c>
      <c r="E531" s="215" t="s">
        <v>35</v>
      </c>
      <c r="F531" s="215" t="s">
        <v>2481</v>
      </c>
      <c r="G531" s="361">
        <v>21885</v>
      </c>
      <c r="H531" s="360">
        <f t="shared" si="43"/>
        <v>1885</v>
      </c>
      <c r="I531" s="356" t="s">
        <v>2479</v>
      </c>
      <c r="J531" s="375" t="s">
        <v>2482</v>
      </c>
      <c r="K531" s="384">
        <v>587</v>
      </c>
      <c r="L531" s="184" t="s">
        <v>1923</v>
      </c>
      <c r="M531" s="199" t="str">
        <f t="shared" si="9"/>
        <v>Yes</v>
      </c>
      <c r="N531" s="199">
        <f>75*35</f>
        <v>2625</v>
      </c>
      <c r="O531" s="199"/>
      <c r="P531" s="380"/>
      <c r="Q531" s="199"/>
      <c r="R531" s="184"/>
      <c r="S531" s="199"/>
      <c r="T531" s="184"/>
      <c r="U531" s="184"/>
      <c r="V531" s="205"/>
      <c r="W531" s="184"/>
      <c r="X531" s="184"/>
      <c r="Y531" s="184"/>
      <c r="Z531" s="184"/>
      <c r="AA531" s="396" t="s">
        <v>49</v>
      </c>
      <c r="AB531" s="376"/>
      <c r="AC531" s="376"/>
      <c r="AD531" s="376" t="str">
        <f t="shared" si="45"/>
        <v>Industry</v>
      </c>
      <c r="AE531" s="376"/>
      <c r="AF531" s="376"/>
      <c r="AG531" s="376"/>
    </row>
    <row r="532" ht="12.75" spans="1:33">
      <c r="A532" s="353" t="s">
        <v>2483</v>
      </c>
      <c r="B532" s="192" t="s">
        <v>41</v>
      </c>
      <c r="C532" s="192" t="s">
        <v>2457</v>
      </c>
      <c r="D532" s="192" t="s">
        <v>2484</v>
      </c>
      <c r="E532" s="192" t="s">
        <v>35</v>
      </c>
      <c r="F532" s="192" t="s">
        <v>2485</v>
      </c>
      <c r="G532" s="367">
        <v>20821</v>
      </c>
      <c r="H532" s="363">
        <f t="shared" si="43"/>
        <v>821</v>
      </c>
      <c r="I532" s="353" t="s">
        <v>2486</v>
      </c>
      <c r="J532" s="371" t="s">
        <v>2487</v>
      </c>
      <c r="K532" s="236">
        <v>1610</v>
      </c>
      <c r="L532" s="182" t="s">
        <v>1923</v>
      </c>
      <c r="M532" s="197" t="str">
        <f t="shared" si="9"/>
        <v>Yes</v>
      </c>
      <c r="N532" s="197">
        <v>400</v>
      </c>
      <c r="O532" s="389">
        <v>694894.937736182</v>
      </c>
      <c r="P532" s="385"/>
      <c r="Q532" s="197">
        <v>6</v>
      </c>
      <c r="R532" s="182" t="s">
        <v>1546</v>
      </c>
      <c r="S532" s="197"/>
      <c r="T532" s="182"/>
      <c r="U532" s="182"/>
      <c r="V532" s="182"/>
      <c r="W532" s="182"/>
      <c r="X532" s="182"/>
      <c r="Y532" s="182"/>
      <c r="Z532" s="182" t="s">
        <v>1546</v>
      </c>
      <c r="AA532" s="399" t="s">
        <v>49</v>
      </c>
      <c r="AB532" s="372"/>
      <c r="AC532" s="372"/>
      <c r="AD532" s="372" t="str">
        <f t="shared" si="45"/>
        <v>Industry</v>
      </c>
      <c r="AE532" s="372"/>
      <c r="AF532" s="372"/>
      <c r="AG532" s="372"/>
    </row>
    <row r="533" ht="12.75" spans="1:33">
      <c r="A533" s="356"/>
      <c r="B533" s="215" t="s">
        <v>41</v>
      </c>
      <c r="C533" s="215"/>
      <c r="D533" s="215" t="s">
        <v>2342</v>
      </c>
      <c r="E533" s="215" t="s">
        <v>134</v>
      </c>
      <c r="F533" s="215" t="s">
        <v>2488</v>
      </c>
      <c r="G533" s="361">
        <v>20637</v>
      </c>
      <c r="H533" s="360">
        <f t="shared" si="43"/>
        <v>637</v>
      </c>
      <c r="I533" s="356" t="s">
        <v>2489</v>
      </c>
      <c r="J533" s="375" t="s">
        <v>2490</v>
      </c>
      <c r="K533" s="379">
        <v>84</v>
      </c>
      <c r="L533" s="184" t="s">
        <v>1923</v>
      </c>
      <c r="M533" s="199" t="str">
        <f t="shared" si="9"/>
        <v>Yes</v>
      </c>
      <c r="N533" s="199"/>
      <c r="O533" s="199"/>
      <c r="P533" s="380"/>
      <c r="Q533" s="199"/>
      <c r="R533" s="184"/>
      <c r="S533" s="199"/>
      <c r="T533" s="184"/>
      <c r="U533" s="184"/>
      <c r="V533" s="184"/>
      <c r="W533" s="184"/>
      <c r="X533" s="184"/>
      <c r="Y533" s="184"/>
      <c r="Z533" s="184"/>
      <c r="AA533" s="396" t="s">
        <v>49</v>
      </c>
      <c r="AB533" s="376"/>
      <c r="AC533" s="376"/>
      <c r="AD533" s="376" t="str">
        <f t="shared" si="45"/>
        <v>Academia</v>
      </c>
      <c r="AE533" s="376"/>
      <c r="AF533" s="376"/>
      <c r="AG533" s="376"/>
    </row>
    <row r="534" ht="12.75" spans="1:33">
      <c r="A534" s="353" t="s">
        <v>2491</v>
      </c>
      <c r="B534" s="192" t="s">
        <v>41</v>
      </c>
      <c r="C534" s="192" t="s">
        <v>2463</v>
      </c>
      <c r="D534" s="192" t="s">
        <v>2253</v>
      </c>
      <c r="E534" s="192" t="s">
        <v>134</v>
      </c>
      <c r="F534" s="192" t="s">
        <v>2492</v>
      </c>
      <c r="G534" s="367">
        <v>20149</v>
      </c>
      <c r="H534" s="363">
        <f t="shared" si="43"/>
        <v>149</v>
      </c>
      <c r="I534" s="353" t="s">
        <v>2493</v>
      </c>
      <c r="J534" s="371" t="s">
        <v>2494</v>
      </c>
      <c r="K534" s="238">
        <v>93</v>
      </c>
      <c r="L534" s="182" t="s">
        <v>1923</v>
      </c>
      <c r="M534" s="197" t="str">
        <f t="shared" si="9"/>
        <v>Yes</v>
      </c>
      <c r="N534" s="197">
        <f>5*5*9</f>
        <v>225</v>
      </c>
      <c r="O534" s="197"/>
      <c r="P534" s="385"/>
      <c r="Q534" s="197">
        <v>256</v>
      </c>
      <c r="R534" s="182"/>
      <c r="S534" s="197"/>
      <c r="T534" s="182"/>
      <c r="U534" s="182"/>
      <c r="V534" s="182"/>
      <c r="W534" s="182"/>
      <c r="X534" s="182"/>
      <c r="Y534" s="182"/>
      <c r="Z534" s="182"/>
      <c r="AA534" s="399" t="s">
        <v>49</v>
      </c>
      <c r="AB534" s="372"/>
      <c r="AC534" s="372"/>
      <c r="AD534" s="372" t="str">
        <f t="shared" si="45"/>
        <v>Academia</v>
      </c>
      <c r="AE534" s="372"/>
      <c r="AF534" s="372"/>
      <c r="AG534" s="372"/>
    </row>
    <row r="535" ht="12.75" spans="1:33">
      <c r="A535" s="356"/>
      <c r="B535" s="215" t="s">
        <v>41</v>
      </c>
      <c r="C535" s="215" t="s">
        <v>1231</v>
      </c>
      <c r="D535" s="215" t="s">
        <v>2253</v>
      </c>
      <c r="E535" s="215" t="s">
        <v>134</v>
      </c>
      <c r="F535" s="215" t="s">
        <v>2495</v>
      </c>
      <c r="G535" s="361">
        <v>20149</v>
      </c>
      <c r="H535" s="360">
        <f t="shared" si="43"/>
        <v>149</v>
      </c>
      <c r="I535" s="356" t="s">
        <v>2496</v>
      </c>
      <c r="J535" s="375" t="s">
        <v>2497</v>
      </c>
      <c r="K535" s="379">
        <v>290</v>
      </c>
      <c r="L535" s="184" t="s">
        <v>1923</v>
      </c>
      <c r="M535" s="199" t="str">
        <f t="shared" si="9"/>
        <v>Yes</v>
      </c>
      <c r="N535" s="199"/>
      <c r="O535" s="199"/>
      <c r="P535" s="380"/>
      <c r="Q535" s="199"/>
      <c r="R535" s="184"/>
      <c r="S535" s="199"/>
      <c r="T535" s="184"/>
      <c r="U535" s="184"/>
      <c r="V535" s="184"/>
      <c r="W535" s="184"/>
      <c r="X535" s="184"/>
      <c r="Y535" s="184"/>
      <c r="Z535" s="184"/>
      <c r="AA535" s="396" t="s">
        <v>49</v>
      </c>
      <c r="AB535" s="376"/>
      <c r="AC535" s="376"/>
      <c r="AD535" s="376" t="str">
        <f t="shared" si="45"/>
        <v>Academia</v>
      </c>
      <c r="AE535" s="376"/>
      <c r="AF535" s="376"/>
      <c r="AG535" s="376"/>
    </row>
    <row r="536" ht="12.75" spans="1:33">
      <c r="A536" s="353"/>
      <c r="B536" s="192"/>
      <c r="C536" s="192"/>
      <c r="D536" s="192" t="s">
        <v>2498</v>
      </c>
      <c r="E536" s="192" t="s">
        <v>134</v>
      </c>
      <c r="F536" s="192" t="s">
        <v>2499</v>
      </c>
      <c r="G536" s="367">
        <v>19907</v>
      </c>
      <c r="H536" s="363">
        <f t="shared" si="43"/>
        <v>9907</v>
      </c>
      <c r="I536" s="353" t="s">
        <v>2500</v>
      </c>
      <c r="J536" s="371" t="s">
        <v>2501</v>
      </c>
      <c r="K536" s="238">
        <v>266</v>
      </c>
      <c r="L536" s="182" t="s">
        <v>1923</v>
      </c>
      <c r="M536" s="197" t="str">
        <f t="shared" si="9"/>
        <v>Yes</v>
      </c>
      <c r="N536" s="197"/>
      <c r="O536" s="197"/>
      <c r="P536" s="385"/>
      <c r="Q536" s="197"/>
      <c r="R536" s="182"/>
      <c r="S536" s="197"/>
      <c r="T536" s="182"/>
      <c r="U536" s="182"/>
      <c r="V536" s="182"/>
      <c r="W536" s="182"/>
      <c r="X536" s="182"/>
      <c r="Y536" s="182"/>
      <c r="Z536" s="182"/>
      <c r="AA536" s="399" t="s">
        <v>49</v>
      </c>
      <c r="AB536" s="372"/>
      <c r="AC536" s="372"/>
      <c r="AD536" s="372" t="str">
        <f t="shared" si="45"/>
        <v>Academia</v>
      </c>
      <c r="AE536" s="372"/>
      <c r="AF536" s="372"/>
      <c r="AG536" s="372"/>
    </row>
    <row r="537" ht="12.75" spans="1:33">
      <c r="A537" s="356" t="s">
        <v>2502</v>
      </c>
      <c r="B537" s="215" t="s">
        <v>199</v>
      </c>
      <c r="C537" s="215" t="s">
        <v>2503</v>
      </c>
      <c r="D537" s="215" t="s">
        <v>2504</v>
      </c>
      <c r="E537" s="356" t="s">
        <v>134</v>
      </c>
      <c r="F537" s="215" t="s">
        <v>2451</v>
      </c>
      <c r="G537" s="361">
        <v>19001</v>
      </c>
      <c r="H537" s="360">
        <f t="shared" si="43"/>
        <v>9001</v>
      </c>
      <c r="I537" s="356" t="s">
        <v>2505</v>
      </c>
      <c r="J537" s="375" t="s">
        <v>2506</v>
      </c>
      <c r="K537" s="379">
        <v>33</v>
      </c>
      <c r="L537" s="184" t="s">
        <v>1923</v>
      </c>
      <c r="M537" s="199" t="str">
        <f t="shared" si="9"/>
        <v>Yes</v>
      </c>
      <c r="N537" s="199">
        <v>40</v>
      </c>
      <c r="O537" s="199"/>
      <c r="P537" s="380"/>
      <c r="Q537" s="199"/>
      <c r="R537" s="184"/>
      <c r="S537" s="199"/>
      <c r="T537" s="184"/>
      <c r="U537" s="184"/>
      <c r="V537" s="184"/>
      <c r="W537" s="184"/>
      <c r="X537" s="184"/>
      <c r="Y537" s="184"/>
      <c r="Z537" s="184"/>
      <c r="AA537" s="396" t="s">
        <v>49</v>
      </c>
      <c r="AB537" s="376"/>
      <c r="AC537" s="376"/>
      <c r="AD537" s="376" t="str">
        <f t="shared" si="45"/>
        <v>Academia</v>
      </c>
      <c r="AE537" s="376"/>
      <c r="AF537" s="376"/>
      <c r="AG537" s="376"/>
    </row>
    <row r="538" spans="1:33">
      <c r="A538" s="353" t="s">
        <v>2507</v>
      </c>
      <c r="B538" s="192" t="s">
        <v>199</v>
      </c>
      <c r="C538" s="192" t="s">
        <v>2503</v>
      </c>
      <c r="D538" s="192" t="s">
        <v>2508</v>
      </c>
      <c r="E538" s="353" t="s">
        <v>35</v>
      </c>
      <c r="F538" s="192" t="s">
        <v>2509</v>
      </c>
      <c r="G538" s="367">
        <v>18446</v>
      </c>
      <c r="H538" s="363">
        <f t="shared" si="43"/>
        <v>8446</v>
      </c>
      <c r="I538" s="353" t="s">
        <v>2510</v>
      </c>
      <c r="J538" s="371" t="s">
        <v>2511</v>
      </c>
      <c r="K538" s="238" t="s">
        <v>1546</v>
      </c>
      <c r="L538" s="182" t="s">
        <v>1923</v>
      </c>
      <c r="M538" s="197" t="str">
        <f t="shared" si="9"/>
        <v>Yes</v>
      </c>
      <c r="N538" s="197">
        <f>16*2+8</f>
        <v>40</v>
      </c>
      <c r="O538" s="389">
        <v>40</v>
      </c>
      <c r="P538" s="385"/>
      <c r="Q538" s="197">
        <v>40</v>
      </c>
      <c r="R538" s="182"/>
      <c r="S538" s="197"/>
      <c r="T538" s="182"/>
      <c r="U538" s="182"/>
      <c r="V538" s="182"/>
      <c r="W538" s="182"/>
      <c r="X538" s="182"/>
      <c r="Y538" s="182"/>
      <c r="Z538" s="182"/>
      <c r="AA538" s="399" t="s">
        <v>49</v>
      </c>
      <c r="AB538" s="372"/>
      <c r="AC538" s="372"/>
      <c r="AD538" s="372" t="str">
        <f t="shared" si="45"/>
        <v>Industry</v>
      </c>
      <c r="AE538" s="372"/>
      <c r="AF538" s="372"/>
      <c r="AG538" s="372"/>
    </row>
    <row r="539" ht="12.75" spans="1:33">
      <c r="A539" s="356"/>
      <c r="B539" s="215"/>
      <c r="C539" s="215"/>
      <c r="D539" s="215"/>
      <c r="E539" s="215"/>
      <c r="F539" s="215"/>
      <c r="G539" s="361"/>
      <c r="H539" s="360"/>
      <c r="I539" s="356"/>
      <c r="J539" s="215"/>
      <c r="K539" s="384"/>
      <c r="L539" s="184"/>
      <c r="M539" s="199"/>
      <c r="N539" s="199"/>
      <c r="O539" s="411"/>
      <c r="P539" s="380"/>
      <c r="Q539" s="199"/>
      <c r="R539" s="184"/>
      <c r="S539" s="199"/>
      <c r="T539" s="184"/>
      <c r="U539" s="184"/>
      <c r="V539" s="184"/>
      <c r="W539" s="184"/>
      <c r="X539" s="184"/>
      <c r="Y539" s="184"/>
      <c r="Z539" s="184"/>
      <c r="AA539" s="396"/>
      <c r="AB539" s="376"/>
      <c r="AC539" s="376"/>
      <c r="AD539" s="376"/>
      <c r="AE539" s="376"/>
      <c r="AF539" s="376"/>
      <c r="AG539" s="376"/>
    </row>
    <row r="540" ht="12.75" spans="1:33">
      <c r="A540" s="353"/>
      <c r="B540" s="192"/>
      <c r="C540" s="192"/>
      <c r="D540" s="192"/>
      <c r="E540" s="192"/>
      <c r="F540" s="192"/>
      <c r="G540" s="367"/>
      <c r="H540" s="363"/>
      <c r="I540" s="353"/>
      <c r="J540" s="192"/>
      <c r="K540" s="238"/>
      <c r="L540" s="182"/>
      <c r="M540" s="197"/>
      <c r="N540" s="197"/>
      <c r="O540" s="389"/>
      <c r="P540" s="385"/>
      <c r="Q540" s="197"/>
      <c r="R540" s="182"/>
      <c r="S540" s="197"/>
      <c r="T540" s="182"/>
      <c r="U540" s="182"/>
      <c r="V540" s="182"/>
      <c r="W540" s="182"/>
      <c r="X540" s="182"/>
      <c r="Y540" s="182"/>
      <c r="Z540" s="182"/>
      <c r="AA540" s="399"/>
      <c r="AB540" s="372"/>
      <c r="AC540" s="372"/>
      <c r="AD540" s="372"/>
      <c r="AE540" s="372"/>
      <c r="AF540" s="372"/>
      <c r="AG540" s="372"/>
    </row>
    <row r="541" ht="12.75" spans="1:33">
      <c r="A541" s="356"/>
      <c r="B541" s="215"/>
      <c r="C541" s="215"/>
      <c r="D541" s="215"/>
      <c r="E541" s="215"/>
      <c r="F541" s="215"/>
      <c r="G541" s="361"/>
      <c r="H541" s="360"/>
      <c r="I541" s="356"/>
      <c r="J541" s="215"/>
      <c r="K541" s="384"/>
      <c r="L541" s="184"/>
      <c r="M541" s="199"/>
      <c r="N541" s="199"/>
      <c r="O541" s="411"/>
      <c r="P541" s="380"/>
      <c r="Q541" s="199"/>
      <c r="R541" s="184"/>
      <c r="S541" s="199"/>
      <c r="T541" s="184"/>
      <c r="U541" s="184"/>
      <c r="V541" s="184"/>
      <c r="W541" s="184"/>
      <c r="X541" s="184"/>
      <c r="Y541" s="184"/>
      <c r="Z541" s="184"/>
      <c r="AA541" s="396"/>
      <c r="AB541" s="376"/>
      <c r="AC541" s="376"/>
      <c r="AD541" s="376"/>
      <c r="AE541" s="376"/>
      <c r="AF541" s="376"/>
      <c r="AG541" s="376"/>
    </row>
    <row r="542" ht="12.75" spans="1:33">
      <c r="A542" s="353"/>
      <c r="B542" s="192"/>
      <c r="C542" s="192"/>
      <c r="D542" s="192"/>
      <c r="E542" s="192"/>
      <c r="F542" s="192"/>
      <c r="G542" s="367"/>
      <c r="H542" s="363"/>
      <c r="I542" s="353"/>
      <c r="J542" s="192"/>
      <c r="K542" s="238"/>
      <c r="L542" s="182"/>
      <c r="M542" s="197"/>
      <c r="N542" s="197"/>
      <c r="O542" s="389"/>
      <c r="P542" s="385"/>
      <c r="Q542" s="197"/>
      <c r="R542" s="182"/>
      <c r="S542" s="197"/>
      <c r="T542" s="182"/>
      <c r="U542" s="182"/>
      <c r="V542" s="182"/>
      <c r="W542" s="182"/>
      <c r="X542" s="182"/>
      <c r="Y542" s="182"/>
      <c r="Z542" s="182"/>
      <c r="AA542" s="399"/>
      <c r="AB542" s="372"/>
      <c r="AC542" s="372"/>
      <c r="AD542" s="372"/>
      <c r="AE542" s="372"/>
      <c r="AF542" s="372"/>
      <c r="AG542" s="372"/>
    </row>
  </sheetData>
  <autoFilter ref="A1:AE542">
    <sortState ref="A1:AE542">
      <sortCondition ref="H1:H542" descending="1"/>
    </sortState>
    <extLst/>
  </autoFilter>
  <customSheetViews>
    <customSheetView guid="{E086B786-E23A-4249-A01F-868640B6757E}" filter="1" showAutoFilter="1">
      <autoFilter ref="A1:W440">
        <filterColumn colId="1">
          <filters>
            <filter val="Robotics"/>
            <filter val="Reading"/>
            <filter val="Search"/>
            <filter val="Multimodal"/>
            <filter val="VIsion"/>
            <filter val="Text-to-Video"/>
          </filters>
        </filterColumn>
      </autoFilter>
    </customSheetView>
    <customSheetView guid="{5F4383BB-2FE0-433E-9350-D218CF9D3701}" filter="1" showAutoFilter="1">
      <autoFilter ref="A1:W439"/>
    </customSheetView>
    <customSheetView guid="{15FEB674-83BE-4B19-BAA1-07E7449B8093}" filter="1" showAutoFilter="1">
      <autoFilter ref="A1:W436">
        <filterColumn colId="18">
          <filters>
            <filter val="1.13E+10"/>
            <filter val="5.40E+10"/>
            <filter val="1.53E+10"/>
            <filter val="1.68E+10"/>
            <filter val="9.70E+10"/>
            <filter val="1.96E+10"/>
            <filter val="1.15E+11"/>
            <filter val="1.27E+11"/>
            <filter val="1.04E+12"/>
            <filter val="1.21E+12"/>
            <filter val="1.80E+13"/>
            <filter val="8.40E+09"/>
            <filter val="6.00E+10"/>
            <filter val="2.25E+10"/>
            <filter val="2.26E+10"/>
            <filter val="2.46E+10"/>
            <filter val="2.60E+10"/>
            <filter val="2.63E+11"/>
            <filter val="2.50E+12"/>
            <filter val="7.00E+06"/>
            <filter val="3.00E+08"/>
            <filter val="3.90E+08"/>
            <filter val="7.42E+09"/>
            <filter val="3.87E+09"/>
            <filter val="3.00E+10"/>
            <filter val="7.10E+10"/>
            <filter val="3.12E+10"/>
            <filter val="7.90E+10"/>
            <filter val="3.25E+11"/>
            <filter val="3.40E+12"/>
            <filter val="3.66E+12"/>
            <filter val="3.60E+13"/>
            <filter val="7.40E+14"/>
            <filter val="2.59E+07"/>
            <filter val="6.00E+08"/>
            <filter val="2.64E+09"/>
            <filter val="N/A"/>
            <filter val="1.05E+07"/>
            <filter val="1.12E+07"/>
            <filter val="1.40E+07"/>
            <filter val="1.10E+08"/>
            <filter val="1.40E+08"/>
            <filter val="1.60E+08"/>
            <filter val="1.14E+09"/>
            <filter val="5.36E+09"/>
            <filter val="1.73E+09"/>
            <filter val="1.80E+09"/>
          </filters>
        </filterColumn>
      </autoFilter>
    </customSheetView>
  </customSheetViews>
  <conditionalFormatting sqref="K1:K27 K29:K506 K508 K511">
    <cfRule type="cellIs" dxfId="0" priority="1" operator="lessThan">
      <formula>100</formula>
    </cfRule>
    <cfRule type="cellIs" dxfId="1" priority="2" operator="between">
      <formula>100</formula>
      <formula>1000</formula>
    </cfRule>
    <cfRule type="cellIs" dxfId="2" priority="3" operator="between">
      <formula>1000</formula>
      <formula>10000</formula>
    </cfRule>
    <cfRule type="cellIs" dxfId="3" priority="4" operator="greaterThan">
      <formula>10000</formula>
    </cfRule>
  </conditionalFormatting>
  <hyperlinks>
    <hyperlink ref="J2" r:id="rId3" display="https://arxiv.org/abs/2303.08774"/>
    <hyperlink ref="J3" r:id="rId4" display="https://arxiv.org/abs/2210.02399"/>
    <hyperlink ref="J4" r:id="rId5" display="https://arxiv.org/abs/2206.14858"/>
    <hyperlink ref="J5" r:id="rId6" display="https://arxiv.org/abs/2204.02311"/>
    <hyperlink ref="J6" r:id="rId7" display="https://ai.facebook.com/blog/democratizing-access-to-large-scale-language-models-with-opt-175b/"/>
    <hyperlink ref="J7" r:id="rId8" display="https://arxiv.org/abs/2203.15556"/>
    <hyperlink ref="J8" r:id="rId9" display="https://arxiv.org/abs/2206.10789v1"/>
    <hyperlink ref="J9" r:id="rId10" display="https://arxiv.org/abs/2201.08239"/>
    <hyperlink ref="J10" r:id="rId11" display="https://medium.com/yandex/yandex-publishes-yalm-100b-its-the-largest-gpt-like-neural-network-in-open-source-d1df53d0e9a6"/>
    <hyperlink ref="J11" r:id="rId12" display="https://arxiv.org/abs/2208.01448"/>
    <hyperlink ref="J12" r:id="rId13" display="https://huggingface.co/bigscience/bloom"/>
    <hyperlink ref="J13" r:id="rId14" display="https://blog.eleuther.ai/announcing-20b/"/>
    <hyperlink ref="J14" r:id="rId15" display="https://arxiv.org/abs/2112.10752"/>
    <hyperlink ref="J15" r:id="rId16" display="https://cdn.openai.com/papers/whisper.pdf"/>
    <hyperlink ref="J16" r:id="rId17" display="https://keg.cs.tsinghua.edu.cn/glm-130b/posts/glm-130b/"/>
    <hyperlink ref="J17" r:id="rId18" display="https://deepmind.com/blog/article/Competitive-programming-with-AlphaCode"/>
    <hyperlink ref="J18" r:id="rId19" display="https://research.facebook.com/publications/no-language-left-behind/?utm_source=twitter&amp;utm_medium=organic_social&amp;utm_campaign=nllb&amp;utm_content=os-artifacts"/>
    <hyperlink ref="J19" r:id="rId20" display="https://arxiv.org/abs/2109.08668"/>
    <hyperlink ref="J20" r:id="rId21" display="https://www.deepmind.com/publications/a-generalist-agent"/>
    <hyperlink ref="J21" r:id="rId22" display="http://www.lrec-conf.org/proceedings/lrec2022/pdf/2022.lrec-1.376.pdf"/>
    <hyperlink ref="J22" r:id="rId23" display="https://arxiv.org/abs/2203.06850"/>
    <hyperlink ref="J23" r:id="rId24" display="https://arxiv.org/abs/2206.02770"/>
    <hyperlink ref="J24" r:id="rId25" display="https://ai.facebook.com/research/data2vec-a-general-framework-for-self-supervised-learning-in-speech-vision-and-language/"/>
    <hyperlink ref="J25" r:id="rId25" display="https://ai.facebook.com/research/data2vec-a-general-framework-for-self-supervised-learning-in-speech-vision-and-language/"/>
    <hyperlink ref="J26" r:id="rId25" display="https://ai.facebook.com/research/data2vec-a-general-framework-for-self-supervised-learning-in-speech-vision-and-language/"/>
    <hyperlink ref="J27" r:id="rId26" display="https://cdn.openai.com/papers/Training_language_models_to_follow_instructions_with_human_feedback.pdf"/>
    <hyperlink ref="J28" r:id="rId27" display="https://arxiv.org/abs/2112.04426"/>
    <hyperlink ref="J29" r:id="rId28" display="https://arxiv.org/abs/2202.06626"/>
    <hyperlink ref="J30" r:id="rId29" display="https://arxiv.org/abs/2203.00555"/>
    <hyperlink ref="J31" r:id="rId30" display="https://arxiv.org/abs/2202.01344"/>
    <hyperlink ref="J32" r:id="rId31" display="https://dl.acm.org/doi/abs/10.1145/3503221.3508417"/>
    <hyperlink ref="J33" r:id="rId32" display="https://cdn.openai.com/papers/dall-e-2.pdf"/>
    <hyperlink ref="J34" r:id="rId33" display="https://arxiv.org/abs/2204.14198"/>
    <hyperlink ref="J35" r:id="rId34" display="https://www.ai21.com/blog/jurassic-x-crossing-the-neuro-symbolic-chasm-with-the-mrkl-system"/>
    <hyperlink ref="J36" r:id="rId35" display="https://arxiv.org/abs/2205.05131v1"/>
    <hyperlink ref="J37" r:id="rId36" display="https://imagen.research.google/"/>
    <hyperlink ref="J38" r:id="rId37" display="https://arxiv.org/abs/2206.06336v1"/>
    <hyperlink ref="J39" r:id="rId38" display="https://arxiv.org/abs/2209.14792"/>
    <hyperlink ref="J40" r:id="rId39" display="https://galactica.org/static/paper.pdf"/>
    <hyperlink ref="J41" r:id="rId40" display="https://www.science.org/doi/10.1126/science.ade9097"/>
    <hyperlink ref="J42" r:id="rId41" display="https://arxiv.org/abs/2210.02303"/>
    <hyperlink ref="J43" r:id="rId42" display="https://arxiv.org/abs/2104.04473"/>
    <hyperlink ref="J44" r:id="rId43" display="https://www.microsoft.com/en-us/research/blog/using-deepspeed-and-megatron-to-train-megatron-turing-nlg-530b-the-worlds-largest-and-most-powerful-generative-language-model/"/>
    <hyperlink ref="J45" r:id="rId44" display="https://deepmind.com/blog/article/language-modelling-at-scale"/>
    <hyperlink ref="J46" r:id="rId45" display="https://arxiv.org/abs/2110.04725"/>
    <hyperlink ref="J47" r:id="rId46" display="https://uploads-ssl.webflow.com/60fd4503684b466578c0d307/61138924626a6981ee09caf6_jurassic_tech_paper.pdf"/>
    <hyperlink ref="J48" r:id="rId47" display="https://www.gwern.net/docs/ai/scaling/2021-10-11-xinzhiyuan-inspursource10gpt245b.html"/>
    <hyperlink ref="J49" r:id="rId48" display="https://arxiv.org/abs/2102.05918"/>
    <hyperlink ref="J50" r:id="rId49" display="https://arxiv.org/abs/2003.10580"/>
    <hyperlink ref="J51" r:id="rId50" display="https://arxiv.org/abs/2101.03961"/>
    <hyperlink ref="J52" r:id="rId51" display="https://deepmind.com/blog/article/generally-capable-agents-emerge-from-open-ended-play"/>
    <hyperlink ref="J53" r:id="rId52" display="https://www.biorxiv.org/content/10.1101/2020.07.12.199554v3"/>
    <hyperlink ref="J54" r:id="rId53" display="https://www.navercorp.com/promotion/pressReleasesView/30546"/>
    <hyperlink ref="J55" r:id="rId54" display="https://arxiv.org/abs/2104.12369"/>
    <hyperlink ref="J56" r:id="rId55" display="https://arxiv.org/pdf/2109.01652.pdf"/>
    <hyperlink ref="J57" r:id="rId56" display="https://openai.com/blog/dall-e/"/>
    <hyperlink ref="J58" r:id="rId57" display="https://mp.weixin.qq.com/s/DAQomIkDa52Sef-ruyH5qg"/>
    <hyperlink ref="J59" r:id="rId58" display="https://arxiv.org/abs/2105.13290"/>
    <hyperlink ref="J60" r:id="rId59" display="https://arxiv.org/abs/2110.08207"/>
    <hyperlink ref="J61" r:id="rId60" display="https://arankomatsuzaki.wordpress.com/2021/06/04/gpt-j/"/>
    <hyperlink ref="J62" r:id="rId61" display="https://arxiv.org/abs/2103.00020"/>
    <hyperlink ref="J63" r:id="rId62" display="https://www.eleuther.ai/projects/gpt-neo/"/>
    <hyperlink ref="J64" r:id="rId63" display="https://medium.com/syncedreview/chinas-gpt-3-baai-introduces-superscale-intelligence-model-wu-dao-1-0-98a573fc4d70"/>
    <hyperlink ref="J65" r:id="rId64" display="https://arxiv.org/abs/2006.03654"/>
    <hyperlink ref="J66" r:id="rId65" display="https://arxiv.org/abs/2106.07447"/>
    <hyperlink ref="J67" r:id="rId66" display="https://arxiv.org/abs/2110.03888"/>
    <hyperlink ref="J68" r:id="rId67" display="https://arxiv.org/abs/2111.12417"/>
    <hyperlink ref="J69" r:id="rId68" display="https://arxiv.org/abs/2103.01988"/>
    <hyperlink ref="J70" r:id="rId69" display="https://arxiv.org/abs/2106.04560"/>
    <hyperlink ref="J71" r:id="rId70" display="https://arxiv.org/abs/2104.05158"/>
    <hyperlink ref="J72" r:id="rId63" display="https://medium.com/syncedreview/chinas-gpt-3-baai-introduces-superscale-intelligence-model-wu-dao-1-0-98a573fc4d70"/>
    <hyperlink ref="J73" r:id="rId71" display="https://arxiv.org/pdf/2110.08554.pdf"/>
    <hyperlink ref="J74" r:id="rId63" display="https://medium.com/syncedreview/chinas-gpt-3-baai-introduces-superscale-intelligence-model-wu-dao-1-0-98a573fc4d70"/>
    <hyperlink ref="F75" r:id="rId72" display="Zizhao Zhang, Han Zhang, Long Zhao, Ting Chen, Tomas Pfister"/>
    <hyperlink ref="J75" r:id="rId73" display="https://arxiv.org/abs/2105.12723v4"/>
    <hyperlink ref="J76" r:id="rId74" display="http://research.baidu.com/Blog/index-view?id=160"/>
    <hyperlink ref="J77" r:id="rId75" display="https://arxiv.org/abs/2006.11239"/>
    <hyperlink ref="J78" r:id="rId76" display="https://arxiv.org/abs/2112.12731"/>
    <hyperlink ref="J79" r:id="rId61" display="https://arxiv.org/abs/2103.00020"/>
    <hyperlink ref="J80" r:id="rId77" display="https://arxiv.org/abs/2109.13226"/>
    <hyperlink ref="J81" r:id="rId78" display="https://openreview.net/forum?id=gnRmI8TatHV"/>
    <hyperlink ref="J82" r:id="rId79" display="https://arxiv.org/abs/2103.00823"/>
    <hyperlink ref="J83" r:id="rId79" display="https://arxiv.org/abs/2103.00823"/>
    <hyperlink ref="J84" r:id="rId63" display="https://medium.com/syncedreview/chinas-gpt-3-baai-introduces-superscale-intelligence-model-wu-dao-1-0-98a573fc4d70"/>
    <hyperlink ref="J85" r:id="rId80" display="https://arxiv.org/abs/2004.13637"/>
    <hyperlink ref="J86" r:id="rId81" display="https://arxiv.org/abs/2105.15082"/>
    <hyperlink ref="J87" r:id="rId70" display="https://arxiv.org/abs/2104.05158"/>
    <hyperlink ref="J88" r:id="rId82" display="https://www.engadget.com/chinas-gigantic-multi-modal-ai-is-no-one-trick-pony-211414388.html"/>
    <hyperlink ref="J89" r:id="rId83" display="https://openai.com/blog/openai-codex/"/>
    <hyperlink ref="J90" r:id="rId84" display="https://arxiv.org/abs/2105.00572"/>
    <hyperlink ref="J91" r:id="rId85" display="https://arxiv.org/abs/2109.01652"/>
    <hyperlink ref="J92" r:id="rId86" display="https://www.microsoft.com/en-us/research/blog/make-every-feature-binary-a-135b-parameter-sparse-neural-network-for-massively-improved-search-relevance/"/>
    <hyperlink ref="J93" r:id="rId59" display="https://arxiv.org/abs/2110.08207"/>
    <hyperlink ref="J94" r:id="rId87" display="https://arxiv.org/abs/2110.11316"/>
    <hyperlink ref="J95" r:id="rId88" display="https://arxiv.org/abs/2111.00210"/>
    <hyperlink ref="J96" r:id="rId89" display="https://arxiv.org/abs/2109.05217"/>
    <hyperlink ref="J97" r:id="rId90" display="https://arxiv.org/abs/2112.03178"/>
    <hyperlink ref="J98" r:id="rId91" display="https://arxiv.org/abs/2112.10741"/>
    <hyperlink ref="J99" r:id="rId92" display="https://arxiv.org/pdf/2112.10668.pdf"/>
    <hyperlink ref="J100" r:id="rId93" display="https://arxiv.org/abs/2112.15283"/>
    <hyperlink ref="J101" r:id="rId94" display="https://arxiv.org/abs/2005.14165"/>
    <hyperlink ref="J102" r:id="rId95" display="https://arxiv.org/abs/2001.09977"/>
    <hyperlink ref="J103" r:id="rId96" display="https://openai.com/blog/image-gpt/"/>
    <hyperlink ref="J104" r:id="rId97" display="https://arxiv.org/abs/2006.16668"/>
    <hyperlink ref="J105" r:id="rId98" display="https://www.microsoft.com/en-us/research/blog/turing-nlg-a-17-billion-parameter-language-model-by-microsoft/"/>
    <hyperlink ref="J106" r:id="rId97" display="https://arxiv.org/abs/2006.16668"/>
    <hyperlink ref="J107" r:id="rId99" display="https://openreview.net/forum?id=YicbFdNTTy"/>
    <hyperlink ref="J108" r:id="rId96" display="https://openai.com/blog/image-gpt/"/>
    <hyperlink ref="J109" r:id="rId100" display="https://arxiv.org/abs/1909.11942"/>
    <hyperlink ref="J110" r:id="rId101" display="https://arxiv.org/abs/2012.15520"/>
    <hyperlink ref="J111" r:id="rId102" display="https://arxiv.org/abs/2012.00413"/>
    <hyperlink ref="J112" r:id="rId103" display="https://arxiv.org/abs/1908.09791"/>
    <hyperlink ref="J113" r:id="rId104" display="https://arxiv.org/abs/2006.11477"/>
    <hyperlink ref="J114" r:id="rId105" display="https://www.arxiv-vanity.com/papers/2104.05158/"/>
    <hyperlink ref="J115" r:id="rId106" display="https://www.biorxiv.org/content/10.1101/2020.03.07.982272v2"/>
    <hyperlink ref="J116" r:id="rId107" display="https://arxiv.org/abs/2003.10555v1"/>
    <hyperlink ref="J117" r:id="rId108" display="https://arxiv.org/abs/1911.06136"/>
    <hyperlink ref="J118" r:id="rId109" display="https://www.nature.com/articles/s41586-019-1923-7"/>
    <hyperlink ref="J119" r:id="rId110" display="https://arxiv.org/abs/2002.02925"/>
    <hyperlink ref="J120" r:id="rId111" display="https://arxiv.org/abs/2107.14795"/>
    <hyperlink ref="J121" r:id="rId112" display="https://arxiv.org/abs/2002.05709"/>
    <hyperlink ref="J122" r:id="rId107" display="https://arxiv.org/abs/2003.10555v1"/>
    <hyperlink ref="J123" r:id="rId113" display="https://arxiv.org/abs/2003.12140"/>
    <hyperlink ref="J124" r:id="rId114" display="https://arxiv.org/abs/2003.13350"/>
    <hyperlink ref="J125" r:id="rId115" display="https://arxiv.org/abs/1708.04896"/>
    <hyperlink ref="J126" r:id="rId116" display="https://arxiv.org/abs/2004.02984"/>
    <hyperlink ref="J127" r:id="rId117" display="https://arxiv.org/abs/2004.04136v4"/>
    <hyperlink ref="J128" r:id="rId118" display="https://arxiv.org/abs/2004.12919"/>
    <hyperlink ref="J129" r:id="rId119" display="https://arxiv.org/abs/2006.11316"/>
    <hyperlink ref="J130" r:id="rId120" display="https://arxiv.org/abs/2008.02217"/>
    <hyperlink ref="J131" r:id="rId121" display="https://openaccess.thecvf.com/content_CVPR_2020/html/Tan_EfficientDet_Scalable_and_Efficient_Object_Detection_CVPR_2020_paper.html"/>
    <hyperlink ref="J132" r:id="rId122" display="https://arxiv.org/abs/2001.11314"/>
    <hyperlink ref="J133" r:id="rId123" display="https://arxiv.org/abs/2010.11929"/>
    <hyperlink ref="J134" r:id="rId123" display="https://arxiv.org/abs/2010.11929"/>
    <hyperlink ref="J135" r:id="rId124" display="https://arxiv.org/abs/2006.10029"/>
    <hyperlink ref="J136" r:id="rId125" display="https://www.nature.com/articles/s41586-021-03819-2"/>
    <hyperlink ref="J137" r:id="rId126" display="https://github.com/CompVis/taming-transformers"/>
    <hyperlink ref="J138" r:id="rId127" display="https://www.deepmind.com/blog/alphastar-grandmaster-level-in-starcraft-ii-using-multi-agent-reinforcement-learning"/>
    <hyperlink ref="J139" r:id="rId128" display="https://arxiv.org/abs/1912.06680"/>
    <hyperlink ref="J140" r:id="rId129" display="https://arxiv.org/abs/1909.08053"/>
    <hyperlink ref="J141" r:id="rId130" display="https://arxiv.org/abs/1910.10683"/>
    <hyperlink ref="J142" r:id="rId131" display="https://cdn.openai.com/dota-2.pdf"/>
    <hyperlink ref="J143" r:id="rId130" display="https://arxiv.org/abs/1910.10683"/>
    <hyperlink ref="J144" r:id="rId129" display="https://arxiv.org/abs/1909.08053"/>
    <hyperlink ref="J145" r:id="rId132" display="https://deepmind.com/research/publications/capture-the-flag"/>
    <hyperlink ref="J146" r:id="rId133" display="https://arxiv.org/abs/1807.11626"/>
    <hyperlink ref="J147" r:id="rId133" display="https://arxiv.org/abs/1807.11626"/>
    <hyperlink ref="AE147" r:id="rId134" display="Designing convolutional neural networks (CNN) for mobile devices is challenging because mobile models need to be small and fast, yet still accurate. Although significant efforts have been dedicated to design and improve mobile CNNs on all dimensions, it is very difficult to manually balance these trade-offs when there are so many architectural possibilities to consider. In this paper, we propose an automated mobile neural architecture search (MNAS) approach, which explicitly incorporate model latency into the main objective so that the search can identify a model that achieves a good trade-off between accuracy and latency. Unlike previous work, where latency is considered via another, often inaccurate proxy (e.g., FLOPS), our approach directly measures real-world inference latency by executing the model on mobile phones. To further strike the right balance between flexibility and search space size, we propose a novel factorized hierarchical search space that encourages layer diversity "/>
    <hyperlink ref="J148" r:id="rId135" display="https://openai.com/blog/better-language-models/"/>
    <hyperlink ref="J149" r:id="rId136" display="https://arxiv.org/abs/1910.07113"/>
    <hyperlink ref="J150" r:id="rId137" display="https://arxiv.org/abs/1911.08265v2"/>
    <hyperlink ref="J151" r:id="rId138" display="https://arxiv.org/abs/1812.00332"/>
    <hyperlink ref="J152" r:id="rId139" display="https://papers.nips.cc/paper/2019/file/97af07a14cacba681feacf3012730892-Paper.pdf"/>
    <hyperlink ref="J153" r:id="rId140" display="https://arxiv.org/abs/1903.11059"/>
    <hyperlink ref="J154" r:id="rId141" display="https://arxiv.org/abs/1906.00091"/>
    <hyperlink ref="J155" r:id="rId142" display="https://arxiv.org/abs/1902.09492"/>
    <hyperlink ref="J156" r:id="rId143" display="https://arxiv.org/abs/1711.05101"/>
    <hyperlink ref="J157" r:id="rId144" display="https://openai.com/blog/emergent-tool-use/"/>
    <hyperlink ref="J158" r:id="rId145" display="https://arxiv.org/abs/1902.00506"/>
    <hyperlink ref="J159" r:id="rId146" display="https://www.science.org/cms/asset/910714a7-ee2a-486e-9970-42fb893b08d9/pap.pdf"/>
    <hyperlink ref="J160" r:id="rId147" display="https://www.semanticscholar.org/paper/Dissecting-Contextual-Word-Embeddings%3A-Architecture-Peters-Neumann/ac11062f1f368d97f4c826c317bf50dcc13fdb59"/>
    <hyperlink ref="J161" r:id="rId148" display="https://arxiv.org/abs/1901.11504"/>
    <hyperlink ref="J162" r:id="rId149" display="https://arxiv.org/abs/1904.08779"/>
    <hyperlink ref="J163" r:id="rId150" display="https://openaccess.thecvf.com/content_CVPR_2019/html/Fu_Dual_Attention_Network_for_Scene_Segmentation_CVPR_2019_paper.html"/>
    <hyperlink ref="J164" r:id="rId151" display="https://paperswithcode.com/paper/language-models-are-unsupervised-multitask"/>
    <hyperlink ref="J165" r:id="rId152" display="https://arxiv.org/abs/1905.00546"/>
    <hyperlink ref="J166" r:id="rId153" display="https://arxiv.org/abs/1905.09272"/>
    <hyperlink ref="J167" r:id="rId154" display="https://arxiv.org/abs/1905.11946"/>
    <hyperlink ref="J168" r:id="rId155" display="https://arxiv.org/abs/1905.12616"/>
    <hyperlink ref="J169" r:id="rId156" display="https://arxiv.org/abs/1901.07291"/>
    <hyperlink ref="J170" r:id="rId157" display="https://arxiv.org/abs/1906.08237"/>
    <hyperlink ref="J171" r:id="rId158" display="https://arxiv.org/abs/1906.00910"/>
    <hyperlink ref="J172" r:id="rId159" display="https://arxiv.org/abs/1906.06423"/>
    <hyperlink ref="J173" r:id="rId160" display="https://arxiv.org/abs/1907.11692"/>
    <hyperlink ref="J174" r:id="rId161" display="https://arxiv.org/abs/1907.02544"/>
    <hyperlink ref="J175" r:id="rId100" display="https://arxiv.org/abs/1909.11942"/>
    <hyperlink ref="J176" r:id="rId162" display="https://arxiv.org/abs/1910.01108"/>
    <hyperlink ref="J177" r:id="rId163" display="https://arxiv.org/abs/1910.13461"/>
    <hyperlink ref="J178" r:id="rId164" display="https://paperswithcode.com/paper/self-training-with-noisy-student-improves/review/"/>
    <hyperlink ref="J179" r:id="rId165" display="https://arxiv.org/abs/1911.05722"/>
    <hyperlink ref="J180" r:id="rId166" display="https://arxiv.org/abs/1911.11130"/>
    <hyperlink ref="J181" r:id="rId167" display="https://arxiv.org/abs/1912.01865"/>
    <hyperlink ref="J182" r:id="rId168" display="https://arxiv.org/abs/1912.11370"/>
    <hyperlink ref="J183" r:id="rId169" display="https://arxiv.org/abs/1809.11096"/>
    <hyperlink ref="J184" r:id="rId170" display="https://arxiv.org/abs/1802.01548"/>
    <hyperlink ref="J185" r:id="rId171" display="https://arxiv.org/abs/1810.04805"/>
    <hyperlink ref="F186" r:id="rId172" display="Lasse Espeholt, Hubert Soyer, Remi Munos, Karen Simonyan, Volodymir Mnih, Tom Ward, Yotam Doron, Vlad Firoiu, Tim Harley, Iain Dunning, Shane Legg, Koray Kavukcuoglu"/>
    <hyperlink ref="J186" r:id="rId173" display="https://arxiv.org/abs/1802.01561"/>
    <hyperlink ref="J187" r:id="rId174" display="https://arxiv.org/abs/1804.02767"/>
    <hyperlink ref="J188" r:id="rId175" display="https://arxiv.org/abs/1807.01281"/>
    <hyperlink ref="J189" r:id="rId176" display="https://openai.com/blog/language-unsupervised/"/>
    <hyperlink ref="J190" r:id="rId177" display="https://arxiv.org/abs/1711.09349"/>
    <hyperlink ref="J191" r:id="rId178" display="https://arxiv.org/abs/1801.06146"/>
    <hyperlink ref="J192" r:id="rId179" display="https://arxiv.org/abs/1802.05365"/>
    <hyperlink ref="J193" r:id="rId170" display="https://arxiv.org/abs/1802.01548"/>
    <hyperlink ref="J194" r:id="rId180" display="https://arxiv.org/abs/1802.02611v3"/>
    <hyperlink ref="J195" r:id="rId181" display="https://arxiv.org/abs/1802.05957"/>
    <hyperlink ref="J196" r:id="rId182" display="https://openaccess.thecvf.com/content_cvpr_2018/html/Zhang_Residual_Dense_Network_CVPR_2018_paper.html"/>
    <hyperlink ref="J197" r:id="rId183" display="https://www.microsoft.com/en-us/research/publication/achieving-human-parity-on-automatic-chinese-to-english-news-translation/"/>
    <hyperlink ref="J198" r:id="rId184" display="https://arxiv.org/abs/1803.07728"/>
    <hyperlink ref="J199" r:id="rId185" display="https://arxiv.org/abs/1805.00932"/>
    <hyperlink ref="J200" r:id="rId186" display="https://ieeexplore.ieee.org/document/8578572"/>
    <hyperlink ref="J201" r:id="rId187" display="https://arxiv.org/abs/1807.11164"/>
    <hyperlink ref="J202" r:id="rId188" display="https://openaccess.thecvf.com/content_ECCV_2018/html/Yulun_Zhang_Image_Super-Resolution_Using_ECCV_2018_paper.html"/>
    <hyperlink ref="J203" r:id="rId189" display="https://arxiv.org/abs/1809.00219"/>
    <hyperlink ref="J204" r:id="rId190" display="https://arxiv.org/abs/1810.05017"/>
    <hyperlink ref="J205" r:id="rId191" display="https://arxiv.org/abs/1811.06965"/>
    <hyperlink ref="J206" r:id="rId191" display="https://arxiv.org/abs/1811.06965"/>
    <hyperlink ref="J207" r:id="rId192" display="https://www.researchgate.net/publication/320473480_Mastering_the_game_of_Go_without_human_knowledge"/>
    <hyperlink ref="J208" r:id="rId192" display="https://www.researchgate.net/publication/320473480_Mastering_the_game_of_Go_without_human_knowledge"/>
    <hyperlink ref="J209" r:id="rId193" display="https://arxiv.org/abs/1712.01815"/>
    <hyperlink ref="J210" r:id="rId194" display="https://www.cs.cmu.edu/~noamb/papers/17-IJCAI-Libratus.pdf"/>
    <hyperlink ref="J211" r:id="rId195" display="https://openai.com/five/"/>
    <hyperlink ref="J212" r:id="rId196" display="https://arxiv.org/abs/1707.02968"/>
    <hyperlink ref="J213" r:id="rId197" display="https://arxiv.org/abs/1701.06538"/>
    <hyperlink ref="J214" r:id="rId198" display="https://arxiv.org/abs/1712.00559"/>
    <hyperlink ref="J215" r:id="rId199" display="https://proceedings.neurips.cc/paper/2017/file/3f5ee243547dee91fbd053c1c4a845aa-Paper.pdf"/>
    <hyperlink ref="F216" r:id="rId200" display="Matej Moravčík, Martin Schmid, Neil Burch, Viliam Lisý, Dustin Morrill, Nolan Bard, Trevor Davis, Kevin Waugh, Michael Johanson, Michael Bowling"/>
    <hyperlink ref="J216" r:id="rId201" display="https://arxiv.org/abs/1701.01724"/>
    <hyperlink ref="J217" r:id="rId202" display="https://ieeexplore.ieee.org/abstract/document/7839189"/>
    <hyperlink ref="J218" r:id="rId203" display="https://arxiv.org/abs/1703.05175"/>
    <hyperlink ref="J219" r:id="rId204" display="https://arxiv.org/abs/1703.06870"/>
    <hyperlink ref="J220" r:id="rId205" display="https://arxiv.org/abs/1704.00028"/>
    <hyperlink ref="J221" r:id="rId206" display="https://arxiv.org/abs/1704.04861"/>
    <hyperlink ref="J222" r:id="rId207" display="https://ieeexplore.ieee.org/abstract/document/7913730"/>
    <hyperlink ref="J223" r:id="rId208" display="https://openaccess.thecvf.com/content_cvpr_2017/html/Ledig_Photo-Realistic_Single_Image_CVPR_2017_paper.html"/>
    <hyperlink ref="J224" r:id="rId209" display="https://arxiv.org/abs/1705.07750"/>
    <hyperlink ref="J225" r:id="rId210" display="https://arxiv.org/abs/1706.02413"/>
    <hyperlink ref="J226" r:id="rId211" display="https://arxiv.org/abs/1707.02921"/>
    <hyperlink ref="J227" r:id="rId212" display="https://arxiv.org/abs/1706.04208"/>
    <hyperlink ref="J228" r:id="rId213" display="https://arxiv.org/abs/1706.05587"/>
    <hyperlink ref="J229" r:id="rId214" display="https://arxiv.org/abs/1706.08500v1"/>
    <hyperlink ref="J230" r:id="rId215" display="https://arxiv.org/abs/1706.10295v3"/>
    <hyperlink ref="J231" r:id="rId216" display="https://arxiv.org/abs/1707.01083"/>
    <hyperlink ref="J232" r:id="rId217" display="https://arxiv.org/abs/1707.07012"/>
    <hyperlink ref="J233" r:id="rId218" display="https://ieeexplore.ieee.org/document/8100143"/>
    <hyperlink ref="J234" r:id="rId219" display="https://arxiv.org/abs/1708.02002"/>
    <hyperlink ref="J235" r:id="rId219" display="https://arxiv.org/abs/1708.02002"/>
    <hyperlink ref="J236" r:id="rId220" display="https://arxiv.org/abs/1708.04552"/>
    <hyperlink ref="J237" r:id="rId221" display="https://arxiv.org/abs/1708.05031"/>
    <hyperlink ref="J238" r:id="rId222" display="https://arxiv.org/abs/1709.01507"/>
    <hyperlink ref="J239" r:id="rId223" display="https://arxiv.org/abs/1701.07717"/>
    <hyperlink ref="J240" r:id="rId224" display="https://arxiv.org/abs/1710.09829"/>
    <hyperlink ref="J241" r:id="rId224" display="https://arxiv.org/abs/1710.09829"/>
    <hyperlink ref="J242" r:id="rId225" display="https://arxiv.org/abs/1710.10196"/>
    <hyperlink ref="J243" r:id="rId226" display="https://arxiv.org/abs/1703.07737"/>
    <hyperlink ref="J244" r:id="rId198" display="https://arxiv.org/abs/1712.00559"/>
    <hyperlink ref="J245" r:id="rId227" display="https://research.google/pubs/pub45610/"/>
    <hyperlink ref="J246" r:id="rId228" display="https://arxiv.org/abs/1611.01578"/>
    <hyperlink ref="J247" r:id="rId229" display="https://www.nature.com/articles/nature16961"/>
    <hyperlink ref="J248" r:id="rId230" display="https://arxiv.org/abs/1610.02357"/>
    <hyperlink ref="J249" r:id="rId231" display="https://arxiv.org/abs/1607.06450"/>
    <hyperlink ref="J250" r:id="rId231" display="https://arxiv.org/abs/1607.06450"/>
    <hyperlink ref="J251" r:id="rId232" display="https://arxiv.org/abs/1605.06409"/>
    <hyperlink ref="J252" r:id="rId233" display="https://arxiv.org/abs/1602.00134"/>
    <hyperlink ref="J253" r:id="rId234" display="http://arxiv.org/abs/1602.01783v2"/>
    <hyperlink ref="J254" r:id="rId235" display="https://arxiv.org/abs/1602.07261"/>
    <hyperlink ref="J255" r:id="rId235" display="https://arxiv.org/abs/1602.07261"/>
    <hyperlink ref="J256" r:id="rId236" display="https://arxiv.org/abs/1602.07360"/>
    <hyperlink ref="J257" r:id="rId237" display="https://arxiv.org/abs/1603.09056v2"/>
    <hyperlink ref="J258" r:id="rId238" display="https://openaccess.thecvf.com/content_cvpr_2016/html/Feichtenhofer_Convolutional_Two-Stream_Network_CVPR_2016_paper.html"/>
    <hyperlink ref="J259" r:id="rId239" display="https://arxiv.org/abs/1506.07285"/>
    <hyperlink ref="J260" r:id="rId240" display="https://arxiv.org/abs/1606.07792"/>
    <hyperlink ref="J261" r:id="rId241" display="https://arxiv.org/abs/1607.01759"/>
    <hyperlink ref="J262" r:id="rId242" display="https://arxiv.org/abs/1607.04606"/>
    <hyperlink ref="J263" r:id="rId243" display="https://arxiv.org/abs/1608.06993"/>
    <hyperlink ref="J264" r:id="rId244" display="https://arxiv.org/abs/1604.02878"/>
    <hyperlink ref="J265" r:id="rId245" display="https://arxiv.org/abs/1609.03499"/>
    <hyperlink ref="J266" r:id="rId246" display="https://research.google/pubs/pub45530/"/>
    <hyperlink ref="J267" r:id="rId247" display="https://link.springer.com/chapter/10.1007/978-3-319-46484-8_29"/>
    <hyperlink ref="J268" r:id="rId248" display="https://link.springer.com/chapter/10.1007/978-3-319-46493-0_38"/>
    <hyperlink ref="J269" r:id="rId249" display="https://link.springer.com/chapter/10.1007/978-3-319-46484-8_2"/>
    <hyperlink ref="J270" r:id="rId250" display="https://link.springer.com/chapter/10.1007/978-3-319-46493-0_22"/>
    <hyperlink ref="J271" r:id="rId251" display="https://arxiv.org/abs/1605.07146"/>
    <hyperlink ref="J272" r:id="rId252" display="https://www.nature.com/articles/nature20101"/>
    <hyperlink ref="J273" r:id="rId253" display="https://arxiv.org/abs/1511.04491"/>
    <hyperlink ref="J274" r:id="rId254" display="https://arxiv.org/abs/1611.05431"/>
    <hyperlink ref="J275" r:id="rId255" display="https://arxiv.org/abs/1611.05725"/>
    <hyperlink ref="J276" r:id="rId256" display="https://arxiv.org/abs/1611.06612v3"/>
    <hyperlink ref="J277" r:id="rId257" display="https://arxiv.org/abs/1611.07004"/>
    <hyperlink ref="J278" r:id="rId258" display="https://arxiv.org/abs/1612.00796"/>
    <hyperlink ref="J279" r:id="rId259" display="https://arxiv.org/abs/1612.00593"/>
    <hyperlink ref="J280" r:id="rId260" display="https://dl.acm.org/doi/10.5555/3157096.3157346"/>
    <hyperlink ref="J281" r:id="rId261" display="https://jamanetwork.com/journals/jama/article-abstract/2588763"/>
    <hyperlink ref="J282" r:id="rId262" display="https://arxiv.org/abs/1612.08242"/>
    <hyperlink ref="J283" r:id="rId263" display="https://www.nature.com/articles/nature24270.epdf?author_access_token=VJXbVjaSHxFoctQQ4p2k4tRgN0jAjWel9jnR3ZoTv0PVW4gB86EEpGqTRDtpIz-2rmo8-KG06gqVobU5NSCFeHILHcVFUeMsbvwS-lxjqQGg98faovwjxeTUgZAUMnRQ"/>
    <hyperlink ref="J284" r:id="rId264" display="https://arxiv.org/abs/1512.02595"/>
    <hyperlink ref="J285" r:id="rId265" display="https://arxiv.org/abs/1406.4729"/>
    <hyperlink ref="J286" r:id="rId266" display="https://arxiv.org/abs/1512.03385"/>
    <hyperlink ref="J287" r:id="rId267" display="https://arxiv.org/abs/1409.4842"/>
    <hyperlink ref="J288" r:id="rId268" display="https://arxiv.org/abs/1502.03240"/>
    <hyperlink ref="J289" r:id="rId269" display="https://www.nature.com/articles/nature14236"/>
    <hyperlink ref="J290" r:id="rId270" display="https://arxiv.org/abs/1503.00075"/>
    <hyperlink ref="J291" r:id="rId271" display="https://arxiv.org/abs/1504.08083"/>
    <hyperlink ref="J292" r:id="rId272" display="https://www.cv-foundation.org/openaccess/content_cvpr_2015/html/Ng_Beyond_Short_Snippets_2015_CVPR_paper.html"/>
    <hyperlink ref="J293" r:id="rId273" display="http://proceedings.mlr.press/v38/lee15a.html"/>
    <hyperlink ref="J294" r:id="rId274" display="https://www.cv-foundation.org/openaccess/content_cvpr_2015/html/Wang_Action_Recognition_With_2015_CVPR_paper.html"/>
    <hyperlink ref="J295" r:id="rId275" display="https://arxiv.org/abs/1506.01497"/>
    <hyperlink ref="J296" r:id="rId276" display="https://arxiv.org/abs/1506.02640"/>
    <hyperlink ref="J297" r:id="rId277" display="https://arxiv.org/abs/1502.03167"/>
    <hyperlink ref="J298" r:id="rId278" display="https://ieeexplore.ieee.org/document/7472621"/>
    <hyperlink ref="J299" r:id="rId279" display="https://arxiv.org/abs/1508.07909"/>
    <hyperlink ref="J300" r:id="rId280" display="https://arxiv.org/abs/1509.02971"/>
    <hyperlink ref="J301" r:id="rId281" display="https://arxiv.org/abs/1511.06581"/>
    <hyperlink ref="J302" r:id="rId282" display="https://arxiv.org/abs/1511.07122"/>
    <hyperlink ref="J303" r:id="rId283" display="https://dl.acm.org/doi/pdf/10.1145/2843948"/>
    <hyperlink ref="J304" r:id="rId284" display="https://arxiv.org/abs/1512.00567"/>
    <hyperlink ref="J305" r:id="rId266" display="https://arxiv.org/abs/1512.03385"/>
    <hyperlink ref="J306" r:id="rId285" display="https://science.sciencemag.org/content/350/6266/1332/"/>
    <hyperlink ref="J307" r:id="rId286" display="http://arxiv.org/abs/1512.04860v1"/>
    <hyperlink ref="J308" r:id="rId287" display="https://arxiv.org/abs/1409.1556"/>
    <hyperlink ref="J309" r:id="rId288" display="https://arxiv.org/abs/1409.3215"/>
    <hyperlink ref="J310" r:id="rId265" display="https://arxiv.org/abs/1406.4729"/>
    <hyperlink ref="J311" r:id="rId289" display="https://arxiv.org/abs/1409.0473"/>
    <hyperlink ref="F312" r:id="rId290" display="Ian J. Goodfellow, Jean Pouget-Abadie, Mehdi Mirza, Bing Xu, David Warde-Farley, Sherjil Ozair, Aaron Courville, Yoshua Bengio"/>
    <hyperlink ref="J312" r:id="rId291" display="https://arxiv.org/abs/1406.2661"/>
    <hyperlink ref="J313" r:id="rId292" display="https://arxiv.org/abs/1412.6980"/>
    <hyperlink ref="J314" r:id="rId293" display="https://nlp.stanford.edu/projects/glove/"/>
    <hyperlink ref="J315" r:id="rId293" display="https://nlp.stanford.edu/projects/glove/"/>
    <hyperlink ref="J316" r:id="rId294" display="https://ieeexplore.ieee.org/document/6737243"/>
    <hyperlink ref="J317" r:id="rId295" display="https://ieeexplore.ieee.org/abstract/document/6756960"/>
    <hyperlink ref="J318" r:id="rId296" display="https://jmlr.org/papers/v15/srivastava14a.html"/>
    <hyperlink ref="J319" r:id="rId297" display="https://arxiv.org/abs/1406.1078"/>
    <hyperlink ref="J320" r:id="rId298" display="https://arxiv.org/abs/1406.2199"/>
    <hyperlink ref="J321" r:id="rId299" display="https://ieeexplore.ieee.org/document/6909619"/>
    <hyperlink ref="J322" r:id="rId300" display="https://ieeexplore.ieee.org/document/6909616"/>
    <hyperlink ref="J323" r:id="rId301" display="https://www.semanticscholar.org/paper/Self-play-Monte-Carlo-tree-search-in-computer-poker-Heinrich-Silver/7b687599b4425aa959036071030e1212a3b359c7"/>
    <hyperlink ref="J324" r:id="rId302" display="https://dl.acm.org/doi/10.1145/2648584.2648589"/>
    <hyperlink ref="J325" r:id="rId287" display="https://arxiv.org/abs/1409.1556"/>
    <hyperlink ref="J326" r:id="rId303" display="https://arxiv.org/abs/1411.4389"/>
    <hyperlink ref="J327" r:id="rId304" display="https://arxiv.org/abs/1411.4038"/>
    <hyperlink ref="J328" r:id="rId305" display="https://arxiv.org/abs/1411.7766"/>
    <hyperlink ref="J329" r:id="rId306" display="https://arxiv.org/abs/1410.5401"/>
    <hyperlink ref="J330" r:id="rId307" display="https://arxiv.org/abs/1412.7062"/>
    <hyperlink ref="J331" r:id="rId308" display="https://papers.nips.cc/paper/2013/hash/1cecc7a77928ca8133fa24680a88d2f9-Abstract.html"/>
    <hyperlink ref="J332" r:id="rId309" display="https://arxiv.org/abs/1311.2901"/>
    <hyperlink ref="J333" r:id="rId310" display="https://link.springer.com/chapter/10.1007/978-3-642-40763-5_51"/>
    <hyperlink ref="J334" r:id="rId311" display="https://arxiv.org/abs/1310.4546"/>
    <hyperlink ref="J335" r:id="rId312" display="https://arxiv.org/abs/1312.5602"/>
    <hyperlink ref="J336" r:id="rId313" display="https://arxiv.org/abs/1312.6114"/>
    <hyperlink ref="J337" r:id="rId314" display="https://hal.inria.fr/hal-00830491v2/document"/>
    <hyperlink ref="J338" r:id="rId315" display="https://arxiv.org/abs/1301.3666"/>
    <hyperlink ref="J339" r:id="rId316" display="https://arxiv.org/abs/1302.4389"/>
    <hyperlink ref="J340" r:id="rId317" display="https://arxiv.org/abs/1303.5778"/>
    <hyperlink ref="J341" r:id="rId318" display="https://link.springer.com/article/10.1007/s11263-013-0620-5"/>
    <hyperlink ref="J342" r:id="rId318" display="https://link.springer.com/article/10.1007/s11263-013-0620-5"/>
    <hyperlink ref="J343" r:id="rId319" display="https://www.aclweb.org/anthology/N13-1090/"/>
    <hyperlink ref="J344" r:id="rId311" display="https://arxiv.org/abs/1310.4546"/>
    <hyperlink ref="J345" r:id="rId320" display="https://arxiv.org/abs/1311.2524"/>
    <hyperlink ref="J346" r:id="rId321" display="https://papers.nips.cc/paper/2013/hash/b337e84de8752b27eda3a12363109e80-Abstract.html"/>
    <hyperlink ref="J347" r:id="rId322" display="https://ieeexplore.ieee.org/document/6707742"/>
    <hyperlink ref="J348" r:id="rId323" display="https://arxiv.org/abs/1312.4400"/>
    <hyperlink ref="J349" r:id="rId324" display="https://arxiv.org/abs/1312.6229"/>
    <hyperlink ref="J350" r:id="rId325" display="https://proceedings.neurips.cc/paper/2012/hash/c399862d3b9d6b76c8436e924a68c45b-Abstract.html"/>
    <hyperlink ref="J351" r:id="rId326" display="https://arxiv.org/abs/1207.0580"/>
    <hyperlink ref="J352" r:id="rId327" display="https://arxiv.org/abs/1202.2745v1"/>
    <hyperlink ref="J353" r:id="rId326" display="https://arxiv.org/abs/1207.0580"/>
    <hyperlink ref="J354" r:id="rId326" display="https://arxiv.org/abs/1207.0580"/>
    <hyperlink ref="J355" r:id="rId326" display="https://arxiv.org/abs/1207.0580"/>
    <hyperlink ref="J356" r:id="rId328" display="http://www.cvlibs.net/publications/Geiger2012CVPR_slides.pdf"/>
    <hyperlink ref="J357" r:id="rId329" display="https://aclanthology.org/P12-3029/"/>
    <hyperlink ref="J358" r:id="rId330" display="https://www.aclweb.org/anthology/D12-1110/"/>
    <hyperlink ref="J359" r:id="rId331" display="https://arxiv.org/abs/1206.2944"/>
    <hyperlink ref="J360" r:id="rId332" display="http://proceedings.mlr.press/v15/coates11a.html"/>
    <hyperlink ref="J361" r:id="rId333" display="http://machinelearning.wustl.edu/mlpapers/paper_files/AISTATS2011_GlorotBB11.pdf"/>
    <hyperlink ref="J362" r:id="rId334" display="https://ieeexplore.ieee.org/document/5947611"/>
    <hyperlink ref="J363" r:id="rId335" display="https://aclanthology.org/P11-1061/"/>
    <hyperlink ref="J364" r:id="rId336" display="https://aclanthology.org/D11-1014/"/>
    <hyperlink ref="J365" r:id="rId337" display="https://ieeexplore.ieee.org/document/6032006"/>
    <hyperlink ref="J366" r:id="rId338" display="https://dl.acm.org/doi/10.5555/1953048.2021068"/>
    <hyperlink ref="J367" r:id="rId339" display="http://ftp.idiap.ch/pub/courses/EE-700/material/05-12-2012/2011_ICCV_DomainAdaptation.pdf"/>
    <hyperlink ref="J368" r:id="rId340" display="https://www.jmlr.org/papers/volume12/collobert11a/collobert11a.pdf"/>
    <hyperlink ref="J369" r:id="rId341" display="https://arxiv.org/abs/1106.5730"/>
    <hyperlink ref="J370" r:id="rId342" display="https://www.researchgate.net/publication/221489926_Recurrent_neural_network_based_language_model"/>
    <hyperlink ref="J371" r:id="rId342" display="https://www.researchgate.net/publication/221489926_Recurrent_neural_network_based_language_model"/>
    <hyperlink ref="J372" r:id="rId343" display="https://proceedings.mlr.press/v9/glorot10a.html"/>
    <hyperlink ref="J373" r:id="rId344" display="https://arxiv.org/abs/1003.0358"/>
    <hyperlink ref="J374" r:id="rId345" display="https://www.jmlr.org/papers/v11/vincent10a.html"/>
    <hyperlink ref="J375" r:id="rId346" display="https://aclanthology.org/P10-1040.pdf"/>
    <hyperlink ref="J376" r:id="rId347" display="https://ieeexplore.ieee.org/document/5539963"/>
    <hyperlink ref="J377" r:id="rId348" display="https://ieeexplore.ieee.org/document/5539957"/>
    <hyperlink ref="J378" r:id="rId349" display="https://dl.acm.org/doi/10.5555/3104322.3104425"/>
    <hyperlink ref="J379" r:id="rId349" display="https://dl.acm.org/doi/10.5555/3104322.3104425"/>
    <hyperlink ref="J380" r:id="rId350" display="https://link.springer.com/chapter/10.1007/978-3-642-35289-8_32"/>
    <hyperlink ref="J381" r:id="rId351" display="https://link.springer.com/chapter/10.1007/978-3-642-15561-1_11"/>
    <hyperlink ref="J382" r:id="rId352" display="https://dl.acm.org/doi/10.1145/1864708.1864770"/>
    <hyperlink ref="J383" r:id="rId353" display="https://science.sciencemag.org/content/331/6014/176"/>
    <hyperlink ref="J384" r:id="rId354" display="http://www.machinelearning.org/archive/icml2009/papers/218.pdf"/>
    <hyperlink ref="J385" r:id="rId355" display="https://www.sciencedirect.com/topics/computer-science/deep-boltzmann-machine"/>
    <hyperlink ref="J386" r:id="rId356" display="https://dl.acm.org/doi/10.1145/1553374.1553453"/>
    <hyperlink ref="J387" r:id="rId357" display="https://www.researchgate.net/publication/228766792_The_BellKor_2008_solution_to_the_Netflix_Prize"/>
    <hyperlink ref="J388" r:id="rId358" display="https://aclanthology.org/P09-1010/"/>
    <hyperlink ref="J389" r:id="rId359" display="https://www2.seas.gwu.edu/~simhaweb/champalg/cf/papers/KorenBellKor2009.pdf"/>
    <hyperlink ref="J390" r:id="rId360" display="https://www.asc.ohio-state.edu/statistics/statgen/joul_aut2009/BigChaos.pdf"/>
    <hyperlink ref="J391" r:id="rId361" display="https://www.asc.ohio-state.edu/statistics/statgen/joul_aut2009/PragmaticTheory.pdf"/>
    <hyperlink ref="J392" r:id="rId358" display="https://aclanthology.org/P09-1010/"/>
    <hyperlink ref="J393" r:id="rId362" display="https://ieeexplore.ieee.org/document/5197422"/>
    <hyperlink ref="J394" r:id="rId363" display="https://aclanthology.org/J09-3003.pdf"/>
    <hyperlink ref="J395" r:id="rId364" display="https://www.semanticscholar.org/paper/The-BellKor-solution-to-the-Netflix-Prize-Bell-Koren/f4ebb542c752a0dc423f94fd121e2edb8f6275ba"/>
    <hyperlink ref="J396" r:id="rId365" display="https://grail.cs.washington.edu/rome/"/>
    <hyperlink ref="J397" r:id="rId366" display="https://www.tandfonline.com/doi/abs/10.1080/01638539809545028"/>
    <hyperlink ref="J398" r:id="rId367" display="https://www.nowpublishers.com/article/Details/MAL-006"/>
    <hyperlink ref="J399" r:id="rId368" display="https://ieeexplore.ieee.org/abstract/document/4587597"/>
    <hyperlink ref="J400" r:id="rId369" display="https://dl.acm.org/doi/10.1145/1390156.1390294"/>
    <hyperlink ref="J401" r:id="rId370" display="https://dl.acm.org/doi/10.1145/1390156.1390303"/>
    <hyperlink ref="J402" r:id="rId371" display="https://dl.acm.org/doi/10.1145/1390156.1390177"/>
    <hyperlink ref="J403" r:id="rId372" display="https://dl.acm.org/doi/10.1145/1390156.1390256"/>
    <hyperlink ref="J404" r:id="rId373" display="https://onlinelibrary.wiley.com/doi/abs/10.1002/rob.20255"/>
    <hyperlink ref="J405" r:id="rId374" display="https://pubmed.ncbi.nlm.nih.gov/19000969/"/>
    <hyperlink ref="J406" r:id="rId375" display="https://www.researchgate.net/publication/228419683_The_bigchaos_solution_to_the_netflix_prize_2008"/>
    <hyperlink ref="J407" r:id="rId376" display="https://www.cs.cmu.edu/~rsalakhu/papers/sdarticle.pdf"/>
    <hyperlink ref="J408" r:id="rId377" display="https://aclanthology.org/P07-2045.pdf"/>
    <hyperlink ref="J409" r:id="rId378" display="https://www.aclweb.org/anthology/P07-1121/"/>
    <hyperlink ref="J410" r:id="rId379" display="https://dl.acm.org/doi/10.1145/1273496.1273556"/>
    <hyperlink ref="J411" r:id="rId380" display="https://dl.acm.org/doi/abs/10.1145/1273496.1273596?casa_token=cfdkH2x12MwAAAAA:sEUzfllIGyPcOfzgUoDPHlpC1ukfCAo8ewocBXWBswIIF9eS5HdFo30nOtfmIV8gm-XpBpQJJ5zYVO8"/>
    <hyperlink ref="J412" r:id="rId381" display="https://www.semanticscholar.org/paper/Improving-regularized-singular-value-decomposition-Paterek/f732d0f69fe4e84a95c32706b28b9e4ef1753c61"/>
    <hyperlink ref="J413" r:id="rId382" display="https://people.idsia.ch//~juergen/icdar_2007.pdf"/>
    <hyperlink ref="J414" r:id="rId383" display="http://brettb.net/project/papers/2007%20Scalable%20collaborative%20filtering%20with%20jointly%20derived%20neighborhood%20interpolation%20weights.pdf"/>
    <hyperlink ref="J415" r:id="rId384" display="https://dl.acm.org/doi/10.5555/2981562.2981583"/>
    <hyperlink ref="J416" r:id="rId385" display="https://proceedings.neurips.cc/paper/2007/hash/4b0250793549726d5c1ea3906726ebfe-Abstract.html"/>
    <hyperlink ref="J417" r:id="rId386" display="https://www.researchgate.net/publication/220648006_Stanley_The_robot_that_won_the_DARPA_Grand_Challenge"/>
    <hyperlink ref="J418" r:id="rId387" display="https://hal.archives-ouvertes.fr/hal-00018426/en"/>
    <hyperlink ref="J419" r:id="rId388" display="https://papers.nips.cc/paper/2003/hash/b427426b8acd2c2e53827970f2c2f526-Abstract.html"/>
    <hyperlink ref="J420" r:id="rId389" display="https://link.springer.com/chapter/10.1007/11744023_34"/>
    <hyperlink ref="J421" r:id="rId390" display="https://inc.ucsd.edu/mplab/users/marni/Igert/Lazebnik_06.pdf"/>
    <hyperlink ref="J422" r:id="rId391" display="https://ieeexplore.ieee.org/document/1640964"/>
    <hyperlink ref="J423" r:id="rId392" display="https://www.cs.toronto.edu/~graves/icml_2006.pdf"/>
    <hyperlink ref="J424" r:id="rId393" display="https://www.aclweb.org/anthology/P06-1101/"/>
    <hyperlink ref="J425" r:id="rId394" display="https://www.cs.toronto.edu/~hinton/science.pdf"/>
    <hyperlink ref="J426" r:id="rId395" display="https://www.cs.toronto.edu/~hinton/absps/fastnc.pdf"/>
    <hyperlink ref="J427" r:id="rId396" display="http://citeseerx.ist.psu.edu/viewdoc/download?doi=10.1.1.456.1094&amp;rep=rep1&amp;type=pdf"/>
    <hyperlink ref="J428" r:id="rId397" display="https://papers.nips.cc/paper/2006/hash/87f4d79e36d68c3031ccf6c55e9bbd39-Abstract.html"/>
    <hyperlink ref="J429" r:id="rId398" display="https://dl.acm.org/doi/10.5555/2976456.2976476"/>
    <hyperlink ref="J430" r:id="rId399" display="https://www.sciencedirect.com/science/article/abs/pii/S0893608005001206"/>
    <hyperlink ref="J431" r:id="rId400" display="https://science.sciencemag.org/content/308/5721/523.long"/>
    <hyperlink ref="J432" r:id="rId401" display="https://aclanthology.org/P05-1033/"/>
    <hyperlink ref="J433" r:id="rId402" display="http://www.iro.umontreal.ca/~mignotte/IFT6150/Articles/Buades-NonLocal.pdf"/>
    <hyperlink ref="J434" r:id="rId403" display="https://ieeexplore.ieee.org/document/1467314"/>
    <hyperlink ref="J435" r:id="rId404" display="https://ieeexplore.ieee.org/document/1467360"/>
    <hyperlink ref="J436" r:id="rId405" display="https://papers.nips.cc/paper/2003/file/878d5691c824ee2aaf770f7d36c151d6-Paper.pdf"/>
    <hyperlink ref="J437" r:id="rId406" display="https://www.sciencedirect.com/science/article/pii/S0031320304000524"/>
    <hyperlink ref="J438" r:id="rId407" display="https://ieeexplore.ieee.org/document/1336386"/>
    <hyperlink ref="J439" r:id="rId408" display="https://aclanthology.org/P04-1036/"/>
    <hyperlink ref="J440" r:id="rId409" display="https://www.sciencedirect.com/science/article/abs/pii/S0262885604000721"/>
    <hyperlink ref="J441" r:id="rId410" display="https://dl.acm.org/doi/10.5555/944919.944966"/>
    <hyperlink ref="J442" r:id="rId411" display="https://ieeexplore.ieee.org/document/1167344"/>
    <hyperlink ref="J443" r:id="rId412" display="https://link.springer.com/content/pdf/10.1007/3-540-45054-8_2.pdf"/>
    <hyperlink ref="J444" r:id="rId413" display="https://jmlr.org/papers/volume3/blei03a/blei03a.pdf"/>
    <hyperlink ref="J445" r:id="rId414" display="https://dl.acm.org/doi/10.3115/1073445.1073462"/>
    <hyperlink ref="J446" r:id="rId415" display="https://ieeexplore.ieee.org/document/1211479"/>
    <hyperlink ref="J447" r:id="rId416" display="https://ieeexplore.ieee.org/document/1227801"/>
    <hyperlink ref="J448" r:id="rId417" display="https://arxiv.org/abs/cs/0205070"/>
    <hyperlink ref="J449" r:id="rId418" display="https://dl.acm.org/doi/10.3115/1118693.1118694"/>
    <hyperlink ref="J450" r:id="rId419" display="https://dl.acm.org/doi/10.3115/1118693.1118711"/>
    <hyperlink ref="J451" r:id="rId420" display="https://direct.mit.edu/evco/article/10/2/99/1123/Evolving-Neural-Networks-through-Augmenting"/>
    <hyperlink ref="J452" r:id="rId421" display="https://aclanthology.org/P02-1038/"/>
    <hyperlink ref="J453" r:id="rId422" display="https://dl.acm.org/doi/10.3115/1073083.1073135"/>
    <hyperlink ref="J454" r:id="rId423" display="https://reader.elsevier.com/reader/sd/pii/S0957417402000520?token=155B6D1937982D7D0271AFD1CFB034DFD7F3D1DE816B66C025EBC9D0A305BA6DA685DD62989DC05246C794CAC74CDAEF&amp;originRegion=us-east-1&amp;originCreation=20220325235441"/>
    <hyperlink ref="J455" r:id="rId424" display="https://www.cs.cmu.edu/~efros/courses/LBMV07/Papers/viola-cvpr-01.pdf"/>
    <hyperlink ref="J456" r:id="rId425" display="https://dl.acm.org/doi/10.3115/1073012.1073029"/>
    <hyperlink ref="J457" r:id="rId426" display="https://projecteuclid.org/journals/annals-of-statistics/volume-29/issue-5/Greedy-function-approximation-A-gradient-boostingmachine/10.1214/aos/1013203451.full"/>
    <hyperlink ref="J458" r:id="rId427" display="http://robotics.stanford.edu/~ronnyk/WEBKDD2000/papers/sarwar.pdf"/>
    <hyperlink ref="J459" r:id="rId428" display="https://ieeexplore.ieee.org/document/861302"/>
    <hyperlink ref="J460" r:id="rId429" display="https://dl.acm.org/doi/10.1162/089120102760275983"/>
    <hyperlink ref="J461" r:id="rId430" display="https://aclanthology.org/P00-1056/"/>
    <hyperlink ref="J462" r:id="rId431" display="https://ieeexplore.ieee.org/document/818041"/>
    <hyperlink ref="J463" r:id="rId432" display="http://www-i6.informatik.rwth-aachen.de/publications/download/266/al-onaizan--1999.pdf"/>
    <hyperlink ref="J464" r:id="rId433" display="https://link.springer.com/article/10.1023/A:1007662407062"/>
    <hyperlink ref="J465" r:id="rId434" display="http://vision.stanford.edu/cs598_spring07/papers/Lecun98.pdf"/>
    <hyperlink ref="J466" r:id="rId435" display="https://ieeexplore.ieee.org/abstract/document/668817"/>
    <hyperlink ref="J467" r:id="rId436" display="https://mitpress.mit.edu/books/statistical-methods-speech-recognition"/>
    <hyperlink ref="J468" r:id="rId437" display="https://ieeexplore.ieee.org/document/698586"/>
    <hyperlink ref="J469" r:id="rId438" display="https://www.aaai.org/Papers/AAAI/1998/AAAI98-101.pdf"/>
    <hyperlink ref="J470" r:id="rId439" display="https://direct.mit.edu/neco/article-abstract/9/8/1735/6109/Long-Short-Term-Memory?redirectedFrom=fulltext"/>
    <hyperlink ref="J471" r:id="rId440" display="https://ieeexplore.ieee.org/document/609310"/>
    <hyperlink ref="J472" r:id="rId441" display="https://www.semanticscholar.org/paper/Statistical-language-modeling-using-the-toolkit-Clarkson-Rosenfeld/fdf4aa623e4d5b5edaeb873ed8e8b1cef0b59c87"/>
    <hyperlink ref="J473" r:id="rId442" display="https://ieeexplore.ieee.org/document/650093"/>
    <hyperlink ref="J474" r:id="rId443" display="https://www.sciencedirect.com/science/article/pii/S0042698997001697"/>
    <hyperlink ref="J475" r:id="rId444" display="https://ieeexplore.ieee.org/document/655647"/>
    <hyperlink ref="I476" r:id="rId445" display="HMM-Based Word Alignment in Statistical Translation"/>
    <hyperlink ref="J476" r:id="rId446" display="https://dl.acm.org/doi/10.3115/993268.993313"/>
    <hyperlink ref="J477" r:id="rId447" display="https://ieeexplore.ieee.org/document/6795568"/>
    <hyperlink ref="J478" r:id="rId448" display="https://dl.acm.org/doi/10.3115/981658.981684"/>
    <hyperlink ref="J479" r:id="rId449" display="https://ieeexplore.ieee.org/document/598994"/>
    <hyperlink ref="J480" r:id="rId450" display="https://link.springer.com/article/10.1007/BF00994018"/>
    <hyperlink ref="J481" r:id="rId451" display="https://dl.acm.org/doi/10.5555/972525.972526"/>
    <hyperlink ref="J482" r:id="rId452" display="https://dl.acm.org/doi/10.1145/192844.192905"/>
    <hyperlink ref="J483" r:id="rId453" display="https://dl.acm.org/doi/10.5555/972470.972474"/>
    <hyperlink ref="J484" r:id="rId454" display="https://papers.nips.cc/paper/1991/file/68ce199ec2c5517597ce0a4d89620f55-Paper.pdf"/>
    <hyperlink ref="J485" r:id="rId455" display="https://ieeexplore.ieee.org/document/159058"/>
    <hyperlink ref="J486" r:id="rId456" display="https://dl.acm.org/doi/10.1007/BF00992696"/>
    <hyperlink ref="J487" r:id="rId457" display="https://link.springer.com/chapter/10.1007/978-3-642-48650-0_19"/>
    <hyperlink ref="J488" r:id="rId458" display="https://dl.acm.org/doi/10.1007/BF00114844"/>
    <hyperlink ref="J489" r:id="rId459" display="https://ieeexplore.ieee.org/document/58323"/>
    <hyperlink ref="J490" r:id="rId460" display="https://ieeexplore.ieee.org/abstract/document/80266"/>
    <hyperlink ref="J491" r:id="rId461" display="https://proceedings.neurips.cc/paper/1988/hash/812b4ba287f5ee0bc9d43bbf5bbe87fb-Abstract.html"/>
    <hyperlink ref="J492" r:id="rId462" display="https://ieeexplore.ieee.org/document/6795724"/>
    <hyperlink ref="J493" r:id="rId463" display="https://www.researchgate.net/publication/220885651_Designing_Neural_Networks_using_Genetic_Algorithms"/>
    <hyperlink ref="J494" r:id="rId464" display="http://www.cs.rhul.ac.uk/~chrisw/thesis.html"/>
    <hyperlink ref="J495" r:id="rId465" display="https://ieeexplore.ieee.org/abstract/document/21701"/>
    <hyperlink ref="J496" r:id="rId466" display="https://www.sciencedirect.com/science/article/abs/pii/0893608089900208"/>
    <hyperlink ref="J497" r:id="rId467" display="http://citeseerx.ist.psu.edu/viewdoc/download?doi=10.1.1.434.4816&amp;rep=rep1&amp;type=pdf"/>
    <hyperlink ref="J498" r:id="rId468" display="https://ieeexplore.ieee.org/document/23872"/>
    <hyperlink ref="J499" r:id="rId469" display="https://ieeexplore.ieee.org/document/23982"/>
    <hyperlink ref="J500" r:id="rId470" display="http://citeseerx.ist.psu.edu/viewdoc/download;jsessionid=03A3D3EDF0BAF35405ABCF083411B55E?doi=10.1.1.154.7012&amp;rep=rep1&amp;type=pdf"/>
    <hyperlink ref="J501" r:id="rId471" display="https://psycnet.apa.org/record/1987-20898-001"/>
    <hyperlink ref="J502" r:id="rId472" display="https://www.semanticscholar.org/paper/Learning-representations-by-back-propagating-errors-Rumelhart-Hinton/052b1d8ce63b07fec3de9dbb583772d860b7c769"/>
    <hyperlink ref="J503" r:id="rId473" display="https://dl.acm.org/doi/10.5555/104279.104293"/>
    <hyperlink ref="J504" r:id="rId474" display="https://www.semanticscholar.org/paper/On-learning-the-past-tenses-of-English-verbs%3A-rules-Rumelhart-McClelland/4fa569625b5ab35e955a8d5be11a4aa9f59ca424"/>
    <hyperlink ref="J505" r:id="rId475" display="https://www.osti.gov/biblio/6910294"/>
    <hyperlink ref="J506" r:id="rId476" display="https://ieeexplore.ieee.org/stamp/stamp.jsp?tp=&amp;arnumber=4767851"/>
    <hyperlink ref="J507" r:id="rId477" display="https://psycnet.apa.org/record/1985-97439-000"/>
    <hyperlink ref="J508" r:id="rId478" display="https://ieeexplore.ieee.org/stamp/stamp.jsp?tp=&amp;arnumber=6313077"/>
    <hyperlink ref="J509" r:id="rId479" display="https://www.pnas.org/doi/10.1073/pnas.79.8.2554"/>
    <hyperlink ref="J510" r:id="rId480" display="https://link.springer.com/article/10.1007/BF00337288"/>
    <hyperlink ref="J511" r:id="rId481" display="https://link.springer.com/article/10.1007/BF00344251"/>
    <hyperlink ref="J512" r:id="rId482" display="https://link.springer.com/article/10.1007/BF00337644"/>
    <hyperlink ref="J513" r:id="rId483" display="https://www.sciencedirect.com/science/article/pii/S0019995877903540"/>
    <hyperlink ref="J514" r:id="rId484" display="https://link.springer.com/article/10.1007%2FBF00342633"/>
    <hyperlink ref="J515" r:id="rId485" display="https://www.semanticscholar.org/paper/Pattern-classification-and-scene-analysis-Duda-Hart/b07ce649d6f6eb636872527104b0209d3edc8188"/>
    <hyperlink ref="J516" r:id="rId486" display="https://ieeexplore.ieee.org/document/4309272"/>
    <hyperlink ref="J517" r:id="rId487" display="https://dspace.mit.edu/handle/1721.1/6884"/>
    <hyperlink ref="J518" r:id="rId488" display="https://citeseerx.ist.psu.edu/viewdoc/summary?doi=10.1.1.474.2430"/>
    <hyperlink ref="J519" r:id="rId488" display="https://citeseerx.ist.psu.edu/viewdoc/summary?doi=10.1.1.474.2430"/>
    <hyperlink ref="J520" r:id="rId489" display="https://www.cs.virginia.edu/~evans/greatworks/samuel.pdf"/>
    <hyperlink ref="J521" r:id="rId490" display="https://www.researchgate.net/publication/252919025_STELLA_A_scheme_for_a_learning_machine"/>
    <hyperlink ref="J522" r:id="rId491" display="https://academic.oup.com/comjnl/article/6/3/232/360077"/>
    <hyperlink ref="J523" r:id="rId492" display="https://www.proquest.com/openview/7898314db50a218b58052ac91e3bde1e/1?"/>
    <hyperlink ref="J524" r:id="rId493" display="https://ieeexplore.ieee.org/abstract/document/4066245"/>
    <hyperlink ref="J525" r:id="rId494" display="https://stacks.stanford.edu/file/druid:yr384hg3073/yr384hg3073.pdf"/>
    <hyperlink ref="J526" r:id="rId495" display="https://www.semanticscholar.org/paper/Further-experiments-with-PAPA-Gamba-Gamberini/c3a20b9aa86033cec29f08e69f4bc81e8b329ae2"/>
    <hyperlink ref="J527" r:id="rId496" display="https://isl.stanford.edu/~widrow/papers/c1960adaptiveswitching.pdf"/>
    <hyperlink ref="J528" r:id="rId497" display="https://www.scirp.org/(S(351jmbntvnsjt1aadkposzje))/reference/ReferencesPapers.aspx?ReferenceID=547230"/>
    <hyperlink ref="J529" r:id="rId498" display="https://aitopics.org/doc/classics:504E1BAC/"/>
    <hyperlink ref="J530" r:id="rId499" display="https://ieeexplore.ieee.org/abstract/document/5392560"/>
    <hyperlink ref="J531" r:id="rId500" display="https://dl.acm.org/doi/10.1145/1460299.1460326"/>
    <hyperlink ref="J532" r:id="rId501" display="https://blogs.umass.edu/brain-wars/files/2016/03/rosenblatt-1957.pdf"/>
    <hyperlink ref="J533" r:id="rId502" display="https://www.moma.org/collection/works/illustratedbooks/16252?locale=es"/>
    <hyperlink ref="J534" r:id="rId503" display="https://dl.acm.org/doi/10.1145/1455292.1455309"/>
    <hyperlink ref="J535" r:id="rId504" display="https://dl.acm.org/doi/10.1145/1455292.1455310"/>
    <hyperlink ref="J536" r:id="rId505" display="https://link.springer.com/article/10.1007/BF01556771"/>
    <hyperlink ref="J537" r:id="rId506" display="https://en.wikipedia.org/wiki/Stochastic_neural_analog_reinforcement_calculator"/>
    <hyperlink ref="J538" r:id="rId507" display="https://www.technologyreview.com/2018/12/19/138508/mighty-mouse/"/>
  </hyperlink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138"/>
  <sheetViews>
    <sheetView workbookViewId="0">
      <selection activeCell="A1" sqref="A1"/>
    </sheetView>
  </sheetViews>
  <sheetFormatPr defaultColWidth="12.6285714285714" defaultRowHeight="15.75" customHeight="1"/>
  <sheetData>
    <row r="1" customHeight="1" spans="1:21">
      <c r="A1" s="139" t="s">
        <v>4457</v>
      </c>
      <c r="B1" s="3"/>
      <c r="C1" s="3"/>
      <c r="D1" s="3"/>
      <c r="E1" s="3"/>
      <c r="F1" s="3"/>
      <c r="G1" s="3"/>
      <c r="H1" s="3"/>
      <c r="I1" s="3"/>
      <c r="J1" s="3"/>
      <c r="K1" s="3"/>
      <c r="L1" s="139"/>
      <c r="M1" s="139" t="s">
        <v>4458</v>
      </c>
      <c r="N1" s="3"/>
      <c r="O1" s="3"/>
      <c r="P1" s="3"/>
      <c r="Q1" s="3"/>
      <c r="R1" s="132"/>
      <c r="S1" s="3"/>
      <c r="T1" s="3"/>
      <c r="U1" s="3"/>
    </row>
    <row r="2" customHeight="1" spans="1:21">
      <c r="A2" s="3"/>
      <c r="B2" s="3"/>
      <c r="C2" s="3"/>
      <c r="D2" s="3"/>
      <c r="E2" s="3"/>
      <c r="F2" s="3"/>
      <c r="G2" s="3"/>
      <c r="H2" s="3"/>
      <c r="I2" s="3"/>
      <c r="J2" s="3"/>
      <c r="K2" s="3"/>
      <c r="L2" s="3"/>
      <c r="M2" s="3"/>
      <c r="N2" s="140"/>
      <c r="O2" s="3"/>
      <c r="P2" s="3"/>
      <c r="Q2" s="3"/>
      <c r="R2" s="132"/>
      <c r="S2" s="3"/>
      <c r="T2" s="3"/>
      <c r="U2" s="3"/>
    </row>
    <row r="3" customHeight="1" spans="1:21">
      <c r="A3" s="22" t="s">
        <v>4459</v>
      </c>
      <c r="B3" s="3"/>
      <c r="C3" s="3"/>
      <c r="D3" s="3"/>
      <c r="E3" s="3"/>
      <c r="F3" s="22" t="s">
        <v>4460</v>
      </c>
      <c r="G3" s="22" t="s">
        <v>4461</v>
      </c>
      <c r="H3" s="22"/>
      <c r="I3" s="22"/>
      <c r="J3" s="22"/>
      <c r="K3" s="22" t="s">
        <v>4462</v>
      </c>
      <c r="L3" s="22" t="s">
        <v>142</v>
      </c>
      <c r="M3" s="141">
        <v>0.233333333333333</v>
      </c>
      <c r="N3" s="22" t="s">
        <v>4463</v>
      </c>
      <c r="O3" s="142"/>
      <c r="P3" s="141"/>
      <c r="U3" s="22">
        <v>0.46</v>
      </c>
    </row>
    <row r="4" customHeight="1" spans="1:21">
      <c r="A4" s="22" t="s">
        <v>4464</v>
      </c>
      <c r="B4" s="3"/>
      <c r="C4" s="3"/>
      <c r="D4" s="3"/>
      <c r="E4" s="3"/>
      <c r="F4" s="22" t="s">
        <v>4465</v>
      </c>
      <c r="G4" s="22" t="s">
        <v>4466</v>
      </c>
      <c r="H4" s="22"/>
      <c r="I4" s="22"/>
      <c r="J4" s="22"/>
      <c r="K4" s="22" t="s">
        <v>4467</v>
      </c>
      <c r="L4" s="22" t="s">
        <v>142</v>
      </c>
      <c r="M4" s="141">
        <v>0.781081081081081</v>
      </c>
      <c r="N4" s="142">
        <v>43578</v>
      </c>
      <c r="O4" s="22" t="s">
        <v>4468</v>
      </c>
      <c r="P4" s="23" t="s">
        <v>4469</v>
      </c>
      <c r="U4" s="22">
        <v>162</v>
      </c>
    </row>
    <row r="5" customHeight="1" spans="1:21">
      <c r="A5" s="22" t="s">
        <v>4470</v>
      </c>
      <c r="B5" s="3"/>
      <c r="C5" s="3"/>
      <c r="D5" s="3"/>
      <c r="E5" s="3"/>
      <c r="F5" s="22" t="s">
        <v>4465</v>
      </c>
      <c r="G5" s="22" t="s">
        <v>4466</v>
      </c>
      <c r="H5" s="22"/>
      <c r="I5" s="22"/>
      <c r="J5" s="22"/>
      <c r="K5" s="22" t="s">
        <v>4467</v>
      </c>
      <c r="L5" s="22" t="s">
        <v>142</v>
      </c>
      <c r="M5" s="141">
        <v>0.271604938271604</v>
      </c>
      <c r="N5" s="142">
        <v>43610</v>
      </c>
      <c r="O5" s="22" t="s">
        <v>4471</v>
      </c>
      <c r="P5" s="23" t="s">
        <v>4472</v>
      </c>
      <c r="U5" s="22">
        <v>118</v>
      </c>
    </row>
    <row r="6" customHeight="1" spans="1:21">
      <c r="A6" s="22" t="s">
        <v>4473</v>
      </c>
      <c r="B6" s="3"/>
      <c r="C6" s="3"/>
      <c r="D6" s="3"/>
      <c r="E6" s="3"/>
      <c r="F6" s="22" t="s">
        <v>4465</v>
      </c>
      <c r="G6" s="22" t="s">
        <v>4466</v>
      </c>
      <c r="H6" s="22"/>
      <c r="I6" s="22"/>
      <c r="J6" s="22"/>
      <c r="K6" s="22" t="s">
        <v>4474</v>
      </c>
      <c r="L6" s="22" t="s">
        <v>142</v>
      </c>
      <c r="M6" s="141">
        <v>0.207735495945102</v>
      </c>
      <c r="N6" s="142">
        <v>43830</v>
      </c>
      <c r="O6" s="22" t="s">
        <v>4475</v>
      </c>
      <c r="P6" s="23" t="s">
        <v>4476</v>
      </c>
      <c r="U6" s="22">
        <v>1270</v>
      </c>
    </row>
    <row r="7" customHeight="1" spans="1:21">
      <c r="A7" s="22" t="s">
        <v>4477</v>
      </c>
      <c r="B7" s="3"/>
      <c r="C7" s="3"/>
      <c r="D7" s="3"/>
      <c r="E7" s="3"/>
      <c r="F7" s="22" t="s">
        <v>4465</v>
      </c>
      <c r="G7" s="22" t="s">
        <v>4466</v>
      </c>
      <c r="H7" s="22"/>
      <c r="I7" s="22"/>
      <c r="J7" s="22"/>
      <c r="K7" s="22" t="s">
        <v>4474</v>
      </c>
      <c r="L7" s="22" t="s">
        <v>142</v>
      </c>
      <c r="M7" s="141">
        <v>0.433858267716535</v>
      </c>
      <c r="N7" s="142">
        <v>43325</v>
      </c>
      <c r="O7" s="22" t="s">
        <v>4478</v>
      </c>
      <c r="P7" s="23" t="s">
        <v>4479</v>
      </c>
      <c r="U7" s="22">
        <v>719</v>
      </c>
    </row>
    <row r="8" customHeight="1" spans="1:21">
      <c r="A8" s="22" t="s">
        <v>4480</v>
      </c>
      <c r="B8" s="3"/>
      <c r="C8" s="3"/>
      <c r="D8" s="3"/>
      <c r="E8" s="3"/>
      <c r="F8" s="22" t="s">
        <v>4465</v>
      </c>
      <c r="G8" s="22" t="s">
        <v>4466</v>
      </c>
      <c r="H8" s="22"/>
      <c r="I8" s="22"/>
      <c r="J8" s="22"/>
      <c r="K8" s="22" t="s">
        <v>4474</v>
      </c>
      <c r="L8" s="22" t="s">
        <v>142</v>
      </c>
      <c r="M8" s="141">
        <v>0.865090403337969</v>
      </c>
      <c r="N8" s="142">
        <v>43715</v>
      </c>
      <c r="O8" s="22" t="s">
        <v>4481</v>
      </c>
      <c r="P8" s="23" t="s">
        <v>4482</v>
      </c>
      <c r="U8" s="22">
        <v>97</v>
      </c>
    </row>
    <row r="9" customHeight="1" spans="1:21">
      <c r="A9" s="22" t="s">
        <v>4464</v>
      </c>
      <c r="B9" s="3"/>
      <c r="C9" s="3"/>
      <c r="D9" s="3"/>
      <c r="E9" s="3"/>
      <c r="F9" s="22" t="s">
        <v>4465</v>
      </c>
      <c r="G9" s="22" t="s">
        <v>4466</v>
      </c>
      <c r="H9" s="22"/>
      <c r="I9" s="22"/>
      <c r="J9" s="22"/>
      <c r="K9" s="22" t="s">
        <v>4483</v>
      </c>
      <c r="L9" s="22" t="s">
        <v>142</v>
      </c>
      <c r="M9" s="141">
        <v>0.435064935064935</v>
      </c>
      <c r="N9" s="142">
        <v>43578</v>
      </c>
      <c r="O9" s="22" t="s">
        <v>4468</v>
      </c>
      <c r="P9" s="23" t="s">
        <v>4469</v>
      </c>
      <c r="U9" s="22">
        <v>87</v>
      </c>
    </row>
    <row r="10" customHeight="1" spans="1:21">
      <c r="A10" s="22" t="s">
        <v>4484</v>
      </c>
      <c r="B10" s="3"/>
      <c r="C10" s="3"/>
      <c r="D10" s="3"/>
      <c r="E10" s="3"/>
      <c r="F10" s="22" t="s">
        <v>4485</v>
      </c>
      <c r="G10" s="22" t="s">
        <v>4486</v>
      </c>
      <c r="H10" s="22"/>
      <c r="I10" s="22"/>
      <c r="J10" s="22"/>
      <c r="K10" s="22" t="s">
        <v>4487</v>
      </c>
      <c r="L10" s="22" t="s">
        <v>142</v>
      </c>
      <c r="M10" s="141">
        <v>0.99976167778837</v>
      </c>
      <c r="N10" s="22" t="s">
        <v>4463</v>
      </c>
      <c r="O10" s="142"/>
      <c r="P10" s="141"/>
      <c r="U10" s="22">
        <v>0.0002</v>
      </c>
    </row>
    <row r="11" customHeight="1" spans="1:21">
      <c r="A11" s="22" t="s">
        <v>4484</v>
      </c>
      <c r="B11" s="3"/>
      <c r="C11" s="3"/>
      <c r="D11" s="3"/>
      <c r="E11" s="3"/>
      <c r="F11" s="22" t="s">
        <v>4485</v>
      </c>
      <c r="G11" s="22" t="s">
        <v>4488</v>
      </c>
      <c r="H11" s="22"/>
      <c r="I11" s="22"/>
      <c r="J11" s="22"/>
      <c r="K11" s="22" t="s">
        <v>4487</v>
      </c>
      <c r="L11" s="22" t="s">
        <v>142</v>
      </c>
      <c r="M11" s="141">
        <v>0.822971675468074</v>
      </c>
      <c r="N11" s="22" t="s">
        <v>4463</v>
      </c>
      <c r="O11" s="142"/>
      <c r="P11" s="141"/>
      <c r="U11" s="22">
        <v>0.1475</v>
      </c>
    </row>
    <row r="12" customHeight="1" spans="1:21">
      <c r="A12" s="22" t="s">
        <v>4489</v>
      </c>
      <c r="B12" s="3"/>
      <c r="C12" s="3"/>
      <c r="D12" s="3"/>
      <c r="E12" s="3"/>
      <c r="F12" s="22" t="s">
        <v>4485</v>
      </c>
      <c r="G12" s="22" t="s">
        <v>4490</v>
      </c>
      <c r="H12" s="22"/>
      <c r="I12" s="22"/>
      <c r="J12" s="22"/>
      <c r="K12" s="22" t="s">
        <v>4487</v>
      </c>
      <c r="L12" s="22" t="s">
        <v>142</v>
      </c>
      <c r="M12" s="141">
        <v>0.366083124925568</v>
      </c>
      <c r="N12" s="22" t="s">
        <v>4463</v>
      </c>
      <c r="O12" s="142"/>
      <c r="P12" s="141"/>
      <c r="U12" s="22">
        <v>1.5969</v>
      </c>
    </row>
    <row r="13" customHeight="1" spans="1:21">
      <c r="A13" s="22" t="s">
        <v>4491</v>
      </c>
      <c r="B13" s="3"/>
      <c r="C13" s="3"/>
      <c r="D13" s="3"/>
      <c r="E13" s="3"/>
      <c r="F13" s="22" t="s">
        <v>4492</v>
      </c>
      <c r="G13" s="22" t="s">
        <v>4493</v>
      </c>
      <c r="H13" s="22"/>
      <c r="I13" s="22"/>
      <c r="J13" s="22"/>
      <c r="K13" s="22" t="s">
        <v>4494</v>
      </c>
      <c r="L13" s="22" t="s">
        <v>142</v>
      </c>
      <c r="M13" s="141">
        <v>0.209677419354838</v>
      </c>
      <c r="N13" s="142">
        <v>43881</v>
      </c>
      <c r="O13" s="22" t="s">
        <v>4495</v>
      </c>
      <c r="P13" s="23" t="s">
        <v>4496</v>
      </c>
      <c r="U13" s="22">
        <v>4.9</v>
      </c>
    </row>
    <row r="14" customHeight="1" spans="1:21">
      <c r="A14" s="22" t="s">
        <v>4497</v>
      </c>
      <c r="B14" s="3"/>
      <c r="C14" s="3"/>
      <c r="D14" s="3"/>
      <c r="E14" s="3"/>
      <c r="F14" s="22" t="s">
        <v>4498</v>
      </c>
      <c r="G14" s="22" t="s">
        <v>4499</v>
      </c>
      <c r="H14" s="22"/>
      <c r="I14" s="22"/>
      <c r="J14" s="22"/>
      <c r="K14" s="22" t="s">
        <v>4500</v>
      </c>
      <c r="L14" s="22" t="s">
        <v>142</v>
      </c>
      <c r="M14" s="141">
        <v>0.477572559366754</v>
      </c>
      <c r="N14" s="22" t="s">
        <v>4463</v>
      </c>
      <c r="O14" s="142"/>
      <c r="P14" s="141"/>
      <c r="U14" s="22">
        <v>5.6</v>
      </c>
    </row>
    <row r="15" customHeight="1" spans="1:21">
      <c r="A15" s="22" t="s">
        <v>4501</v>
      </c>
      <c r="B15" s="3"/>
      <c r="C15" s="3"/>
      <c r="D15" s="3"/>
      <c r="E15" s="3"/>
      <c r="F15" s="22" t="s">
        <v>4498</v>
      </c>
      <c r="G15" s="22" t="s">
        <v>4499</v>
      </c>
      <c r="H15" s="22"/>
      <c r="I15" s="22"/>
      <c r="J15" s="22"/>
      <c r="K15" s="22" t="s">
        <v>4500</v>
      </c>
      <c r="L15" s="22" t="s">
        <v>142</v>
      </c>
      <c r="M15" s="141">
        <v>0.232142857142857</v>
      </c>
      <c r="N15" s="142">
        <v>43560</v>
      </c>
      <c r="O15" s="22" t="s">
        <v>4502</v>
      </c>
      <c r="P15" s="23" t="s">
        <v>4503</v>
      </c>
      <c r="U15" s="22">
        <v>6.9</v>
      </c>
    </row>
    <row r="16" customHeight="1" spans="1:21">
      <c r="A16" s="22" t="s">
        <v>4504</v>
      </c>
      <c r="B16" s="3"/>
      <c r="C16" s="3"/>
      <c r="D16" s="3"/>
      <c r="E16" s="3"/>
      <c r="F16" s="22" t="s">
        <v>4505</v>
      </c>
      <c r="G16" s="22" t="s">
        <v>4506</v>
      </c>
      <c r="H16" s="22"/>
      <c r="I16" s="22"/>
      <c r="J16" s="22"/>
      <c r="K16" s="22" t="s">
        <v>4507</v>
      </c>
      <c r="L16" s="22" t="s">
        <v>142</v>
      </c>
      <c r="M16" s="141">
        <v>0.988265376641326</v>
      </c>
      <c r="N16" s="142">
        <v>43521</v>
      </c>
      <c r="O16" s="22" t="s">
        <v>4508</v>
      </c>
      <c r="P16" s="23" t="s">
        <v>4509</v>
      </c>
      <c r="U16" s="22">
        <v>0.6792</v>
      </c>
    </row>
    <row r="17" customHeight="1" spans="1:21">
      <c r="A17" s="22" t="s">
        <v>4510</v>
      </c>
      <c r="B17" s="3"/>
      <c r="C17" s="3"/>
      <c r="D17" s="3"/>
      <c r="E17" s="3"/>
      <c r="F17" s="22" t="s">
        <v>4505</v>
      </c>
      <c r="G17" s="22" t="s">
        <v>4511</v>
      </c>
      <c r="H17" s="22"/>
      <c r="I17" s="22"/>
      <c r="J17" s="22"/>
      <c r="K17" s="22" t="s">
        <v>4512</v>
      </c>
      <c r="L17" s="22" t="s">
        <v>142</v>
      </c>
      <c r="M17" s="141">
        <v>0.223172103487064</v>
      </c>
      <c r="N17" s="22" t="s">
        <v>4463</v>
      </c>
      <c r="O17" s="142"/>
      <c r="P17" s="141"/>
      <c r="U17" s="22">
        <v>54.37</v>
      </c>
    </row>
    <row r="18" customHeight="1" spans="1:21">
      <c r="A18" s="22" t="s">
        <v>4513</v>
      </c>
      <c r="B18" s="3"/>
      <c r="C18" s="3"/>
      <c r="D18" s="3"/>
      <c r="E18" s="3"/>
      <c r="F18" s="22" t="s">
        <v>4505</v>
      </c>
      <c r="G18" s="22" t="s">
        <v>4514</v>
      </c>
      <c r="H18" s="22"/>
      <c r="I18" s="22"/>
      <c r="J18" s="22"/>
      <c r="K18" s="22" t="s">
        <v>4512</v>
      </c>
      <c r="L18" s="22" t="s">
        <v>142</v>
      </c>
      <c r="M18" s="141">
        <v>0.290203327171903</v>
      </c>
      <c r="N18" s="22" t="s">
        <v>4463</v>
      </c>
      <c r="O18" s="142"/>
      <c r="P18" s="141"/>
      <c r="U18" s="22">
        <v>3.84</v>
      </c>
    </row>
    <row r="19" customHeight="1" spans="1:21">
      <c r="A19" s="22" t="s">
        <v>4515</v>
      </c>
      <c r="B19" s="3"/>
      <c r="C19" s="3"/>
      <c r="D19" s="3"/>
      <c r="E19" s="3"/>
      <c r="F19" s="22" t="s">
        <v>4516</v>
      </c>
      <c r="G19" s="22" t="s">
        <v>4517</v>
      </c>
      <c r="H19" s="22"/>
      <c r="I19" s="22"/>
      <c r="J19" s="22"/>
      <c r="K19" s="22" t="s">
        <v>847</v>
      </c>
      <c r="L19" s="22" t="s">
        <v>142</v>
      </c>
      <c r="M19" s="141">
        <v>3.09166666666666</v>
      </c>
      <c r="N19" s="142">
        <v>43993</v>
      </c>
      <c r="O19" s="22" t="s">
        <v>4518</v>
      </c>
      <c r="P19" s="23" t="s">
        <v>4519</v>
      </c>
      <c r="U19" s="22">
        <v>14.73</v>
      </c>
    </row>
    <row r="20" customHeight="1" spans="1:21">
      <c r="A20" s="22" t="s">
        <v>4520</v>
      </c>
      <c r="B20" s="3"/>
      <c r="C20" s="3"/>
      <c r="D20" s="3"/>
      <c r="E20" s="3"/>
      <c r="F20" s="22" t="s">
        <v>4516</v>
      </c>
      <c r="G20" s="22" t="s">
        <v>4517</v>
      </c>
      <c r="H20" s="22"/>
      <c r="I20" s="22"/>
      <c r="J20" s="22"/>
      <c r="K20" s="22" t="s">
        <v>847</v>
      </c>
      <c r="L20" s="22" t="s">
        <v>142</v>
      </c>
      <c r="M20" s="141">
        <v>1.10114285714285</v>
      </c>
      <c r="N20" s="142">
        <v>44002</v>
      </c>
      <c r="O20" s="22" t="s">
        <v>4521</v>
      </c>
      <c r="P20" s="23" t="s">
        <v>4522</v>
      </c>
      <c r="U20" s="22">
        <v>36.77</v>
      </c>
    </row>
    <row r="21" customHeight="1" spans="1:21">
      <c r="A21" s="22" t="s">
        <v>4523</v>
      </c>
      <c r="B21" s="3"/>
      <c r="C21" s="3"/>
      <c r="D21" s="3"/>
      <c r="E21" s="3"/>
      <c r="F21" s="22" t="s">
        <v>4516</v>
      </c>
      <c r="G21" s="22" t="s">
        <v>4524</v>
      </c>
      <c r="H21" s="22"/>
      <c r="I21" s="22"/>
      <c r="J21" s="22"/>
      <c r="K21" s="22" t="s">
        <v>4525</v>
      </c>
      <c r="L21" s="22" t="s">
        <v>142</v>
      </c>
      <c r="M21" s="141">
        <v>0.288394062078272</v>
      </c>
      <c r="N21" s="142">
        <v>44161</v>
      </c>
      <c r="O21" s="22" t="s">
        <v>4526</v>
      </c>
      <c r="P21" s="23" t="s">
        <v>4527</v>
      </c>
      <c r="U21" s="22">
        <v>190.94</v>
      </c>
    </row>
    <row r="22" customHeight="1" spans="1:21">
      <c r="A22" s="22" t="s">
        <v>4528</v>
      </c>
      <c r="B22" s="3"/>
      <c r="C22" s="3"/>
      <c r="D22" s="3"/>
      <c r="E22" s="3"/>
      <c r="F22" s="22" t="s">
        <v>4529</v>
      </c>
      <c r="G22" s="22" t="s">
        <v>4524</v>
      </c>
      <c r="H22" s="22"/>
      <c r="I22" s="22"/>
      <c r="J22" s="22"/>
      <c r="K22" s="22" t="s">
        <v>1142</v>
      </c>
      <c r="L22" s="22" t="s">
        <v>142</v>
      </c>
      <c r="M22" s="141">
        <v>0.72941948179731</v>
      </c>
      <c r="N22" s="142">
        <v>43817</v>
      </c>
      <c r="O22" s="22" t="s">
        <v>4530</v>
      </c>
      <c r="P22" s="23" t="s">
        <v>4531</v>
      </c>
      <c r="U22" s="22">
        <v>52.73</v>
      </c>
    </row>
    <row r="23" customHeight="1" spans="1:21">
      <c r="A23" s="22" t="s">
        <v>4532</v>
      </c>
      <c r="B23" s="3"/>
      <c r="C23" s="3"/>
      <c r="D23" s="3"/>
      <c r="E23" s="3"/>
      <c r="F23" s="22" t="s">
        <v>4533</v>
      </c>
      <c r="G23" s="22" t="s">
        <v>4534</v>
      </c>
      <c r="H23" s="22"/>
      <c r="I23" s="22"/>
      <c r="J23" s="22"/>
      <c r="K23" s="22" t="s">
        <v>4535</v>
      </c>
      <c r="L23" s="22" t="s">
        <v>142</v>
      </c>
      <c r="M23" s="141">
        <v>0.20516129032258</v>
      </c>
      <c r="N23" s="142">
        <v>42764</v>
      </c>
      <c r="O23" s="22" t="s">
        <v>4536</v>
      </c>
      <c r="P23" s="23" t="s">
        <v>4537</v>
      </c>
      <c r="U23" s="22">
        <v>61.6</v>
      </c>
    </row>
    <row r="24" customHeight="1" spans="1:21">
      <c r="A24" s="22" t="s">
        <v>4538</v>
      </c>
      <c r="B24" s="3"/>
      <c r="C24" s="3"/>
      <c r="D24" s="3"/>
      <c r="E24" s="3"/>
      <c r="F24" s="22" t="s">
        <v>4533</v>
      </c>
      <c r="G24" s="22" t="s">
        <v>4534</v>
      </c>
      <c r="H24" s="22"/>
      <c r="I24" s="22"/>
      <c r="J24" s="22"/>
      <c r="K24" s="22" t="s">
        <v>4535</v>
      </c>
      <c r="L24" s="22" t="s">
        <v>142</v>
      </c>
      <c r="M24" s="141">
        <v>0.259325044404973</v>
      </c>
      <c r="N24" s="142">
        <v>43153</v>
      </c>
      <c r="O24" s="22" t="s">
        <v>4539</v>
      </c>
      <c r="P24" s="23" t="s">
        <v>4540</v>
      </c>
      <c r="U24" s="22">
        <v>41.7</v>
      </c>
    </row>
    <row r="25" customHeight="1" spans="1:21">
      <c r="A25" s="22" t="s">
        <v>4541</v>
      </c>
      <c r="B25" s="3"/>
      <c r="C25" s="3"/>
      <c r="D25" s="3"/>
      <c r="E25" s="3"/>
      <c r="F25" s="22" t="s">
        <v>4542</v>
      </c>
      <c r="G25" s="22" t="s">
        <v>4543</v>
      </c>
      <c r="H25" s="22"/>
      <c r="I25" s="22"/>
      <c r="J25" s="22"/>
      <c r="K25" s="22" t="s">
        <v>4544</v>
      </c>
      <c r="L25" s="22" t="s">
        <v>142</v>
      </c>
      <c r="M25" s="141">
        <v>0.205445544554455</v>
      </c>
      <c r="N25" s="142">
        <v>44126</v>
      </c>
      <c r="O25" s="22" t="s">
        <v>4545</v>
      </c>
      <c r="P25" s="23" t="s">
        <v>4546</v>
      </c>
      <c r="U25" s="22">
        <v>4.87</v>
      </c>
    </row>
    <row r="26" customHeight="1" spans="1:21">
      <c r="A26" s="22" t="s">
        <v>4547</v>
      </c>
      <c r="B26" s="3"/>
      <c r="C26" s="3"/>
      <c r="D26" s="3"/>
      <c r="E26" s="3"/>
      <c r="F26" s="22" t="s">
        <v>4548</v>
      </c>
      <c r="G26" s="22" t="s">
        <v>4549</v>
      </c>
      <c r="H26" s="22"/>
      <c r="I26" s="22"/>
      <c r="J26" s="22"/>
      <c r="K26" s="22" t="s">
        <v>4462</v>
      </c>
      <c r="L26" s="22" t="s">
        <v>142</v>
      </c>
      <c r="M26" s="141">
        <v>0.218181818181818</v>
      </c>
      <c r="N26" s="22" t="s">
        <v>4463</v>
      </c>
      <c r="O26" s="142"/>
      <c r="P26" s="141"/>
      <c r="U26" s="22">
        <v>0.43</v>
      </c>
    </row>
    <row r="27" customHeight="1" spans="1:21">
      <c r="A27" s="22" t="s">
        <v>4550</v>
      </c>
      <c r="B27" s="3"/>
      <c r="C27" s="3"/>
      <c r="D27" s="3"/>
      <c r="E27" s="3"/>
      <c r="F27" s="22" t="s">
        <v>4548</v>
      </c>
      <c r="G27" s="22" t="s">
        <v>4549</v>
      </c>
      <c r="H27" s="22"/>
      <c r="I27" s="22"/>
      <c r="J27" s="22"/>
      <c r="K27" s="22" t="s">
        <v>4462</v>
      </c>
      <c r="L27" s="22" t="s">
        <v>142</v>
      </c>
      <c r="M27" s="141">
        <v>0.352941176470588</v>
      </c>
      <c r="N27" s="22" t="s">
        <v>4463</v>
      </c>
      <c r="O27" s="142"/>
      <c r="P27" s="141"/>
      <c r="U27" s="22">
        <v>0.22</v>
      </c>
    </row>
    <row r="28" customHeight="1" spans="1:21">
      <c r="A28" s="22" t="s">
        <v>4551</v>
      </c>
      <c r="B28" s="3"/>
      <c r="C28" s="3"/>
      <c r="D28" s="3"/>
      <c r="E28" s="3"/>
      <c r="F28" s="22" t="s">
        <v>4548</v>
      </c>
      <c r="G28" s="22" t="s">
        <v>4549</v>
      </c>
      <c r="H28" s="22"/>
      <c r="I28" s="22"/>
      <c r="J28" s="22"/>
      <c r="K28" s="22" t="s">
        <v>4462</v>
      </c>
      <c r="L28" s="22" t="s">
        <v>142</v>
      </c>
      <c r="M28" s="141">
        <v>0.611111111111111</v>
      </c>
      <c r="N28" s="22" t="s">
        <v>4463</v>
      </c>
      <c r="O28" s="142"/>
      <c r="P28" s="141"/>
      <c r="U28" s="22">
        <v>0.07</v>
      </c>
    </row>
    <row r="29" customHeight="1" spans="1:21">
      <c r="A29" s="22" t="s">
        <v>4552</v>
      </c>
      <c r="B29" s="3"/>
      <c r="C29" s="3"/>
      <c r="D29" s="3"/>
      <c r="E29" s="3"/>
      <c r="F29" s="22" t="s">
        <v>4548</v>
      </c>
      <c r="G29" s="22" t="s">
        <v>4549</v>
      </c>
      <c r="H29" s="22"/>
      <c r="I29" s="22"/>
      <c r="J29" s="22"/>
      <c r="K29" s="22" t="s">
        <v>4462</v>
      </c>
      <c r="L29" s="22" t="s">
        <v>142</v>
      </c>
      <c r="M29" s="141">
        <v>0.2</v>
      </c>
      <c r="N29" s="22" t="s">
        <v>4463</v>
      </c>
      <c r="O29" s="142"/>
      <c r="P29" s="141"/>
      <c r="U29" s="22">
        <v>0.04</v>
      </c>
    </row>
    <row r="30" customHeight="1" spans="1:21">
      <c r="A30" s="22" t="s">
        <v>4553</v>
      </c>
      <c r="B30" s="3"/>
      <c r="C30" s="3"/>
      <c r="D30" s="3"/>
      <c r="E30" s="3"/>
      <c r="F30" s="22" t="s">
        <v>4554</v>
      </c>
      <c r="G30" s="22" t="s">
        <v>4555</v>
      </c>
      <c r="H30" s="22"/>
      <c r="I30" s="22"/>
      <c r="J30" s="22"/>
      <c r="K30" s="22" t="s">
        <v>4556</v>
      </c>
      <c r="L30" s="22" t="s">
        <v>142</v>
      </c>
      <c r="M30" s="141">
        <v>0.284023668639053</v>
      </c>
      <c r="N30" s="142">
        <v>43305</v>
      </c>
      <c r="O30" s="22" t="s">
        <v>4557</v>
      </c>
      <c r="P30" s="23" t="s">
        <v>4558</v>
      </c>
      <c r="U30" s="22">
        <v>21.7</v>
      </c>
    </row>
    <row r="31" customHeight="1" spans="1:21">
      <c r="A31" s="22" t="s">
        <v>4559</v>
      </c>
      <c r="B31" s="3"/>
      <c r="C31" s="3"/>
      <c r="D31" s="3"/>
      <c r="E31" s="3"/>
      <c r="F31" s="22" t="s">
        <v>4554</v>
      </c>
      <c r="G31" s="22" t="s">
        <v>4555</v>
      </c>
      <c r="H31" s="22"/>
      <c r="I31" s="22"/>
      <c r="J31" s="22"/>
      <c r="K31" s="22" t="s">
        <v>4556</v>
      </c>
      <c r="L31" s="22" t="s">
        <v>142</v>
      </c>
      <c r="M31" s="141">
        <v>0.268085106382978</v>
      </c>
      <c r="N31" s="142">
        <v>43521</v>
      </c>
      <c r="O31" s="22" t="s">
        <v>4560</v>
      </c>
      <c r="P31" s="23" t="s">
        <v>4561</v>
      </c>
      <c r="U31" s="22">
        <v>29.8</v>
      </c>
    </row>
    <row r="32" customHeight="1" spans="1:21">
      <c r="A32" s="22" t="s">
        <v>4562</v>
      </c>
      <c r="B32" s="3"/>
      <c r="C32" s="3"/>
      <c r="D32" s="3"/>
      <c r="E32" s="3"/>
      <c r="F32" s="22" t="s">
        <v>4554</v>
      </c>
      <c r="G32" s="22" t="s">
        <v>4563</v>
      </c>
      <c r="H32" s="22"/>
      <c r="I32" s="22"/>
      <c r="J32" s="22"/>
      <c r="K32" s="22" t="s">
        <v>4556</v>
      </c>
      <c r="L32" s="22" t="s">
        <v>142</v>
      </c>
      <c r="M32" s="141">
        <v>0.228155339805825</v>
      </c>
      <c r="N32" s="142">
        <v>44245</v>
      </c>
      <c r="O32" s="22" t="s">
        <v>4564</v>
      </c>
      <c r="P32" s="23" t="s">
        <v>4565</v>
      </c>
      <c r="U32" s="22">
        <v>25.3</v>
      </c>
    </row>
    <row r="33" customHeight="1" spans="1:21">
      <c r="A33" s="22" t="s">
        <v>4559</v>
      </c>
      <c r="B33" s="3"/>
      <c r="C33" s="3"/>
      <c r="D33" s="3"/>
      <c r="E33" s="3"/>
      <c r="F33" s="22" t="s">
        <v>4554</v>
      </c>
      <c r="G33" s="22" t="s">
        <v>4563</v>
      </c>
      <c r="H33" s="22"/>
      <c r="I33" s="22"/>
      <c r="J33" s="22"/>
      <c r="K33" s="22" t="s">
        <v>4556</v>
      </c>
      <c r="L33" s="22" t="s">
        <v>142</v>
      </c>
      <c r="M33" s="141">
        <v>0.324110671936758</v>
      </c>
      <c r="N33" s="142">
        <v>43521</v>
      </c>
      <c r="O33" s="22" t="s">
        <v>4560</v>
      </c>
      <c r="P33" s="23" t="s">
        <v>4561</v>
      </c>
      <c r="U33" s="22">
        <v>33.5</v>
      </c>
    </row>
    <row r="34" customHeight="1" spans="1:21">
      <c r="A34" s="22" t="s">
        <v>4566</v>
      </c>
      <c r="B34" s="3"/>
      <c r="C34" s="3"/>
      <c r="D34" s="3"/>
      <c r="E34" s="3"/>
      <c r="F34" s="22" t="s">
        <v>4554</v>
      </c>
      <c r="G34" s="22" t="s">
        <v>4555</v>
      </c>
      <c r="H34" s="22"/>
      <c r="I34" s="22"/>
      <c r="J34" s="22"/>
      <c r="K34" s="22" t="s">
        <v>4567</v>
      </c>
      <c r="L34" s="22" t="s">
        <v>142</v>
      </c>
      <c r="M34" s="141">
        <v>0.511111111111111</v>
      </c>
      <c r="N34" s="142">
        <v>43797</v>
      </c>
      <c r="O34" s="22" t="s">
        <v>4568</v>
      </c>
      <c r="P34" s="23" t="s">
        <v>4569</v>
      </c>
      <c r="U34" s="22">
        <v>2.2</v>
      </c>
    </row>
    <row r="35" customHeight="1" spans="1:21">
      <c r="A35" s="22" t="s">
        <v>4570</v>
      </c>
      <c r="B35" s="3"/>
      <c r="C35" s="3"/>
      <c r="D35" s="3"/>
      <c r="E35" s="3"/>
      <c r="F35" s="22" t="s">
        <v>4554</v>
      </c>
      <c r="G35" s="22" t="s">
        <v>4563</v>
      </c>
      <c r="H35" s="22"/>
      <c r="I35" s="22"/>
      <c r="J35" s="22"/>
      <c r="K35" s="22" t="s">
        <v>4567</v>
      </c>
      <c r="L35" s="22" t="s">
        <v>142</v>
      </c>
      <c r="M35" s="141">
        <v>0.475</v>
      </c>
      <c r="N35" s="142">
        <v>43446</v>
      </c>
      <c r="O35" s="22" t="s">
        <v>4571</v>
      </c>
      <c r="P35" s="23" t="s">
        <v>4572</v>
      </c>
      <c r="U35" s="22">
        <v>2.1</v>
      </c>
    </row>
    <row r="36" customHeight="1" spans="1:21">
      <c r="A36" s="22" t="s">
        <v>4573</v>
      </c>
      <c r="B36" s="3"/>
      <c r="C36" s="3"/>
      <c r="D36" s="3"/>
      <c r="E36" s="3"/>
      <c r="F36" s="22" t="s">
        <v>4554</v>
      </c>
      <c r="G36" s="22" t="s">
        <v>4563</v>
      </c>
      <c r="H36" s="22"/>
      <c r="I36" s="22"/>
      <c r="J36" s="22"/>
      <c r="K36" s="22" t="s">
        <v>4567</v>
      </c>
      <c r="L36" s="22" t="s">
        <v>142</v>
      </c>
      <c r="M36" s="141">
        <v>0.476190476190476</v>
      </c>
      <c r="N36" s="142">
        <v>42339</v>
      </c>
      <c r="O36" s="22" t="s">
        <v>4574</v>
      </c>
      <c r="P36" s="23" t="s">
        <v>4575</v>
      </c>
      <c r="U36" s="22">
        <v>-1.1</v>
      </c>
    </row>
    <row r="37" customHeight="1" spans="1:21">
      <c r="A37" s="22" t="s">
        <v>4576</v>
      </c>
      <c r="B37" s="3"/>
      <c r="C37" s="3"/>
      <c r="D37" s="3"/>
      <c r="E37" s="3"/>
      <c r="F37" s="22" t="s">
        <v>4577</v>
      </c>
      <c r="G37" s="22" t="s">
        <v>4555</v>
      </c>
      <c r="H37" s="22"/>
      <c r="I37" s="22"/>
      <c r="J37" s="22"/>
      <c r="K37" s="22" t="s">
        <v>4567</v>
      </c>
      <c r="L37" s="22" t="s">
        <v>142</v>
      </c>
      <c r="M37" s="141">
        <v>1</v>
      </c>
      <c r="N37" s="142">
        <v>42844</v>
      </c>
      <c r="O37" s="22" t="s">
        <v>4578</v>
      </c>
      <c r="P37" s="23" t="s">
        <v>4579</v>
      </c>
      <c r="U37" s="22">
        <v>0</v>
      </c>
    </row>
    <row r="38" customHeight="1" spans="1:21">
      <c r="A38" s="22" t="s">
        <v>4580</v>
      </c>
      <c r="B38" s="3"/>
      <c r="C38" s="3"/>
      <c r="D38" s="3"/>
      <c r="E38" s="3"/>
      <c r="F38" s="22" t="s">
        <v>4581</v>
      </c>
      <c r="G38" s="22" t="s">
        <v>4582</v>
      </c>
      <c r="H38" s="22"/>
      <c r="I38" s="22"/>
      <c r="J38" s="22"/>
      <c r="K38" s="22" t="s">
        <v>4583</v>
      </c>
      <c r="L38" s="22" t="s">
        <v>142</v>
      </c>
      <c r="M38" s="141">
        <v>0.249245364381198</v>
      </c>
      <c r="N38" s="22" t="s">
        <v>4463</v>
      </c>
      <c r="O38" s="142"/>
      <c r="P38" s="141"/>
      <c r="U38" s="22">
        <v>17.41</v>
      </c>
    </row>
    <row r="39" customHeight="1" spans="1:21">
      <c r="A39" s="22" t="s">
        <v>4580</v>
      </c>
      <c r="B39" s="3"/>
      <c r="C39" s="3"/>
      <c r="D39" s="3"/>
      <c r="E39" s="3"/>
      <c r="F39" s="22" t="s">
        <v>4581</v>
      </c>
      <c r="G39" s="22" t="s">
        <v>4584</v>
      </c>
      <c r="H39" s="22"/>
      <c r="I39" s="22"/>
      <c r="J39" s="22"/>
      <c r="K39" s="22" t="s">
        <v>4583</v>
      </c>
      <c r="L39" s="22" t="s">
        <v>142</v>
      </c>
      <c r="M39" s="141">
        <v>0.218531468531468</v>
      </c>
      <c r="N39" s="22" t="s">
        <v>4463</v>
      </c>
      <c r="O39" s="142"/>
      <c r="P39" s="141"/>
      <c r="U39" s="22">
        <v>17.88</v>
      </c>
    </row>
    <row r="40" customHeight="1" spans="1:21">
      <c r="A40" s="22" t="s">
        <v>1119</v>
      </c>
      <c r="B40" s="3"/>
      <c r="C40" s="3"/>
      <c r="D40" s="3"/>
      <c r="E40" s="3"/>
      <c r="F40" s="22" t="s">
        <v>4585</v>
      </c>
      <c r="G40" s="22" t="s">
        <v>4586</v>
      </c>
      <c r="H40" s="22"/>
      <c r="I40" s="22"/>
      <c r="J40" s="22"/>
      <c r="K40" s="22" t="s">
        <v>4587</v>
      </c>
      <c r="L40" s="22" t="s">
        <v>142</v>
      </c>
      <c r="M40" s="141">
        <v>0.59090909090909</v>
      </c>
      <c r="N40" s="142">
        <v>43734</v>
      </c>
      <c r="O40" s="22" t="s">
        <v>4588</v>
      </c>
      <c r="P40" s="23" t="s">
        <v>4589</v>
      </c>
      <c r="U40" s="141">
        <v>0.0035</v>
      </c>
    </row>
    <row r="41" customHeight="1" spans="1:21">
      <c r="A41" s="22" t="s">
        <v>4590</v>
      </c>
      <c r="B41" s="3"/>
      <c r="C41" s="3"/>
      <c r="D41" s="3"/>
      <c r="E41" s="3"/>
      <c r="F41" s="22" t="s">
        <v>4585</v>
      </c>
      <c r="G41" s="22" t="s">
        <v>4586</v>
      </c>
      <c r="H41" s="22"/>
      <c r="I41" s="22"/>
      <c r="J41" s="22"/>
      <c r="K41" s="22" t="s">
        <v>4587</v>
      </c>
      <c r="L41" s="22" t="s">
        <v>142</v>
      </c>
      <c r="M41" s="141">
        <v>1.36842105263157</v>
      </c>
      <c r="N41" s="142">
        <v>43654</v>
      </c>
      <c r="O41" s="22" t="s">
        <v>4591</v>
      </c>
      <c r="P41" s="23" t="s">
        <v>4592</v>
      </c>
      <c r="U41" s="141">
        <v>0.009</v>
      </c>
    </row>
    <row r="42" customHeight="1" spans="1:21">
      <c r="A42" s="22" t="s">
        <v>4593</v>
      </c>
      <c r="B42" s="3"/>
      <c r="C42" s="3"/>
      <c r="D42" s="3"/>
      <c r="E42" s="3"/>
      <c r="F42" s="22" t="s">
        <v>4585</v>
      </c>
      <c r="G42" s="22" t="s">
        <v>4586</v>
      </c>
      <c r="H42" s="22"/>
      <c r="I42" s="22"/>
      <c r="J42" s="22"/>
      <c r="K42" s="22" t="s">
        <v>4587</v>
      </c>
      <c r="L42" s="22" t="s">
        <v>142</v>
      </c>
      <c r="M42" s="141">
        <v>0.299999999999999</v>
      </c>
      <c r="N42" s="142">
        <v>43734</v>
      </c>
      <c r="O42" s="22" t="s">
        <v>4588</v>
      </c>
      <c r="P42" s="23" t="s">
        <v>4589</v>
      </c>
      <c r="U42" s="141">
        <v>0.0117</v>
      </c>
    </row>
    <row r="43" customHeight="1" spans="1:21">
      <c r="A43" s="22" t="s">
        <v>2197</v>
      </c>
      <c r="B43" s="3"/>
      <c r="C43" s="3"/>
      <c r="D43" s="3"/>
      <c r="E43" s="3"/>
      <c r="F43" s="22" t="s">
        <v>4594</v>
      </c>
      <c r="G43" s="22" t="s">
        <v>4595</v>
      </c>
      <c r="H43" s="22"/>
      <c r="I43" s="22"/>
      <c r="J43" s="22"/>
      <c r="K43" s="22" t="s">
        <v>3896</v>
      </c>
      <c r="L43" s="22" t="s">
        <v>142</v>
      </c>
      <c r="M43" s="141">
        <v>0.464722222222222</v>
      </c>
      <c r="N43" s="142">
        <v>43968</v>
      </c>
      <c r="O43" s="22" t="s">
        <v>4596</v>
      </c>
      <c r="P43" s="23" t="s">
        <v>4597</v>
      </c>
      <c r="U43" s="22">
        <v>52.73</v>
      </c>
    </row>
    <row r="44" customHeight="1" spans="1:21">
      <c r="A44" s="22" t="s">
        <v>4598</v>
      </c>
      <c r="B44" s="3"/>
      <c r="C44" s="3"/>
      <c r="D44" s="3"/>
      <c r="E44" s="3"/>
      <c r="F44" s="22" t="s">
        <v>4594</v>
      </c>
      <c r="G44" s="22" t="s">
        <v>4595</v>
      </c>
      <c r="H44" s="22"/>
      <c r="I44" s="22"/>
      <c r="J44" s="22"/>
      <c r="K44" s="22" t="s">
        <v>3896</v>
      </c>
      <c r="L44" s="22" t="s">
        <v>142</v>
      </c>
      <c r="M44" s="141">
        <v>0.425622908144291</v>
      </c>
      <c r="N44" s="142">
        <v>43968</v>
      </c>
      <c r="O44" s="22" t="s">
        <v>4596</v>
      </c>
      <c r="P44" s="23" t="s">
        <v>4597</v>
      </c>
      <c r="U44" s="22">
        <v>76.67</v>
      </c>
    </row>
    <row r="45" customHeight="1" spans="1:21">
      <c r="A45" s="22" t="s">
        <v>4599</v>
      </c>
      <c r="B45" s="3"/>
      <c r="C45" s="3"/>
      <c r="D45" s="3"/>
      <c r="E45" s="3"/>
      <c r="F45" s="22" t="s">
        <v>4600</v>
      </c>
      <c r="G45" s="22" t="s">
        <v>4601</v>
      </c>
      <c r="H45" s="22"/>
      <c r="I45" s="22"/>
      <c r="J45" s="22"/>
      <c r="K45" s="22" t="s">
        <v>4602</v>
      </c>
      <c r="L45" s="22" t="s">
        <v>142</v>
      </c>
      <c r="M45" s="141">
        <v>9663.19406575781</v>
      </c>
      <c r="N45" s="142">
        <v>43738</v>
      </c>
      <c r="O45" s="22" t="s">
        <v>4603</v>
      </c>
      <c r="P45" s="23" t="s">
        <v>4604</v>
      </c>
      <c r="U45" s="22">
        <v>9641</v>
      </c>
    </row>
    <row r="46" customHeight="1" spans="1:21">
      <c r="A46" s="22" t="s">
        <v>4605</v>
      </c>
      <c r="B46" s="3"/>
      <c r="C46" s="3"/>
      <c r="D46" s="3"/>
      <c r="E46" s="3"/>
      <c r="F46" s="22" t="s">
        <v>4600</v>
      </c>
      <c r="G46" s="22" t="s">
        <v>4606</v>
      </c>
      <c r="H46" s="22"/>
      <c r="I46" s="22"/>
      <c r="J46" s="22"/>
      <c r="K46" s="22" t="s">
        <v>4602</v>
      </c>
      <c r="L46" s="22" t="s">
        <v>142</v>
      </c>
      <c r="M46" s="141">
        <v>0.717213114754098</v>
      </c>
      <c r="N46" s="142">
        <v>43738</v>
      </c>
      <c r="O46" s="22" t="s">
        <v>4603</v>
      </c>
      <c r="P46" s="23" t="s">
        <v>4604</v>
      </c>
      <c r="U46" s="22">
        <v>0.0419</v>
      </c>
    </row>
    <row r="47" customHeight="1" spans="1:21">
      <c r="A47" s="22" t="s">
        <v>4607</v>
      </c>
      <c r="B47" s="3"/>
      <c r="C47" s="3"/>
      <c r="D47" s="3"/>
      <c r="E47" s="3"/>
      <c r="F47" s="22" t="s">
        <v>4600</v>
      </c>
      <c r="G47" s="22" t="s">
        <v>4606</v>
      </c>
      <c r="H47" s="22"/>
      <c r="I47" s="22"/>
      <c r="J47" s="22"/>
      <c r="K47" s="22" t="s">
        <v>4602</v>
      </c>
      <c r="L47" s="22" t="s">
        <v>142</v>
      </c>
      <c r="M47" s="141">
        <v>7.7762291169451</v>
      </c>
      <c r="N47" s="142">
        <v>43217</v>
      </c>
      <c r="O47" s="22" t="s">
        <v>4608</v>
      </c>
      <c r="P47" s="23" t="s">
        <v>4609</v>
      </c>
      <c r="U47" s="22">
        <v>0.367724</v>
      </c>
    </row>
    <row r="48" customHeight="1" spans="1:21">
      <c r="A48" s="22" t="s">
        <v>4610</v>
      </c>
      <c r="B48" s="3"/>
      <c r="C48" s="3"/>
      <c r="D48" s="3"/>
      <c r="E48" s="3"/>
      <c r="F48" s="22" t="s">
        <v>4611</v>
      </c>
      <c r="G48" s="22" t="s">
        <v>4612</v>
      </c>
      <c r="H48" s="22"/>
      <c r="I48" s="22"/>
      <c r="J48" s="22"/>
      <c r="K48" s="22" t="s">
        <v>4613</v>
      </c>
      <c r="L48" s="22" t="s">
        <v>142</v>
      </c>
      <c r="M48" s="141">
        <v>0.245283018867924</v>
      </c>
      <c r="N48" s="142">
        <v>43926</v>
      </c>
      <c r="O48" s="22" t="s">
        <v>4614</v>
      </c>
      <c r="P48" s="23" t="s">
        <v>4615</v>
      </c>
      <c r="U48" s="22">
        <v>8</v>
      </c>
    </row>
    <row r="49" customHeight="1" spans="1:21">
      <c r="A49" s="22" t="s">
        <v>4616</v>
      </c>
      <c r="B49" s="3"/>
      <c r="C49" s="3"/>
      <c r="D49" s="3"/>
      <c r="E49" s="3"/>
      <c r="F49" s="22" t="s">
        <v>4611</v>
      </c>
      <c r="G49" s="22" t="s">
        <v>4612</v>
      </c>
      <c r="H49" s="22"/>
      <c r="I49" s="22"/>
      <c r="J49" s="22"/>
      <c r="K49" s="22" t="s">
        <v>4613</v>
      </c>
      <c r="L49" s="22" t="s">
        <v>142</v>
      </c>
      <c r="M49" s="141">
        <v>0.4625</v>
      </c>
      <c r="N49" s="142">
        <v>44211</v>
      </c>
      <c r="O49" s="22" t="s">
        <v>4617</v>
      </c>
      <c r="P49" s="23" t="s">
        <v>4618</v>
      </c>
      <c r="U49" s="22">
        <v>4.3</v>
      </c>
    </row>
    <row r="50" customHeight="1" spans="1:21">
      <c r="A50" s="22" t="s">
        <v>4619</v>
      </c>
      <c r="B50" s="3"/>
      <c r="C50" s="3"/>
      <c r="D50" s="3"/>
      <c r="E50" s="3"/>
      <c r="F50" s="22" t="s">
        <v>4620</v>
      </c>
      <c r="G50" s="22" t="s">
        <v>4621</v>
      </c>
      <c r="H50" s="22"/>
      <c r="I50" s="22"/>
      <c r="J50" s="22"/>
      <c r="K50" s="22" t="s">
        <v>4622</v>
      </c>
      <c r="L50" s="22" t="s">
        <v>142</v>
      </c>
      <c r="M50" s="141">
        <v>0.318611987381703</v>
      </c>
      <c r="N50" s="142">
        <v>44217</v>
      </c>
      <c r="O50" s="22" t="s">
        <v>4623</v>
      </c>
      <c r="P50" s="23" t="s">
        <v>4624</v>
      </c>
      <c r="U50" s="141">
        <v>0.432</v>
      </c>
    </row>
    <row r="51" customHeight="1" spans="1:21">
      <c r="A51" s="22" t="s">
        <v>4625</v>
      </c>
      <c r="B51" s="3"/>
      <c r="C51" s="3"/>
      <c r="D51" s="3"/>
      <c r="E51" s="3"/>
      <c r="F51" s="22" t="s">
        <v>4626</v>
      </c>
      <c r="G51" s="22" t="s">
        <v>4627</v>
      </c>
      <c r="H51" s="22"/>
      <c r="I51" s="22"/>
      <c r="J51" s="22"/>
      <c r="K51" s="22" t="s">
        <v>4628</v>
      </c>
      <c r="L51" s="22" t="s">
        <v>142</v>
      </c>
      <c r="M51" s="141">
        <v>0.273512476007677</v>
      </c>
      <c r="N51" s="22" t="s">
        <v>4463</v>
      </c>
      <c r="O51" s="142"/>
      <c r="P51" s="141"/>
      <c r="U51" s="22">
        <v>15.14</v>
      </c>
    </row>
    <row r="52" customHeight="1" spans="1:21">
      <c r="A52" s="22" t="s">
        <v>4625</v>
      </c>
      <c r="B52" s="3"/>
      <c r="C52" s="3"/>
      <c r="D52" s="3"/>
      <c r="E52" s="3"/>
      <c r="F52" s="22" t="s">
        <v>4626</v>
      </c>
      <c r="G52" s="22" t="s">
        <v>4627</v>
      </c>
      <c r="H52" s="22"/>
      <c r="I52" s="22"/>
      <c r="J52" s="22"/>
      <c r="K52" s="22" t="s">
        <v>4629</v>
      </c>
      <c r="L52" s="22" t="s">
        <v>142</v>
      </c>
      <c r="M52" s="141">
        <v>0.300380228136882</v>
      </c>
      <c r="N52" s="22" t="s">
        <v>4463</v>
      </c>
      <c r="O52" s="142"/>
      <c r="P52" s="141"/>
      <c r="U52" s="22">
        <v>12.88</v>
      </c>
    </row>
    <row r="53" customHeight="1" spans="1:21">
      <c r="A53" s="22" t="s">
        <v>4625</v>
      </c>
      <c r="B53" s="3"/>
      <c r="C53" s="3"/>
      <c r="D53" s="3"/>
      <c r="E53" s="3"/>
      <c r="F53" s="22" t="s">
        <v>4626</v>
      </c>
      <c r="G53" s="22" t="s">
        <v>4627</v>
      </c>
      <c r="H53" s="22"/>
      <c r="I53" s="22"/>
      <c r="J53" s="22"/>
      <c r="K53" s="22" t="s">
        <v>4630</v>
      </c>
      <c r="L53" s="22" t="s">
        <v>142</v>
      </c>
      <c r="M53" s="141">
        <v>0.302267002518891</v>
      </c>
      <c r="N53" s="22" t="s">
        <v>4463</v>
      </c>
      <c r="O53" s="142"/>
      <c r="P53" s="141"/>
      <c r="U53" s="22">
        <v>13.85</v>
      </c>
    </row>
    <row r="54" customHeight="1" spans="1:21">
      <c r="A54" s="22" t="s">
        <v>4631</v>
      </c>
      <c r="B54" s="3"/>
      <c r="C54" s="3"/>
      <c r="D54" s="3"/>
      <c r="E54" s="3"/>
      <c r="F54" s="22" t="s">
        <v>4626</v>
      </c>
      <c r="G54" s="22" t="s">
        <v>4632</v>
      </c>
      <c r="H54" s="22"/>
      <c r="I54" s="22"/>
      <c r="J54" s="22"/>
      <c r="K54" s="22" t="s">
        <v>4633</v>
      </c>
      <c r="L54" s="22" t="s">
        <v>142</v>
      </c>
      <c r="M54" s="141">
        <v>0.227563576702215</v>
      </c>
      <c r="N54" s="22" t="s">
        <v>4463</v>
      </c>
      <c r="O54" s="142"/>
      <c r="P54" s="141"/>
      <c r="U54" s="22">
        <v>47.08</v>
      </c>
    </row>
    <row r="55" customHeight="1" spans="1:21">
      <c r="A55" s="22" t="s">
        <v>4631</v>
      </c>
      <c r="B55" s="3"/>
      <c r="C55" s="3"/>
      <c r="D55" s="3"/>
      <c r="E55" s="3"/>
      <c r="F55" s="22" t="s">
        <v>4626</v>
      </c>
      <c r="G55" s="22" t="s">
        <v>4634</v>
      </c>
      <c r="H55" s="22"/>
      <c r="I55" s="22"/>
      <c r="J55" s="22"/>
      <c r="K55" s="22" t="s">
        <v>4633</v>
      </c>
      <c r="L55" s="22" t="s">
        <v>142</v>
      </c>
      <c r="M55" s="141">
        <v>0.419321148825065</v>
      </c>
      <c r="N55" s="22" t="s">
        <v>4463</v>
      </c>
      <c r="O55" s="142"/>
      <c r="P55" s="141"/>
      <c r="U55" s="22">
        <v>22.24</v>
      </c>
    </row>
    <row r="56" customHeight="1" spans="1:21">
      <c r="A56" s="22" t="s">
        <v>4631</v>
      </c>
      <c r="B56" s="3"/>
      <c r="C56" s="3"/>
      <c r="D56" s="3"/>
      <c r="E56" s="3"/>
      <c r="F56" s="22" t="s">
        <v>4626</v>
      </c>
      <c r="G56" s="22" t="s">
        <v>4635</v>
      </c>
      <c r="H56" s="22"/>
      <c r="I56" s="22"/>
      <c r="J56" s="22"/>
      <c r="K56" s="22" t="s">
        <v>4633</v>
      </c>
      <c r="L56" s="22" t="s">
        <v>142</v>
      </c>
      <c r="M56" s="141">
        <v>0.568935427574171</v>
      </c>
      <c r="N56" s="22" t="s">
        <v>4463</v>
      </c>
      <c r="O56" s="142"/>
      <c r="P56" s="141"/>
      <c r="U56" s="22">
        <v>7.41</v>
      </c>
    </row>
    <row r="57" customHeight="1" spans="1:21">
      <c r="A57" s="22" t="s">
        <v>4625</v>
      </c>
      <c r="B57" s="3"/>
      <c r="C57" s="3"/>
      <c r="D57" s="3"/>
      <c r="E57" s="3"/>
      <c r="F57" s="22" t="s">
        <v>4626</v>
      </c>
      <c r="G57" s="22" t="s">
        <v>4627</v>
      </c>
      <c r="H57" s="22"/>
      <c r="I57" s="22"/>
      <c r="J57" s="22"/>
      <c r="K57" s="22" t="s">
        <v>4633</v>
      </c>
      <c r="L57" s="22" t="s">
        <v>142</v>
      </c>
      <c r="M57" s="141">
        <v>0.225206611570247</v>
      </c>
      <c r="N57" s="22" t="s">
        <v>4463</v>
      </c>
      <c r="O57" s="142"/>
      <c r="P57" s="141"/>
      <c r="U57" s="22">
        <v>7.5</v>
      </c>
    </row>
    <row r="58" customHeight="1" spans="1:21">
      <c r="A58" s="22" t="s">
        <v>4631</v>
      </c>
      <c r="B58" s="3"/>
      <c r="C58" s="3"/>
      <c r="D58" s="3"/>
      <c r="E58" s="3"/>
      <c r="F58" s="22" t="s">
        <v>4626</v>
      </c>
      <c r="G58" s="22" t="s">
        <v>4627</v>
      </c>
      <c r="H58" s="22"/>
      <c r="I58" s="22"/>
      <c r="J58" s="22"/>
      <c r="K58" s="22" t="s">
        <v>4633</v>
      </c>
      <c r="L58" s="22" t="s">
        <v>142</v>
      </c>
      <c r="M58" s="141">
        <v>0.700490998363338</v>
      </c>
      <c r="N58" s="22" t="s">
        <v>4463</v>
      </c>
      <c r="O58" s="142"/>
      <c r="P58" s="141"/>
      <c r="U58" s="22">
        <v>1.83</v>
      </c>
    </row>
    <row r="59" customHeight="1" spans="1:21">
      <c r="A59" s="22" t="s">
        <v>4631</v>
      </c>
      <c r="B59" s="3"/>
      <c r="C59" s="3"/>
      <c r="D59" s="3"/>
      <c r="E59" s="3"/>
      <c r="F59" s="22" t="s">
        <v>4626</v>
      </c>
      <c r="G59" s="22" t="s">
        <v>4582</v>
      </c>
      <c r="H59" s="22"/>
      <c r="I59" s="22"/>
      <c r="J59" s="22"/>
      <c r="K59" s="22" t="s">
        <v>4633</v>
      </c>
      <c r="L59" s="22" t="s">
        <v>142</v>
      </c>
      <c r="M59" s="141">
        <v>0.256476683937823</v>
      </c>
      <c r="N59" s="22" t="s">
        <v>4463</v>
      </c>
      <c r="O59" s="142"/>
      <c r="P59" s="141"/>
      <c r="U59" s="22">
        <v>31.57</v>
      </c>
    </row>
    <row r="60" customHeight="1" spans="1:21">
      <c r="A60" s="22" t="s">
        <v>4636</v>
      </c>
      <c r="B60" s="3"/>
      <c r="C60" s="3"/>
      <c r="D60" s="3"/>
      <c r="E60" s="3"/>
      <c r="F60" s="22" t="s">
        <v>4637</v>
      </c>
      <c r="G60" s="22" t="s">
        <v>4638</v>
      </c>
      <c r="H60" s="22"/>
      <c r="I60" s="22"/>
      <c r="J60" s="22"/>
      <c r="K60" s="22" t="s">
        <v>4639</v>
      </c>
      <c r="L60" s="22" t="s">
        <v>142</v>
      </c>
      <c r="M60" s="141">
        <v>0.281904761904761</v>
      </c>
      <c r="N60" s="22" t="s">
        <v>4463</v>
      </c>
      <c r="O60" s="142"/>
      <c r="P60" s="141"/>
      <c r="U60" s="22">
        <v>0.377</v>
      </c>
    </row>
    <row r="61" customHeight="1" spans="1:21">
      <c r="A61" s="22" t="s">
        <v>4640</v>
      </c>
      <c r="B61" s="3"/>
      <c r="C61" s="3"/>
      <c r="D61" s="3"/>
      <c r="E61" s="3"/>
      <c r="F61" s="22" t="s">
        <v>4637</v>
      </c>
      <c r="G61" s="22" t="s">
        <v>4638</v>
      </c>
      <c r="H61" s="22"/>
      <c r="I61" s="22"/>
      <c r="J61" s="22"/>
      <c r="K61" s="22" t="s">
        <v>4639</v>
      </c>
      <c r="L61" s="22" t="s">
        <v>142</v>
      </c>
      <c r="M61" s="141">
        <v>0.416445623342175</v>
      </c>
      <c r="N61" s="142">
        <v>44064</v>
      </c>
      <c r="O61" s="22" t="s">
        <v>4641</v>
      </c>
      <c r="P61" s="23" t="s">
        <v>4642</v>
      </c>
      <c r="U61" s="22">
        <v>0.22</v>
      </c>
    </row>
    <row r="62" customHeight="1" spans="1:21">
      <c r="A62" s="22" t="s">
        <v>4643</v>
      </c>
      <c r="B62" s="3"/>
      <c r="C62" s="3"/>
      <c r="D62" s="3"/>
      <c r="E62" s="3"/>
      <c r="F62" s="22" t="s">
        <v>4637</v>
      </c>
      <c r="G62" s="22" t="s">
        <v>4638</v>
      </c>
      <c r="H62" s="22"/>
      <c r="I62" s="22"/>
      <c r="J62" s="22"/>
      <c r="K62" s="22" t="s">
        <v>4639</v>
      </c>
      <c r="L62" s="22" t="s">
        <v>142</v>
      </c>
      <c r="M62" s="141">
        <v>0.445454545454545</v>
      </c>
      <c r="N62" s="22" t="s">
        <v>4463</v>
      </c>
      <c r="O62" s="142"/>
      <c r="P62" s="141"/>
      <c r="U62" s="22">
        <v>0.122</v>
      </c>
    </row>
    <row r="63" customHeight="1" spans="1:21">
      <c r="A63" s="22">
        <v>39</v>
      </c>
      <c r="B63" s="3"/>
      <c r="C63" s="3"/>
      <c r="D63" s="3"/>
      <c r="E63" s="3"/>
      <c r="F63" s="22" t="s">
        <v>4637</v>
      </c>
      <c r="G63" s="22" t="s">
        <v>4638</v>
      </c>
      <c r="H63" s="22"/>
      <c r="I63" s="22"/>
      <c r="J63" s="22"/>
      <c r="K63" s="22" t="s">
        <v>4639</v>
      </c>
      <c r="L63" s="22" t="s">
        <v>142</v>
      </c>
      <c r="M63" s="141">
        <v>0.924369747899159</v>
      </c>
      <c r="N63" s="22" t="s">
        <v>4463</v>
      </c>
      <c r="O63" s="142"/>
      <c r="P63" s="141"/>
      <c r="U63" s="22">
        <v>0.009</v>
      </c>
    </row>
    <row r="64" customHeight="1" spans="1:21">
      <c r="A64" s="22" t="s">
        <v>4644</v>
      </c>
      <c r="B64" s="3"/>
      <c r="C64" s="3"/>
      <c r="D64" s="3"/>
      <c r="E64" s="3"/>
      <c r="F64" s="22" t="s">
        <v>4637</v>
      </c>
      <c r="G64" s="22" t="s">
        <v>4638</v>
      </c>
      <c r="H64" s="22"/>
      <c r="I64" s="22"/>
      <c r="J64" s="22"/>
      <c r="K64" s="22" t="s">
        <v>4639</v>
      </c>
      <c r="L64" s="22" t="s">
        <v>142</v>
      </c>
      <c r="M64" s="141">
        <v>0.222222222222222</v>
      </c>
      <c r="N64" s="22" t="s">
        <v>4463</v>
      </c>
      <c r="P64" s="141"/>
      <c r="U64" s="22">
        <v>0.007</v>
      </c>
    </row>
    <row r="65" customHeight="1" spans="1:21">
      <c r="A65" s="22" t="s">
        <v>4645</v>
      </c>
      <c r="B65" s="3"/>
      <c r="C65" s="3"/>
      <c r="D65" s="3"/>
      <c r="E65" s="3"/>
      <c r="F65" s="22" t="s">
        <v>4637</v>
      </c>
      <c r="G65" s="22" t="s">
        <v>4638</v>
      </c>
      <c r="H65" s="22"/>
      <c r="I65" s="22"/>
      <c r="J65" s="22"/>
      <c r="K65" s="22" t="s">
        <v>4639</v>
      </c>
      <c r="L65" s="22" t="s">
        <v>142</v>
      </c>
      <c r="M65" s="141">
        <v>0.285714285714285</v>
      </c>
      <c r="N65" s="22" t="s">
        <v>4463</v>
      </c>
      <c r="P65" s="141"/>
      <c r="U65" s="22">
        <v>0.005</v>
      </c>
    </row>
    <row r="66" customHeight="1" spans="1:21">
      <c r="A66" s="22" t="s">
        <v>4646</v>
      </c>
      <c r="B66" s="3"/>
      <c r="C66" s="3"/>
      <c r="D66" s="3"/>
      <c r="E66" s="3"/>
      <c r="F66" s="22" t="s">
        <v>4637</v>
      </c>
      <c r="G66" s="22" t="s">
        <v>4638</v>
      </c>
      <c r="H66" s="22"/>
      <c r="I66" s="22"/>
      <c r="J66" s="22"/>
      <c r="K66" s="22" t="s">
        <v>4639</v>
      </c>
      <c r="L66" s="22" t="s">
        <v>142</v>
      </c>
      <c r="M66" s="141">
        <v>0.8</v>
      </c>
      <c r="N66" s="22" t="s">
        <v>4463</v>
      </c>
      <c r="O66" s="142"/>
      <c r="P66" s="141"/>
      <c r="U66" s="22">
        <v>0.001</v>
      </c>
    </row>
    <row r="67" customHeight="1" spans="1:21">
      <c r="A67" s="22" t="s">
        <v>4640</v>
      </c>
      <c r="B67" s="3"/>
      <c r="C67" s="3"/>
      <c r="D67" s="3"/>
      <c r="E67" s="3"/>
      <c r="F67" s="22" t="s">
        <v>4637</v>
      </c>
      <c r="G67" s="22" t="s">
        <v>4647</v>
      </c>
      <c r="H67" s="22"/>
      <c r="I67" s="22"/>
      <c r="J67" s="22"/>
      <c r="K67" s="22" t="s">
        <v>4639</v>
      </c>
      <c r="L67" s="22" t="s">
        <v>142</v>
      </c>
      <c r="M67" s="141">
        <v>0.551242236024844</v>
      </c>
      <c r="N67" s="142">
        <v>44064</v>
      </c>
      <c r="O67" s="22" t="s">
        <v>4641</v>
      </c>
      <c r="P67" s="23" t="s">
        <v>4642</v>
      </c>
      <c r="U67" s="22">
        <v>0.289</v>
      </c>
    </row>
    <row r="68" customHeight="1" spans="1:21">
      <c r="A68" s="22" t="s">
        <v>4643</v>
      </c>
      <c r="B68" s="3"/>
      <c r="C68" s="3"/>
      <c r="D68" s="3"/>
      <c r="E68" s="3"/>
      <c r="F68" s="22" t="s">
        <v>4637</v>
      </c>
      <c r="G68" s="22" t="s">
        <v>4647</v>
      </c>
      <c r="H68" s="22"/>
      <c r="I68" s="22"/>
      <c r="J68" s="22"/>
      <c r="K68" s="22" t="s">
        <v>4639</v>
      </c>
      <c r="L68" s="22" t="s">
        <v>142</v>
      </c>
      <c r="M68" s="141">
        <v>0.43598615916955</v>
      </c>
      <c r="N68" s="22" t="s">
        <v>4463</v>
      </c>
      <c r="P68" s="141"/>
      <c r="U68" s="22">
        <v>0.163</v>
      </c>
    </row>
    <row r="69" customHeight="1" spans="1:21">
      <c r="A69" s="22">
        <v>39</v>
      </c>
      <c r="B69" s="3"/>
      <c r="C69" s="3"/>
      <c r="D69" s="3"/>
      <c r="E69" s="3"/>
      <c r="F69" s="22" t="s">
        <v>4637</v>
      </c>
      <c r="G69" s="22" t="s">
        <v>4647</v>
      </c>
      <c r="H69" s="22"/>
      <c r="I69" s="22"/>
      <c r="J69" s="22"/>
      <c r="K69" s="22" t="s">
        <v>4639</v>
      </c>
      <c r="L69" s="22" t="s">
        <v>142</v>
      </c>
      <c r="M69" s="141">
        <v>0.917197452229299</v>
      </c>
      <c r="N69" s="22" t="s">
        <v>4463</v>
      </c>
      <c r="O69" s="142"/>
      <c r="P69" s="141"/>
      <c r="U69" s="22">
        <v>0.013</v>
      </c>
    </row>
    <row r="70" customHeight="1" spans="1:21">
      <c r="A70" s="22" t="s">
        <v>4645</v>
      </c>
      <c r="B70" s="3"/>
      <c r="C70" s="3"/>
      <c r="D70" s="3"/>
      <c r="E70" s="3"/>
      <c r="F70" s="22" t="s">
        <v>4637</v>
      </c>
      <c r="G70" s="22" t="s">
        <v>4647</v>
      </c>
      <c r="H70" s="22"/>
      <c r="I70" s="22"/>
      <c r="J70" s="22"/>
      <c r="K70" s="22" t="s">
        <v>4639</v>
      </c>
      <c r="L70" s="22" t="s">
        <v>142</v>
      </c>
      <c r="M70" s="141">
        <v>0.333333333333333</v>
      </c>
      <c r="N70" s="22" t="s">
        <v>4463</v>
      </c>
      <c r="P70" s="141"/>
      <c r="U70" s="22">
        <v>0.008</v>
      </c>
    </row>
    <row r="71" customHeight="1" spans="1:21">
      <c r="A71" s="22" t="s">
        <v>4646</v>
      </c>
      <c r="B71" s="3"/>
      <c r="C71" s="3"/>
      <c r="D71" s="3"/>
      <c r="E71" s="3"/>
      <c r="F71" s="22" t="s">
        <v>4637</v>
      </c>
      <c r="G71" s="22" t="s">
        <v>4647</v>
      </c>
      <c r="H71" s="22"/>
      <c r="I71" s="22"/>
      <c r="J71" s="22"/>
      <c r="K71" s="22" t="s">
        <v>4639</v>
      </c>
      <c r="L71" s="22" t="s">
        <v>142</v>
      </c>
      <c r="M71" s="141">
        <v>0.625</v>
      </c>
      <c r="N71" s="22" t="s">
        <v>4463</v>
      </c>
      <c r="P71" s="141"/>
      <c r="U71" s="22">
        <v>0.003</v>
      </c>
    </row>
    <row r="72" customHeight="1" spans="1:21">
      <c r="A72" s="22" t="s">
        <v>4648</v>
      </c>
      <c r="B72" s="3"/>
      <c r="C72" s="3"/>
      <c r="D72" s="3"/>
      <c r="E72" s="3"/>
      <c r="F72" s="22" t="s">
        <v>4637</v>
      </c>
      <c r="G72" s="22" t="s">
        <v>4649</v>
      </c>
      <c r="H72" s="22"/>
      <c r="I72" s="22"/>
      <c r="J72" s="22"/>
      <c r="K72" s="22" t="s">
        <v>4650</v>
      </c>
      <c r="L72" s="22" t="s">
        <v>142</v>
      </c>
      <c r="M72" s="141">
        <v>0.672023590121636</v>
      </c>
      <c r="N72" s="22" t="s">
        <v>4463</v>
      </c>
      <c r="P72" s="141"/>
      <c r="U72" s="22">
        <v>0.04449</v>
      </c>
    </row>
    <row r="73" customHeight="1" spans="1:21">
      <c r="A73" s="22" t="s">
        <v>4651</v>
      </c>
      <c r="B73" s="3"/>
      <c r="C73" s="3"/>
      <c r="D73" s="3"/>
      <c r="E73" s="3"/>
      <c r="F73" s="22" t="s">
        <v>4637</v>
      </c>
      <c r="G73" s="22" t="s">
        <v>4649</v>
      </c>
      <c r="H73" s="22"/>
      <c r="I73" s="22"/>
      <c r="J73" s="22"/>
      <c r="K73" s="22" t="s">
        <v>4650</v>
      </c>
      <c r="L73" s="22" t="s">
        <v>142</v>
      </c>
      <c r="M73" s="141">
        <v>0.356035064059339</v>
      </c>
      <c r="N73" s="22" t="s">
        <v>4463</v>
      </c>
      <c r="P73" s="141"/>
      <c r="U73" s="22">
        <v>0.02865</v>
      </c>
    </row>
    <row r="74" customHeight="1" spans="1:21">
      <c r="A74" s="22" t="s">
        <v>4652</v>
      </c>
      <c r="B74" s="3"/>
      <c r="C74" s="3"/>
      <c r="D74" s="3"/>
      <c r="E74" s="3"/>
      <c r="F74" s="22" t="s">
        <v>4637</v>
      </c>
      <c r="G74" s="22" t="s">
        <v>4649</v>
      </c>
      <c r="H74" s="22"/>
      <c r="I74" s="22"/>
      <c r="J74" s="22"/>
      <c r="K74" s="22" t="s">
        <v>4650</v>
      </c>
      <c r="L74" s="22" t="s">
        <v>142</v>
      </c>
      <c r="M74" s="141">
        <v>0.691797556719022</v>
      </c>
      <c r="N74" s="22" t="s">
        <v>4463</v>
      </c>
      <c r="P74" s="141"/>
      <c r="U74" s="22">
        <v>0.00883</v>
      </c>
    </row>
    <row r="75" customHeight="1" spans="1:21">
      <c r="A75" s="22" t="s">
        <v>4653</v>
      </c>
      <c r="B75" s="3"/>
      <c r="C75" s="3"/>
      <c r="D75" s="3"/>
      <c r="E75" s="3"/>
      <c r="F75" s="22" t="s">
        <v>4637</v>
      </c>
      <c r="G75" s="22" t="s">
        <v>4647</v>
      </c>
      <c r="H75" s="22"/>
      <c r="I75" s="22"/>
      <c r="J75" s="22"/>
      <c r="K75" s="22" t="s">
        <v>4650</v>
      </c>
      <c r="L75" s="22" t="s">
        <v>142</v>
      </c>
      <c r="M75" s="141">
        <v>0.237883935380988</v>
      </c>
      <c r="N75" s="142">
        <v>44013</v>
      </c>
      <c r="O75" s="22" t="s">
        <v>4654</v>
      </c>
      <c r="P75" s="23" t="s">
        <v>4655</v>
      </c>
      <c r="U75" s="22">
        <v>0.17854</v>
      </c>
    </row>
    <row r="76" customHeight="1" spans="1:21">
      <c r="A76" s="22" t="s">
        <v>4656</v>
      </c>
      <c r="B76" s="3"/>
      <c r="C76" s="3"/>
      <c r="D76" s="3"/>
      <c r="E76" s="3"/>
      <c r="F76" s="22" t="s">
        <v>4657</v>
      </c>
      <c r="G76" s="22" t="s">
        <v>4658</v>
      </c>
      <c r="H76" s="22"/>
      <c r="I76" s="22"/>
      <c r="J76" s="22"/>
      <c r="K76" s="22" t="s">
        <v>4659</v>
      </c>
      <c r="L76" s="22" t="s">
        <v>142</v>
      </c>
      <c r="M76" s="141">
        <v>0.999920486759316</v>
      </c>
      <c r="N76" s="142">
        <v>44243</v>
      </c>
      <c r="O76" s="22" t="s">
        <v>4660</v>
      </c>
      <c r="P76" s="23" t="s">
        <v>4661</v>
      </c>
      <c r="U76" s="22">
        <v>2.3</v>
      </c>
    </row>
    <row r="77" customHeight="1" spans="1:21">
      <c r="A77" s="22" t="s">
        <v>4662</v>
      </c>
      <c r="B77" s="3"/>
      <c r="C77" s="3"/>
      <c r="D77" s="3"/>
      <c r="E77" s="3"/>
      <c r="F77" s="22" t="s">
        <v>4657</v>
      </c>
      <c r="G77" s="22" t="s">
        <v>4658</v>
      </c>
      <c r="H77" s="22"/>
      <c r="I77" s="22"/>
      <c r="J77" s="22"/>
      <c r="K77" s="22" t="s">
        <v>4663</v>
      </c>
      <c r="L77" s="22" t="s">
        <v>142</v>
      </c>
      <c r="M77" s="141">
        <v>0.5</v>
      </c>
      <c r="N77" s="142">
        <v>43142</v>
      </c>
      <c r="O77" s="22" t="s">
        <v>4664</v>
      </c>
      <c r="P77" s="23" t="s">
        <v>4665</v>
      </c>
      <c r="U77" s="22">
        <v>75600</v>
      </c>
    </row>
    <row r="78" customHeight="1" spans="1:21">
      <c r="A78" s="22" t="s">
        <v>4666</v>
      </c>
      <c r="B78" s="3"/>
      <c r="C78" s="3"/>
      <c r="D78" s="3"/>
      <c r="E78" s="3"/>
      <c r="F78" s="22" t="s">
        <v>4657</v>
      </c>
      <c r="G78" s="22" t="s">
        <v>4658</v>
      </c>
      <c r="H78" s="22"/>
      <c r="I78" s="22"/>
      <c r="J78" s="22"/>
      <c r="K78" s="22" t="s">
        <v>4663</v>
      </c>
      <c r="L78" s="22" t="s">
        <v>142</v>
      </c>
      <c r="M78" s="141">
        <v>0.841269841269841</v>
      </c>
      <c r="N78" s="142">
        <v>43136</v>
      </c>
      <c r="O78" s="22" t="s">
        <v>973</v>
      </c>
      <c r="P78" s="23" t="s">
        <v>4667</v>
      </c>
      <c r="U78" s="22">
        <v>12000</v>
      </c>
    </row>
    <row r="79" customHeight="1" spans="1:21">
      <c r="A79" s="22" t="s">
        <v>4668</v>
      </c>
      <c r="B79" s="3"/>
      <c r="C79" s="3"/>
      <c r="D79" s="3"/>
      <c r="E79" s="3"/>
      <c r="F79" s="22" t="s">
        <v>4657</v>
      </c>
      <c r="G79" s="22" t="s">
        <v>4658</v>
      </c>
      <c r="H79" s="22"/>
      <c r="I79" s="22"/>
      <c r="J79" s="22"/>
      <c r="K79" s="22" t="s">
        <v>4663</v>
      </c>
      <c r="L79" s="22" t="s">
        <v>142</v>
      </c>
      <c r="M79" s="141">
        <v>0.991183333333333</v>
      </c>
      <c r="N79" s="142">
        <v>44243</v>
      </c>
      <c r="O79" s="22" t="s">
        <v>4660</v>
      </c>
      <c r="P79" s="23" t="s">
        <v>4661</v>
      </c>
      <c r="U79" s="22">
        <v>105.8</v>
      </c>
    </row>
    <row r="80" customHeight="1" spans="1:21">
      <c r="A80" s="22" t="s">
        <v>4656</v>
      </c>
      <c r="B80" s="3"/>
      <c r="C80" s="3"/>
      <c r="D80" s="3"/>
      <c r="E80" s="3"/>
      <c r="F80" s="22" t="s">
        <v>4657</v>
      </c>
      <c r="G80" s="22" t="s">
        <v>4658</v>
      </c>
      <c r="H80" s="22"/>
      <c r="I80" s="22"/>
      <c r="J80" s="22"/>
      <c r="K80" s="22" t="s">
        <v>4663</v>
      </c>
      <c r="L80" s="22" t="s">
        <v>142</v>
      </c>
      <c r="M80" s="141">
        <v>0.978260869565217</v>
      </c>
      <c r="N80" s="142">
        <v>44243</v>
      </c>
      <c r="O80" s="22" t="s">
        <v>4660</v>
      </c>
      <c r="P80" s="23" t="s">
        <v>4661</v>
      </c>
      <c r="U80" s="22">
        <v>2.3</v>
      </c>
    </row>
    <row r="81" customHeight="1" spans="1:21">
      <c r="A81" s="22" t="s">
        <v>4669</v>
      </c>
      <c r="B81" s="3"/>
      <c r="C81" s="3"/>
      <c r="D81" s="3"/>
      <c r="E81" s="3"/>
      <c r="F81" s="22" t="s">
        <v>4657</v>
      </c>
      <c r="G81" s="22" t="s">
        <v>4658</v>
      </c>
      <c r="H81" s="22"/>
      <c r="I81" s="22"/>
      <c r="J81" s="22"/>
      <c r="K81" s="22" t="s">
        <v>4663</v>
      </c>
      <c r="L81" s="22" t="s">
        <v>142</v>
      </c>
      <c r="M81" s="141">
        <v>0.260869565217391</v>
      </c>
      <c r="N81" s="142">
        <v>43990</v>
      </c>
      <c r="O81" s="22" t="s">
        <v>4670</v>
      </c>
      <c r="P81" s="23" t="s">
        <v>4671</v>
      </c>
      <c r="U81" s="22">
        <v>1.7</v>
      </c>
    </row>
    <row r="82" customHeight="1" spans="1:21">
      <c r="A82" s="22" t="s">
        <v>4672</v>
      </c>
      <c r="B82" s="3"/>
      <c r="C82" s="3"/>
      <c r="D82" s="3"/>
      <c r="E82" s="3"/>
      <c r="F82" s="22" t="s">
        <v>4657</v>
      </c>
      <c r="G82" s="22" t="s">
        <v>4673</v>
      </c>
      <c r="H82" s="22"/>
      <c r="I82" s="22"/>
      <c r="J82" s="22"/>
      <c r="K82" s="22" t="s">
        <v>847</v>
      </c>
      <c r="L82" s="22" t="s">
        <v>142</v>
      </c>
      <c r="M82" s="141">
        <v>0.6875</v>
      </c>
      <c r="N82" s="142">
        <v>43799</v>
      </c>
      <c r="O82" s="22" t="s">
        <v>4674</v>
      </c>
      <c r="P82" s="23" t="s">
        <v>4675</v>
      </c>
      <c r="U82" s="22">
        <v>0.25</v>
      </c>
    </row>
    <row r="83" customHeight="1" spans="1:21">
      <c r="A83" s="22" t="s">
        <v>4676</v>
      </c>
      <c r="B83" s="3"/>
      <c r="C83" s="3"/>
      <c r="D83" s="3"/>
      <c r="E83" s="3"/>
      <c r="F83" s="22" t="s">
        <v>4657</v>
      </c>
      <c r="G83" s="22" t="s">
        <v>4673</v>
      </c>
      <c r="H83" s="22"/>
      <c r="I83" s="22"/>
      <c r="J83" s="22"/>
      <c r="K83" s="22" t="s">
        <v>847</v>
      </c>
      <c r="L83" s="22" t="s">
        <v>142</v>
      </c>
      <c r="M83" s="141">
        <v>0.319999999999999</v>
      </c>
      <c r="N83" s="142">
        <v>43748</v>
      </c>
      <c r="O83" s="22" t="s">
        <v>4677</v>
      </c>
      <c r="P83" s="23" t="s">
        <v>4678</v>
      </c>
      <c r="U83" s="22">
        <v>0.17</v>
      </c>
    </row>
    <row r="84" customHeight="1" spans="1:21">
      <c r="A84" s="22" t="s">
        <v>4656</v>
      </c>
      <c r="B84" s="3"/>
      <c r="C84" s="3"/>
      <c r="D84" s="3"/>
      <c r="E84" s="3"/>
      <c r="F84" s="22" t="s">
        <v>4657</v>
      </c>
      <c r="G84" s="22" t="s">
        <v>4658</v>
      </c>
      <c r="H84" s="22"/>
      <c r="I84" s="22"/>
      <c r="J84" s="22"/>
      <c r="K84" s="22" t="s">
        <v>4679</v>
      </c>
      <c r="L84" s="22" t="s">
        <v>142</v>
      </c>
      <c r="M84" s="141">
        <v>0.999920486759316</v>
      </c>
      <c r="N84" s="142">
        <v>44243</v>
      </c>
      <c r="O84" s="22" t="s">
        <v>4660</v>
      </c>
      <c r="P84" s="23" t="s">
        <v>4661</v>
      </c>
      <c r="U84" s="22">
        <v>2.3</v>
      </c>
    </row>
    <row r="85" customHeight="1" spans="1:21">
      <c r="A85" s="22" t="s">
        <v>1188</v>
      </c>
      <c r="B85" s="3"/>
      <c r="C85" s="3"/>
      <c r="D85" s="3"/>
      <c r="E85" s="3" t="s">
        <v>256</v>
      </c>
      <c r="F85" s="22" t="s">
        <v>482</v>
      </c>
      <c r="G85" s="22" t="s">
        <v>667</v>
      </c>
      <c r="H85" s="22"/>
      <c r="I85" s="22"/>
      <c r="J85" s="22"/>
      <c r="K85" s="22" t="s">
        <v>4680</v>
      </c>
      <c r="L85" s="22" t="s">
        <v>142</v>
      </c>
      <c r="M85" s="141">
        <v>0.796506924284966</v>
      </c>
      <c r="N85" s="142">
        <v>42916</v>
      </c>
      <c r="O85" s="22" t="s">
        <v>1190</v>
      </c>
      <c r="P85" s="23" t="s">
        <v>1191</v>
      </c>
      <c r="U85" s="22">
        <v>-7550</v>
      </c>
    </row>
    <row r="86" customHeight="1" spans="1:21">
      <c r="A86" s="22" t="s">
        <v>1509</v>
      </c>
      <c r="B86" s="3"/>
      <c r="C86" s="3"/>
      <c r="D86" s="3"/>
      <c r="E86" s="3" t="s">
        <v>256</v>
      </c>
      <c r="F86" s="22" t="s">
        <v>482</v>
      </c>
      <c r="G86" s="22" t="s">
        <v>667</v>
      </c>
      <c r="H86" s="22"/>
      <c r="I86" s="22"/>
      <c r="J86" s="22"/>
      <c r="K86" s="22" t="s">
        <v>4680</v>
      </c>
      <c r="L86" s="22" t="s">
        <v>142</v>
      </c>
      <c r="M86" s="141">
        <v>0.229345035635177</v>
      </c>
      <c r="N86" s="142">
        <v>42353</v>
      </c>
      <c r="O86" s="22" t="s">
        <v>1511</v>
      </c>
      <c r="P86" s="23" t="s">
        <v>1512</v>
      </c>
      <c r="U86" s="22">
        <v>-13264.51</v>
      </c>
    </row>
    <row r="87" customHeight="1" spans="1:21">
      <c r="A87" s="22" t="s">
        <v>481</v>
      </c>
      <c r="B87" s="3"/>
      <c r="C87" s="3"/>
      <c r="D87" s="3"/>
      <c r="E87" s="3" t="s">
        <v>256</v>
      </c>
      <c r="F87" s="22" t="s">
        <v>482</v>
      </c>
      <c r="G87" s="22" t="s">
        <v>667</v>
      </c>
      <c r="H87" s="22"/>
      <c r="I87" s="22"/>
      <c r="J87" s="22"/>
      <c r="K87" s="22" t="s">
        <v>4680</v>
      </c>
      <c r="L87" s="22" t="s">
        <v>142</v>
      </c>
      <c r="M87" s="141">
        <v>0.770664728663177</v>
      </c>
      <c r="N87" s="142">
        <v>44245</v>
      </c>
      <c r="O87" s="22" t="s">
        <v>485</v>
      </c>
      <c r="P87" s="23" t="s">
        <v>4413</v>
      </c>
      <c r="U87" s="22">
        <v>-23487</v>
      </c>
    </row>
    <row r="88" customHeight="1" spans="1:21">
      <c r="A88" s="22" t="s">
        <v>809</v>
      </c>
      <c r="B88" s="3"/>
      <c r="C88" s="3"/>
      <c r="D88" s="3"/>
      <c r="E88" s="3" t="s">
        <v>256</v>
      </c>
      <c r="F88" s="22" t="s">
        <v>482</v>
      </c>
      <c r="G88" s="22" t="s">
        <v>667</v>
      </c>
      <c r="H88" s="22"/>
      <c r="I88" s="22"/>
      <c r="J88" s="22"/>
      <c r="K88" s="22" t="s">
        <v>4680</v>
      </c>
      <c r="L88" s="22" t="s">
        <v>142</v>
      </c>
      <c r="M88" s="141">
        <v>0.2708150284115</v>
      </c>
      <c r="N88" s="142">
        <v>43788</v>
      </c>
      <c r="O88" s="22" t="s">
        <v>811</v>
      </c>
      <c r="P88" s="23" t="s">
        <v>812</v>
      </c>
      <c r="U88" s="22">
        <v>-29968.36</v>
      </c>
    </row>
    <row r="89" customHeight="1" spans="1:21">
      <c r="A89" s="22" t="s">
        <v>4681</v>
      </c>
      <c r="B89" s="3"/>
      <c r="C89" s="3"/>
      <c r="D89" s="3"/>
      <c r="E89" s="3" t="s">
        <v>256</v>
      </c>
      <c r="F89" s="22" t="s">
        <v>482</v>
      </c>
      <c r="G89" s="22" t="s">
        <v>667</v>
      </c>
      <c r="H89" s="22"/>
      <c r="I89" s="22"/>
      <c r="J89" s="22"/>
      <c r="K89" s="22" t="s">
        <v>4682</v>
      </c>
      <c r="L89" s="22" t="s">
        <v>142</v>
      </c>
      <c r="M89" s="141">
        <v>0.317365269461077</v>
      </c>
      <c r="N89" s="142">
        <v>42404</v>
      </c>
      <c r="O89" s="22" t="s">
        <v>1287</v>
      </c>
      <c r="P89" s="23" t="s">
        <v>1288</v>
      </c>
      <c r="U89" s="22">
        <v>11.4</v>
      </c>
    </row>
    <row r="90" customHeight="1" spans="1:21">
      <c r="A90" s="143" t="s">
        <v>1284</v>
      </c>
      <c r="B90" s="144"/>
      <c r="C90" s="144"/>
      <c r="D90" s="144"/>
      <c r="E90" s="144" t="s">
        <v>256</v>
      </c>
      <c r="F90" s="143" t="s">
        <v>482</v>
      </c>
      <c r="G90" s="143" t="s">
        <v>667</v>
      </c>
      <c r="H90" s="143"/>
      <c r="I90" s="143"/>
      <c r="J90" s="143"/>
      <c r="K90" s="143" t="s">
        <v>4682</v>
      </c>
      <c r="L90" s="143" t="s">
        <v>142</v>
      </c>
      <c r="M90" s="145">
        <v>0.471698113207547</v>
      </c>
      <c r="N90" s="146">
        <v>42404</v>
      </c>
      <c r="O90" s="143" t="s">
        <v>1287</v>
      </c>
      <c r="P90" s="147" t="s">
        <v>1288</v>
      </c>
      <c r="Q90" s="148"/>
      <c r="R90" s="148"/>
      <c r="S90" s="148"/>
      <c r="T90" s="148"/>
      <c r="U90" s="143">
        <v>5.6</v>
      </c>
    </row>
    <row r="91" customHeight="1" spans="1:21">
      <c r="A91" s="22" t="s">
        <v>704</v>
      </c>
      <c r="B91" s="3"/>
      <c r="C91" s="3"/>
      <c r="D91" s="3"/>
      <c r="E91" s="3" t="s">
        <v>256</v>
      </c>
      <c r="F91" s="22" t="s">
        <v>482</v>
      </c>
      <c r="G91" s="22" t="s">
        <v>667</v>
      </c>
      <c r="H91" s="22"/>
      <c r="I91" s="22"/>
      <c r="J91" s="22"/>
      <c r="K91" s="22" t="s">
        <v>4682</v>
      </c>
      <c r="L91" s="22" t="s">
        <v>142</v>
      </c>
      <c r="M91" s="141">
        <v>0.625</v>
      </c>
      <c r="N91" s="142">
        <v>43929</v>
      </c>
      <c r="O91" s="22" t="s">
        <v>706</v>
      </c>
      <c r="P91" s="23" t="s">
        <v>707</v>
      </c>
      <c r="U91" s="22">
        <v>2.1</v>
      </c>
    </row>
    <row r="92" customHeight="1" spans="1:21">
      <c r="A92" s="22" t="s">
        <v>4683</v>
      </c>
      <c r="B92" s="3"/>
      <c r="C92" s="3"/>
      <c r="D92" s="3"/>
      <c r="E92" s="3"/>
      <c r="F92" s="22" t="s">
        <v>4684</v>
      </c>
      <c r="G92" s="22" t="s">
        <v>4685</v>
      </c>
      <c r="H92" s="22"/>
      <c r="I92" s="22"/>
      <c r="J92" s="22"/>
      <c r="K92" s="22" t="s">
        <v>4462</v>
      </c>
      <c r="L92" s="22" t="s">
        <v>142</v>
      </c>
      <c r="M92" s="141">
        <v>0.266666666666666</v>
      </c>
      <c r="N92" s="22" t="s">
        <v>4463</v>
      </c>
      <c r="P92" s="141"/>
      <c r="U92" s="22">
        <v>0.33</v>
      </c>
    </row>
    <row r="93" customHeight="1" spans="1:21">
      <c r="A93" s="22" t="s">
        <v>4686</v>
      </c>
      <c r="B93" s="3"/>
      <c r="C93" s="3"/>
      <c r="D93" s="3"/>
      <c r="E93" s="3"/>
      <c r="F93" s="22" t="s">
        <v>4684</v>
      </c>
      <c r="G93" s="22" t="s">
        <v>4685</v>
      </c>
      <c r="H93" s="22"/>
      <c r="I93" s="22"/>
      <c r="J93" s="22"/>
      <c r="K93" s="22" t="s">
        <v>4462</v>
      </c>
      <c r="L93" s="22" t="s">
        <v>142</v>
      </c>
      <c r="M93" s="141">
        <v>0.666666666666666</v>
      </c>
      <c r="N93" s="22" t="s">
        <v>4463</v>
      </c>
      <c r="O93" s="142"/>
      <c r="P93" s="141"/>
      <c r="U93" s="22">
        <v>0.09</v>
      </c>
    </row>
    <row r="94" customHeight="1" spans="1:21">
      <c r="A94" s="22" t="s">
        <v>4687</v>
      </c>
      <c r="B94" s="3"/>
      <c r="C94" s="3"/>
      <c r="D94" s="3"/>
      <c r="E94" s="3"/>
      <c r="F94" s="22" t="s">
        <v>4684</v>
      </c>
      <c r="G94" s="22" t="s">
        <v>4685</v>
      </c>
      <c r="H94" s="22"/>
      <c r="I94" s="22"/>
      <c r="J94" s="22"/>
      <c r="K94" s="22" t="s">
        <v>4462</v>
      </c>
      <c r="L94" s="22" t="s">
        <v>142</v>
      </c>
      <c r="M94" s="141">
        <v>0.375</v>
      </c>
      <c r="N94" s="22" t="s">
        <v>4463</v>
      </c>
      <c r="O94" s="142"/>
      <c r="P94" s="141"/>
      <c r="U94" s="22">
        <v>0.05</v>
      </c>
    </row>
    <row r="95" customHeight="1" spans="1:21">
      <c r="A95" s="22" t="s">
        <v>4688</v>
      </c>
      <c r="B95" s="3"/>
      <c r="C95" s="3"/>
      <c r="D95" s="3"/>
      <c r="E95" s="3"/>
      <c r="F95" s="22" t="s">
        <v>4684</v>
      </c>
      <c r="G95" s="22" t="s">
        <v>4685</v>
      </c>
      <c r="H95" s="22"/>
      <c r="I95" s="22"/>
      <c r="J95" s="22"/>
      <c r="K95" s="22" t="s">
        <v>4462</v>
      </c>
      <c r="L95" s="22" t="s">
        <v>142</v>
      </c>
      <c r="M95" s="141">
        <v>0.8</v>
      </c>
      <c r="N95" s="22" t="s">
        <v>4463</v>
      </c>
      <c r="O95" s="142"/>
      <c r="P95" s="141"/>
      <c r="U95" s="22">
        <v>0.01</v>
      </c>
    </row>
    <row r="96" customHeight="1" spans="1:21">
      <c r="A96" s="22" t="s">
        <v>4689</v>
      </c>
      <c r="B96" s="3"/>
      <c r="C96" s="3"/>
      <c r="D96" s="3"/>
      <c r="E96" s="3"/>
      <c r="F96" s="22" t="s">
        <v>4684</v>
      </c>
      <c r="G96" s="22" t="s">
        <v>4690</v>
      </c>
      <c r="H96" s="22"/>
      <c r="I96" s="22"/>
      <c r="J96" s="22"/>
      <c r="K96" s="22" t="s">
        <v>4462</v>
      </c>
      <c r="L96" s="22" t="s">
        <v>142</v>
      </c>
      <c r="M96" s="141">
        <v>0.333333333333333</v>
      </c>
      <c r="N96" s="22" t="s">
        <v>4463</v>
      </c>
      <c r="O96" s="142"/>
      <c r="P96" s="141"/>
      <c r="U96" s="22">
        <v>0.52</v>
      </c>
    </row>
    <row r="97" customHeight="1" spans="1:21">
      <c r="A97" s="22" t="s">
        <v>4691</v>
      </c>
      <c r="B97" s="3"/>
      <c r="C97" s="3"/>
      <c r="D97" s="3"/>
      <c r="E97" s="3"/>
      <c r="F97" s="22" t="s">
        <v>4684</v>
      </c>
      <c r="G97" s="22" t="s">
        <v>4690</v>
      </c>
      <c r="H97" s="22"/>
      <c r="I97" s="22"/>
      <c r="J97" s="22"/>
      <c r="K97" s="22" t="s">
        <v>4462</v>
      </c>
      <c r="L97" s="22" t="s">
        <v>142</v>
      </c>
      <c r="M97" s="141">
        <v>0.211538461538461</v>
      </c>
      <c r="N97" s="22" t="s">
        <v>4463</v>
      </c>
      <c r="O97" s="142"/>
      <c r="P97" s="141"/>
      <c r="U97" s="22">
        <v>0.63</v>
      </c>
    </row>
    <row r="98" customHeight="1" spans="1:21">
      <c r="A98" s="22" t="s">
        <v>4692</v>
      </c>
      <c r="B98" s="3"/>
      <c r="C98" s="3"/>
      <c r="D98" s="3"/>
      <c r="E98" s="3"/>
      <c r="F98" s="22" t="s">
        <v>4684</v>
      </c>
      <c r="G98" s="22" t="s">
        <v>4693</v>
      </c>
      <c r="H98" s="22"/>
      <c r="I98" s="22"/>
      <c r="J98" s="22"/>
      <c r="K98" s="22" t="s">
        <v>4462</v>
      </c>
      <c r="L98" s="22" t="s">
        <v>142</v>
      </c>
      <c r="M98" s="141">
        <v>0.307692307692307</v>
      </c>
      <c r="N98" s="22" t="s">
        <v>4463</v>
      </c>
      <c r="O98" s="142"/>
      <c r="P98" s="141"/>
      <c r="U98" s="22">
        <v>0.51</v>
      </c>
    </row>
    <row r="99" customHeight="1" spans="1:21">
      <c r="A99" s="22" t="s">
        <v>4694</v>
      </c>
      <c r="B99" s="3"/>
      <c r="C99" s="3"/>
      <c r="D99" s="3"/>
      <c r="E99" s="3"/>
      <c r="F99" s="22" t="s">
        <v>4684</v>
      </c>
      <c r="G99" s="22" t="s">
        <v>4693</v>
      </c>
      <c r="H99" s="22"/>
      <c r="I99" s="22"/>
      <c r="J99" s="22"/>
      <c r="K99" s="22" t="s">
        <v>4462</v>
      </c>
      <c r="L99" s="22" t="s">
        <v>142</v>
      </c>
      <c r="M99" s="141">
        <v>0.705882352941176</v>
      </c>
      <c r="N99" s="22" t="s">
        <v>4463</v>
      </c>
      <c r="O99" s="142"/>
      <c r="P99" s="141"/>
      <c r="U99" s="22">
        <v>0.87</v>
      </c>
    </row>
    <row r="100" customHeight="1" spans="1:21">
      <c r="A100" s="22" t="s">
        <v>4695</v>
      </c>
      <c r="B100" s="3"/>
      <c r="C100" s="3"/>
      <c r="D100" s="3"/>
      <c r="E100" s="3"/>
      <c r="F100" s="22" t="s">
        <v>4684</v>
      </c>
      <c r="G100" s="22" t="s">
        <v>4693</v>
      </c>
      <c r="H100" s="22"/>
      <c r="I100" s="22"/>
      <c r="J100" s="22"/>
      <c r="K100" s="22" t="s">
        <v>4462</v>
      </c>
      <c r="L100" s="22" t="s">
        <v>142</v>
      </c>
      <c r="M100" s="141">
        <v>0.298850574712643</v>
      </c>
      <c r="N100" s="22" t="s">
        <v>4463</v>
      </c>
      <c r="O100" s="142"/>
      <c r="P100" s="141"/>
      <c r="U100" s="22">
        <v>1.13</v>
      </c>
    </row>
    <row r="101" customHeight="1" spans="1:21">
      <c r="A101" s="22" t="s">
        <v>4696</v>
      </c>
      <c r="B101" s="3"/>
      <c r="C101" s="3"/>
      <c r="D101" s="3"/>
      <c r="E101" s="3"/>
      <c r="F101" s="22" t="s">
        <v>4684</v>
      </c>
      <c r="G101" s="22" t="s">
        <v>4693</v>
      </c>
      <c r="H101" s="22"/>
      <c r="I101" s="22"/>
      <c r="J101" s="22"/>
      <c r="K101" s="22" t="s">
        <v>4462</v>
      </c>
      <c r="L101" s="22" t="s">
        <v>142</v>
      </c>
      <c r="M101" s="141">
        <v>0.35042735042735</v>
      </c>
      <c r="N101" s="22" t="s">
        <v>4463</v>
      </c>
      <c r="O101" s="142"/>
      <c r="P101" s="141"/>
      <c r="U101" s="22">
        <v>1.58</v>
      </c>
    </row>
    <row r="102" customHeight="1" spans="1:21">
      <c r="A102" s="22" t="s">
        <v>4697</v>
      </c>
      <c r="B102" s="3"/>
      <c r="C102" s="3"/>
      <c r="D102" s="3"/>
      <c r="E102" s="3"/>
      <c r="F102" s="22" t="s">
        <v>4684</v>
      </c>
      <c r="G102" s="22" t="s">
        <v>4698</v>
      </c>
      <c r="H102" s="22"/>
      <c r="I102" s="22"/>
      <c r="J102" s="22"/>
      <c r="K102" s="22" t="s">
        <v>4462</v>
      </c>
      <c r="L102" s="22" t="s">
        <v>142</v>
      </c>
      <c r="M102" s="141">
        <v>0.285714285714285</v>
      </c>
      <c r="N102" s="22" t="s">
        <v>4463</v>
      </c>
      <c r="O102" s="142"/>
      <c r="P102" s="141"/>
      <c r="U102" s="22">
        <v>0.27</v>
      </c>
    </row>
    <row r="103" customHeight="1" spans="1:21">
      <c r="A103" s="22" t="s">
        <v>4692</v>
      </c>
      <c r="B103" s="3"/>
      <c r="C103" s="3"/>
      <c r="D103" s="3"/>
      <c r="E103" s="3"/>
      <c r="F103" s="22" t="s">
        <v>4684</v>
      </c>
      <c r="G103" s="22" t="s">
        <v>4698</v>
      </c>
      <c r="H103" s="22"/>
      <c r="I103" s="22"/>
      <c r="J103" s="22"/>
      <c r="K103" s="22" t="s">
        <v>4462</v>
      </c>
      <c r="L103" s="22" t="s">
        <v>142</v>
      </c>
      <c r="M103" s="141">
        <v>0.205882352941176</v>
      </c>
      <c r="N103" s="22" t="s">
        <v>4463</v>
      </c>
      <c r="O103" s="142"/>
      <c r="P103" s="141"/>
      <c r="U103" s="22">
        <v>0.41</v>
      </c>
    </row>
    <row r="104" customHeight="1" spans="1:21">
      <c r="A104" s="22" t="s">
        <v>4691</v>
      </c>
      <c r="B104" s="3"/>
      <c r="C104" s="3"/>
      <c r="D104" s="3"/>
      <c r="E104" s="3"/>
      <c r="F104" s="22" t="s">
        <v>4684</v>
      </c>
      <c r="G104" s="22" t="s">
        <v>4698</v>
      </c>
      <c r="H104" s="22"/>
      <c r="I104" s="22"/>
      <c r="J104" s="22"/>
      <c r="K104" s="22" t="s">
        <v>4462</v>
      </c>
      <c r="L104" s="22" t="s">
        <v>142</v>
      </c>
      <c r="M104" s="141">
        <v>0.270833333333333</v>
      </c>
      <c r="N104" s="22" t="s">
        <v>4463</v>
      </c>
      <c r="O104" s="142"/>
      <c r="P104" s="141"/>
      <c r="U104" s="22">
        <v>0.61</v>
      </c>
    </row>
    <row r="105" customHeight="1" spans="1:21">
      <c r="A105" s="22" t="s">
        <v>4699</v>
      </c>
      <c r="B105" s="3"/>
      <c r="C105" s="3"/>
      <c r="D105" s="3"/>
      <c r="E105" s="3"/>
      <c r="F105" s="22" t="s">
        <v>4684</v>
      </c>
      <c r="G105" s="22" t="s">
        <v>4698</v>
      </c>
      <c r="H105" s="22"/>
      <c r="I105" s="22"/>
      <c r="J105" s="22"/>
      <c r="K105" s="22" t="s">
        <v>4462</v>
      </c>
      <c r="L105" s="22" t="s">
        <v>142</v>
      </c>
      <c r="M105" s="141">
        <v>1.34426229508196</v>
      </c>
      <c r="N105" s="22" t="s">
        <v>4463</v>
      </c>
      <c r="O105" s="142"/>
      <c r="P105" s="141"/>
      <c r="U105" s="22">
        <v>1.43</v>
      </c>
    </row>
    <row r="106" customHeight="1" spans="1:21">
      <c r="A106" s="22" t="s">
        <v>1390</v>
      </c>
      <c r="B106" s="3"/>
      <c r="C106" s="3"/>
      <c r="D106" s="3"/>
      <c r="E106" s="3"/>
      <c r="F106" s="22" t="s">
        <v>4684</v>
      </c>
      <c r="G106" s="22" t="s">
        <v>4698</v>
      </c>
      <c r="H106" s="22"/>
      <c r="I106" s="22"/>
      <c r="J106" s="22"/>
      <c r="K106" s="22" t="s">
        <v>4462</v>
      </c>
      <c r="L106" s="22" t="s">
        <v>142</v>
      </c>
      <c r="M106" s="141">
        <v>0.270114942528735</v>
      </c>
      <c r="N106" s="22" t="s">
        <v>4463</v>
      </c>
      <c r="O106" s="142"/>
      <c r="P106" s="141"/>
      <c r="U106" s="22">
        <v>2.21</v>
      </c>
    </row>
    <row r="107" customHeight="1" spans="1:21">
      <c r="A107" s="22" t="s">
        <v>4700</v>
      </c>
      <c r="B107" s="3"/>
      <c r="C107" s="3"/>
      <c r="D107" s="3"/>
      <c r="E107" s="3"/>
      <c r="F107" s="22" t="s">
        <v>4684</v>
      </c>
      <c r="G107" s="22" t="s">
        <v>4701</v>
      </c>
      <c r="H107" s="22"/>
      <c r="I107" s="22"/>
      <c r="J107" s="22"/>
      <c r="K107" s="22" t="s">
        <v>4462</v>
      </c>
      <c r="L107" s="22" t="s">
        <v>142</v>
      </c>
      <c r="M107" s="141">
        <v>0.499999999999999</v>
      </c>
      <c r="N107" s="142">
        <v>44047</v>
      </c>
      <c r="O107" s="22" t="s">
        <v>4702</v>
      </c>
      <c r="P107" s="23" t="s">
        <v>4703</v>
      </c>
      <c r="U107" s="22">
        <v>0.24</v>
      </c>
    </row>
    <row r="108" customHeight="1" spans="1:21">
      <c r="A108" s="22" t="s">
        <v>4704</v>
      </c>
      <c r="B108" s="3"/>
      <c r="C108" s="3"/>
      <c r="D108" s="3"/>
      <c r="E108" s="3"/>
      <c r="F108" s="22" t="s">
        <v>4684</v>
      </c>
      <c r="G108" s="22" t="s">
        <v>4701</v>
      </c>
      <c r="H108" s="22"/>
      <c r="I108" s="22"/>
      <c r="J108" s="22"/>
      <c r="K108" s="22" t="s">
        <v>4462</v>
      </c>
      <c r="L108" s="22" t="s">
        <v>142</v>
      </c>
      <c r="M108" s="141">
        <v>0.291666666666666</v>
      </c>
      <c r="N108" s="22" t="s">
        <v>4463</v>
      </c>
      <c r="O108" s="142"/>
      <c r="P108" s="141"/>
      <c r="U108" s="22">
        <v>0.31</v>
      </c>
    </row>
    <row r="109" customHeight="1" spans="1:21">
      <c r="A109" s="22" t="s">
        <v>4705</v>
      </c>
      <c r="B109" s="3"/>
      <c r="C109" s="3"/>
      <c r="D109" s="3"/>
      <c r="E109" s="3"/>
      <c r="F109" s="22" t="s">
        <v>4684</v>
      </c>
      <c r="G109" s="22" t="s">
        <v>4701</v>
      </c>
      <c r="H109" s="22"/>
      <c r="I109" s="22"/>
      <c r="J109" s="22"/>
      <c r="K109" s="22" t="s">
        <v>4462</v>
      </c>
      <c r="L109" s="22" t="s">
        <v>142</v>
      </c>
      <c r="M109" s="141">
        <v>0.48780487804878</v>
      </c>
      <c r="N109" s="22" t="s">
        <v>4463</v>
      </c>
      <c r="O109" s="142"/>
      <c r="P109" s="141"/>
      <c r="U109" s="22">
        <v>0.61</v>
      </c>
    </row>
    <row r="110" customHeight="1" spans="1:21">
      <c r="A110" s="22" t="s">
        <v>4706</v>
      </c>
      <c r="B110" s="3"/>
      <c r="C110" s="3"/>
      <c r="D110" s="3"/>
      <c r="E110" s="3"/>
      <c r="F110" s="22" t="s">
        <v>4684</v>
      </c>
      <c r="G110" s="22" t="s">
        <v>4701</v>
      </c>
      <c r="H110" s="22"/>
      <c r="I110" s="22"/>
      <c r="J110" s="22"/>
      <c r="K110" s="22" t="s">
        <v>4462</v>
      </c>
      <c r="L110" s="22" t="s">
        <v>142</v>
      </c>
      <c r="M110" s="141">
        <v>0.639344262295082</v>
      </c>
      <c r="N110" s="22" t="s">
        <v>4463</v>
      </c>
      <c r="O110" s="142"/>
      <c r="P110" s="141"/>
      <c r="U110" s="22">
        <v>1</v>
      </c>
    </row>
    <row r="111" customHeight="1" spans="1:21">
      <c r="A111" s="22" t="s">
        <v>4707</v>
      </c>
      <c r="B111" s="3"/>
      <c r="C111" s="3"/>
      <c r="D111" s="3"/>
      <c r="E111" s="3"/>
      <c r="F111" s="22" t="s">
        <v>4708</v>
      </c>
      <c r="G111" s="22" t="s">
        <v>4709</v>
      </c>
      <c r="H111" s="22"/>
      <c r="I111" s="22"/>
      <c r="J111" s="22"/>
      <c r="K111" s="22" t="s">
        <v>1142</v>
      </c>
      <c r="L111" s="22" t="s">
        <v>142</v>
      </c>
      <c r="M111" s="141">
        <v>3.5625</v>
      </c>
      <c r="N111" s="142">
        <v>44151</v>
      </c>
      <c r="O111" s="22" t="s">
        <v>4710</v>
      </c>
      <c r="P111" s="23" t="s">
        <v>4711</v>
      </c>
      <c r="U111" s="22">
        <v>73</v>
      </c>
    </row>
    <row r="112" customHeight="1" spans="1:21">
      <c r="A112" s="22" t="s">
        <v>4712</v>
      </c>
      <c r="B112" s="3"/>
      <c r="C112" s="3"/>
      <c r="D112" s="3"/>
      <c r="E112" s="3"/>
      <c r="F112" s="22" t="s">
        <v>4708</v>
      </c>
      <c r="G112" s="22" t="s">
        <v>4709</v>
      </c>
      <c r="H112" s="22"/>
      <c r="I112" s="22"/>
      <c r="J112" s="22"/>
      <c r="K112" s="22" t="s">
        <v>1142</v>
      </c>
      <c r="L112" s="22" t="s">
        <v>142</v>
      </c>
      <c r="M112" s="141">
        <v>3.46987951807228</v>
      </c>
      <c r="N112" s="142">
        <v>44151</v>
      </c>
      <c r="O112" s="22" t="s">
        <v>4710</v>
      </c>
      <c r="P112" s="23" t="s">
        <v>4711</v>
      </c>
      <c r="U112" s="22">
        <v>371</v>
      </c>
    </row>
    <row r="113" customHeight="1" spans="1:21">
      <c r="A113" s="22" t="s">
        <v>4713</v>
      </c>
      <c r="B113" s="3"/>
      <c r="C113" s="3"/>
      <c r="D113" s="3"/>
      <c r="E113" s="3"/>
      <c r="F113" s="22" t="s">
        <v>4708</v>
      </c>
      <c r="G113" s="22" t="s">
        <v>4714</v>
      </c>
      <c r="H113" s="22"/>
      <c r="I113" s="22"/>
      <c r="J113" s="22"/>
      <c r="K113" s="22" t="s">
        <v>1142</v>
      </c>
      <c r="L113" s="22" t="s">
        <v>142</v>
      </c>
      <c r="M113" s="141">
        <v>0.921118680530656</v>
      </c>
      <c r="N113" s="142">
        <v>43711</v>
      </c>
      <c r="O113" s="22" t="s">
        <v>4715</v>
      </c>
      <c r="P113" s="23" t="s">
        <v>4716</v>
      </c>
      <c r="U113" s="22">
        <v>22</v>
      </c>
    </row>
    <row r="114" customHeight="1" spans="1:21">
      <c r="A114" s="22" t="s">
        <v>4717</v>
      </c>
      <c r="B114" s="3"/>
      <c r="C114" s="3"/>
      <c r="D114" s="3"/>
      <c r="E114" s="3"/>
      <c r="F114" s="22" t="s">
        <v>4708</v>
      </c>
      <c r="G114" s="22" t="s">
        <v>4714</v>
      </c>
      <c r="H114" s="22"/>
      <c r="I114" s="22"/>
      <c r="J114" s="22"/>
      <c r="K114" s="22" t="s">
        <v>1142</v>
      </c>
      <c r="L114" s="22" t="s">
        <v>142</v>
      </c>
      <c r="M114" s="141">
        <v>0.272727272727272</v>
      </c>
      <c r="N114" s="142">
        <v>43944</v>
      </c>
      <c r="O114" s="22" t="s">
        <v>4718</v>
      </c>
      <c r="P114" s="23" t="s">
        <v>4719</v>
      </c>
      <c r="U114" s="22">
        <v>16</v>
      </c>
    </row>
    <row r="115" customHeight="1" spans="1:21">
      <c r="A115" s="22" t="s">
        <v>4720</v>
      </c>
      <c r="B115" s="3"/>
      <c r="C115" s="3"/>
      <c r="D115" s="3"/>
      <c r="E115" s="3"/>
      <c r="F115" s="22" t="s">
        <v>4708</v>
      </c>
      <c r="G115" s="22" t="s">
        <v>4714</v>
      </c>
      <c r="H115" s="22"/>
      <c r="I115" s="22"/>
      <c r="J115" s="22"/>
      <c r="K115" s="22" t="s">
        <v>1142</v>
      </c>
      <c r="L115" s="22" t="s">
        <v>142</v>
      </c>
      <c r="M115" s="141">
        <v>0.25</v>
      </c>
      <c r="N115" s="142">
        <v>43944</v>
      </c>
      <c r="O115" s="22" t="s">
        <v>4718</v>
      </c>
      <c r="P115" s="23" t="s">
        <v>4719</v>
      </c>
      <c r="U115" s="22">
        <v>12</v>
      </c>
    </row>
    <row r="116" customHeight="1" spans="1:21">
      <c r="A116" s="22" t="s">
        <v>4721</v>
      </c>
      <c r="B116" s="3"/>
      <c r="C116" s="3"/>
      <c r="D116" s="3"/>
      <c r="E116" s="3"/>
      <c r="F116" s="22" t="s">
        <v>4722</v>
      </c>
      <c r="G116" s="22" t="s">
        <v>4723</v>
      </c>
      <c r="H116" s="22"/>
      <c r="I116" s="22"/>
      <c r="J116" s="22"/>
      <c r="K116" s="22" t="s">
        <v>4724</v>
      </c>
      <c r="L116" s="22" t="s">
        <v>142</v>
      </c>
      <c r="M116" s="141">
        <v>0.658031088082901</v>
      </c>
      <c r="N116" s="142">
        <v>43599</v>
      </c>
      <c r="O116" s="22" t="s">
        <v>4725</v>
      </c>
      <c r="P116" s="23" t="s">
        <v>4726</v>
      </c>
      <c r="U116" s="22">
        <v>3.2</v>
      </c>
    </row>
    <row r="117" customHeight="1" spans="1:21">
      <c r="A117" s="22" t="s">
        <v>4727</v>
      </c>
      <c r="B117" s="3"/>
      <c r="C117" s="3"/>
      <c r="D117" s="3"/>
      <c r="E117" s="3"/>
      <c r="F117" s="22" t="s">
        <v>4722</v>
      </c>
      <c r="G117" s="22" t="s">
        <v>4723</v>
      </c>
      <c r="H117" s="22"/>
      <c r="I117" s="22"/>
      <c r="J117" s="22"/>
      <c r="K117" s="22" t="s">
        <v>4724</v>
      </c>
      <c r="L117" s="22" t="s">
        <v>142</v>
      </c>
      <c r="M117" s="141">
        <v>0.285714285714285</v>
      </c>
      <c r="N117" s="142">
        <v>42335</v>
      </c>
      <c r="O117" s="22" t="s">
        <v>4728</v>
      </c>
      <c r="P117" s="23" t="s">
        <v>4729</v>
      </c>
      <c r="U117" s="22">
        <v>5.4</v>
      </c>
    </row>
    <row r="118" customHeight="1" spans="1:21">
      <c r="A118" s="22" t="s">
        <v>4730</v>
      </c>
      <c r="B118" s="3"/>
      <c r="C118" s="3"/>
      <c r="D118" s="3"/>
      <c r="E118" s="3"/>
      <c r="F118" s="22" t="s">
        <v>4722</v>
      </c>
      <c r="G118" s="22" t="s">
        <v>4723</v>
      </c>
      <c r="H118" s="22"/>
      <c r="I118" s="22"/>
      <c r="J118" s="22"/>
      <c r="K118" s="22" t="s">
        <v>4724</v>
      </c>
      <c r="L118" s="22" t="s">
        <v>142</v>
      </c>
      <c r="M118" s="141">
        <v>0.23076923076923</v>
      </c>
      <c r="N118" s="142">
        <v>43234</v>
      </c>
      <c r="O118" s="22" t="s">
        <v>4731</v>
      </c>
      <c r="P118" s="23" t="s">
        <v>4732</v>
      </c>
      <c r="U118" s="22">
        <v>9.6</v>
      </c>
    </row>
    <row r="119" customHeight="1" spans="1:21">
      <c r="A119" s="22" t="s">
        <v>4733</v>
      </c>
      <c r="B119" s="3"/>
      <c r="C119" s="3"/>
      <c r="D119" s="3"/>
      <c r="E119" s="3"/>
      <c r="F119" s="22" t="s">
        <v>4734</v>
      </c>
      <c r="G119" s="22" t="s">
        <v>4735</v>
      </c>
      <c r="H119" s="22"/>
      <c r="I119" s="22"/>
      <c r="J119" s="22"/>
      <c r="K119" s="22" t="s">
        <v>4736</v>
      </c>
      <c r="L119" s="22" t="s">
        <v>142</v>
      </c>
      <c r="M119" s="141">
        <v>5.875</v>
      </c>
      <c r="N119" s="142">
        <v>44032</v>
      </c>
      <c r="O119" s="22" t="s">
        <v>4737</v>
      </c>
      <c r="P119" s="23" t="s">
        <v>4738</v>
      </c>
      <c r="U119" s="22">
        <v>220</v>
      </c>
    </row>
    <row r="120" customHeight="1" spans="1:21">
      <c r="A120" s="22" t="s">
        <v>4739</v>
      </c>
      <c r="B120" s="3"/>
      <c r="C120" s="3"/>
      <c r="D120" s="3"/>
      <c r="E120" s="3"/>
      <c r="F120" s="22" t="s">
        <v>4740</v>
      </c>
      <c r="G120" s="22" t="s">
        <v>4741</v>
      </c>
      <c r="H120" s="22"/>
      <c r="I120" s="22"/>
      <c r="J120" s="22"/>
      <c r="K120" s="22" t="s">
        <v>4742</v>
      </c>
      <c r="L120" s="22" t="s">
        <v>142</v>
      </c>
      <c r="M120" s="141">
        <v>6.67820773930753</v>
      </c>
      <c r="N120" s="142">
        <v>43803</v>
      </c>
      <c r="O120" s="22" t="s">
        <v>4743</v>
      </c>
      <c r="P120" s="23" t="s">
        <v>4744</v>
      </c>
      <c r="U120" s="22">
        <v>377</v>
      </c>
    </row>
    <row r="121" customHeight="1" spans="1:21">
      <c r="A121" s="22" t="s">
        <v>4745</v>
      </c>
      <c r="B121" s="3"/>
      <c r="C121" s="3"/>
      <c r="D121" s="3"/>
      <c r="E121" s="3"/>
      <c r="F121" s="22" t="s">
        <v>4746</v>
      </c>
      <c r="G121" s="22" t="s">
        <v>4747</v>
      </c>
      <c r="H121" s="22"/>
      <c r="I121" s="22"/>
      <c r="J121" s="22"/>
      <c r="K121" s="22" t="s">
        <v>4748</v>
      </c>
      <c r="L121" s="22" t="s">
        <v>142</v>
      </c>
      <c r="M121" s="141">
        <v>0.220741807706157</v>
      </c>
      <c r="N121" s="142">
        <v>44182</v>
      </c>
      <c r="O121" s="22" t="s">
        <v>4749</v>
      </c>
      <c r="P121" s="23" t="s">
        <v>4750</v>
      </c>
      <c r="U121" s="22">
        <v>3.39</v>
      </c>
    </row>
    <row r="122" customHeight="1" spans="1:21">
      <c r="A122" s="22" t="s">
        <v>4751</v>
      </c>
      <c r="B122" s="3"/>
      <c r="C122" s="3"/>
      <c r="D122" s="3"/>
      <c r="E122" s="3"/>
      <c r="F122" s="22" t="s">
        <v>4752</v>
      </c>
      <c r="G122" s="22" t="s">
        <v>4753</v>
      </c>
      <c r="H122" s="22"/>
      <c r="I122" s="22"/>
      <c r="J122" s="22"/>
      <c r="K122" s="22" t="s">
        <v>4754</v>
      </c>
      <c r="L122" s="22" t="s">
        <v>142</v>
      </c>
      <c r="M122" s="141">
        <v>7.97420798492521</v>
      </c>
      <c r="N122" s="142">
        <v>43374</v>
      </c>
      <c r="O122" s="22" t="s">
        <v>4755</v>
      </c>
      <c r="P122" s="23" t="s">
        <v>4756</v>
      </c>
      <c r="U122" s="149">
        <v>7.62</v>
      </c>
    </row>
    <row r="123" customHeight="1" spans="1:21">
      <c r="A123" s="22" t="s">
        <v>4757</v>
      </c>
      <c r="B123" s="3"/>
      <c r="C123" s="3"/>
      <c r="D123" s="3"/>
      <c r="E123" s="3"/>
      <c r="F123" s="22" t="s">
        <v>4758</v>
      </c>
      <c r="G123" s="22" t="s">
        <v>4759</v>
      </c>
      <c r="H123" s="22"/>
      <c r="I123" s="22"/>
      <c r="J123" s="22"/>
      <c r="K123" s="22" t="s">
        <v>4760</v>
      </c>
      <c r="L123" s="22" t="s">
        <v>142</v>
      </c>
      <c r="M123" s="141">
        <v>0.209699146834306</v>
      </c>
      <c r="N123" s="142">
        <v>43564</v>
      </c>
      <c r="O123" s="22" t="s">
        <v>4761</v>
      </c>
      <c r="P123" s="23" t="s">
        <v>4762</v>
      </c>
      <c r="U123" s="22">
        <v>0.5388</v>
      </c>
    </row>
    <row r="124" customHeight="1" spans="1:21">
      <c r="A124" s="22" t="s">
        <v>4763</v>
      </c>
      <c r="B124" s="3"/>
      <c r="C124" s="3"/>
      <c r="D124" s="3"/>
      <c r="E124" s="3"/>
      <c r="F124" s="22" t="s">
        <v>4764</v>
      </c>
      <c r="G124" s="22" t="s">
        <v>4765</v>
      </c>
      <c r="H124" s="22"/>
      <c r="I124" s="22"/>
      <c r="J124" s="22"/>
      <c r="K124" s="22" t="s">
        <v>4766</v>
      </c>
      <c r="L124" s="22" t="s">
        <v>142</v>
      </c>
      <c r="M124" s="141">
        <v>56.9628691983122</v>
      </c>
      <c r="N124" s="22" t="s">
        <v>4463</v>
      </c>
      <c r="U124" s="22">
        <v>686.86</v>
      </c>
    </row>
    <row r="125" customHeight="1" spans="1:21">
      <c r="A125" s="22" t="s">
        <v>4767</v>
      </c>
      <c r="B125" s="3"/>
      <c r="C125" s="3"/>
      <c r="D125" s="3"/>
      <c r="E125" s="3"/>
      <c r="F125" s="22" t="s">
        <v>4764</v>
      </c>
      <c r="G125" s="22" t="s">
        <v>4765</v>
      </c>
      <c r="H125" s="22"/>
      <c r="I125" s="22"/>
      <c r="J125" s="22"/>
      <c r="K125" s="22" t="s">
        <v>4766</v>
      </c>
      <c r="L125" s="22" t="s">
        <v>142</v>
      </c>
      <c r="M125" s="141">
        <v>0.545037197176829</v>
      </c>
      <c r="N125" s="22" t="s">
        <v>4463</v>
      </c>
      <c r="U125" s="22">
        <v>1214.94</v>
      </c>
    </row>
    <row r="126" customHeight="1" spans="1:21">
      <c r="A126" s="22" t="s">
        <v>4763</v>
      </c>
      <c r="B126" s="3"/>
      <c r="C126" s="3"/>
      <c r="D126" s="3"/>
      <c r="E126" s="3"/>
      <c r="F126" s="22" t="s">
        <v>4764</v>
      </c>
      <c r="G126" s="22" t="s">
        <v>4768</v>
      </c>
      <c r="H126" s="22"/>
      <c r="I126" s="22"/>
      <c r="J126" s="22"/>
      <c r="K126" s="22" t="s">
        <v>4766</v>
      </c>
      <c r="L126" s="22" t="s">
        <v>142</v>
      </c>
      <c r="M126" s="141">
        <v>0.986842105263157</v>
      </c>
      <c r="N126" s="22" t="s">
        <v>4463</v>
      </c>
      <c r="U126" s="22">
        <v>0.01</v>
      </c>
    </row>
    <row r="127" customHeight="1" spans="1:21">
      <c r="A127" s="22" t="s">
        <v>4769</v>
      </c>
      <c r="B127" s="3"/>
      <c r="C127" s="3"/>
      <c r="D127" s="3"/>
      <c r="E127" s="3"/>
      <c r="F127" s="22" t="s">
        <v>4770</v>
      </c>
      <c r="G127" s="22" t="s">
        <v>4771</v>
      </c>
      <c r="H127" s="22"/>
      <c r="I127" s="22"/>
      <c r="J127" s="22"/>
      <c r="K127" s="22" t="s">
        <v>4772</v>
      </c>
      <c r="L127" s="22" t="s">
        <v>142</v>
      </c>
      <c r="M127" s="141">
        <v>0.248756218905472</v>
      </c>
      <c r="N127" s="22" t="s">
        <v>4463</v>
      </c>
      <c r="U127" s="22">
        <v>6.04</v>
      </c>
    </row>
    <row r="128" customHeight="1" spans="1:21">
      <c r="A128" s="22" t="s">
        <v>4773</v>
      </c>
      <c r="B128" s="3"/>
      <c r="C128" s="3"/>
      <c r="D128" s="3"/>
      <c r="E128" s="3"/>
      <c r="F128" s="22" t="s">
        <v>4770</v>
      </c>
      <c r="G128" s="22" t="s">
        <v>4771</v>
      </c>
      <c r="H128" s="22"/>
      <c r="I128" s="22"/>
      <c r="J128" s="22"/>
      <c r="K128" s="22" t="s">
        <v>4772</v>
      </c>
      <c r="L128" s="22" t="s">
        <v>142</v>
      </c>
      <c r="M128" s="141">
        <v>0.266556291390728</v>
      </c>
      <c r="N128" s="22" t="s">
        <v>4463</v>
      </c>
      <c r="U128" s="22">
        <v>4.43</v>
      </c>
    </row>
    <row r="129" customHeight="1" spans="1:21">
      <c r="A129" s="22" t="s">
        <v>4774</v>
      </c>
      <c r="B129" s="3"/>
      <c r="C129" s="3"/>
      <c r="D129" s="3"/>
      <c r="E129" s="3"/>
      <c r="F129" s="22" t="s">
        <v>4770</v>
      </c>
      <c r="G129" s="22" t="s">
        <v>4771</v>
      </c>
      <c r="H129" s="22"/>
      <c r="I129" s="22"/>
      <c r="J129" s="22"/>
      <c r="K129" s="22" t="s">
        <v>4772</v>
      </c>
      <c r="L129" s="22" t="s">
        <v>142</v>
      </c>
      <c r="M129" s="141">
        <v>0.528350515463917</v>
      </c>
      <c r="N129" s="22" t="s">
        <v>4463</v>
      </c>
      <c r="U129" s="22">
        <v>1.83</v>
      </c>
    </row>
    <row r="130" customHeight="1" spans="1:21">
      <c r="A130" s="22" t="s">
        <v>4769</v>
      </c>
      <c r="B130" s="3"/>
      <c r="C130" s="3"/>
      <c r="D130" s="3"/>
      <c r="E130" s="3"/>
      <c r="F130" s="22" t="s">
        <v>4770</v>
      </c>
      <c r="G130" s="22" t="s">
        <v>4775</v>
      </c>
      <c r="H130" s="22"/>
      <c r="I130" s="22"/>
      <c r="J130" s="22"/>
      <c r="K130" s="22" t="s">
        <v>4772</v>
      </c>
      <c r="L130" s="22" t="s">
        <v>142</v>
      </c>
      <c r="M130" s="141">
        <v>0.289200415368639</v>
      </c>
      <c r="N130" s="22" t="s">
        <v>4463</v>
      </c>
      <c r="U130" s="22">
        <v>41.07</v>
      </c>
    </row>
    <row r="131" customHeight="1" spans="1:21">
      <c r="A131" s="22" t="s">
        <v>4580</v>
      </c>
      <c r="B131" s="3"/>
      <c r="C131" s="3"/>
      <c r="D131" s="3"/>
      <c r="E131" s="3"/>
      <c r="F131" s="22" t="s">
        <v>4770</v>
      </c>
      <c r="G131" s="22" t="s">
        <v>4775</v>
      </c>
      <c r="H131" s="22"/>
      <c r="I131" s="22"/>
      <c r="J131" s="22"/>
      <c r="K131" s="22" t="s">
        <v>4772</v>
      </c>
      <c r="L131" s="22" t="s">
        <v>142</v>
      </c>
      <c r="M131" s="141">
        <v>0.347670250896057</v>
      </c>
      <c r="N131" s="22" t="s">
        <v>4463</v>
      </c>
      <c r="U131" s="22">
        <v>25.48</v>
      </c>
    </row>
    <row r="132" customHeight="1" spans="1:21">
      <c r="A132" s="22" t="s">
        <v>4774</v>
      </c>
      <c r="B132" s="3"/>
      <c r="C132" s="3"/>
      <c r="D132" s="3"/>
      <c r="E132" s="3"/>
      <c r="F132" s="22" t="s">
        <v>4770</v>
      </c>
      <c r="G132" s="22" t="s">
        <v>4775</v>
      </c>
      <c r="H132" s="22"/>
      <c r="I132" s="22"/>
      <c r="J132" s="22"/>
      <c r="K132" s="22" t="s">
        <v>4772</v>
      </c>
      <c r="L132" s="22" t="s">
        <v>142</v>
      </c>
      <c r="M132" s="141">
        <v>0.278649921507064</v>
      </c>
      <c r="N132" s="22" t="s">
        <v>4463</v>
      </c>
      <c r="U132" s="22">
        <v>18.38</v>
      </c>
    </row>
    <row r="133" customHeight="1" spans="1:21">
      <c r="A133" s="22" t="s">
        <v>4773</v>
      </c>
      <c r="B133" s="3"/>
      <c r="C133" s="3"/>
      <c r="D133" s="3"/>
      <c r="E133" s="3"/>
      <c r="F133" s="22" t="s">
        <v>4770</v>
      </c>
      <c r="G133" s="22" t="s">
        <v>4776</v>
      </c>
      <c r="H133" s="22"/>
      <c r="I133" s="22"/>
      <c r="J133" s="22"/>
      <c r="K133" s="22" t="s">
        <v>4772</v>
      </c>
      <c r="L133" s="22" t="s">
        <v>142</v>
      </c>
      <c r="M133" s="141">
        <v>0.231124348473566</v>
      </c>
      <c r="N133" s="22" t="s">
        <v>4463</v>
      </c>
      <c r="U133" s="22">
        <v>51.63</v>
      </c>
    </row>
    <row r="134" customHeight="1" spans="1:21">
      <c r="A134" s="22" t="s">
        <v>4774</v>
      </c>
      <c r="B134" s="3"/>
      <c r="C134" s="3"/>
      <c r="D134" s="3"/>
      <c r="E134" s="3"/>
      <c r="F134" s="22" t="s">
        <v>4770</v>
      </c>
      <c r="G134" s="22" t="s">
        <v>4776</v>
      </c>
      <c r="H134" s="22"/>
      <c r="I134" s="22"/>
      <c r="J134" s="22"/>
      <c r="K134" s="22" t="s">
        <v>4772</v>
      </c>
      <c r="L134" s="22" t="s">
        <v>142</v>
      </c>
      <c r="M134" s="141">
        <v>0.640945497167415</v>
      </c>
      <c r="N134" s="22" t="s">
        <v>4463</v>
      </c>
      <c r="U134" s="22">
        <v>18.38</v>
      </c>
    </row>
    <row r="135" customHeight="1" spans="1:21">
      <c r="A135" s="22" t="s">
        <v>4769</v>
      </c>
      <c r="B135" s="3"/>
      <c r="C135" s="3"/>
      <c r="D135" s="3"/>
      <c r="E135" s="3"/>
      <c r="F135" s="22" t="s">
        <v>4770</v>
      </c>
      <c r="G135" s="22" t="s">
        <v>4777</v>
      </c>
      <c r="H135" s="22"/>
      <c r="I135" s="22"/>
      <c r="J135" s="22"/>
      <c r="K135" s="22" t="s">
        <v>4772</v>
      </c>
      <c r="L135" s="22" t="s">
        <v>142</v>
      </c>
      <c r="M135" s="141">
        <v>0.203296703296703</v>
      </c>
      <c r="N135" s="22" t="s">
        <v>4463</v>
      </c>
      <c r="U135" s="22">
        <v>7.25</v>
      </c>
    </row>
    <row r="136" customHeight="1" spans="1:21">
      <c r="A136" s="22" t="s">
        <v>4773</v>
      </c>
      <c r="B136" s="3"/>
      <c r="C136" s="3"/>
      <c r="D136" s="3"/>
      <c r="E136" s="3"/>
      <c r="F136" s="22" t="s">
        <v>4770</v>
      </c>
      <c r="G136" s="22" t="s">
        <v>4777</v>
      </c>
      <c r="H136" s="22"/>
      <c r="I136" s="22"/>
      <c r="J136" s="22"/>
      <c r="K136" s="22" t="s">
        <v>4772</v>
      </c>
      <c r="L136" s="22" t="s">
        <v>142</v>
      </c>
      <c r="M136" s="141">
        <v>0.337931034482758</v>
      </c>
      <c r="N136" s="22" t="s">
        <v>4463</v>
      </c>
      <c r="U136" s="22">
        <v>4.8</v>
      </c>
    </row>
    <row r="137" customHeight="1" spans="1:21">
      <c r="A137" s="22" t="s">
        <v>4774</v>
      </c>
      <c r="B137" s="3"/>
      <c r="C137" s="3"/>
      <c r="D137" s="3"/>
      <c r="E137" s="3"/>
      <c r="F137" s="22" t="s">
        <v>4770</v>
      </c>
      <c r="G137" s="22" t="s">
        <v>4777</v>
      </c>
      <c r="H137" s="22"/>
      <c r="I137" s="22"/>
      <c r="J137" s="22"/>
      <c r="K137" s="22" t="s">
        <v>4772</v>
      </c>
      <c r="L137" s="22" t="s">
        <v>142</v>
      </c>
      <c r="M137" s="141">
        <v>0.506637168141592</v>
      </c>
      <c r="N137" s="22" t="s">
        <v>4463</v>
      </c>
      <c r="U137" s="22">
        <v>2.23</v>
      </c>
    </row>
    <row r="138" customHeight="1" spans="1:21">
      <c r="A138" s="22" t="s">
        <v>4778</v>
      </c>
      <c r="B138" s="3"/>
      <c r="C138" s="3"/>
      <c r="D138" s="3"/>
      <c r="E138" s="3"/>
      <c r="F138" s="22" t="s">
        <v>4779</v>
      </c>
      <c r="G138" s="22" t="s">
        <v>4780</v>
      </c>
      <c r="H138" s="22"/>
      <c r="I138" s="22"/>
      <c r="J138" s="22"/>
      <c r="K138" s="22" t="s">
        <v>4462</v>
      </c>
      <c r="L138" s="22" t="s">
        <v>142</v>
      </c>
      <c r="M138" s="141">
        <v>0.36231884057971</v>
      </c>
      <c r="N138" s="22" t="s">
        <v>4463</v>
      </c>
      <c r="U138" s="22">
        <v>0.44</v>
      </c>
    </row>
  </sheetData>
  <hyperlinks>
    <hyperlink ref="P4" r:id="rId3" display="https://arxiv.org/abs/1904.10281v3"/>
    <hyperlink ref="P5" r:id="rId4" display="https://arxiv.org/abs/1905.10702v8"/>
    <hyperlink ref="P6" r:id="rId5" display="https://ieeexplore.ieee.org/abstract/document/8946600"/>
    <hyperlink ref="P7" r:id="rId6" display="http://arxiv.org/abs/1808.04122v3"/>
    <hyperlink ref="P8" r:id="rId7" display="https://arxiv.org/abs/1909.03193v2"/>
    <hyperlink ref="P9" r:id="rId3" display="https://arxiv.org/abs/1904.10281v3"/>
    <hyperlink ref="P13" r:id="rId8" display="https://arxiv.org/abs/2002.09053v2"/>
    <hyperlink ref="P15" r:id="rId9" display="https://arxiv.org/abs/1904.03288v3"/>
    <hyperlink ref="P16" r:id="rId10" display="http://arxiv.org/abs/1902.09326v3"/>
    <hyperlink ref="P19" r:id="rId11" display="https://arxiv.org/abs/2006.06676v2"/>
    <hyperlink ref="P20" r:id="rId12" display="https://arxiv.org/abs/2006.13026v2"/>
    <hyperlink ref="P21" r:id="rId13" display="https://arxiv.org/abs/2011.13074v2"/>
    <hyperlink ref="P22" r:id="rId14" display="https://arxiv.org/abs/1912.08562v2"/>
    <hyperlink ref="P23" r:id="rId15" display="http://arxiv.org/abs/1701.08398v4"/>
    <hyperlink ref="P24" r:id="rId16" display="http://arxiv.org/abs/1802.08122v1"/>
    <hyperlink ref="P25" r:id="rId17" display="https://arxiv.org/abs/2010.11631v1"/>
    <hyperlink ref="P30" r:id="rId18" display="http://arxiv.org/abs/1807.09190v2"/>
    <hyperlink ref="P31" r:id="rId19" display="http://arxiv.org/abs/1902.09513v2"/>
    <hyperlink ref="P32" r:id="rId20" display="https://ieeexplore.ieee.org/document/9356697"/>
    <hyperlink ref="P33" r:id="rId19" display="http://arxiv.org/abs/1902.09513v2"/>
    <hyperlink ref="P34" r:id="rId21" display="https://arxiv.org/abs/1911.12836v2"/>
    <hyperlink ref="P35" r:id="rId22" display="https://arxiv.org/abs/1812.05050v2"/>
    <hyperlink ref="P36" r:id="rId23" display="http://openaccess.thecvf.com/content_iccv_2015/html/Perazzi_Fully_Connected_Object_ICCV_2015_paper.html"/>
    <hyperlink ref="P37" r:id="rId24" display="http://arxiv.org/abs/1704.05737v2"/>
    <hyperlink ref="P40" r:id="rId25" display="https://arxiv.org/abs/1909.12064v3"/>
    <hyperlink ref="P41" r:id="rId26" display="https://arxiv.org/abs/1907.03907v1"/>
    <hyperlink ref="P42" r:id="rId25" display="https://arxiv.org/abs/1909.12064v3"/>
    <hyperlink ref="P43" r:id="rId27" display="https://arxiv.org/abs/2005.08199v2"/>
    <hyperlink ref="P44" r:id="rId27" display="https://arxiv.org/abs/2005.08199v2"/>
    <hyperlink ref="P45" r:id="rId28" display="https://ieeexplore.ieee.org/abstract/document/8852469"/>
    <hyperlink ref="P46" r:id="rId28" display="https://ieeexplore.ieee.org/abstract/document/8852469"/>
    <hyperlink ref="P47" r:id="rId29" display="https://www.aaai.org/ocs/index.php/AAAI/AAAI18/paper/view/16133"/>
    <hyperlink ref="P48" r:id="rId30" display="https://arxiv.org/abs/2004.02147v1"/>
    <hyperlink ref="P49" r:id="rId31" display="https://arxiv.org/abs/2101.06085v1"/>
    <hyperlink ref="P50" r:id="rId32" display="https://arxiv.org/abs/2101.10837v1"/>
    <hyperlink ref="P61" r:id="rId33" display="https://arxiv.org/abs/2008.09285v2"/>
    <hyperlink ref="P67" r:id="rId33" display="https://arxiv.org/abs/2008.09285v2"/>
    <hyperlink ref="P75" r:id="rId34" display="https://arxiv.org/abs/2007.00643v2"/>
    <hyperlink ref="P76" r:id="rId35" display="https://arxiv.org/abs/2102.08099v1"/>
    <hyperlink ref="P77" r:id="rId36" display="http://arxiv.org/abs/1802.07191v3"/>
    <hyperlink ref="P78" r:id="rId37" display="http://arxiv.org/abs/1802.01548v7"/>
    <hyperlink ref="P79" r:id="rId35" display="https://arxiv.org/abs/2102.08099v1"/>
    <hyperlink ref="P80" r:id="rId35" display="https://arxiv.org/abs/2102.08099v1"/>
    <hyperlink ref="P81" r:id="rId38" display="https://arxiv.org/abs/2006.04647v2"/>
    <hyperlink ref="P82" r:id="rId39" display="https://arxiv.org/abs/1912.00195v2"/>
    <hyperlink ref="P83" r:id="rId40" display="https://arxiv.org/abs/1910.04465v2"/>
    <hyperlink ref="P84" r:id="rId35" display="https://arxiv.org/abs/2102.08099v1"/>
    <hyperlink ref="P85" r:id="rId41" display="https://arxiv.org/abs/1706.10295v3"/>
    <hyperlink ref="P86" r:id="rId42" display="http://arxiv.org/abs/1512.04860v1"/>
    <hyperlink ref="P87" r:id="rId43" display="https://arxiv.org/abs/2102.09407v1"/>
    <hyperlink ref="P88" r:id="rId44" display="https://arxiv.org/abs/1911.08265v2"/>
    <hyperlink ref="P89" r:id="rId45" display="http://arxiv.org/abs/1602.01783v2"/>
    <hyperlink ref="P90" r:id="rId45" display="http://arxiv.org/abs/1602.01783v2"/>
    <hyperlink ref="P91" r:id="rId46" display="https://arxiv.org/abs/2004.04136v4"/>
    <hyperlink ref="P107" r:id="rId47" display="https://arxiv.org/abs/2008.01550v1"/>
    <hyperlink ref="P111" r:id="rId48" display="https://arxiv.org/abs/2011.08036v2"/>
    <hyperlink ref="P112" r:id="rId48" display="https://arxiv.org/abs/2011.08036v2"/>
    <hyperlink ref="P113" r:id="rId49" display="https://arxiv.org/abs/1909.00948v1"/>
    <hyperlink ref="P114" r:id="rId50" display="https://arxiv.org/abs/2004.10934v1"/>
    <hyperlink ref="P115" r:id="rId50" display="https://arxiv.org/abs/2004.10934v1"/>
    <hyperlink ref="P116" r:id="rId51" display="https://arxiv.org/abs/1905.05583v3"/>
    <hyperlink ref="P117" r:id="rId52" display="http://arxiv.org/abs/1511.08630v2"/>
    <hyperlink ref="P118" r:id="rId53" display="http://arxiv.org/abs/1805.05388v1"/>
    <hyperlink ref="P119" r:id="rId54" display="https://arxiv.org/abs/2007.10042v1"/>
    <hyperlink ref="P120" r:id="rId55" display="https://arxiv.org/abs/1912.01954v2"/>
    <hyperlink ref="P121" r:id="rId56" display="https://arxiv.org/abs/2012.09408v1"/>
    <hyperlink ref="P122" r:id="rId57" display="http://arxiv.org/abs/1810.00826v3"/>
    <hyperlink ref="P123" r:id="rId58" display="http://arxiv.org/abs/1904.04447v1"/>
  </hyperlink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O40"/>
  <sheetViews>
    <sheetView workbookViewId="0">
      <pane ySplit="1" topLeftCell="A2" activePane="bottomLeft" state="frozen"/>
      <selection/>
      <selection pane="bottomLeft" activeCell="B3" sqref="B3"/>
    </sheetView>
  </sheetViews>
  <sheetFormatPr defaultColWidth="12.6285714285714" defaultRowHeight="15.75" customHeight="1"/>
  <sheetData>
    <row r="1" customHeight="1" spans="1:41">
      <c r="A1" s="113" t="s">
        <v>0</v>
      </c>
      <c r="B1" s="113" t="s">
        <v>3</v>
      </c>
      <c r="C1" s="113" t="s">
        <v>5</v>
      </c>
      <c r="D1" s="113" t="s">
        <v>23</v>
      </c>
      <c r="E1" s="113" t="s">
        <v>1</v>
      </c>
      <c r="F1" s="113" t="s">
        <v>2</v>
      </c>
      <c r="G1" s="113" t="s">
        <v>25</v>
      </c>
      <c r="H1" s="113" t="s">
        <v>11</v>
      </c>
      <c r="I1" s="113" t="s">
        <v>4243</v>
      </c>
      <c r="J1" s="113" t="s">
        <v>6</v>
      </c>
      <c r="K1" s="113" t="s">
        <v>8</v>
      </c>
      <c r="L1" s="113" t="s">
        <v>9</v>
      </c>
      <c r="M1" s="113" t="s">
        <v>17</v>
      </c>
      <c r="N1" s="116" t="s">
        <v>13</v>
      </c>
      <c r="O1" s="113" t="s">
        <v>20</v>
      </c>
      <c r="P1" s="113" t="s">
        <v>4781</v>
      </c>
      <c r="Q1" s="113" t="s">
        <v>21</v>
      </c>
      <c r="R1" s="135" t="s">
        <v>4782</v>
      </c>
      <c r="S1" s="113" t="s">
        <v>4783</v>
      </c>
      <c r="T1" s="113" t="s">
        <v>22</v>
      </c>
      <c r="U1" s="116" t="s">
        <v>16</v>
      </c>
      <c r="V1" s="113" t="s">
        <v>2514</v>
      </c>
      <c r="W1" s="4"/>
      <c r="X1" s="4"/>
      <c r="Y1" s="4"/>
      <c r="Z1" s="4"/>
      <c r="AA1" s="4"/>
      <c r="AB1" s="4"/>
      <c r="AC1" s="4"/>
      <c r="AD1" s="4"/>
      <c r="AE1" s="4"/>
      <c r="AF1" s="4"/>
      <c r="AG1" s="4"/>
      <c r="AH1" s="4"/>
      <c r="AI1" s="4"/>
      <c r="AJ1" s="4"/>
      <c r="AK1" s="4"/>
      <c r="AL1" s="4"/>
      <c r="AM1" s="4"/>
      <c r="AN1" s="4"/>
      <c r="AO1" s="4"/>
    </row>
    <row r="2" customHeight="1" spans="1:41">
      <c r="A2" s="114" t="s">
        <v>4784</v>
      </c>
      <c r="B2" s="114"/>
      <c r="C2" s="114"/>
      <c r="D2" s="115"/>
      <c r="E2" s="114" t="s">
        <v>256</v>
      </c>
      <c r="F2" s="114" t="s">
        <v>2518</v>
      </c>
      <c r="G2" s="115"/>
      <c r="H2" s="114" t="s">
        <v>1923</v>
      </c>
      <c r="I2" s="115"/>
      <c r="J2" s="117">
        <v>18210</v>
      </c>
      <c r="K2" s="114" t="s">
        <v>4785</v>
      </c>
      <c r="L2" s="118" t="s">
        <v>4786</v>
      </c>
      <c r="M2" s="119"/>
      <c r="N2" s="119"/>
      <c r="O2" s="114"/>
      <c r="P2" s="114"/>
      <c r="Q2" s="114"/>
      <c r="R2" s="136"/>
      <c r="S2" s="114"/>
      <c r="T2" s="114"/>
      <c r="U2" s="121"/>
      <c r="V2" s="115"/>
      <c r="W2" s="114"/>
      <c r="X2" s="114"/>
      <c r="Y2" s="114"/>
      <c r="Z2" s="114"/>
      <c r="AA2" s="114"/>
      <c r="AB2" s="114"/>
      <c r="AC2" s="114"/>
      <c r="AD2" s="114"/>
      <c r="AE2" s="114"/>
      <c r="AF2" s="114"/>
      <c r="AG2" s="114"/>
      <c r="AH2" s="114"/>
      <c r="AI2" s="114"/>
      <c r="AJ2" s="114"/>
      <c r="AK2" s="114"/>
      <c r="AL2" s="114"/>
      <c r="AM2" s="114"/>
      <c r="AN2" s="114"/>
      <c r="AO2" s="114"/>
    </row>
    <row r="3" customHeight="1" spans="1:41">
      <c r="A3" s="114" t="s">
        <v>4787</v>
      </c>
      <c r="B3" s="114"/>
      <c r="C3" s="114"/>
      <c r="D3" s="115"/>
      <c r="E3" s="114"/>
      <c r="F3" s="114"/>
      <c r="G3" s="115"/>
      <c r="H3" s="114"/>
      <c r="I3" s="115"/>
      <c r="J3" s="120"/>
      <c r="K3" s="114"/>
      <c r="L3" s="114"/>
      <c r="M3" s="121"/>
      <c r="N3" s="121"/>
      <c r="O3" s="114"/>
      <c r="P3" s="114"/>
      <c r="Q3" s="114"/>
      <c r="R3" s="136"/>
      <c r="S3" s="114"/>
      <c r="T3" s="114"/>
      <c r="U3" s="121"/>
      <c r="V3" s="115"/>
      <c r="W3" s="114"/>
      <c r="X3" s="114"/>
      <c r="Y3" s="114"/>
      <c r="Z3" s="114"/>
      <c r="AA3" s="114"/>
      <c r="AB3" s="114"/>
      <c r="AC3" s="114"/>
      <c r="AD3" s="114"/>
      <c r="AE3" s="114"/>
      <c r="AF3" s="114"/>
      <c r="AG3" s="114"/>
      <c r="AH3" s="114"/>
      <c r="AI3" s="114"/>
      <c r="AJ3" s="114"/>
      <c r="AK3" s="114"/>
      <c r="AL3" s="114"/>
      <c r="AM3" s="114"/>
      <c r="AN3" s="114"/>
      <c r="AO3" s="114"/>
    </row>
    <row r="4" customHeight="1" spans="1:41">
      <c r="A4" s="114" t="s">
        <v>4788</v>
      </c>
      <c r="B4" s="114"/>
      <c r="C4" s="114"/>
      <c r="D4" s="115"/>
      <c r="E4" s="114"/>
      <c r="F4" s="114"/>
      <c r="G4" s="115"/>
      <c r="H4" s="114" t="s">
        <v>454</v>
      </c>
      <c r="I4" s="115"/>
      <c r="J4" s="122">
        <v>1953</v>
      </c>
      <c r="K4" s="114" t="s">
        <v>4789</v>
      </c>
      <c r="L4" s="118" t="s">
        <v>4790</v>
      </c>
      <c r="M4" s="119"/>
      <c r="N4" s="119"/>
      <c r="O4" s="114"/>
      <c r="P4" s="114"/>
      <c r="Q4" s="114"/>
      <c r="R4" s="136"/>
      <c r="S4" s="114"/>
      <c r="T4" s="114"/>
      <c r="U4" s="121"/>
      <c r="V4" s="115"/>
      <c r="W4" s="114"/>
      <c r="X4" s="114"/>
      <c r="Y4" s="114"/>
      <c r="Z4" s="114"/>
      <c r="AA4" s="114"/>
      <c r="AB4" s="114"/>
      <c r="AC4" s="114"/>
      <c r="AD4" s="114"/>
      <c r="AE4" s="114"/>
      <c r="AF4" s="114"/>
      <c r="AG4" s="114"/>
      <c r="AH4" s="114"/>
      <c r="AI4" s="114"/>
      <c r="AJ4" s="114"/>
      <c r="AK4" s="114"/>
      <c r="AL4" s="114"/>
      <c r="AM4" s="114"/>
      <c r="AN4" s="114"/>
      <c r="AO4" s="114"/>
    </row>
    <row r="5" customHeight="1" spans="1:41">
      <c r="A5" s="114" t="s">
        <v>4791</v>
      </c>
      <c r="B5" s="114"/>
      <c r="C5" s="114"/>
      <c r="D5" s="115"/>
      <c r="E5" s="114" t="s">
        <v>51</v>
      </c>
      <c r="F5" s="114" t="s">
        <v>144</v>
      </c>
      <c r="G5" s="115"/>
      <c r="H5" s="114" t="s">
        <v>1923</v>
      </c>
      <c r="I5" s="114" t="s">
        <v>4792</v>
      </c>
      <c r="J5" s="117">
        <v>19725</v>
      </c>
      <c r="K5" s="114" t="s">
        <v>4793</v>
      </c>
      <c r="L5" s="123" t="s">
        <v>4794</v>
      </c>
      <c r="M5" s="124" t="s">
        <v>1546</v>
      </c>
      <c r="N5" s="124" t="s">
        <v>1546</v>
      </c>
      <c r="O5" s="114"/>
      <c r="P5" s="114"/>
      <c r="Q5" s="114"/>
      <c r="R5" s="136"/>
      <c r="S5" s="114"/>
      <c r="T5" s="114"/>
      <c r="U5" s="124"/>
      <c r="V5" s="115"/>
      <c r="W5" s="114"/>
      <c r="X5" s="114"/>
      <c r="Y5" s="114"/>
      <c r="Z5" s="114"/>
      <c r="AA5" s="114"/>
      <c r="AB5" s="114"/>
      <c r="AC5" s="114"/>
      <c r="AD5" s="114"/>
      <c r="AE5" s="114"/>
      <c r="AF5" s="114"/>
      <c r="AG5" s="114"/>
      <c r="AH5" s="114"/>
      <c r="AI5" s="114"/>
      <c r="AJ5" s="114"/>
      <c r="AK5" s="114"/>
      <c r="AL5" s="114"/>
      <c r="AM5" s="114"/>
      <c r="AN5" s="114"/>
      <c r="AO5" s="114"/>
    </row>
    <row r="6" customHeight="1" spans="1:41">
      <c r="A6" s="114" t="s">
        <v>4795</v>
      </c>
      <c r="B6" s="114"/>
      <c r="C6" s="114"/>
      <c r="D6" s="115"/>
      <c r="E6" s="114"/>
      <c r="F6" s="114"/>
      <c r="G6" s="115"/>
      <c r="H6" s="114"/>
      <c r="I6" s="114"/>
      <c r="J6" s="122">
        <v>1956</v>
      </c>
      <c r="K6" s="114"/>
      <c r="L6" s="114"/>
      <c r="M6" s="114"/>
      <c r="N6" s="124"/>
      <c r="O6" s="114"/>
      <c r="P6" s="114"/>
      <c r="Q6" s="114"/>
      <c r="R6" s="136"/>
      <c r="S6" s="114"/>
      <c r="T6" s="114"/>
      <c r="U6" s="124"/>
      <c r="V6" s="115"/>
      <c r="W6" s="114"/>
      <c r="X6" s="114"/>
      <c r="Y6" s="114"/>
      <c r="Z6" s="114"/>
      <c r="AA6" s="114"/>
      <c r="AB6" s="114"/>
      <c r="AC6" s="114"/>
      <c r="AD6" s="114"/>
      <c r="AE6" s="114"/>
      <c r="AF6" s="114"/>
      <c r="AG6" s="114"/>
      <c r="AH6" s="114"/>
      <c r="AI6" s="114"/>
      <c r="AJ6" s="114"/>
      <c r="AK6" s="114"/>
      <c r="AL6" s="114"/>
      <c r="AM6" s="114"/>
      <c r="AN6" s="114"/>
      <c r="AO6" s="114"/>
    </row>
    <row r="7" customHeight="1" spans="1:41">
      <c r="A7" s="114" t="s">
        <v>4796</v>
      </c>
      <c r="B7" s="114"/>
      <c r="C7" s="114"/>
      <c r="D7" s="115"/>
      <c r="E7" s="114"/>
      <c r="F7" s="114"/>
      <c r="G7" s="115"/>
      <c r="H7" s="114"/>
      <c r="I7" s="114"/>
      <c r="J7" s="117">
        <v>21549</v>
      </c>
      <c r="K7" s="114" t="s">
        <v>4797</v>
      </c>
      <c r="L7" s="118" t="s">
        <v>4798</v>
      </c>
      <c r="M7" s="125"/>
      <c r="N7" s="126"/>
      <c r="O7" s="114"/>
      <c r="P7" s="114"/>
      <c r="Q7" s="114"/>
      <c r="R7" s="136"/>
      <c r="S7" s="114"/>
      <c r="T7" s="114"/>
      <c r="U7" s="124"/>
      <c r="V7" s="115"/>
      <c r="W7" s="114"/>
      <c r="X7" s="114"/>
      <c r="Y7" s="114"/>
      <c r="Z7" s="114"/>
      <c r="AA7" s="114"/>
      <c r="AB7" s="114"/>
      <c r="AC7" s="114"/>
      <c r="AD7" s="114"/>
      <c r="AE7" s="114"/>
      <c r="AF7" s="114"/>
      <c r="AG7" s="114"/>
      <c r="AH7" s="114"/>
      <c r="AI7" s="114"/>
      <c r="AJ7" s="114"/>
      <c r="AK7" s="114"/>
      <c r="AL7" s="114"/>
      <c r="AM7" s="114"/>
      <c r="AN7" s="114"/>
      <c r="AO7" s="114"/>
    </row>
    <row r="8" customHeight="1" spans="1:41">
      <c r="A8" s="114" t="s">
        <v>4799</v>
      </c>
      <c r="B8" s="114"/>
      <c r="C8" s="114"/>
      <c r="D8" s="115"/>
      <c r="E8" s="114"/>
      <c r="F8" s="114"/>
      <c r="G8" s="115"/>
      <c r="H8" s="114"/>
      <c r="I8" s="114"/>
      <c r="J8" s="120"/>
      <c r="K8" s="114"/>
      <c r="L8" s="114"/>
      <c r="M8" s="114"/>
      <c r="N8" s="124"/>
      <c r="O8" s="114"/>
      <c r="P8" s="114"/>
      <c r="Q8" s="114"/>
      <c r="R8" s="136"/>
      <c r="S8" s="114"/>
      <c r="T8" s="114"/>
      <c r="U8" s="124"/>
      <c r="V8" s="115"/>
      <c r="W8" s="114"/>
      <c r="X8" s="114"/>
      <c r="Y8" s="114"/>
      <c r="Z8" s="114"/>
      <c r="AA8" s="114"/>
      <c r="AB8" s="114"/>
      <c r="AC8" s="114"/>
      <c r="AD8" s="114"/>
      <c r="AE8" s="114"/>
      <c r="AF8" s="114"/>
      <c r="AG8" s="114"/>
      <c r="AH8" s="114"/>
      <c r="AI8" s="114"/>
      <c r="AJ8" s="114"/>
      <c r="AK8" s="114"/>
      <c r="AL8" s="114"/>
      <c r="AM8" s="114"/>
      <c r="AN8" s="114"/>
      <c r="AO8" s="114"/>
    </row>
    <row r="9" customHeight="1" spans="1:41">
      <c r="A9" s="114"/>
      <c r="B9" s="114"/>
      <c r="C9" s="114"/>
      <c r="D9" s="115"/>
      <c r="E9" s="114"/>
      <c r="F9" s="114"/>
      <c r="G9" s="115"/>
      <c r="H9" s="114"/>
      <c r="I9" s="114"/>
      <c r="J9" s="120"/>
      <c r="K9" s="114" t="s">
        <v>4800</v>
      </c>
      <c r="L9" s="118" t="s">
        <v>4801</v>
      </c>
      <c r="M9" s="125"/>
      <c r="N9" s="126"/>
      <c r="O9" s="125"/>
      <c r="P9" s="114"/>
      <c r="Q9" s="114"/>
      <c r="R9" s="136"/>
      <c r="S9" s="114"/>
      <c r="T9" s="114"/>
      <c r="U9" s="124"/>
      <c r="V9" s="115"/>
      <c r="W9" s="114"/>
      <c r="X9" s="114"/>
      <c r="Y9" s="114"/>
      <c r="Z9" s="114"/>
      <c r="AA9" s="114"/>
      <c r="AB9" s="114"/>
      <c r="AC9" s="114"/>
      <c r="AD9" s="114"/>
      <c r="AE9" s="114"/>
      <c r="AF9" s="114"/>
      <c r="AG9" s="114"/>
      <c r="AH9" s="114"/>
      <c r="AI9" s="114"/>
      <c r="AJ9" s="114"/>
      <c r="AK9" s="114"/>
      <c r="AL9" s="114"/>
      <c r="AM9" s="114"/>
      <c r="AN9" s="114"/>
      <c r="AO9" s="114"/>
    </row>
    <row r="10" customHeight="1" spans="1:41">
      <c r="A10" s="114"/>
      <c r="B10" s="114"/>
      <c r="C10" s="114"/>
      <c r="D10" s="115"/>
      <c r="E10" s="114"/>
      <c r="F10" s="114"/>
      <c r="G10" s="115"/>
      <c r="H10" s="114" t="s">
        <v>454</v>
      </c>
      <c r="I10" s="114"/>
      <c r="J10" s="122">
        <v>1958</v>
      </c>
      <c r="K10" s="125" t="s">
        <v>4802</v>
      </c>
      <c r="L10" s="125"/>
      <c r="M10" s="125"/>
      <c r="N10" s="121"/>
      <c r="O10" s="114"/>
      <c r="P10" s="114"/>
      <c r="Q10" s="114"/>
      <c r="R10" s="136"/>
      <c r="S10" s="114"/>
      <c r="T10" s="114"/>
      <c r="U10" s="121"/>
      <c r="V10" s="115"/>
      <c r="W10" s="114"/>
      <c r="X10" s="114"/>
      <c r="Y10" s="114"/>
      <c r="Z10" s="114"/>
      <c r="AA10" s="114"/>
      <c r="AB10" s="114"/>
      <c r="AC10" s="114"/>
      <c r="AD10" s="114"/>
      <c r="AE10" s="114"/>
      <c r="AF10" s="114"/>
      <c r="AG10" s="114"/>
      <c r="AH10" s="114"/>
      <c r="AI10" s="114"/>
      <c r="AJ10" s="114"/>
      <c r="AK10" s="114"/>
      <c r="AL10" s="114"/>
      <c r="AM10" s="114"/>
      <c r="AN10" s="114"/>
      <c r="AO10" s="114"/>
    </row>
    <row r="11" customHeight="1" spans="1:41">
      <c r="A11" s="114" t="s">
        <v>4803</v>
      </c>
      <c r="B11" s="114"/>
      <c r="C11" s="114"/>
      <c r="D11" s="115"/>
      <c r="E11" s="114" t="s">
        <v>51</v>
      </c>
      <c r="F11" s="114" t="s">
        <v>144</v>
      </c>
      <c r="G11" s="115"/>
      <c r="H11" s="114"/>
      <c r="I11" s="114"/>
      <c r="J11" s="114" t="s">
        <v>4804</v>
      </c>
      <c r="K11" s="114"/>
      <c r="L11" s="114"/>
      <c r="M11" s="114"/>
      <c r="N11" s="124"/>
      <c r="O11" s="114"/>
      <c r="P11" s="114"/>
      <c r="Q11" s="114"/>
      <c r="R11" s="136"/>
      <c r="S11" s="114"/>
      <c r="T11" s="114"/>
      <c r="U11" s="124"/>
      <c r="V11" s="115"/>
      <c r="W11" s="114"/>
      <c r="X11" s="114"/>
      <c r="Y11" s="114"/>
      <c r="Z11" s="114"/>
      <c r="AA11" s="114"/>
      <c r="AB11" s="114"/>
      <c r="AC11" s="114"/>
      <c r="AD11" s="114"/>
      <c r="AE11" s="114"/>
      <c r="AF11" s="114"/>
      <c r="AG11" s="114"/>
      <c r="AH11" s="114"/>
      <c r="AI11" s="114"/>
      <c r="AJ11" s="114"/>
      <c r="AK11" s="114"/>
      <c r="AL11" s="114"/>
      <c r="AM11" s="114"/>
      <c r="AN11" s="114"/>
      <c r="AO11" s="114"/>
    </row>
    <row r="12" customHeight="1" spans="1:41">
      <c r="A12" s="114" t="s">
        <v>2462</v>
      </c>
      <c r="B12" s="114"/>
      <c r="C12" s="114"/>
      <c r="D12" s="115"/>
      <c r="E12" s="114"/>
      <c r="F12" s="114"/>
      <c r="G12" s="115"/>
      <c r="H12" s="114"/>
      <c r="I12" s="114"/>
      <c r="J12" s="122">
        <v>1960</v>
      </c>
      <c r="K12" s="114"/>
      <c r="L12" s="114"/>
      <c r="M12" s="114"/>
      <c r="N12" s="124"/>
      <c r="O12" s="114"/>
      <c r="P12" s="114"/>
      <c r="Q12" s="114"/>
      <c r="R12" s="136"/>
      <c r="S12" s="114"/>
      <c r="T12" s="114"/>
      <c r="U12" s="124"/>
      <c r="V12" s="115"/>
      <c r="W12" s="114"/>
      <c r="X12" s="114"/>
      <c r="Y12" s="114"/>
      <c r="Z12" s="114"/>
      <c r="AA12" s="114"/>
      <c r="AB12" s="114"/>
      <c r="AC12" s="114"/>
      <c r="AD12" s="114"/>
      <c r="AE12" s="114"/>
      <c r="AF12" s="114"/>
      <c r="AG12" s="114"/>
      <c r="AH12" s="114"/>
      <c r="AI12" s="114"/>
      <c r="AJ12" s="114"/>
      <c r="AK12" s="114"/>
      <c r="AL12" s="114"/>
      <c r="AM12" s="114"/>
      <c r="AN12" s="114"/>
      <c r="AO12" s="114"/>
    </row>
    <row r="13" customHeight="1" spans="1:41">
      <c r="A13" s="114"/>
      <c r="B13" s="114"/>
      <c r="C13" s="114"/>
      <c r="D13" s="115"/>
      <c r="E13" s="114"/>
      <c r="F13" s="114"/>
      <c r="G13" s="115"/>
      <c r="H13" s="114" t="s">
        <v>454</v>
      </c>
      <c r="I13" s="114"/>
      <c r="J13" s="117">
        <v>1963</v>
      </c>
      <c r="K13" s="114" t="s">
        <v>4805</v>
      </c>
      <c r="L13" s="118" t="s">
        <v>4806</v>
      </c>
      <c r="M13" s="125"/>
      <c r="N13" s="119"/>
      <c r="O13" s="114"/>
      <c r="P13" s="114"/>
      <c r="Q13" s="114"/>
      <c r="R13" s="136"/>
      <c r="S13" s="114"/>
      <c r="T13" s="114"/>
      <c r="U13" s="121"/>
      <c r="V13" s="115"/>
      <c r="W13" s="114"/>
      <c r="X13" s="114"/>
      <c r="Y13" s="114"/>
      <c r="Z13" s="114"/>
      <c r="AA13" s="114"/>
      <c r="AB13" s="114"/>
      <c r="AC13" s="114"/>
      <c r="AD13" s="114"/>
      <c r="AE13" s="114"/>
      <c r="AF13" s="114"/>
      <c r="AG13" s="114"/>
      <c r="AH13" s="114"/>
      <c r="AI13" s="114"/>
      <c r="AJ13" s="114"/>
      <c r="AK13" s="114"/>
      <c r="AL13" s="114"/>
      <c r="AM13" s="114"/>
      <c r="AN13" s="114"/>
      <c r="AO13" s="114"/>
    </row>
    <row r="14" customHeight="1" spans="1:41">
      <c r="A14" s="114"/>
      <c r="B14" s="114"/>
      <c r="C14" s="114"/>
      <c r="D14" s="115"/>
      <c r="E14" s="114"/>
      <c r="F14" s="114"/>
      <c r="G14" s="115"/>
      <c r="H14" s="114" t="s">
        <v>454</v>
      </c>
      <c r="I14" s="114"/>
      <c r="J14" s="122">
        <v>1965</v>
      </c>
      <c r="K14" s="114" t="s">
        <v>4807</v>
      </c>
      <c r="L14" s="118" t="s">
        <v>4808</v>
      </c>
      <c r="M14" s="125"/>
      <c r="N14" s="119"/>
      <c r="O14" s="125"/>
      <c r="P14" s="114"/>
      <c r="Q14" s="114"/>
      <c r="R14" s="136"/>
      <c r="S14" s="114"/>
      <c r="T14" s="114"/>
      <c r="U14" s="121"/>
      <c r="V14" s="115"/>
      <c r="W14" s="114"/>
      <c r="X14" s="114"/>
      <c r="Y14" s="114"/>
      <c r="Z14" s="114"/>
      <c r="AA14" s="114"/>
      <c r="AB14" s="114"/>
      <c r="AC14" s="114"/>
      <c r="AD14" s="114"/>
      <c r="AE14" s="114"/>
      <c r="AF14" s="114"/>
      <c r="AG14" s="114"/>
      <c r="AH14" s="114"/>
      <c r="AI14" s="114"/>
      <c r="AJ14" s="114"/>
      <c r="AK14" s="114"/>
      <c r="AL14" s="114"/>
      <c r="AM14" s="114"/>
      <c r="AN14" s="114"/>
      <c r="AO14" s="114"/>
    </row>
    <row r="15" customHeight="1" spans="1:41">
      <c r="A15" s="4" t="s">
        <v>4809</v>
      </c>
      <c r="B15" s="4"/>
      <c r="C15" s="4"/>
      <c r="D15" s="4"/>
      <c r="E15" s="4"/>
      <c r="F15" s="4"/>
      <c r="H15" s="4"/>
      <c r="I15" s="4"/>
      <c r="J15" s="4">
        <v>1970</v>
      </c>
      <c r="K15" s="4"/>
      <c r="L15" s="6" t="s">
        <v>4810</v>
      </c>
      <c r="M15" s="4"/>
      <c r="N15" s="127"/>
      <c r="O15" s="4"/>
      <c r="P15" s="4"/>
      <c r="Q15" s="4"/>
      <c r="R15" s="137"/>
      <c r="S15" s="4"/>
      <c r="T15" s="4"/>
      <c r="U15" s="127"/>
      <c r="V15" s="4"/>
      <c r="W15" s="4"/>
      <c r="X15" s="4"/>
      <c r="Y15" s="4"/>
      <c r="Z15" s="4"/>
      <c r="AA15" s="4"/>
      <c r="AB15" s="4"/>
      <c r="AC15" s="4"/>
      <c r="AD15" s="4"/>
      <c r="AE15" s="4"/>
      <c r="AF15" s="4"/>
      <c r="AG15" s="4"/>
      <c r="AH15" s="4"/>
      <c r="AI15" s="4"/>
      <c r="AJ15" s="4"/>
      <c r="AK15" s="4"/>
      <c r="AL15" s="4"/>
      <c r="AM15" s="4"/>
      <c r="AN15" s="4"/>
      <c r="AO15" s="4"/>
    </row>
    <row r="16" customHeight="1" spans="1:41">
      <c r="A16" s="4"/>
      <c r="B16" s="4"/>
      <c r="C16" s="4"/>
      <c r="D16" s="4"/>
      <c r="E16" s="4"/>
      <c r="F16" s="4"/>
      <c r="G16" s="4"/>
      <c r="H16" s="4" t="s">
        <v>454</v>
      </c>
      <c r="I16" s="4"/>
      <c r="J16" s="4">
        <v>1972</v>
      </c>
      <c r="K16" s="4" t="s">
        <v>4811</v>
      </c>
      <c r="L16" s="4"/>
      <c r="M16" s="4"/>
      <c r="N16" s="127"/>
      <c r="O16" s="4"/>
      <c r="P16" s="4"/>
      <c r="Q16" s="4"/>
      <c r="R16" s="137"/>
      <c r="S16" s="4"/>
      <c r="T16" s="4"/>
      <c r="U16" s="127"/>
      <c r="V16" s="4"/>
      <c r="W16" s="4"/>
      <c r="X16" s="4"/>
      <c r="Y16" s="4"/>
      <c r="Z16" s="4"/>
      <c r="AA16" s="4"/>
      <c r="AB16" s="4"/>
      <c r="AC16" s="4"/>
      <c r="AD16" s="4"/>
      <c r="AE16" s="4"/>
      <c r="AF16" s="4"/>
      <c r="AG16" s="4"/>
      <c r="AH16" s="4"/>
      <c r="AI16" s="4"/>
      <c r="AJ16" s="4"/>
      <c r="AK16" s="4"/>
      <c r="AL16" s="4"/>
      <c r="AM16" s="4"/>
      <c r="AN16" s="4"/>
      <c r="AO16" s="4"/>
    </row>
    <row r="17" customHeight="1" spans="1:41">
      <c r="A17" s="4" t="s">
        <v>4812</v>
      </c>
      <c r="B17" s="4"/>
      <c r="C17" s="4"/>
      <c r="D17" s="4"/>
      <c r="E17" s="4"/>
      <c r="F17" s="4"/>
      <c r="G17" s="4"/>
      <c r="H17" s="4" t="s">
        <v>454</v>
      </c>
      <c r="I17" s="4"/>
      <c r="J17" s="4">
        <v>1974</v>
      </c>
      <c r="K17" s="4" t="s">
        <v>4813</v>
      </c>
      <c r="L17" s="6" t="s">
        <v>4814</v>
      </c>
      <c r="M17" s="4"/>
      <c r="N17" s="127"/>
      <c r="O17" s="4"/>
      <c r="P17" s="4"/>
      <c r="Q17" s="4"/>
      <c r="R17" s="137"/>
      <c r="S17" s="4"/>
      <c r="T17" s="4"/>
      <c r="U17" s="127"/>
      <c r="V17" s="4"/>
      <c r="W17" s="4"/>
      <c r="X17" s="4"/>
      <c r="Y17" s="4"/>
      <c r="Z17" s="4"/>
      <c r="AA17" s="4"/>
      <c r="AB17" s="4"/>
      <c r="AC17" s="4"/>
      <c r="AD17" s="4"/>
      <c r="AE17" s="4"/>
      <c r="AF17" s="4"/>
      <c r="AG17" s="4"/>
      <c r="AH17" s="4"/>
      <c r="AI17" s="4"/>
      <c r="AJ17" s="4"/>
      <c r="AK17" s="4"/>
      <c r="AL17" s="4"/>
      <c r="AM17" s="4"/>
      <c r="AN17" s="4"/>
      <c r="AO17" s="4"/>
    </row>
    <row r="18" customHeight="1" spans="1:41">
      <c r="A18" s="4"/>
      <c r="B18" s="4"/>
      <c r="C18" s="4"/>
      <c r="D18" s="4"/>
      <c r="E18" s="4"/>
      <c r="F18" s="4"/>
      <c r="G18" s="4"/>
      <c r="H18" s="4" t="s">
        <v>454</v>
      </c>
      <c r="I18" s="4" t="s">
        <v>4815</v>
      </c>
      <c r="J18" s="4">
        <v>1977</v>
      </c>
      <c r="K18" s="4" t="s">
        <v>4816</v>
      </c>
      <c r="L18" s="6" t="s">
        <v>4817</v>
      </c>
      <c r="M18" s="4"/>
      <c r="N18" s="127"/>
      <c r="O18" s="4"/>
      <c r="P18" s="4"/>
      <c r="Q18" s="4"/>
      <c r="R18" s="137"/>
      <c r="S18" s="4"/>
      <c r="T18" s="4"/>
      <c r="U18" s="127"/>
      <c r="V18" s="4"/>
      <c r="W18" s="4"/>
      <c r="X18" s="4"/>
      <c r="Y18" s="4"/>
      <c r="Z18" s="4"/>
      <c r="AA18" s="4"/>
      <c r="AB18" s="4"/>
      <c r="AC18" s="4"/>
      <c r="AD18" s="4"/>
      <c r="AE18" s="4"/>
      <c r="AF18" s="4"/>
      <c r="AG18" s="4"/>
      <c r="AH18" s="4"/>
      <c r="AI18" s="4"/>
      <c r="AJ18" s="4"/>
      <c r="AK18" s="4"/>
      <c r="AL18" s="4"/>
      <c r="AM18" s="4"/>
      <c r="AN18" s="4"/>
      <c r="AO18" s="4"/>
    </row>
    <row r="20" customHeight="1" spans="1:41">
      <c r="A20" s="4" t="s">
        <v>4818</v>
      </c>
      <c r="B20" s="4"/>
      <c r="C20" s="4"/>
      <c r="D20" s="4"/>
      <c r="E20" s="4"/>
      <c r="F20" s="4"/>
      <c r="G20" s="4"/>
      <c r="H20" s="4"/>
      <c r="I20" s="4"/>
      <c r="J20" s="128"/>
      <c r="K20" s="4"/>
      <c r="L20" s="4"/>
      <c r="M20" s="4"/>
      <c r="N20" s="127"/>
      <c r="O20" s="4"/>
      <c r="P20" s="4"/>
      <c r="Q20" s="4"/>
      <c r="R20" s="137"/>
      <c r="S20" s="4"/>
      <c r="T20" s="4"/>
      <c r="U20" s="127"/>
      <c r="V20" s="4"/>
      <c r="W20" s="4"/>
      <c r="X20" s="4"/>
      <c r="Y20" s="4"/>
      <c r="Z20" s="4"/>
      <c r="AA20" s="4"/>
      <c r="AB20" s="4"/>
      <c r="AC20" s="4"/>
      <c r="AD20" s="4"/>
      <c r="AE20" s="4"/>
      <c r="AF20" s="4"/>
      <c r="AG20" s="4"/>
      <c r="AH20" s="4"/>
      <c r="AI20" s="4"/>
      <c r="AJ20" s="4"/>
      <c r="AK20" s="4"/>
      <c r="AL20" s="4"/>
      <c r="AM20" s="4"/>
      <c r="AN20" s="4"/>
      <c r="AO20" s="4"/>
    </row>
    <row r="21" customHeight="1" spans="1:41">
      <c r="A21" s="4" t="s">
        <v>4819</v>
      </c>
      <c r="B21" s="4"/>
      <c r="C21" s="4"/>
      <c r="D21" s="4"/>
      <c r="E21" s="4"/>
      <c r="F21" s="4"/>
      <c r="G21" s="4"/>
      <c r="H21" s="4"/>
      <c r="I21" s="4"/>
      <c r="J21" s="128"/>
      <c r="K21" s="4"/>
      <c r="L21" s="4"/>
      <c r="M21" s="4"/>
      <c r="N21" s="127"/>
      <c r="O21" s="4"/>
      <c r="P21" s="4"/>
      <c r="Q21" s="4"/>
      <c r="R21" s="137"/>
      <c r="S21" s="4"/>
      <c r="T21" s="4"/>
      <c r="U21" s="127"/>
      <c r="V21" s="4"/>
      <c r="W21" s="4"/>
      <c r="X21" s="4"/>
      <c r="Y21" s="4"/>
      <c r="Z21" s="4"/>
      <c r="AA21" s="4"/>
      <c r="AB21" s="4"/>
      <c r="AC21" s="4"/>
      <c r="AD21" s="4"/>
      <c r="AE21" s="4"/>
      <c r="AF21" s="4"/>
      <c r="AG21" s="4"/>
      <c r="AH21" s="4"/>
      <c r="AI21" s="4"/>
      <c r="AJ21" s="4"/>
      <c r="AK21" s="4"/>
      <c r="AL21" s="4"/>
      <c r="AM21" s="4"/>
      <c r="AN21" s="4"/>
      <c r="AO21" s="4"/>
    </row>
    <row r="22" customHeight="1" spans="1:41">
      <c r="A22" s="4" t="s">
        <v>4820</v>
      </c>
      <c r="B22" s="4"/>
      <c r="C22" s="4"/>
      <c r="D22" s="4"/>
      <c r="E22" s="4" t="s">
        <v>51</v>
      </c>
      <c r="F22" s="4" t="s">
        <v>144</v>
      </c>
      <c r="G22" s="4"/>
      <c r="H22" s="4"/>
      <c r="I22" s="4"/>
      <c r="J22" s="4"/>
      <c r="K22" s="4"/>
      <c r="L22" s="6" t="s">
        <v>4821</v>
      </c>
      <c r="M22" s="4"/>
      <c r="N22" s="127"/>
      <c r="O22" s="4"/>
      <c r="P22" s="4"/>
      <c r="Q22" s="4"/>
      <c r="R22" s="137"/>
      <c r="S22" s="4"/>
      <c r="T22" s="4"/>
      <c r="U22" s="127"/>
      <c r="V22" s="4"/>
      <c r="W22" s="4"/>
      <c r="X22" s="4"/>
      <c r="Y22" s="4"/>
      <c r="Z22" s="4"/>
      <c r="AA22" s="4"/>
      <c r="AB22" s="4"/>
      <c r="AC22" s="4"/>
      <c r="AD22" s="4"/>
      <c r="AE22" s="4"/>
      <c r="AF22" s="4"/>
      <c r="AG22" s="4"/>
      <c r="AH22" s="4"/>
      <c r="AI22" s="4"/>
      <c r="AJ22" s="4"/>
      <c r="AK22" s="4"/>
      <c r="AL22" s="4"/>
      <c r="AM22" s="4"/>
      <c r="AN22" s="4"/>
      <c r="AO22" s="4"/>
    </row>
    <row r="23" customHeight="1" spans="1:41">
      <c r="A23" s="4"/>
      <c r="B23" s="4"/>
      <c r="C23" s="4"/>
      <c r="D23" s="4"/>
      <c r="E23" s="4"/>
      <c r="F23" s="4"/>
      <c r="H23" s="4"/>
      <c r="I23" s="4"/>
      <c r="J23" s="128">
        <v>23621</v>
      </c>
      <c r="K23" s="114" t="s">
        <v>4822</v>
      </c>
      <c r="L23" s="118" t="s">
        <v>4823</v>
      </c>
      <c r="M23" s="4"/>
      <c r="N23" s="127"/>
      <c r="O23" s="4"/>
      <c r="P23" s="4"/>
      <c r="Q23" s="4"/>
      <c r="R23" s="137"/>
      <c r="S23" s="4"/>
      <c r="T23" s="4"/>
      <c r="U23" s="127"/>
      <c r="V23" s="4"/>
      <c r="W23" s="4"/>
      <c r="X23" s="4"/>
      <c r="Y23" s="4"/>
      <c r="Z23" s="4"/>
      <c r="AA23" s="4"/>
      <c r="AB23" s="4"/>
      <c r="AC23" s="4"/>
      <c r="AD23" s="4"/>
      <c r="AE23" s="4"/>
      <c r="AF23" s="4"/>
      <c r="AG23" s="4"/>
      <c r="AH23" s="4"/>
      <c r="AI23" s="4"/>
      <c r="AJ23" s="4"/>
      <c r="AK23" s="4"/>
      <c r="AL23" s="4"/>
      <c r="AM23" s="4"/>
      <c r="AN23" s="4"/>
      <c r="AO23" s="4"/>
    </row>
    <row r="24" customHeight="1" spans="1:41">
      <c r="A24" s="4"/>
      <c r="B24" s="4"/>
      <c r="C24" s="4"/>
      <c r="D24" s="4"/>
      <c r="E24" s="4" t="s">
        <v>51</v>
      </c>
      <c r="F24" s="4"/>
      <c r="H24" s="4"/>
      <c r="I24" s="4"/>
      <c r="J24" s="4">
        <v>1965</v>
      </c>
      <c r="K24" s="4" t="s">
        <v>4824</v>
      </c>
      <c r="L24" s="6" t="s">
        <v>4825</v>
      </c>
      <c r="M24" s="4"/>
      <c r="N24" s="127"/>
      <c r="O24" s="4"/>
      <c r="P24" s="4"/>
      <c r="Q24" s="4"/>
      <c r="R24" s="137"/>
      <c r="S24" s="4"/>
      <c r="T24" s="4"/>
      <c r="U24" s="127"/>
      <c r="V24" s="4"/>
      <c r="W24" s="4"/>
      <c r="X24" s="4"/>
      <c r="Y24" s="4"/>
      <c r="Z24" s="4"/>
      <c r="AA24" s="4"/>
      <c r="AB24" s="4"/>
      <c r="AC24" s="4"/>
      <c r="AD24" s="4"/>
      <c r="AE24" s="4"/>
      <c r="AF24" s="4"/>
      <c r="AG24" s="4"/>
      <c r="AH24" s="4"/>
      <c r="AI24" s="4"/>
      <c r="AJ24" s="4"/>
      <c r="AK24" s="4"/>
      <c r="AL24" s="4"/>
      <c r="AM24" s="4"/>
      <c r="AN24" s="4"/>
      <c r="AO24" s="4"/>
    </row>
    <row r="25" customHeight="1" spans="1:41">
      <c r="A25" s="4" t="s">
        <v>4826</v>
      </c>
      <c r="B25" s="4"/>
      <c r="C25" s="4"/>
      <c r="D25" s="4"/>
      <c r="E25" s="4"/>
      <c r="F25" s="4"/>
      <c r="H25" s="4"/>
      <c r="I25" s="4"/>
      <c r="J25" s="4">
        <v>1966</v>
      </c>
      <c r="K25" s="4"/>
      <c r="L25" s="4"/>
      <c r="M25" s="4"/>
      <c r="N25" s="127"/>
      <c r="O25" s="4"/>
      <c r="P25" s="4"/>
      <c r="Q25" s="4"/>
      <c r="R25" s="137"/>
      <c r="S25" s="4"/>
      <c r="T25" s="4"/>
      <c r="U25" s="127"/>
      <c r="V25" s="4"/>
      <c r="W25" s="4"/>
      <c r="X25" s="4"/>
      <c r="Y25" s="4"/>
      <c r="Z25" s="4"/>
      <c r="AA25" s="4"/>
      <c r="AB25" s="4"/>
      <c r="AC25" s="4"/>
      <c r="AD25" s="4"/>
      <c r="AE25" s="4"/>
      <c r="AF25" s="4"/>
      <c r="AG25" s="4"/>
      <c r="AH25" s="4"/>
      <c r="AI25" s="4"/>
      <c r="AJ25" s="4"/>
      <c r="AK25" s="4"/>
      <c r="AL25" s="4"/>
      <c r="AM25" s="4"/>
      <c r="AN25" s="4"/>
      <c r="AO25" s="4"/>
    </row>
    <row r="26" customHeight="1" spans="1:41">
      <c r="A26" s="4" t="s">
        <v>4827</v>
      </c>
      <c r="B26" s="4"/>
      <c r="C26" s="4"/>
      <c r="D26" s="4"/>
      <c r="E26" s="4"/>
      <c r="F26" s="4"/>
      <c r="H26" s="4"/>
      <c r="I26" s="4"/>
      <c r="J26" s="4">
        <v>1967</v>
      </c>
      <c r="K26" s="4"/>
      <c r="L26" s="4"/>
      <c r="M26" s="4"/>
      <c r="N26" s="127"/>
      <c r="O26" s="4"/>
      <c r="P26" s="4"/>
      <c r="Q26" s="4"/>
      <c r="R26" s="137"/>
      <c r="S26" s="4"/>
      <c r="T26" s="4"/>
      <c r="U26" s="127"/>
      <c r="V26" s="4"/>
      <c r="W26" s="4"/>
      <c r="X26" s="4"/>
      <c r="Y26" s="4"/>
      <c r="Z26" s="4"/>
      <c r="AA26" s="4"/>
      <c r="AB26" s="4"/>
      <c r="AC26" s="4"/>
      <c r="AD26" s="4"/>
      <c r="AE26" s="4"/>
      <c r="AF26" s="4"/>
      <c r="AG26" s="4"/>
      <c r="AH26" s="4"/>
      <c r="AI26" s="4"/>
      <c r="AJ26" s="4"/>
      <c r="AK26" s="4"/>
      <c r="AL26" s="4"/>
      <c r="AM26" s="4"/>
      <c r="AN26" s="4"/>
      <c r="AO26" s="4"/>
    </row>
    <row r="27" customHeight="1" spans="1:41">
      <c r="A27" s="4" t="s">
        <v>4828</v>
      </c>
      <c r="B27" s="4"/>
      <c r="C27" s="4"/>
      <c r="D27" s="4"/>
      <c r="E27" s="4"/>
      <c r="F27" s="4"/>
      <c r="H27" s="4"/>
      <c r="I27" s="4"/>
      <c r="J27" s="4">
        <v>1972</v>
      </c>
      <c r="K27" s="4"/>
      <c r="L27" s="129"/>
      <c r="M27" s="4"/>
      <c r="N27" s="127"/>
      <c r="O27" s="4"/>
      <c r="P27" s="4"/>
      <c r="Q27" s="4"/>
      <c r="R27" s="137"/>
      <c r="S27" s="4"/>
      <c r="T27" s="4"/>
      <c r="U27" s="127"/>
      <c r="V27" s="4"/>
      <c r="W27" s="4"/>
      <c r="X27" s="4"/>
      <c r="Y27" s="4"/>
      <c r="Z27" s="4"/>
      <c r="AA27" s="4"/>
      <c r="AB27" s="4"/>
      <c r="AC27" s="4"/>
      <c r="AD27" s="4"/>
      <c r="AE27" s="4"/>
      <c r="AF27" s="4"/>
      <c r="AG27" s="4"/>
      <c r="AH27" s="4"/>
      <c r="AI27" s="4"/>
      <c r="AJ27" s="4"/>
      <c r="AK27" s="4"/>
      <c r="AL27" s="4"/>
      <c r="AM27" s="4"/>
      <c r="AN27" s="4"/>
      <c r="AO27" s="4"/>
    </row>
    <row r="28" customHeight="1" spans="1:41">
      <c r="A28" s="4" t="s">
        <v>4829</v>
      </c>
      <c r="B28" s="4"/>
      <c r="C28" s="4" t="s">
        <v>4830</v>
      </c>
      <c r="D28" s="4"/>
      <c r="E28" s="4"/>
      <c r="F28" s="4"/>
      <c r="G28" s="4"/>
      <c r="H28" s="4"/>
      <c r="I28" s="4"/>
      <c r="J28" s="4">
        <v>1972</v>
      </c>
      <c r="K28" s="4"/>
      <c r="L28" s="4"/>
      <c r="M28" s="4"/>
      <c r="N28" s="127"/>
      <c r="O28" s="4"/>
      <c r="P28" s="4"/>
      <c r="Q28" s="4"/>
      <c r="R28" s="137"/>
      <c r="S28" s="4"/>
      <c r="T28" s="4"/>
      <c r="U28" s="127"/>
      <c r="V28" s="4"/>
      <c r="W28" s="4"/>
      <c r="X28" s="4"/>
      <c r="Y28" s="4"/>
      <c r="Z28" s="4"/>
      <c r="AA28" s="4"/>
      <c r="AB28" s="4"/>
      <c r="AC28" s="4"/>
      <c r="AD28" s="4"/>
      <c r="AE28" s="4"/>
      <c r="AF28" s="4"/>
      <c r="AG28" s="4"/>
      <c r="AH28" s="4"/>
      <c r="AI28" s="4"/>
      <c r="AJ28" s="4"/>
      <c r="AK28" s="4"/>
      <c r="AL28" s="4"/>
      <c r="AM28" s="4"/>
      <c r="AN28" s="4"/>
      <c r="AO28" s="4"/>
    </row>
    <row r="29" customHeight="1" spans="1:41">
      <c r="A29" s="4" t="s">
        <v>4831</v>
      </c>
      <c r="B29" s="4"/>
      <c r="C29" s="4"/>
      <c r="D29" s="4"/>
      <c r="E29" s="4"/>
      <c r="F29" s="4"/>
      <c r="G29" s="4"/>
      <c r="H29" s="4"/>
      <c r="I29" s="4"/>
      <c r="J29" s="128">
        <v>28246</v>
      </c>
      <c r="K29" s="4" t="s">
        <v>4832</v>
      </c>
      <c r="L29" s="6" t="s">
        <v>4833</v>
      </c>
      <c r="M29" s="4"/>
      <c r="N29" s="127"/>
      <c r="O29" s="4"/>
      <c r="P29" s="4"/>
      <c r="Q29" s="4"/>
      <c r="R29" s="137"/>
      <c r="S29" s="4"/>
      <c r="T29" s="4"/>
      <c r="U29" s="127"/>
      <c r="V29" s="4"/>
      <c r="W29" s="4"/>
      <c r="X29" s="4"/>
      <c r="Y29" s="4"/>
      <c r="Z29" s="4"/>
      <c r="AA29" s="4"/>
      <c r="AB29" s="4"/>
      <c r="AC29" s="4"/>
      <c r="AD29" s="4"/>
      <c r="AE29" s="4"/>
      <c r="AF29" s="4"/>
      <c r="AG29" s="4"/>
      <c r="AH29" s="4"/>
      <c r="AI29" s="4"/>
      <c r="AJ29" s="4"/>
      <c r="AK29" s="4"/>
      <c r="AL29" s="4"/>
      <c r="AM29" s="4"/>
      <c r="AN29" s="4"/>
      <c r="AO29" s="4"/>
    </row>
    <row r="30" customHeight="1" spans="1:41">
      <c r="A30" s="4" t="s">
        <v>4834</v>
      </c>
      <c r="B30" s="4"/>
      <c r="C30" s="4"/>
      <c r="D30" s="4"/>
      <c r="E30" s="4"/>
      <c r="F30" s="4"/>
      <c r="G30" s="4"/>
      <c r="H30" s="4"/>
      <c r="I30" s="4"/>
      <c r="J30" s="4">
        <v>1977</v>
      </c>
      <c r="K30" s="4" t="s">
        <v>4835</v>
      </c>
      <c r="L30" s="4"/>
      <c r="M30" s="4"/>
      <c r="N30" s="127"/>
      <c r="O30" s="4"/>
      <c r="P30" s="4"/>
      <c r="Q30" s="4"/>
      <c r="R30" s="137"/>
      <c r="S30" s="4"/>
      <c r="T30" s="4"/>
      <c r="U30" s="127"/>
      <c r="V30" s="4"/>
      <c r="W30" s="4"/>
      <c r="X30" s="4"/>
      <c r="Y30" s="4"/>
      <c r="Z30" s="4"/>
      <c r="AA30" s="4"/>
      <c r="AB30" s="4"/>
      <c r="AC30" s="4"/>
      <c r="AD30" s="4"/>
      <c r="AE30" s="4"/>
      <c r="AF30" s="4"/>
      <c r="AG30" s="4"/>
      <c r="AH30" s="4"/>
      <c r="AI30" s="4"/>
      <c r="AJ30" s="4"/>
      <c r="AK30" s="4"/>
      <c r="AL30" s="4"/>
      <c r="AM30" s="4"/>
      <c r="AN30" s="4"/>
      <c r="AO30" s="4"/>
    </row>
    <row r="31" customHeight="1" spans="1:41">
      <c r="A31" s="4"/>
      <c r="B31" s="4"/>
      <c r="C31" s="4"/>
      <c r="D31" s="4"/>
      <c r="E31" s="4" t="s">
        <v>51</v>
      </c>
      <c r="F31" s="4"/>
      <c r="G31" s="4"/>
      <c r="H31" s="4"/>
      <c r="I31" s="4"/>
      <c r="J31" s="128"/>
      <c r="K31" s="4" t="s">
        <v>4836</v>
      </c>
      <c r="L31" s="6" t="s">
        <v>4837</v>
      </c>
      <c r="M31" s="4"/>
      <c r="N31" s="127"/>
      <c r="O31" s="4"/>
      <c r="P31" s="4"/>
      <c r="Q31" s="4"/>
      <c r="R31" s="137"/>
      <c r="S31" s="4"/>
      <c r="T31" s="4"/>
      <c r="U31" s="127"/>
      <c r="V31" s="4"/>
      <c r="W31" s="4"/>
      <c r="X31" s="4"/>
      <c r="Y31" s="4"/>
      <c r="Z31" s="4"/>
      <c r="AA31" s="4"/>
      <c r="AB31" s="4"/>
      <c r="AC31" s="4"/>
      <c r="AD31" s="4"/>
      <c r="AE31" s="4"/>
      <c r="AF31" s="4"/>
      <c r="AG31" s="4"/>
      <c r="AH31" s="4"/>
      <c r="AI31" s="4"/>
      <c r="AJ31" s="4"/>
      <c r="AK31" s="4"/>
      <c r="AL31" s="4"/>
      <c r="AM31" s="4"/>
      <c r="AN31" s="4"/>
      <c r="AO31" s="4"/>
    </row>
    <row r="32" customHeight="1" spans="1:41">
      <c r="A32" s="3"/>
      <c r="B32" s="3"/>
      <c r="C32" s="3"/>
      <c r="D32" s="3"/>
      <c r="E32" s="3"/>
      <c r="F32" s="3"/>
      <c r="G32" s="3"/>
      <c r="H32" s="3" t="s">
        <v>454</v>
      </c>
      <c r="I32" s="3" t="s">
        <v>4838</v>
      </c>
      <c r="J32" s="130">
        <v>30419</v>
      </c>
      <c r="K32" s="3" t="s">
        <v>4839</v>
      </c>
      <c r="L32" s="131" t="s">
        <v>4840</v>
      </c>
      <c r="M32" s="3"/>
      <c r="N32" s="132">
        <v>6000</v>
      </c>
      <c r="O32" s="3"/>
      <c r="P32" s="3"/>
      <c r="Q32" s="3"/>
      <c r="R32" s="138"/>
      <c r="S32" s="3"/>
      <c r="T32" s="3"/>
      <c r="U32" s="132"/>
      <c r="V32" s="3"/>
      <c r="W32" s="3"/>
      <c r="X32" s="3"/>
      <c r="Y32" s="3"/>
      <c r="Z32" s="3"/>
      <c r="AA32" s="3"/>
      <c r="AB32" s="3"/>
      <c r="AC32" s="3"/>
      <c r="AD32" s="3"/>
      <c r="AE32" s="3"/>
      <c r="AF32" s="3"/>
      <c r="AG32" s="3"/>
      <c r="AH32" s="3"/>
      <c r="AI32" s="3"/>
      <c r="AJ32" s="3"/>
      <c r="AK32" s="3"/>
      <c r="AL32" s="3"/>
      <c r="AM32" s="3"/>
      <c r="AN32" s="3"/>
      <c r="AO32" s="3"/>
    </row>
    <row r="33" customHeight="1" spans="1:41">
      <c r="A33" s="4" t="s">
        <v>4841</v>
      </c>
      <c r="B33" s="4"/>
      <c r="C33" s="4"/>
      <c r="D33" s="4"/>
      <c r="E33" s="4"/>
      <c r="F33" s="4"/>
      <c r="H33" s="4"/>
      <c r="I33" s="4" t="s">
        <v>4842</v>
      </c>
      <c r="J33" s="4">
        <v>1992</v>
      </c>
      <c r="K33" s="4"/>
      <c r="L33" s="6" t="s">
        <v>4843</v>
      </c>
      <c r="M33" s="4"/>
      <c r="N33" s="127"/>
      <c r="O33" s="4"/>
      <c r="P33" s="4"/>
      <c r="Q33" s="4"/>
      <c r="R33" s="137"/>
      <c r="S33" s="4"/>
      <c r="T33" s="4"/>
      <c r="U33" s="127"/>
      <c r="V33" s="4"/>
      <c r="W33" s="4"/>
      <c r="X33" s="4"/>
      <c r="Y33" s="4"/>
      <c r="Z33" s="4"/>
      <c r="AA33" s="4"/>
      <c r="AB33" s="4"/>
      <c r="AC33" s="4"/>
      <c r="AD33" s="4"/>
      <c r="AE33" s="4"/>
      <c r="AF33" s="4"/>
      <c r="AG33" s="4"/>
      <c r="AH33" s="4"/>
      <c r="AI33" s="4"/>
      <c r="AJ33" s="4"/>
      <c r="AK33" s="4"/>
      <c r="AL33" s="4"/>
      <c r="AM33" s="4"/>
      <c r="AN33" s="4"/>
      <c r="AO33" s="4"/>
    </row>
    <row r="34" customHeight="1" spans="1:41">
      <c r="A34" s="4"/>
      <c r="B34" s="4"/>
      <c r="C34" s="4"/>
      <c r="D34" s="4"/>
      <c r="E34" s="4"/>
      <c r="F34" s="4"/>
      <c r="G34" s="4"/>
      <c r="H34" s="4"/>
      <c r="I34" s="4"/>
      <c r="J34" s="4">
        <v>2016</v>
      </c>
      <c r="K34" s="4" t="s">
        <v>4844</v>
      </c>
      <c r="L34" s="4"/>
      <c r="M34" s="4"/>
      <c r="N34" s="127"/>
      <c r="O34" s="4"/>
      <c r="P34" s="4"/>
      <c r="Q34" s="4"/>
      <c r="R34" s="137"/>
      <c r="S34" s="4"/>
      <c r="T34" s="4"/>
      <c r="U34" s="127"/>
      <c r="V34" s="4"/>
      <c r="W34" s="4"/>
      <c r="X34" s="4"/>
      <c r="Y34" s="4"/>
      <c r="Z34" s="4"/>
      <c r="AA34" s="4"/>
      <c r="AB34" s="4"/>
      <c r="AC34" s="4"/>
      <c r="AD34" s="4"/>
      <c r="AE34" s="4"/>
      <c r="AF34" s="4"/>
      <c r="AG34" s="4"/>
      <c r="AH34" s="4"/>
      <c r="AI34" s="4"/>
      <c r="AJ34" s="4"/>
      <c r="AK34" s="4"/>
      <c r="AL34" s="4"/>
      <c r="AM34" s="4"/>
      <c r="AN34" s="4"/>
      <c r="AO34" s="4"/>
    </row>
    <row r="35" customHeight="1" spans="1:41">
      <c r="A35" s="4"/>
      <c r="B35" s="4"/>
      <c r="C35" s="4"/>
      <c r="D35" s="4"/>
      <c r="E35" s="4"/>
      <c r="F35" s="4"/>
      <c r="G35" s="4"/>
      <c r="I35" s="133"/>
      <c r="J35" s="4">
        <v>1995</v>
      </c>
      <c r="K35" s="4" t="s">
        <v>4845</v>
      </c>
      <c r="L35" s="4"/>
      <c r="M35" s="4"/>
      <c r="N35" s="127"/>
      <c r="O35" s="4"/>
      <c r="P35" s="4"/>
      <c r="Q35" s="4"/>
      <c r="R35" s="137"/>
      <c r="T35" s="4"/>
      <c r="U35" s="127"/>
      <c r="V35" s="4"/>
      <c r="W35" s="4"/>
      <c r="X35" s="4"/>
      <c r="Y35" s="4"/>
      <c r="Z35" s="4"/>
      <c r="AA35" s="4"/>
      <c r="AB35" s="4"/>
      <c r="AC35" s="4"/>
      <c r="AD35" s="4"/>
      <c r="AE35" s="4"/>
      <c r="AF35" s="4"/>
      <c r="AG35" s="4"/>
      <c r="AH35" s="4"/>
      <c r="AI35" s="4"/>
      <c r="AJ35" s="4"/>
      <c r="AK35" s="4"/>
      <c r="AL35" s="4"/>
      <c r="AM35" s="4"/>
      <c r="AN35" s="4"/>
      <c r="AO35" s="4"/>
    </row>
    <row r="36" customHeight="1" spans="1:41">
      <c r="A36" s="4" t="s">
        <v>4846</v>
      </c>
      <c r="B36" s="4"/>
      <c r="C36" s="4"/>
      <c r="D36" s="4"/>
      <c r="E36" s="4"/>
      <c r="F36" s="4"/>
      <c r="G36" s="4"/>
      <c r="J36" s="4">
        <v>1997</v>
      </c>
      <c r="K36" s="4" t="s">
        <v>4847</v>
      </c>
      <c r="L36" s="4"/>
      <c r="M36" s="4"/>
      <c r="N36" s="127"/>
      <c r="O36" s="4"/>
      <c r="P36" s="4"/>
      <c r="Q36" s="4"/>
      <c r="R36" s="137"/>
      <c r="T36" s="4"/>
      <c r="U36" s="127"/>
      <c r="V36" s="4"/>
      <c r="W36" s="4"/>
      <c r="X36" s="4"/>
      <c r="Y36" s="4"/>
      <c r="Z36" s="4"/>
      <c r="AA36" s="4"/>
      <c r="AB36" s="4"/>
      <c r="AC36" s="4"/>
      <c r="AD36" s="4"/>
      <c r="AE36" s="4"/>
      <c r="AF36" s="4"/>
      <c r="AG36" s="4"/>
      <c r="AH36" s="4"/>
      <c r="AI36" s="4"/>
      <c r="AJ36" s="4"/>
      <c r="AK36" s="4"/>
      <c r="AL36" s="4"/>
      <c r="AM36" s="4"/>
      <c r="AN36" s="4"/>
      <c r="AO36" s="4"/>
    </row>
    <row r="37" customHeight="1" spans="1:41">
      <c r="A37" s="4" t="s">
        <v>4848</v>
      </c>
      <c r="B37" s="4"/>
      <c r="C37" s="4"/>
      <c r="D37" s="4"/>
      <c r="E37" s="4" t="s">
        <v>256</v>
      </c>
      <c r="F37" s="4" t="s">
        <v>2432</v>
      </c>
      <c r="G37" s="4"/>
      <c r="H37" s="4"/>
      <c r="I37" s="4"/>
      <c r="J37" s="128">
        <v>39339</v>
      </c>
      <c r="K37" s="4" t="s">
        <v>4849</v>
      </c>
      <c r="L37" s="6" t="s">
        <v>4850</v>
      </c>
      <c r="M37" s="4" t="s">
        <v>1546</v>
      </c>
      <c r="N37" s="4" t="s">
        <v>1546</v>
      </c>
      <c r="O37" s="127" t="s">
        <v>1546</v>
      </c>
      <c r="P37" s="4" t="s">
        <v>1546</v>
      </c>
      <c r="Q37" s="4"/>
      <c r="R37" s="137" t="s">
        <v>1546</v>
      </c>
      <c r="S37" s="4"/>
      <c r="T37" s="4" t="s">
        <v>1546</v>
      </c>
      <c r="U37" s="4" t="s">
        <v>1546</v>
      </c>
      <c r="V37" s="127" t="s">
        <v>1546</v>
      </c>
      <c r="W37" s="4"/>
      <c r="X37" s="4"/>
      <c r="Y37" s="4"/>
      <c r="Z37" s="4"/>
      <c r="AA37" s="4"/>
      <c r="AB37" s="4"/>
      <c r="AC37" s="4"/>
      <c r="AD37" s="4"/>
      <c r="AE37" s="4"/>
      <c r="AF37" s="4"/>
      <c r="AG37" s="4"/>
      <c r="AH37" s="4"/>
      <c r="AI37" s="4"/>
      <c r="AJ37" s="4"/>
      <c r="AK37" s="4"/>
      <c r="AL37" s="4"/>
      <c r="AM37" s="4"/>
      <c r="AN37" s="4"/>
      <c r="AO37" s="4"/>
    </row>
    <row r="38" customHeight="1" spans="1:41">
      <c r="A38" s="4" t="s">
        <v>4851</v>
      </c>
      <c r="B38" s="4"/>
      <c r="C38" s="4"/>
      <c r="D38" s="4"/>
      <c r="E38" s="4"/>
      <c r="F38" s="4"/>
      <c r="G38" s="4"/>
      <c r="H38" s="4"/>
      <c r="I38" s="4"/>
      <c r="J38" s="128">
        <v>39185</v>
      </c>
      <c r="K38" s="4" t="s">
        <v>4852</v>
      </c>
      <c r="L38" s="6" t="s">
        <v>4853</v>
      </c>
      <c r="M38" s="4"/>
      <c r="N38" s="4"/>
      <c r="O38" s="127"/>
      <c r="P38" s="4"/>
      <c r="Q38" s="4"/>
      <c r="R38" s="137"/>
      <c r="S38" s="4"/>
      <c r="T38" s="4"/>
      <c r="U38" s="4"/>
      <c r="V38" s="127"/>
      <c r="W38" s="4"/>
      <c r="X38" s="4"/>
      <c r="Y38" s="4"/>
      <c r="Z38" s="4"/>
      <c r="AA38" s="4"/>
      <c r="AB38" s="4"/>
      <c r="AC38" s="4"/>
      <c r="AD38" s="4"/>
      <c r="AE38" s="4"/>
      <c r="AF38" s="4"/>
      <c r="AG38" s="4"/>
      <c r="AH38" s="4"/>
      <c r="AI38" s="4"/>
      <c r="AJ38" s="4"/>
      <c r="AK38" s="4"/>
      <c r="AL38" s="4"/>
      <c r="AM38" s="4"/>
      <c r="AN38" s="4"/>
      <c r="AO38" s="4"/>
    </row>
    <row r="40" customHeight="1" spans="1:41">
      <c r="A40" s="3" t="s">
        <v>4854</v>
      </c>
      <c r="B40" s="3" t="s">
        <v>2265</v>
      </c>
      <c r="C40" s="3"/>
      <c r="D40" s="3"/>
      <c r="E40" s="3"/>
      <c r="F40" s="3"/>
      <c r="G40" s="3"/>
      <c r="H40" s="3"/>
      <c r="I40" s="3"/>
      <c r="J40" s="3">
        <v>2011</v>
      </c>
      <c r="K40" s="134"/>
      <c r="L40" s="3"/>
      <c r="M40" s="3"/>
      <c r="N40" s="132"/>
      <c r="O40" s="3"/>
      <c r="P40" s="3"/>
      <c r="Q40" s="3"/>
      <c r="R40" s="138"/>
      <c r="S40" s="3"/>
      <c r="T40" s="3"/>
      <c r="U40" s="132"/>
      <c r="V40" s="3"/>
      <c r="W40" s="3"/>
      <c r="X40" s="3"/>
      <c r="Y40" s="3"/>
      <c r="Z40" s="3"/>
      <c r="AA40" s="3"/>
      <c r="AB40" s="3"/>
      <c r="AC40" s="3"/>
      <c r="AD40" s="3"/>
      <c r="AE40" s="3"/>
      <c r="AF40" s="3"/>
      <c r="AG40" s="3"/>
      <c r="AH40" s="3"/>
      <c r="AI40" s="3"/>
      <c r="AJ40" s="3"/>
      <c r="AK40" s="3"/>
      <c r="AL40" s="3"/>
      <c r="AM40" s="3"/>
      <c r="AN40" s="3"/>
      <c r="AO40" s="3"/>
    </row>
  </sheetData>
  <hyperlinks>
    <hyperlink ref="L2" r:id="rId3" display="https://link.springer.com/chapter/10.1007/978-1-4757-1968-0_1"/>
    <hyperlink ref="L4" r:id="rId4" display="https://aip.scitation.org/doi/10.1063/1.1699114"/>
    <hyperlink ref="L5" r:id="rId5" display="https://link.springer.com/chapter/10.1007/978-3-540-30194-3_12"/>
    <hyperlink ref="L7" r:id="rId6" display="https://exhibits.stanford.edu/feigenbaum/catalog/sy501xd1313"/>
    <hyperlink ref="L9" r:id="rId7" display="http://cyberneticzoo.com/wp-content/uploads/2009/12/Andrew-NewScientist-1958-.pdf"/>
    <hyperlink ref="L13" r:id="rId8" display="https://www.jstor.org/stable/2098941?seq=1"/>
    <hyperlink ref="L14" r:id="rId9" display="https://www.sciencedirect.com/science/article/pii/S001999586590241X?via%3Dihub"/>
    <hyperlink ref="L15" r:id="rId10" display="http://hci.stanford.edu/~winograd/shrdlu/"/>
    <hyperlink ref="L17" r:id="rId11" display="https://ieeexplore.ieee.org/document/1100705"/>
    <hyperlink ref="L18" r:id="rId12" display="https://www.jstor.org/stable/2984875?seq=1"/>
    <hyperlink ref="L22" r:id="rId13" display="https://en.wikipedia.org/wiki/METEO_System"/>
    <hyperlink ref="L23" r:id="rId14" display="https://dspace.mit.edu/handle/1721.1/6903"/>
    <hyperlink ref="L24" r:id="rId15" display="https://www.aclweb.org/anthology/C65-1022/"/>
    <hyperlink ref="L29" r:id="rId16" display="https://files.eric.ed.gov/fulltext/ED150955.pdf"/>
    <hyperlink ref="L31" r:id="rId17" display="https://dl.acm.org/doi/10.3115/982023.982045"/>
    <hyperlink ref="L32" r:id="rId18" display="https://science.sciencemag.org/content/220/4598/671"/>
    <hyperlink ref="L33" r:id="rId19" display="http://www.nlg-wiki.org/systems/FoG"/>
    <hyperlink ref="L37" r:id="rId20" display="https://science.sciencemag.org/content/317/5844/1518?hwshib2=authn%3A1615369438%3A20210309%253A963811d2-0be0-4d5d-a0b6-959e5a4ccbda%3A0%3A0%3A0%3ABx%2FWhEJ9lTsSmDEr4ukjMQ%3D%3D"/>
    <hyperlink ref="L38" r:id="rId21" display="https://link.springer.com/article/10.1007%2Fs10898-007-9149-x"/>
  </hyperlink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81"/>
  <sheetViews>
    <sheetView workbookViewId="0">
      <pane ySplit="1" topLeftCell="A2" activePane="bottomLeft" state="frozen"/>
      <selection/>
      <selection pane="bottomLeft" activeCell="B3" sqref="B3"/>
    </sheetView>
  </sheetViews>
  <sheetFormatPr defaultColWidth="12.6285714285714" defaultRowHeight="15.75" customHeight="1" outlineLevelCol="2"/>
  <cols>
    <col min="1" max="1" width="22" customWidth="1"/>
  </cols>
  <sheetData>
    <row r="1" customHeight="1" spans="1:3">
      <c r="A1" s="109" t="s">
        <v>4855</v>
      </c>
      <c r="B1" s="110" t="s">
        <v>4856</v>
      </c>
      <c r="C1" s="1" t="s">
        <v>4857</v>
      </c>
    </row>
    <row r="2" customHeight="1" spans="1:3">
      <c r="A2" s="111" t="s">
        <v>4858</v>
      </c>
      <c r="B2" s="112">
        <v>203</v>
      </c>
      <c r="C2" s="22" t="s">
        <v>4859</v>
      </c>
    </row>
    <row r="3" customHeight="1" spans="1:3">
      <c r="A3" s="111" t="s">
        <v>4860</v>
      </c>
      <c r="B3" s="112">
        <v>198</v>
      </c>
      <c r="C3" s="22" t="s">
        <v>4859</v>
      </c>
    </row>
    <row r="4" customHeight="1" spans="1:3">
      <c r="A4" s="111" t="s">
        <v>4861</v>
      </c>
      <c r="B4" s="112">
        <v>171</v>
      </c>
      <c r="C4" s="22" t="s">
        <v>4859</v>
      </c>
    </row>
    <row r="5" customHeight="1" spans="1:3">
      <c r="A5" s="111" t="s">
        <v>4862</v>
      </c>
      <c r="B5" s="112">
        <v>126</v>
      </c>
      <c r="C5" s="22" t="s">
        <v>4859</v>
      </c>
    </row>
    <row r="6" customHeight="1" spans="1:3">
      <c r="A6" s="111" t="s">
        <v>4863</v>
      </c>
      <c r="B6" s="112">
        <v>111</v>
      </c>
      <c r="C6" s="22" t="s">
        <v>4859</v>
      </c>
    </row>
    <row r="7" customHeight="1" spans="1:3">
      <c r="A7" s="111" t="s">
        <v>4864</v>
      </c>
      <c r="B7" s="112">
        <v>111</v>
      </c>
      <c r="C7" s="22" t="s">
        <v>4859</v>
      </c>
    </row>
    <row r="8" customHeight="1" spans="1:3">
      <c r="A8" s="111" t="s">
        <v>4865</v>
      </c>
      <c r="B8" s="112">
        <v>107</v>
      </c>
      <c r="C8" s="22" t="s">
        <v>4859</v>
      </c>
    </row>
    <row r="9" customHeight="1" spans="1:3">
      <c r="A9" s="111" t="s">
        <v>4866</v>
      </c>
      <c r="B9" s="112">
        <v>100</v>
      </c>
      <c r="C9" s="22" t="s">
        <v>4859</v>
      </c>
    </row>
    <row r="10" customHeight="1" spans="1:3">
      <c r="A10" s="111" t="s">
        <v>4867</v>
      </c>
      <c r="B10" s="112">
        <v>96</v>
      </c>
      <c r="C10" s="22" t="s">
        <v>4859</v>
      </c>
    </row>
    <row r="11" customHeight="1" spans="1:3">
      <c r="A11" s="111" t="s">
        <v>4868</v>
      </c>
      <c r="B11" s="112">
        <v>95</v>
      </c>
      <c r="C11" s="22" t="s">
        <v>4859</v>
      </c>
    </row>
    <row r="12" customHeight="1" spans="1:3">
      <c r="A12" s="111" t="s">
        <v>4869</v>
      </c>
      <c r="B12" s="112">
        <v>87</v>
      </c>
      <c r="C12" s="22" t="s">
        <v>4859</v>
      </c>
    </row>
    <row r="13" customHeight="1" spans="1:3">
      <c r="A13" s="111" t="s">
        <v>4870</v>
      </c>
      <c r="B13" s="112">
        <v>85</v>
      </c>
      <c r="C13" s="22" t="s">
        <v>4859</v>
      </c>
    </row>
    <row r="14" customHeight="1" spans="1:3">
      <c r="A14" s="111" t="s">
        <v>4871</v>
      </c>
      <c r="B14" s="112">
        <v>82</v>
      </c>
      <c r="C14" s="22" t="s">
        <v>4859</v>
      </c>
    </row>
    <row r="15" customHeight="1" spans="1:3">
      <c r="A15" s="111" t="s">
        <v>4872</v>
      </c>
      <c r="B15" s="112">
        <v>67</v>
      </c>
      <c r="C15" s="22" t="s">
        <v>4859</v>
      </c>
    </row>
    <row r="16" customHeight="1" spans="1:3">
      <c r="A16" s="111" t="s">
        <v>4873</v>
      </c>
      <c r="B16" s="112">
        <v>64</v>
      </c>
      <c r="C16" s="22" t="s">
        <v>4859</v>
      </c>
    </row>
    <row r="17" customHeight="1" spans="1:3">
      <c r="A17" s="111" t="s">
        <v>4874</v>
      </c>
      <c r="B17" s="112">
        <v>57</v>
      </c>
      <c r="C17" s="22" t="s">
        <v>4859</v>
      </c>
    </row>
    <row r="18" customHeight="1" spans="1:3">
      <c r="A18" s="111" t="s">
        <v>4875</v>
      </c>
      <c r="B18" s="112">
        <v>57</v>
      </c>
      <c r="C18" s="22" t="s">
        <v>4859</v>
      </c>
    </row>
    <row r="19" customHeight="1" spans="1:3">
      <c r="A19" s="111" t="s">
        <v>4876</v>
      </c>
      <c r="B19" s="112">
        <v>56</v>
      </c>
      <c r="C19" s="22" t="s">
        <v>4859</v>
      </c>
    </row>
    <row r="20" customHeight="1" spans="1:3">
      <c r="A20" s="111" t="s">
        <v>4877</v>
      </c>
      <c r="B20" s="112">
        <v>54</v>
      </c>
      <c r="C20" s="22" t="s">
        <v>4859</v>
      </c>
    </row>
    <row r="21" customHeight="1" spans="1:3">
      <c r="A21" s="111" t="s">
        <v>4878</v>
      </c>
      <c r="B21" s="112">
        <v>50</v>
      </c>
      <c r="C21" s="22" t="s">
        <v>4859</v>
      </c>
    </row>
    <row r="22" customHeight="1" spans="1:3">
      <c r="A22" s="111" t="s">
        <v>4879</v>
      </c>
      <c r="B22" s="112">
        <v>135</v>
      </c>
      <c r="C22" s="22" t="s">
        <v>4880</v>
      </c>
    </row>
    <row r="23" customHeight="1" spans="1:3">
      <c r="A23" s="111" t="s">
        <v>4881</v>
      </c>
      <c r="B23" s="112">
        <v>112</v>
      </c>
      <c r="C23" s="22" t="s">
        <v>4880</v>
      </c>
    </row>
    <row r="24" customHeight="1" spans="1:3">
      <c r="A24" s="111" t="s">
        <v>4882</v>
      </c>
      <c r="B24" s="112">
        <v>90</v>
      </c>
      <c r="C24" s="22" t="s">
        <v>4880</v>
      </c>
    </row>
    <row r="25" customHeight="1" spans="1:3">
      <c r="A25" s="111" t="s">
        <v>4883</v>
      </c>
      <c r="B25" s="112">
        <v>53</v>
      </c>
      <c r="C25" s="22" t="s">
        <v>4880</v>
      </c>
    </row>
    <row r="26" customHeight="1" spans="1:3">
      <c r="A26" s="111" t="s">
        <v>4884</v>
      </c>
      <c r="B26" s="112">
        <v>50</v>
      </c>
      <c r="C26" s="22" t="s">
        <v>4880</v>
      </c>
    </row>
    <row r="27" customHeight="1" spans="1:3">
      <c r="A27" s="111" t="s">
        <v>4885</v>
      </c>
      <c r="B27" s="112">
        <v>49</v>
      </c>
      <c r="C27" s="22" t="s">
        <v>4880</v>
      </c>
    </row>
    <row r="28" customHeight="1" spans="1:3">
      <c r="A28" s="111" t="s">
        <v>4886</v>
      </c>
      <c r="B28" s="112">
        <v>45</v>
      </c>
      <c r="C28" s="22" t="s">
        <v>4880</v>
      </c>
    </row>
    <row r="29" customHeight="1" spans="1:3">
      <c r="A29" s="111" t="s">
        <v>4887</v>
      </c>
      <c r="B29" s="112">
        <v>39</v>
      </c>
      <c r="C29" s="22" t="s">
        <v>4880</v>
      </c>
    </row>
    <row r="30" customHeight="1" spans="1:3">
      <c r="A30" s="111" t="s">
        <v>4888</v>
      </c>
      <c r="B30" s="112">
        <v>38</v>
      </c>
      <c r="C30" s="22" t="s">
        <v>4880</v>
      </c>
    </row>
    <row r="31" customHeight="1" spans="1:3">
      <c r="A31" s="111" t="s">
        <v>4889</v>
      </c>
      <c r="B31" s="112">
        <v>35</v>
      </c>
      <c r="C31" s="22" t="s">
        <v>4880</v>
      </c>
    </row>
    <row r="32" customHeight="1" spans="1:3">
      <c r="A32" s="111" t="s">
        <v>4890</v>
      </c>
      <c r="B32" s="112">
        <v>33</v>
      </c>
      <c r="C32" s="22" t="s">
        <v>4880</v>
      </c>
    </row>
    <row r="33" customHeight="1" spans="1:3">
      <c r="A33" s="111" t="s">
        <v>4891</v>
      </c>
      <c r="B33" s="112">
        <v>29</v>
      </c>
      <c r="C33" s="22" t="s">
        <v>4880</v>
      </c>
    </row>
    <row r="34" customHeight="1" spans="1:3">
      <c r="A34" s="111" t="s">
        <v>4892</v>
      </c>
      <c r="B34" s="112">
        <v>26</v>
      </c>
      <c r="C34" s="22" t="s">
        <v>4880</v>
      </c>
    </row>
    <row r="35" customHeight="1" spans="1:3">
      <c r="A35" s="111" t="s">
        <v>4893</v>
      </c>
      <c r="B35" s="112">
        <v>25</v>
      </c>
      <c r="C35" s="22" t="s">
        <v>4880</v>
      </c>
    </row>
    <row r="36" customHeight="1" spans="1:3">
      <c r="A36" s="111" t="s">
        <v>4894</v>
      </c>
      <c r="B36" s="112">
        <v>24</v>
      </c>
      <c r="C36" s="22" t="s">
        <v>4880</v>
      </c>
    </row>
    <row r="37" customHeight="1" spans="1:3">
      <c r="A37" s="111" t="s">
        <v>4895</v>
      </c>
      <c r="B37" s="112">
        <v>23</v>
      </c>
      <c r="C37" s="22" t="s">
        <v>4880</v>
      </c>
    </row>
    <row r="38" customHeight="1" spans="1:3">
      <c r="A38" s="111" t="s">
        <v>4896</v>
      </c>
      <c r="B38" s="112">
        <v>23</v>
      </c>
      <c r="C38" s="22" t="s">
        <v>4880</v>
      </c>
    </row>
    <row r="39" customHeight="1" spans="1:3">
      <c r="A39" s="111" t="s">
        <v>4897</v>
      </c>
      <c r="B39" s="112">
        <v>22</v>
      </c>
      <c r="C39" s="22" t="s">
        <v>4880</v>
      </c>
    </row>
    <row r="40" customHeight="1" spans="1:3">
      <c r="A40" s="111" t="s">
        <v>4898</v>
      </c>
      <c r="B40" s="112">
        <v>22</v>
      </c>
      <c r="C40" s="22" t="s">
        <v>4880</v>
      </c>
    </row>
    <row r="41" customHeight="1" spans="1:3">
      <c r="A41" s="111" t="s">
        <v>4899</v>
      </c>
      <c r="B41" s="112">
        <v>20</v>
      </c>
      <c r="C41" s="22" t="s">
        <v>4880</v>
      </c>
    </row>
    <row r="42" customHeight="1" spans="1:3">
      <c r="A42" s="111" t="s">
        <v>4900</v>
      </c>
      <c r="B42" s="112">
        <v>85</v>
      </c>
      <c r="C42" s="22" t="s">
        <v>4901</v>
      </c>
    </row>
    <row r="43" customHeight="1" spans="1:3">
      <c r="A43" s="111" t="s">
        <v>4902</v>
      </c>
      <c r="B43" s="112">
        <v>70</v>
      </c>
      <c r="C43" s="22" t="s">
        <v>4901</v>
      </c>
    </row>
    <row r="44" customHeight="1" spans="1:3">
      <c r="A44" s="111" t="s">
        <v>4903</v>
      </c>
      <c r="B44" s="112">
        <v>55</v>
      </c>
      <c r="C44" s="22" t="s">
        <v>4901</v>
      </c>
    </row>
    <row r="45" customHeight="1" spans="1:3">
      <c r="A45" s="111" t="s">
        <v>4904</v>
      </c>
      <c r="B45" s="112">
        <v>30</v>
      </c>
      <c r="C45" s="22" t="s">
        <v>4901</v>
      </c>
    </row>
    <row r="46" customHeight="1" spans="1:3">
      <c r="A46" s="111" t="s">
        <v>4905</v>
      </c>
      <c r="B46" s="112">
        <v>28</v>
      </c>
      <c r="C46" s="22" t="s">
        <v>4901</v>
      </c>
    </row>
    <row r="47" customHeight="1" spans="1:3">
      <c r="A47" s="111" t="s">
        <v>4906</v>
      </c>
      <c r="B47" s="112">
        <v>25</v>
      </c>
      <c r="C47" s="22" t="s">
        <v>4901</v>
      </c>
    </row>
    <row r="48" customHeight="1" spans="1:3">
      <c r="A48" s="111" t="s">
        <v>4907</v>
      </c>
      <c r="B48" s="112">
        <v>21</v>
      </c>
      <c r="C48" s="22" t="s">
        <v>4901</v>
      </c>
    </row>
    <row r="49" customHeight="1" spans="1:3">
      <c r="A49" s="111" t="s">
        <v>4908</v>
      </c>
      <c r="B49" s="112">
        <v>20</v>
      </c>
      <c r="C49" s="22" t="s">
        <v>4901</v>
      </c>
    </row>
    <row r="50" customHeight="1" spans="1:3">
      <c r="A50" s="111" t="s">
        <v>4909</v>
      </c>
      <c r="B50" s="112">
        <v>19</v>
      </c>
      <c r="C50" s="22" t="s">
        <v>4901</v>
      </c>
    </row>
    <row r="51" customHeight="1" spans="1:3">
      <c r="A51" s="111" t="s">
        <v>4910</v>
      </c>
      <c r="B51" s="112">
        <v>19</v>
      </c>
      <c r="C51" s="22" t="s">
        <v>4901</v>
      </c>
    </row>
    <row r="52" customHeight="1" spans="1:3">
      <c r="A52" s="111" t="s">
        <v>4911</v>
      </c>
      <c r="B52" s="112">
        <v>19</v>
      </c>
      <c r="C52" s="22" t="s">
        <v>4901</v>
      </c>
    </row>
    <row r="53" customHeight="1" spans="1:3">
      <c r="A53" s="111" t="s">
        <v>4912</v>
      </c>
      <c r="B53" s="112">
        <v>17</v>
      </c>
      <c r="C53" s="22" t="s">
        <v>4901</v>
      </c>
    </row>
    <row r="54" customHeight="1" spans="1:3">
      <c r="A54" s="111" t="s">
        <v>4913</v>
      </c>
      <c r="B54" s="112">
        <v>15</v>
      </c>
      <c r="C54" s="22" t="s">
        <v>4901</v>
      </c>
    </row>
    <row r="55" customHeight="1" spans="1:3">
      <c r="A55" s="111" t="s">
        <v>4914</v>
      </c>
      <c r="B55" s="112">
        <v>14</v>
      </c>
      <c r="C55" s="22" t="s">
        <v>4901</v>
      </c>
    </row>
    <row r="56" customHeight="1" spans="1:3">
      <c r="A56" s="111" t="s">
        <v>4915</v>
      </c>
      <c r="B56" s="112">
        <v>13</v>
      </c>
      <c r="C56" s="22" t="s">
        <v>4901</v>
      </c>
    </row>
    <row r="57" customHeight="1" spans="1:3">
      <c r="A57" s="111" t="s">
        <v>4916</v>
      </c>
      <c r="B57" s="112">
        <v>13</v>
      </c>
      <c r="C57" s="22" t="s">
        <v>4901</v>
      </c>
    </row>
    <row r="58" customHeight="1" spans="1:3">
      <c r="A58" s="111" t="s">
        <v>4917</v>
      </c>
      <c r="B58" s="112">
        <v>12</v>
      </c>
      <c r="C58" s="22" t="s">
        <v>4901</v>
      </c>
    </row>
    <row r="59" customHeight="1" spans="1:3">
      <c r="A59" s="111" t="s">
        <v>4918</v>
      </c>
      <c r="B59" s="112">
        <v>10</v>
      </c>
      <c r="C59" s="22" t="s">
        <v>4901</v>
      </c>
    </row>
    <row r="60" customHeight="1" spans="1:3">
      <c r="A60" s="111" t="s">
        <v>4919</v>
      </c>
      <c r="B60" s="112">
        <v>8</v>
      </c>
      <c r="C60" s="22" t="s">
        <v>4901</v>
      </c>
    </row>
    <row r="61" customHeight="1" spans="1:3">
      <c r="A61" s="111" t="s">
        <v>4920</v>
      </c>
      <c r="B61" s="112">
        <v>8</v>
      </c>
      <c r="C61" s="22" t="s">
        <v>4901</v>
      </c>
    </row>
    <row r="62" customHeight="1" spans="1:3">
      <c r="A62" s="111" t="s">
        <v>4921</v>
      </c>
      <c r="B62" s="112">
        <v>299</v>
      </c>
      <c r="C62" s="22" t="s">
        <v>4922</v>
      </c>
    </row>
    <row r="63" customHeight="1" spans="1:3">
      <c r="A63" s="111" t="s">
        <v>4923</v>
      </c>
      <c r="B63" s="112">
        <v>176</v>
      </c>
      <c r="C63" s="22" t="s">
        <v>4922</v>
      </c>
    </row>
    <row r="64" customHeight="1" spans="1:3">
      <c r="A64" s="111" t="s">
        <v>4924</v>
      </c>
      <c r="B64" s="112">
        <v>144</v>
      </c>
      <c r="C64" s="22" t="s">
        <v>4922</v>
      </c>
    </row>
    <row r="65" customHeight="1" spans="1:3">
      <c r="A65" s="111" t="s">
        <v>4925</v>
      </c>
      <c r="B65" s="112">
        <v>131</v>
      </c>
      <c r="C65" s="22" t="s">
        <v>4922</v>
      </c>
    </row>
    <row r="66" customHeight="1" spans="1:3">
      <c r="A66" s="111" t="s">
        <v>4926</v>
      </c>
      <c r="B66" s="112">
        <v>113</v>
      </c>
      <c r="C66" s="22" t="s">
        <v>4922</v>
      </c>
    </row>
    <row r="67" customHeight="1" spans="1:3">
      <c r="A67" s="111" t="s">
        <v>4927</v>
      </c>
      <c r="B67" s="112">
        <v>85</v>
      </c>
      <c r="C67" s="22" t="s">
        <v>4922</v>
      </c>
    </row>
    <row r="68" customHeight="1" spans="1:3">
      <c r="A68" s="111" t="s">
        <v>4928</v>
      </c>
      <c r="B68" s="112">
        <v>73</v>
      </c>
      <c r="C68" s="22" t="s">
        <v>4922</v>
      </c>
    </row>
    <row r="69" customHeight="1" spans="1:3">
      <c r="A69" s="111" t="s">
        <v>4929</v>
      </c>
      <c r="B69" s="112">
        <v>70</v>
      </c>
      <c r="C69" s="22" t="s">
        <v>4922</v>
      </c>
    </row>
    <row r="70" customHeight="1" spans="1:3">
      <c r="A70" s="111" t="s">
        <v>4930</v>
      </c>
      <c r="B70" s="112">
        <v>67</v>
      </c>
      <c r="C70" s="22" t="s">
        <v>4922</v>
      </c>
    </row>
    <row r="71" customHeight="1" spans="1:3">
      <c r="A71" s="111" t="s">
        <v>4931</v>
      </c>
      <c r="B71" s="112">
        <v>59</v>
      </c>
      <c r="C71" s="22" t="s">
        <v>4922</v>
      </c>
    </row>
    <row r="72" customHeight="1" spans="1:3">
      <c r="A72" s="111" t="s">
        <v>4932</v>
      </c>
      <c r="B72" s="112">
        <v>57</v>
      </c>
      <c r="C72" s="22" t="s">
        <v>4922</v>
      </c>
    </row>
    <row r="73" customHeight="1" spans="1:3">
      <c r="A73" s="111" t="s">
        <v>4933</v>
      </c>
      <c r="B73" s="112">
        <v>54</v>
      </c>
      <c r="C73" s="22" t="s">
        <v>4922</v>
      </c>
    </row>
    <row r="74" customHeight="1" spans="1:3">
      <c r="A74" s="111" t="s">
        <v>4934</v>
      </c>
      <c r="B74" s="112">
        <v>52</v>
      </c>
      <c r="C74" s="22" t="s">
        <v>4922</v>
      </c>
    </row>
    <row r="75" customHeight="1" spans="1:3">
      <c r="A75" s="111" t="s">
        <v>4935</v>
      </c>
      <c r="B75" s="112">
        <v>51</v>
      </c>
      <c r="C75" s="22" t="s">
        <v>4922</v>
      </c>
    </row>
    <row r="76" customHeight="1" spans="1:3">
      <c r="A76" s="111" t="s">
        <v>4936</v>
      </c>
      <c r="B76" s="112">
        <v>50</v>
      </c>
      <c r="C76" s="22" t="s">
        <v>4922</v>
      </c>
    </row>
    <row r="77" customHeight="1" spans="1:3">
      <c r="A77" s="111" t="s">
        <v>4937</v>
      </c>
      <c r="B77" s="112">
        <v>45</v>
      </c>
      <c r="C77" s="22" t="s">
        <v>4922</v>
      </c>
    </row>
    <row r="78" customHeight="1" spans="1:3">
      <c r="A78" s="111" t="s">
        <v>4938</v>
      </c>
      <c r="B78" s="112">
        <v>41</v>
      </c>
      <c r="C78" s="22" t="s">
        <v>4922</v>
      </c>
    </row>
    <row r="79" customHeight="1" spans="1:3">
      <c r="A79" s="111" t="s">
        <v>4939</v>
      </c>
      <c r="B79" s="112">
        <v>37</v>
      </c>
      <c r="C79" s="22" t="s">
        <v>4922</v>
      </c>
    </row>
    <row r="80" customHeight="1" spans="1:3">
      <c r="A80" s="111" t="s">
        <v>4940</v>
      </c>
      <c r="B80" s="112">
        <v>36</v>
      </c>
      <c r="C80" s="22" t="s">
        <v>4922</v>
      </c>
    </row>
    <row r="81" customHeight="1" spans="1:3">
      <c r="A81" s="111" t="s">
        <v>4941</v>
      </c>
      <c r="B81" s="112">
        <v>35</v>
      </c>
      <c r="C81" s="22" t="s">
        <v>4922</v>
      </c>
    </row>
  </sheetData>
  <hyperlinks>
    <hyperlink ref="B2" r:id="rId3" display="203"/>
    <hyperlink ref="B3" r:id="rId4" display="198"/>
    <hyperlink ref="B4" r:id="rId5" display="171"/>
    <hyperlink ref="B5" r:id="rId6" display="126"/>
    <hyperlink ref="B6" r:id="rId7" display="111"/>
    <hyperlink ref="B7" r:id="rId8" display="111"/>
    <hyperlink ref="B8" r:id="rId9" display="107"/>
    <hyperlink ref="B9" r:id="rId10" display="100"/>
    <hyperlink ref="B10" r:id="rId11" display="96"/>
    <hyperlink ref="B11" r:id="rId12" display="95"/>
    <hyperlink ref="B12" r:id="rId13" display="87"/>
    <hyperlink ref="B13" r:id="rId14" display="85"/>
    <hyperlink ref="B14" r:id="rId15" display="82"/>
    <hyperlink ref="B15" r:id="rId16" display="67"/>
    <hyperlink ref="B16" r:id="rId17" display="64"/>
    <hyperlink ref="B17" r:id="rId18" display="57"/>
    <hyperlink ref="B18" r:id="rId19" display="57"/>
    <hyperlink ref="B19" r:id="rId20" display="56"/>
    <hyperlink ref="B20" r:id="rId21" display="54"/>
    <hyperlink ref="B21" r:id="rId22" display="50"/>
    <hyperlink ref="B22" r:id="rId23" display="135"/>
    <hyperlink ref="B23" r:id="rId24" display="112"/>
    <hyperlink ref="B24" r:id="rId25" display="90"/>
    <hyperlink ref="B25" r:id="rId26" display="53"/>
    <hyperlink ref="B26" r:id="rId27" display="50"/>
    <hyperlink ref="B27" r:id="rId28" display="49"/>
    <hyperlink ref="B28" r:id="rId29" display="45"/>
    <hyperlink ref="B29" r:id="rId30" display="39"/>
    <hyperlink ref="B30" r:id="rId31" display="38"/>
    <hyperlink ref="B31" r:id="rId32" display="35"/>
    <hyperlink ref="B32" r:id="rId33" display="33"/>
    <hyperlink ref="B33" r:id="rId34" display="29"/>
    <hyperlink ref="B34" r:id="rId35" display="26"/>
    <hyperlink ref="B35" r:id="rId36" display="25"/>
    <hyperlink ref="B36" r:id="rId37" display="24"/>
    <hyperlink ref="B37" r:id="rId38" display="23"/>
    <hyperlink ref="B38" r:id="rId39" display="23"/>
    <hyperlink ref="B39" r:id="rId40" display="22"/>
    <hyperlink ref="B40" r:id="rId41" display="22"/>
    <hyperlink ref="B41" r:id="rId42" display="20"/>
    <hyperlink ref="B42" r:id="rId43" display="85"/>
    <hyperlink ref="B43" r:id="rId44" display="70"/>
    <hyperlink ref="B44" r:id="rId45" display="55"/>
    <hyperlink ref="B45" r:id="rId46" display="30"/>
    <hyperlink ref="B46" r:id="rId47" display="28"/>
    <hyperlink ref="B47" r:id="rId48" display="25"/>
    <hyperlink ref="B48" r:id="rId49" display="21"/>
    <hyperlink ref="B49" r:id="rId50" display="20"/>
    <hyperlink ref="B50" r:id="rId51" display="19"/>
    <hyperlink ref="B51" r:id="rId52" display="19"/>
    <hyperlink ref="B52" r:id="rId53" display="19"/>
    <hyperlink ref="B53" r:id="rId54" display="17"/>
    <hyperlink ref="B54" r:id="rId55" display="15"/>
    <hyperlink ref="B55" r:id="rId56" display="14"/>
    <hyperlink ref="B56" r:id="rId57" display="13"/>
    <hyperlink ref="B57" r:id="rId58" display="13"/>
    <hyperlink ref="B58" r:id="rId59" display="12"/>
    <hyperlink ref="B59" r:id="rId60" display="10"/>
    <hyperlink ref="B60" r:id="rId61" display="8"/>
    <hyperlink ref="B61" r:id="rId62" display="8"/>
    <hyperlink ref="B62" r:id="rId63" display="299"/>
    <hyperlink ref="B63" r:id="rId64" display="176"/>
    <hyperlink ref="B64" r:id="rId65" display="144"/>
    <hyperlink ref="B65" r:id="rId66" display="131"/>
    <hyperlink ref="B66" r:id="rId67" display="113"/>
    <hyperlink ref="B67" r:id="rId68" display="85"/>
    <hyperlink ref="B68" r:id="rId69" display="73"/>
    <hyperlink ref="B69" r:id="rId70" display="70"/>
    <hyperlink ref="B70" r:id="rId71" display="67"/>
    <hyperlink ref="B71" r:id="rId72" display="59"/>
    <hyperlink ref="B72" r:id="rId73" display="57"/>
    <hyperlink ref="B73" r:id="rId74" display="54"/>
    <hyperlink ref="B74" r:id="rId75" display="52"/>
    <hyperlink ref="B75" r:id="rId76" display="51"/>
    <hyperlink ref="B76" r:id="rId77" display="50"/>
    <hyperlink ref="B77" r:id="rId78" display="45"/>
    <hyperlink ref="B78" r:id="rId79" display="41"/>
    <hyperlink ref="B79" r:id="rId80" display="37"/>
    <hyperlink ref="B80" r:id="rId81" display="36"/>
    <hyperlink ref="B81" r:id="rId82" display="35"/>
  </hyperlink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84"/>
  <sheetViews>
    <sheetView workbookViewId="0">
      <selection activeCell="A1" sqref="A1:F1"/>
    </sheetView>
  </sheetViews>
  <sheetFormatPr defaultColWidth="12.6285714285714" defaultRowHeight="15.75" customHeight="1"/>
  <cols>
    <col min="6" max="6" width="14.1333333333333" customWidth="1"/>
  </cols>
  <sheetData>
    <row r="1" customHeight="1" spans="1:12">
      <c r="A1" s="2" t="s">
        <v>4942</v>
      </c>
      <c r="F1" s="98"/>
      <c r="G1" s="2" t="s">
        <v>4943</v>
      </c>
      <c r="L1" s="98"/>
    </row>
    <row r="2" customHeight="1" spans="1:12">
      <c r="A2" s="22" t="s">
        <v>4944</v>
      </c>
      <c r="B2" s="22" t="s">
        <v>4945</v>
      </c>
      <c r="C2" s="22" t="s">
        <v>4946</v>
      </c>
      <c r="D2" s="22" t="s">
        <v>4947</v>
      </c>
      <c r="E2" s="22" t="s">
        <v>4948</v>
      </c>
      <c r="F2" s="99" t="s">
        <v>4949</v>
      </c>
      <c r="G2" s="22" t="s">
        <v>4944</v>
      </c>
      <c r="H2" s="22" t="s">
        <v>4945</v>
      </c>
      <c r="I2" s="22" t="s">
        <v>4946</v>
      </c>
      <c r="J2" s="22" t="s">
        <v>4947</v>
      </c>
      <c r="K2" s="22" t="s">
        <v>4950</v>
      </c>
      <c r="L2" s="99" t="s">
        <v>4951</v>
      </c>
    </row>
    <row r="3" customHeight="1" spans="1:12">
      <c r="A3" s="100" t="s">
        <v>1422</v>
      </c>
      <c r="B3" s="100" t="s">
        <v>4952</v>
      </c>
      <c r="C3" s="100">
        <v>2016</v>
      </c>
      <c r="D3" s="100">
        <v>91732</v>
      </c>
      <c r="E3" s="100" t="s">
        <v>4953</v>
      </c>
      <c r="F3" s="101">
        <v>1</v>
      </c>
      <c r="G3" s="100" t="s">
        <v>1422</v>
      </c>
      <c r="H3" s="100" t="s">
        <v>4952</v>
      </c>
      <c r="I3" s="100">
        <v>2016</v>
      </c>
      <c r="J3" s="100">
        <v>91732</v>
      </c>
      <c r="K3" s="100" t="s">
        <v>4953</v>
      </c>
      <c r="L3" s="101">
        <v>1</v>
      </c>
    </row>
    <row r="4" customHeight="1" spans="1:12">
      <c r="A4" s="100" t="s">
        <v>1602</v>
      </c>
      <c r="B4" s="100" t="s">
        <v>1601</v>
      </c>
      <c r="C4" s="100">
        <v>2015</v>
      </c>
      <c r="D4" s="100">
        <v>25930</v>
      </c>
      <c r="E4" s="100" t="s">
        <v>4954</v>
      </c>
      <c r="F4" s="101">
        <v>1</v>
      </c>
      <c r="G4" s="100" t="s">
        <v>1203</v>
      </c>
      <c r="H4" s="100" t="s">
        <v>4955</v>
      </c>
      <c r="I4" s="100">
        <v>2017</v>
      </c>
      <c r="J4" s="100">
        <v>5470</v>
      </c>
      <c r="K4" s="100" t="s">
        <v>4956</v>
      </c>
      <c r="L4" s="101">
        <v>1</v>
      </c>
    </row>
    <row r="5" customHeight="1" spans="1:12">
      <c r="A5" s="100" t="s">
        <v>1528</v>
      </c>
      <c r="B5" s="100" t="s">
        <v>1527</v>
      </c>
      <c r="C5" s="100">
        <v>2014</v>
      </c>
      <c r="D5" s="100">
        <v>20182</v>
      </c>
      <c r="E5" s="100" t="s">
        <v>4957</v>
      </c>
      <c r="F5" s="101">
        <v>1</v>
      </c>
      <c r="G5" s="100" t="s">
        <v>1602</v>
      </c>
      <c r="H5" s="100" t="s">
        <v>1601</v>
      </c>
      <c r="I5" s="100">
        <v>2015</v>
      </c>
      <c r="J5" s="100">
        <v>25930</v>
      </c>
      <c r="K5" s="100" t="s">
        <v>4954</v>
      </c>
      <c r="L5" s="101">
        <v>1</v>
      </c>
    </row>
    <row r="6" customHeight="1" spans="1:12">
      <c r="A6" s="100" t="s">
        <v>1327</v>
      </c>
      <c r="B6" s="100" t="s">
        <v>1326</v>
      </c>
      <c r="C6" s="100">
        <v>2017</v>
      </c>
      <c r="D6" s="100">
        <v>19101</v>
      </c>
      <c r="E6" s="100" t="s">
        <v>4958</v>
      </c>
      <c r="F6" s="101">
        <v>1</v>
      </c>
      <c r="G6" s="100" t="s">
        <v>1624</v>
      </c>
      <c r="H6" s="100" t="s">
        <v>1623</v>
      </c>
      <c r="I6" s="100">
        <v>2014</v>
      </c>
      <c r="J6" s="100">
        <v>13490</v>
      </c>
      <c r="K6" s="100" t="s">
        <v>4959</v>
      </c>
      <c r="L6" s="101">
        <v>1</v>
      </c>
    </row>
    <row r="7" customHeight="1" spans="1:12">
      <c r="A7" s="100" t="s">
        <v>4960</v>
      </c>
      <c r="B7" s="100" t="s">
        <v>4961</v>
      </c>
      <c r="C7" s="100">
        <v>2016</v>
      </c>
      <c r="D7" s="100">
        <v>15622</v>
      </c>
      <c r="E7" s="100" t="s">
        <v>4959</v>
      </c>
      <c r="F7" s="101">
        <v>-0.158730158730158</v>
      </c>
      <c r="G7" s="100" t="s">
        <v>1138</v>
      </c>
      <c r="H7" s="100" t="s">
        <v>4962</v>
      </c>
      <c r="I7" s="100">
        <v>2017</v>
      </c>
      <c r="J7" s="100">
        <v>14115</v>
      </c>
      <c r="K7" s="100" t="s">
        <v>4963</v>
      </c>
      <c r="L7" s="101">
        <v>1</v>
      </c>
    </row>
    <row r="8" customHeight="1" spans="1:12">
      <c r="A8" s="100" t="s">
        <v>1138</v>
      </c>
      <c r="B8" s="100" t="s">
        <v>4962</v>
      </c>
      <c r="C8" s="100">
        <v>2017</v>
      </c>
      <c r="D8" s="100">
        <v>14115</v>
      </c>
      <c r="E8" s="100" t="s">
        <v>4963</v>
      </c>
      <c r="F8" s="101">
        <v>1</v>
      </c>
      <c r="G8" s="100" t="s">
        <v>4964</v>
      </c>
      <c r="H8" s="100" t="s">
        <v>4965</v>
      </c>
      <c r="I8" s="100">
        <v>2013</v>
      </c>
      <c r="J8" s="100">
        <v>2506</v>
      </c>
      <c r="K8" s="100" t="s">
        <v>4958</v>
      </c>
      <c r="L8" s="101">
        <v>1</v>
      </c>
    </row>
    <row r="9" customHeight="1" spans="1:12">
      <c r="A9" s="100" t="s">
        <v>1624</v>
      </c>
      <c r="B9" s="100" t="s">
        <v>1623</v>
      </c>
      <c r="C9" s="100">
        <v>2014</v>
      </c>
      <c r="D9" s="100">
        <v>13490</v>
      </c>
      <c r="E9" s="100" t="s">
        <v>4959</v>
      </c>
      <c r="F9" s="101">
        <v>1</v>
      </c>
      <c r="G9" s="100" t="s">
        <v>4966</v>
      </c>
      <c r="H9" s="100" t="s">
        <v>4967</v>
      </c>
      <c r="I9" s="100">
        <v>2017</v>
      </c>
      <c r="J9" s="100">
        <v>4470</v>
      </c>
      <c r="K9" s="100" t="s">
        <v>4968</v>
      </c>
      <c r="L9" s="101">
        <v>1</v>
      </c>
    </row>
    <row r="10" customHeight="1" spans="1:12">
      <c r="A10" s="100" t="s">
        <v>1224</v>
      </c>
      <c r="B10" s="100" t="s">
        <v>4969</v>
      </c>
      <c r="C10" s="100">
        <v>2018</v>
      </c>
      <c r="D10" s="100">
        <v>8801</v>
      </c>
      <c r="E10" s="100" t="s">
        <v>4970</v>
      </c>
      <c r="F10" s="101">
        <v>-0.103026775320139</v>
      </c>
      <c r="G10" s="100" t="s">
        <v>1492</v>
      </c>
      <c r="H10" s="100" t="s">
        <v>4971</v>
      </c>
      <c r="I10" s="100">
        <v>2015</v>
      </c>
      <c r="J10" s="100">
        <v>5376</v>
      </c>
      <c r="K10" s="100" t="s">
        <v>4972</v>
      </c>
      <c r="L10" s="101">
        <v>1</v>
      </c>
    </row>
    <row r="11" customHeight="1" spans="1:12">
      <c r="A11" s="100" t="s">
        <v>1418</v>
      </c>
      <c r="B11" s="100" t="s">
        <v>4952</v>
      </c>
      <c r="C11" s="100">
        <v>2015</v>
      </c>
      <c r="D11" s="100">
        <v>6937</v>
      </c>
      <c r="E11" s="100" t="s">
        <v>4959</v>
      </c>
      <c r="F11" s="101">
        <v>-0.173293768545994</v>
      </c>
      <c r="G11" s="100" t="s">
        <v>1528</v>
      </c>
      <c r="H11" s="100" t="s">
        <v>1527</v>
      </c>
      <c r="I11" s="100">
        <v>2014</v>
      </c>
      <c r="J11" s="100">
        <v>20182</v>
      </c>
      <c r="K11" s="100" t="s">
        <v>4957</v>
      </c>
      <c r="L11" s="101">
        <v>1</v>
      </c>
    </row>
    <row r="12" customHeight="1" spans="1:12">
      <c r="A12" s="100" t="s">
        <v>1570</v>
      </c>
      <c r="B12" s="100" t="s">
        <v>1591</v>
      </c>
      <c r="C12" s="100">
        <v>2014</v>
      </c>
      <c r="D12" s="100">
        <v>5903</v>
      </c>
      <c r="E12" s="100" t="s">
        <v>4973</v>
      </c>
      <c r="F12" s="101">
        <v>1</v>
      </c>
      <c r="G12" s="100" t="s">
        <v>1327</v>
      </c>
      <c r="H12" s="100" t="s">
        <v>1326</v>
      </c>
      <c r="I12" s="100">
        <v>2017</v>
      </c>
      <c r="J12" s="100">
        <v>19101</v>
      </c>
      <c r="K12" s="100" t="s">
        <v>4958</v>
      </c>
      <c r="L12" s="101">
        <v>1</v>
      </c>
    </row>
    <row r="13" customHeight="1" spans="1:12">
      <c r="A13" s="100" t="s">
        <v>1397</v>
      </c>
      <c r="B13" s="100" t="s">
        <v>4974</v>
      </c>
      <c r="C13" s="100">
        <v>2016</v>
      </c>
      <c r="D13" s="100">
        <v>5646</v>
      </c>
      <c r="E13" s="100" t="s">
        <v>4975</v>
      </c>
      <c r="F13" s="101">
        <v>1</v>
      </c>
      <c r="G13" s="100" t="s">
        <v>4976</v>
      </c>
      <c r="H13" s="100" t="s">
        <v>4977</v>
      </c>
      <c r="I13" s="100">
        <v>2017</v>
      </c>
      <c r="J13" s="100">
        <v>2148</v>
      </c>
      <c r="K13" s="100" t="s">
        <v>4978</v>
      </c>
      <c r="L13" s="101">
        <v>1</v>
      </c>
    </row>
    <row r="14" customHeight="1" spans="1:12">
      <c r="A14" s="100" t="s">
        <v>1203</v>
      </c>
      <c r="B14" s="100" t="s">
        <v>4955</v>
      </c>
      <c r="C14" s="100">
        <v>2017</v>
      </c>
      <c r="D14" s="100">
        <v>5470</v>
      </c>
      <c r="E14" s="100" t="s">
        <v>4956</v>
      </c>
      <c r="F14" s="101">
        <v>1</v>
      </c>
      <c r="G14" s="100" t="s">
        <v>1168</v>
      </c>
      <c r="H14" s="100" t="s">
        <v>4979</v>
      </c>
      <c r="I14" s="100">
        <v>2017</v>
      </c>
      <c r="J14" s="100">
        <v>3479</v>
      </c>
      <c r="K14" s="100" t="s">
        <v>4980</v>
      </c>
      <c r="L14" s="101">
        <v>1</v>
      </c>
    </row>
    <row r="15" customHeight="1" spans="1:12">
      <c r="A15" s="102" t="s">
        <v>1492</v>
      </c>
      <c r="B15" s="102" t="s">
        <v>4971</v>
      </c>
      <c r="C15" s="102">
        <v>2015</v>
      </c>
      <c r="D15" s="102">
        <v>5376</v>
      </c>
      <c r="E15" s="102" t="s">
        <v>4972</v>
      </c>
      <c r="F15" s="103">
        <v>1</v>
      </c>
      <c r="G15" s="100" t="s">
        <v>4981</v>
      </c>
      <c r="H15" s="100" t="s">
        <v>1722</v>
      </c>
      <c r="I15" s="100">
        <v>2012</v>
      </c>
      <c r="J15" s="100">
        <v>5311</v>
      </c>
      <c r="K15" s="100" t="s">
        <v>4958</v>
      </c>
      <c r="L15" s="101">
        <v>1</v>
      </c>
    </row>
    <row r="16" customHeight="1" spans="1:12">
      <c r="A16" s="100" t="s">
        <v>4981</v>
      </c>
      <c r="B16" s="100" t="s">
        <v>1722</v>
      </c>
      <c r="C16" s="100">
        <v>2012</v>
      </c>
      <c r="D16" s="100">
        <v>5311</v>
      </c>
      <c r="E16" s="100" t="s">
        <v>4958</v>
      </c>
      <c r="F16" s="101">
        <v>1</v>
      </c>
      <c r="G16" s="100" t="s">
        <v>1397</v>
      </c>
      <c r="H16" s="100" t="s">
        <v>4974</v>
      </c>
      <c r="I16" s="100">
        <v>2016</v>
      </c>
      <c r="J16" s="100">
        <v>5646</v>
      </c>
      <c r="K16" s="100" t="s">
        <v>4975</v>
      </c>
      <c r="L16" s="101">
        <v>1</v>
      </c>
    </row>
    <row r="17" customHeight="1" spans="1:12">
      <c r="A17" s="100" t="s">
        <v>1372</v>
      </c>
      <c r="B17" s="100" t="s">
        <v>4982</v>
      </c>
      <c r="C17" s="100">
        <v>2017</v>
      </c>
      <c r="D17" s="100">
        <v>5169</v>
      </c>
      <c r="E17" s="100" t="s">
        <v>4953</v>
      </c>
      <c r="F17" s="101">
        <v>1</v>
      </c>
      <c r="G17" s="100" t="s">
        <v>1186</v>
      </c>
      <c r="H17" s="100" t="s">
        <v>4983</v>
      </c>
      <c r="I17" s="100">
        <v>2017</v>
      </c>
      <c r="J17" s="100">
        <v>3622</v>
      </c>
      <c r="K17" s="100" t="s">
        <v>4984</v>
      </c>
      <c r="L17" s="101">
        <v>1</v>
      </c>
    </row>
    <row r="18" customHeight="1" spans="1:12">
      <c r="A18" s="102" t="s">
        <v>4966</v>
      </c>
      <c r="B18" s="102" t="s">
        <v>4967</v>
      </c>
      <c r="C18" s="102">
        <v>2017</v>
      </c>
      <c r="D18" s="102">
        <v>4470</v>
      </c>
      <c r="E18" s="102" t="s">
        <v>4968</v>
      </c>
      <c r="F18" s="103">
        <v>1</v>
      </c>
      <c r="G18" s="104" t="s">
        <v>3856</v>
      </c>
      <c r="H18" s="104" t="s">
        <v>4985</v>
      </c>
      <c r="I18" s="104">
        <v>2016</v>
      </c>
      <c r="J18" s="104">
        <v>1035</v>
      </c>
      <c r="K18" s="104" t="s">
        <v>4986</v>
      </c>
      <c r="L18" s="105">
        <v>1</v>
      </c>
    </row>
    <row r="19" customHeight="1" spans="1:12">
      <c r="A19" s="102" t="s">
        <v>1361</v>
      </c>
      <c r="B19" s="102" t="s">
        <v>4987</v>
      </c>
      <c r="C19" s="102">
        <v>2016</v>
      </c>
      <c r="D19" s="102">
        <v>4045</v>
      </c>
      <c r="E19" s="102" t="s">
        <v>4970</v>
      </c>
      <c r="F19" s="103">
        <v>-0.169603524229074</v>
      </c>
      <c r="G19" s="100" t="s">
        <v>1433</v>
      </c>
      <c r="H19" s="100" t="s">
        <v>4988</v>
      </c>
      <c r="I19" s="100">
        <v>2015</v>
      </c>
      <c r="J19" s="100">
        <v>2570</v>
      </c>
      <c r="K19" s="100" t="s">
        <v>4989</v>
      </c>
      <c r="L19" s="101">
        <v>1</v>
      </c>
    </row>
    <row r="20" customHeight="1" spans="1:12">
      <c r="A20" s="100" t="s">
        <v>1186</v>
      </c>
      <c r="B20" s="100" t="s">
        <v>4983</v>
      </c>
      <c r="C20" s="100">
        <v>2017</v>
      </c>
      <c r="D20" s="100">
        <v>3622</v>
      </c>
      <c r="E20" s="100" t="s">
        <v>4984</v>
      </c>
      <c r="F20" s="101">
        <v>1</v>
      </c>
      <c r="G20" s="100" t="s">
        <v>4990</v>
      </c>
      <c r="H20" s="100" t="s">
        <v>4991</v>
      </c>
      <c r="I20" s="100">
        <v>2018</v>
      </c>
      <c r="J20" s="100">
        <v>1597</v>
      </c>
      <c r="K20" s="100" t="s">
        <v>4992</v>
      </c>
      <c r="L20" s="101">
        <v>1</v>
      </c>
    </row>
    <row r="21" customHeight="1" spans="1:12">
      <c r="A21" s="100" t="s">
        <v>1238</v>
      </c>
      <c r="B21" s="100" t="s">
        <v>4993</v>
      </c>
      <c r="C21" s="100">
        <v>2017</v>
      </c>
      <c r="D21" s="100">
        <v>3493</v>
      </c>
      <c r="E21" s="100" t="s">
        <v>4975</v>
      </c>
      <c r="F21" s="101">
        <v>0.113924050632911</v>
      </c>
      <c r="G21" s="100" t="s">
        <v>1372</v>
      </c>
      <c r="H21" s="100" t="s">
        <v>4982</v>
      </c>
      <c r="I21" s="100">
        <v>2017</v>
      </c>
      <c r="J21" s="100">
        <v>5169</v>
      </c>
      <c r="K21" s="100" t="s">
        <v>4953</v>
      </c>
      <c r="L21" s="101">
        <v>1</v>
      </c>
    </row>
    <row r="22" customHeight="1" spans="1:12">
      <c r="A22" s="102" t="s">
        <v>1613</v>
      </c>
      <c r="B22" s="102" t="s">
        <v>4994</v>
      </c>
      <c r="C22" s="102">
        <v>2014</v>
      </c>
      <c r="D22" s="102">
        <v>3486</v>
      </c>
      <c r="E22" s="102" t="s">
        <v>4954</v>
      </c>
      <c r="F22" s="103">
        <v>0.15112540192926</v>
      </c>
      <c r="G22" s="100" t="s">
        <v>973</v>
      </c>
      <c r="H22" s="100" t="s">
        <v>1022</v>
      </c>
      <c r="I22" s="100">
        <v>2019</v>
      </c>
      <c r="J22" s="100">
        <v>1539</v>
      </c>
      <c r="K22" s="100" t="s">
        <v>4953</v>
      </c>
      <c r="L22" s="101">
        <v>1</v>
      </c>
    </row>
    <row r="23" customHeight="1" spans="1:12">
      <c r="A23" s="100" t="s">
        <v>1168</v>
      </c>
      <c r="B23" s="100" t="s">
        <v>4979</v>
      </c>
      <c r="C23" s="100">
        <v>2017</v>
      </c>
      <c r="D23" s="100">
        <v>3479</v>
      </c>
      <c r="E23" s="100" t="s">
        <v>4980</v>
      </c>
      <c r="F23" s="101">
        <v>1</v>
      </c>
      <c r="G23" s="100" t="s">
        <v>1570</v>
      </c>
      <c r="H23" s="100" t="s">
        <v>1591</v>
      </c>
      <c r="I23" s="100">
        <v>2014</v>
      </c>
      <c r="J23" s="100">
        <v>5903</v>
      </c>
      <c r="K23" s="100" t="s">
        <v>4973</v>
      </c>
      <c r="L23" s="101">
        <v>1</v>
      </c>
    </row>
    <row r="24" customHeight="1" spans="1:12">
      <c r="A24" s="102" t="s">
        <v>1162</v>
      </c>
      <c r="B24" s="102" t="s">
        <v>4995</v>
      </c>
      <c r="C24" s="102">
        <v>2017</v>
      </c>
      <c r="D24" s="102">
        <v>3433</v>
      </c>
      <c r="E24" s="102" t="s">
        <v>4973</v>
      </c>
      <c r="F24" s="103">
        <v>-0.999999999999993</v>
      </c>
      <c r="G24" s="100" t="s">
        <v>1382</v>
      </c>
      <c r="H24" s="100" t="s">
        <v>4996</v>
      </c>
      <c r="I24" s="100">
        <v>2017</v>
      </c>
      <c r="J24" s="100">
        <v>1907</v>
      </c>
      <c r="K24" s="100" t="s">
        <v>4972</v>
      </c>
      <c r="L24" s="101">
        <v>0.259671928195605</v>
      </c>
    </row>
    <row r="25" customHeight="1" spans="1:12">
      <c r="A25" s="102" t="s">
        <v>1460</v>
      </c>
      <c r="B25" s="102" t="s">
        <v>4997</v>
      </c>
      <c r="C25" s="102">
        <v>2015</v>
      </c>
      <c r="D25" s="102">
        <v>3397</v>
      </c>
      <c r="E25" s="102" t="s">
        <v>4973</v>
      </c>
      <c r="F25" s="103">
        <v>-0.25438596491228</v>
      </c>
      <c r="G25" s="100" t="s">
        <v>1613</v>
      </c>
      <c r="H25" s="100" t="s">
        <v>4994</v>
      </c>
      <c r="I25" s="100">
        <v>2014</v>
      </c>
      <c r="J25" s="100">
        <v>3486</v>
      </c>
      <c r="K25" s="100" t="s">
        <v>4954</v>
      </c>
      <c r="L25" s="101">
        <v>0.15112540192926</v>
      </c>
    </row>
    <row r="26" customHeight="1" spans="1:12">
      <c r="A26" s="102" t="s">
        <v>4998</v>
      </c>
      <c r="B26" s="102" t="s">
        <v>4999</v>
      </c>
      <c r="C26" s="102">
        <v>2016</v>
      </c>
      <c r="D26" s="102">
        <v>3018</v>
      </c>
      <c r="E26" s="102" t="s">
        <v>4986</v>
      </c>
      <c r="F26" s="103">
        <v>-0.345</v>
      </c>
      <c r="G26" s="100" t="s">
        <v>1238</v>
      </c>
      <c r="H26" s="100" t="s">
        <v>4993</v>
      </c>
      <c r="I26" s="100">
        <v>2017</v>
      </c>
      <c r="J26" s="100">
        <v>3493</v>
      </c>
      <c r="K26" s="100" t="s">
        <v>4975</v>
      </c>
      <c r="L26" s="101">
        <v>0.113924050632911</v>
      </c>
    </row>
    <row r="27" customHeight="1" spans="1:12">
      <c r="A27" s="100" t="s">
        <v>1433</v>
      </c>
      <c r="B27" s="100" t="s">
        <v>4988</v>
      </c>
      <c r="C27" s="100">
        <v>2015</v>
      </c>
      <c r="D27" s="100">
        <v>2570</v>
      </c>
      <c r="E27" s="100" t="s">
        <v>4989</v>
      </c>
      <c r="F27" s="101">
        <v>1</v>
      </c>
      <c r="G27" s="100" t="s">
        <v>1145</v>
      </c>
      <c r="H27" s="100" t="s">
        <v>5000</v>
      </c>
      <c r="I27" s="100">
        <v>2017</v>
      </c>
      <c r="J27" s="100">
        <v>5535</v>
      </c>
      <c r="K27" s="100" t="s">
        <v>4975</v>
      </c>
      <c r="L27" s="101">
        <v>0.096234309623431</v>
      </c>
    </row>
    <row r="28" customHeight="1" spans="1:12">
      <c r="A28" s="100" t="s">
        <v>4964</v>
      </c>
      <c r="B28" s="100" t="s">
        <v>4965</v>
      </c>
      <c r="C28" s="100">
        <v>2013</v>
      </c>
      <c r="D28" s="100">
        <v>2506</v>
      </c>
      <c r="E28" s="100" t="s">
        <v>4958</v>
      </c>
      <c r="F28" s="101">
        <v>1</v>
      </c>
      <c r="G28" s="100" t="s">
        <v>1282</v>
      </c>
      <c r="H28" s="100" t="s">
        <v>5001</v>
      </c>
      <c r="I28" s="100">
        <v>2016</v>
      </c>
      <c r="J28" s="100">
        <v>2255</v>
      </c>
      <c r="K28" s="100" t="s">
        <v>5002</v>
      </c>
      <c r="L28" s="101">
        <v>0.0742718446601939</v>
      </c>
    </row>
    <row r="29" customHeight="1" spans="1:12">
      <c r="A29" s="102" t="s">
        <v>1030</v>
      </c>
      <c r="B29" s="102" t="s">
        <v>5003</v>
      </c>
      <c r="C29" s="102">
        <v>2018</v>
      </c>
      <c r="D29" s="102">
        <v>2424</v>
      </c>
      <c r="E29" s="102" t="s">
        <v>4984</v>
      </c>
      <c r="F29" s="103">
        <v>-0.125</v>
      </c>
      <c r="G29" s="100" t="s">
        <v>1228</v>
      </c>
      <c r="H29" s="100" t="s">
        <v>5004</v>
      </c>
      <c r="I29" s="100">
        <v>2017</v>
      </c>
      <c r="J29" s="100">
        <v>1301</v>
      </c>
      <c r="K29" s="100" t="s">
        <v>5005</v>
      </c>
      <c r="L29" s="101">
        <v>0.0562264150943396</v>
      </c>
    </row>
    <row r="30" customHeight="1" spans="1:12">
      <c r="A30" s="102" t="s">
        <v>1351</v>
      </c>
      <c r="B30" s="102" t="s">
        <v>5006</v>
      </c>
      <c r="C30" s="102">
        <v>2016</v>
      </c>
      <c r="D30" s="102">
        <v>2402</v>
      </c>
      <c r="E30" s="102" t="s">
        <v>4973</v>
      </c>
      <c r="F30" s="103">
        <v>-0.226666666666666</v>
      </c>
      <c r="G30" s="100" t="s">
        <v>979</v>
      </c>
      <c r="H30" s="100" t="s">
        <v>978</v>
      </c>
      <c r="I30" s="100">
        <v>2018</v>
      </c>
      <c r="J30" s="100">
        <v>27104</v>
      </c>
      <c r="K30" s="100" t="s">
        <v>5007</v>
      </c>
      <c r="L30" s="101">
        <v>0.0556199304750868</v>
      </c>
    </row>
    <row r="31" customHeight="1" spans="1:12">
      <c r="A31" s="102" t="s">
        <v>4976</v>
      </c>
      <c r="B31" s="102" t="s">
        <v>4977</v>
      </c>
      <c r="C31" s="102">
        <v>2017</v>
      </c>
      <c r="D31" s="102">
        <v>2148</v>
      </c>
      <c r="E31" s="102" t="s">
        <v>4978</v>
      </c>
      <c r="F31" s="103">
        <v>1</v>
      </c>
      <c r="G31" s="100" t="s">
        <v>1007</v>
      </c>
      <c r="H31" s="100" t="s">
        <v>5008</v>
      </c>
      <c r="I31" s="100">
        <v>2018</v>
      </c>
      <c r="J31" s="100">
        <v>1107</v>
      </c>
      <c r="K31" s="100" t="s">
        <v>5009</v>
      </c>
      <c r="L31" s="101">
        <v>0.0504413619167718</v>
      </c>
    </row>
    <row r="32" customHeight="1" spans="1:12">
      <c r="A32" s="102" t="s">
        <v>1382</v>
      </c>
      <c r="B32" s="102" t="s">
        <v>4996</v>
      </c>
      <c r="C32" s="102">
        <v>2017</v>
      </c>
      <c r="D32" s="102">
        <v>1907</v>
      </c>
      <c r="E32" s="102" t="s">
        <v>4972</v>
      </c>
      <c r="F32" s="103">
        <v>0.259671928195605</v>
      </c>
      <c r="G32" s="100" t="s">
        <v>967</v>
      </c>
      <c r="H32" s="100" t="s">
        <v>966</v>
      </c>
      <c r="I32" s="100">
        <v>2018</v>
      </c>
      <c r="J32" s="100">
        <v>2120</v>
      </c>
      <c r="K32" s="100" t="s">
        <v>4975</v>
      </c>
      <c r="L32" s="101">
        <v>0.0477272727272726</v>
      </c>
    </row>
    <row r="33" customHeight="1" spans="1:12">
      <c r="A33" s="102" t="s">
        <v>4990</v>
      </c>
      <c r="B33" s="102" t="s">
        <v>4991</v>
      </c>
      <c r="C33" s="102">
        <v>2018</v>
      </c>
      <c r="D33" s="102">
        <v>1597</v>
      </c>
      <c r="E33" s="102" t="s">
        <v>4992</v>
      </c>
      <c r="F33" s="103">
        <v>1</v>
      </c>
      <c r="G33" s="100" t="s">
        <v>909</v>
      </c>
      <c r="H33" s="100" t="s">
        <v>908</v>
      </c>
      <c r="I33" s="100">
        <v>2019</v>
      </c>
      <c r="J33" s="100">
        <v>3414</v>
      </c>
      <c r="K33" s="100" t="s">
        <v>5007</v>
      </c>
      <c r="L33" s="101">
        <v>0.0439077936333698</v>
      </c>
    </row>
    <row r="34" customHeight="1" spans="1:12">
      <c r="A34" s="100" t="s">
        <v>973</v>
      </c>
      <c r="B34" s="100" t="s">
        <v>1022</v>
      </c>
      <c r="C34" s="100">
        <v>2019</v>
      </c>
      <c r="D34" s="100">
        <v>1539</v>
      </c>
      <c r="E34" s="100" t="s">
        <v>4953</v>
      </c>
      <c r="F34" s="101">
        <v>1</v>
      </c>
      <c r="G34" s="100" t="s">
        <v>5010</v>
      </c>
      <c r="H34" s="100" t="s">
        <v>5011</v>
      </c>
      <c r="I34" s="100">
        <v>2020</v>
      </c>
      <c r="J34" s="100">
        <v>1227</v>
      </c>
      <c r="K34" s="100" t="s">
        <v>5009</v>
      </c>
      <c r="L34" s="101">
        <v>0.0338983050847456</v>
      </c>
    </row>
    <row r="35" customHeight="1" spans="1:12">
      <c r="A35" s="102" t="s">
        <v>1356</v>
      </c>
      <c r="B35" s="102" t="s">
        <v>5012</v>
      </c>
      <c r="C35" s="102">
        <v>2016</v>
      </c>
      <c r="D35" s="102">
        <v>1233</v>
      </c>
      <c r="E35" s="102" t="s">
        <v>4986</v>
      </c>
      <c r="F35" s="103">
        <v>-0.464985994397759</v>
      </c>
      <c r="G35" s="100" t="s">
        <v>1242</v>
      </c>
      <c r="H35" s="100" t="s">
        <v>5013</v>
      </c>
      <c r="I35" s="100">
        <v>2017</v>
      </c>
      <c r="J35" s="100">
        <v>1795</v>
      </c>
      <c r="K35" s="100" t="s">
        <v>5005</v>
      </c>
      <c r="L35" s="101">
        <v>0.0321543408360129</v>
      </c>
    </row>
    <row r="36" customHeight="1" spans="1:12">
      <c r="A36" s="102" t="s">
        <v>1213</v>
      </c>
      <c r="B36" s="102" t="s">
        <v>5014</v>
      </c>
      <c r="C36" s="102">
        <v>2017</v>
      </c>
      <c r="D36" s="102">
        <v>1221</v>
      </c>
      <c r="E36" s="102" t="s">
        <v>5015</v>
      </c>
      <c r="F36" s="103">
        <v>-0.426126126126126</v>
      </c>
      <c r="G36" s="100" t="s">
        <v>5016</v>
      </c>
      <c r="H36" s="100" t="s">
        <v>5017</v>
      </c>
      <c r="I36" s="100">
        <v>2016</v>
      </c>
      <c r="J36" s="100">
        <v>1515</v>
      </c>
      <c r="K36" s="100" t="s">
        <v>5007</v>
      </c>
      <c r="L36" s="101">
        <v>0.0320427236315086</v>
      </c>
    </row>
    <row r="37" customHeight="1" spans="1:12">
      <c r="A37" s="102" t="s">
        <v>876</v>
      </c>
      <c r="B37" s="102" t="s">
        <v>5018</v>
      </c>
      <c r="C37" s="102">
        <v>2019</v>
      </c>
      <c r="D37" s="102">
        <v>1164</v>
      </c>
      <c r="E37" s="102" t="s">
        <v>5019</v>
      </c>
      <c r="F37" s="103">
        <v>-0.119718309859154</v>
      </c>
      <c r="G37" s="100" t="s">
        <v>1153</v>
      </c>
      <c r="H37" s="100" t="s">
        <v>5020</v>
      </c>
      <c r="I37" s="100">
        <v>2017</v>
      </c>
      <c r="J37" s="100">
        <v>9164</v>
      </c>
      <c r="K37" s="100" t="s">
        <v>4989</v>
      </c>
      <c r="L37" s="101">
        <v>0.0269662921348314</v>
      </c>
    </row>
    <row r="38" customHeight="1" spans="1:12">
      <c r="A38" s="104" t="s">
        <v>3856</v>
      </c>
      <c r="B38" s="104" t="s">
        <v>4985</v>
      </c>
      <c r="C38" s="104">
        <v>2016</v>
      </c>
      <c r="D38" s="104">
        <v>1035</v>
      </c>
      <c r="E38" s="104" t="s">
        <v>4986</v>
      </c>
      <c r="F38" s="105">
        <v>1</v>
      </c>
      <c r="G38" s="100" t="s">
        <v>1344</v>
      </c>
      <c r="H38" s="100" t="s">
        <v>5021</v>
      </c>
      <c r="I38" s="100">
        <v>2016</v>
      </c>
      <c r="J38" s="100">
        <v>3246</v>
      </c>
      <c r="K38" s="100" t="s">
        <v>5002</v>
      </c>
      <c r="L38" s="101">
        <v>0.0268865793041122</v>
      </c>
    </row>
    <row r="39" customHeight="1" spans="6:12">
      <c r="F39" s="106"/>
      <c r="G39" s="100" t="s">
        <v>1026</v>
      </c>
      <c r="H39" s="100" t="s">
        <v>5022</v>
      </c>
      <c r="I39" s="100">
        <v>2018</v>
      </c>
      <c r="J39" s="100">
        <v>4510</v>
      </c>
      <c r="K39" s="100" t="s">
        <v>4954</v>
      </c>
      <c r="L39" s="101">
        <v>0.0241657077100114</v>
      </c>
    </row>
    <row r="40" customHeight="1" spans="6:12">
      <c r="F40" s="106"/>
      <c r="G40" s="100" t="s">
        <v>5023</v>
      </c>
      <c r="H40" s="100" t="s">
        <v>5024</v>
      </c>
      <c r="I40" s="100">
        <v>2017</v>
      </c>
      <c r="J40" s="100">
        <v>2428</v>
      </c>
      <c r="K40" s="100" t="s">
        <v>4957</v>
      </c>
      <c r="L40" s="101">
        <v>0.0182445759368834</v>
      </c>
    </row>
    <row r="41" customHeight="1" spans="6:12">
      <c r="F41" s="106"/>
      <c r="G41" s="100" t="s">
        <v>1247</v>
      </c>
      <c r="H41" s="100" t="s">
        <v>5025</v>
      </c>
      <c r="I41" s="100">
        <v>2016</v>
      </c>
      <c r="J41" s="100">
        <v>4763</v>
      </c>
      <c r="K41" s="100" t="s">
        <v>4957</v>
      </c>
      <c r="L41" s="101">
        <v>0.0178571428571427</v>
      </c>
    </row>
    <row r="42" customHeight="1" spans="6:12">
      <c r="F42" s="106"/>
      <c r="G42" s="100" t="s">
        <v>1182</v>
      </c>
      <c r="H42" s="100" t="s">
        <v>5026</v>
      </c>
      <c r="I42" s="100">
        <v>2017</v>
      </c>
      <c r="J42" s="100">
        <v>3354</v>
      </c>
      <c r="K42" s="100" t="s">
        <v>4954</v>
      </c>
      <c r="L42" s="101">
        <v>0.0175644028103043</v>
      </c>
    </row>
    <row r="43" customHeight="1" spans="6:12">
      <c r="F43" s="106"/>
      <c r="G43" s="100" t="s">
        <v>881</v>
      </c>
      <c r="H43" s="100" t="s">
        <v>5027</v>
      </c>
      <c r="I43" s="100">
        <v>2019</v>
      </c>
      <c r="J43" s="100">
        <v>1589</v>
      </c>
      <c r="K43" s="100" t="s">
        <v>4989</v>
      </c>
      <c r="L43" s="101">
        <v>0.0174081237911025</v>
      </c>
    </row>
    <row r="44" customHeight="1" spans="6:12">
      <c r="F44" s="106"/>
      <c r="G44" s="100" t="s">
        <v>1157</v>
      </c>
      <c r="H44" s="100" t="s">
        <v>5028</v>
      </c>
      <c r="I44" s="100">
        <v>2017</v>
      </c>
      <c r="J44" s="100">
        <v>6520</v>
      </c>
      <c r="K44" s="100" t="s">
        <v>5029</v>
      </c>
      <c r="L44" s="101">
        <v>0.0168147208121827</v>
      </c>
    </row>
    <row r="45" customHeight="1" spans="6:12">
      <c r="F45" s="106"/>
      <c r="G45" s="100" t="s">
        <v>939</v>
      </c>
      <c r="H45" s="100" t="s">
        <v>5030</v>
      </c>
      <c r="I45" s="100">
        <v>2019</v>
      </c>
      <c r="J45" s="100">
        <v>1271</v>
      </c>
      <c r="K45" s="100" t="s">
        <v>5031</v>
      </c>
      <c r="L45" s="101">
        <v>0.0147058823529411</v>
      </c>
    </row>
    <row r="46" customHeight="1" spans="6:12">
      <c r="F46" s="106"/>
      <c r="G46" s="100" t="s">
        <v>1367</v>
      </c>
      <c r="H46" s="100" t="s">
        <v>5032</v>
      </c>
      <c r="I46" s="100">
        <v>2016</v>
      </c>
      <c r="J46" s="100">
        <v>1809</v>
      </c>
      <c r="K46" s="100" t="s">
        <v>5029</v>
      </c>
      <c r="L46" s="101">
        <v>0.0135048231511254</v>
      </c>
    </row>
    <row r="47" customHeight="1" spans="6:12">
      <c r="F47" s="106"/>
      <c r="G47" s="100" t="s">
        <v>773</v>
      </c>
      <c r="H47" s="100" t="s">
        <v>5033</v>
      </c>
      <c r="I47" s="100">
        <v>2019</v>
      </c>
      <c r="J47" s="100">
        <v>1856</v>
      </c>
      <c r="K47" s="100" t="s">
        <v>5031</v>
      </c>
      <c r="L47" s="101">
        <v>0.0102135561745591</v>
      </c>
    </row>
    <row r="48" customHeight="1" spans="6:12">
      <c r="F48" s="106"/>
      <c r="G48" s="100" t="s">
        <v>1520</v>
      </c>
      <c r="H48" s="100" t="s">
        <v>1519</v>
      </c>
      <c r="I48" s="100">
        <v>2014</v>
      </c>
      <c r="J48" s="100">
        <v>16449</v>
      </c>
      <c r="K48" s="100" t="s">
        <v>4957</v>
      </c>
      <c r="L48" s="101">
        <v>0.00828729281767937</v>
      </c>
    </row>
    <row r="49" customHeight="1" spans="6:12">
      <c r="F49" s="106"/>
      <c r="G49" s="100" t="s">
        <v>1172</v>
      </c>
      <c r="H49" s="100" t="s">
        <v>5034</v>
      </c>
      <c r="I49" s="100">
        <v>2017</v>
      </c>
      <c r="J49" s="100">
        <v>2721</v>
      </c>
      <c r="K49" s="100" t="s">
        <v>5029</v>
      </c>
      <c r="L49" s="101">
        <v>0.0071362085013964</v>
      </c>
    </row>
    <row r="50" customHeight="1" spans="6:12">
      <c r="F50" s="106"/>
      <c r="G50" s="100" t="s">
        <v>1301</v>
      </c>
      <c r="H50" s="100" t="s">
        <v>5035</v>
      </c>
      <c r="I50" s="100">
        <v>2016</v>
      </c>
      <c r="J50" s="100">
        <v>1102</v>
      </c>
      <c r="K50" s="100" t="s">
        <v>5036</v>
      </c>
      <c r="L50" s="101">
        <v>0.00698272693862533</v>
      </c>
    </row>
    <row r="51" customHeight="1" spans="6:12">
      <c r="F51" s="106"/>
      <c r="G51" s="100" t="s">
        <v>1060</v>
      </c>
      <c r="H51" s="100" t="s">
        <v>5037</v>
      </c>
      <c r="I51" s="100">
        <v>2018</v>
      </c>
      <c r="J51" s="100">
        <v>1501</v>
      </c>
      <c r="K51" s="100" t="s">
        <v>5029</v>
      </c>
      <c r="L51" s="101">
        <v>0.00492762550046199</v>
      </c>
    </row>
    <row r="52" customHeight="1" spans="6:12">
      <c r="F52" s="106"/>
      <c r="G52" s="107" t="s">
        <v>5038</v>
      </c>
      <c r="H52" s="107" t="s">
        <v>5039</v>
      </c>
      <c r="I52" s="107">
        <v>2017</v>
      </c>
      <c r="J52" s="107">
        <v>1065</v>
      </c>
      <c r="K52" s="107" t="s">
        <v>5007</v>
      </c>
      <c r="L52" s="108">
        <v>0.00382165605095541</v>
      </c>
    </row>
    <row r="53" customHeight="1" spans="6:12">
      <c r="F53" s="106"/>
      <c r="G53" s="100" t="s">
        <v>1065</v>
      </c>
      <c r="H53" s="100" t="s">
        <v>5040</v>
      </c>
      <c r="I53" s="100">
        <v>2018</v>
      </c>
      <c r="J53" s="100">
        <v>1248</v>
      </c>
      <c r="K53" s="100" t="s">
        <v>5029</v>
      </c>
      <c r="L53" s="101">
        <v>0.00306466441924602</v>
      </c>
    </row>
    <row r="54" customHeight="1" spans="6:12">
      <c r="F54" s="106"/>
      <c r="G54" s="100" t="s">
        <v>1132</v>
      </c>
      <c r="H54" s="100" t="s">
        <v>5041</v>
      </c>
      <c r="I54" s="100">
        <v>2017</v>
      </c>
      <c r="J54" s="100">
        <v>3598</v>
      </c>
      <c r="K54" s="100" t="s">
        <v>5042</v>
      </c>
      <c r="L54" s="101">
        <v>0.000713775874375377</v>
      </c>
    </row>
    <row r="55" customHeight="1" spans="6:12">
      <c r="F55" s="106"/>
      <c r="G55" s="100" t="s">
        <v>1035</v>
      </c>
      <c r="H55" s="100" t="s">
        <v>5043</v>
      </c>
      <c r="I55" s="100">
        <v>2018</v>
      </c>
      <c r="J55" s="100">
        <v>1527</v>
      </c>
      <c r="K55" s="100" t="s">
        <v>5036</v>
      </c>
      <c r="L55" s="101">
        <v>0.000360880548538444</v>
      </c>
    </row>
    <row r="56" customHeight="1" spans="6:12">
      <c r="F56" s="106"/>
      <c r="G56" s="100" t="s">
        <v>3600</v>
      </c>
      <c r="H56" s="100" t="s">
        <v>5044</v>
      </c>
      <c r="I56" s="100">
        <v>2018</v>
      </c>
      <c r="J56" s="100">
        <v>1295</v>
      </c>
      <c r="K56" s="100" t="s">
        <v>5045</v>
      </c>
      <c r="L56" s="101">
        <v>-0.0113154172560112</v>
      </c>
    </row>
    <row r="57" customHeight="1" spans="6:12">
      <c r="F57" s="106"/>
      <c r="G57" s="100" t="s">
        <v>1116</v>
      </c>
      <c r="H57" s="100" t="s">
        <v>1115</v>
      </c>
      <c r="I57" s="100">
        <v>2018</v>
      </c>
      <c r="J57" s="100">
        <v>1234</v>
      </c>
      <c r="K57" s="100" t="s">
        <v>4959</v>
      </c>
      <c r="L57" s="101">
        <v>-0.0115606936416184</v>
      </c>
    </row>
    <row r="58" customHeight="1" spans="6:12">
      <c r="F58" s="106"/>
      <c r="G58" s="100" t="s">
        <v>1472</v>
      </c>
      <c r="H58" s="100" t="s">
        <v>1471</v>
      </c>
      <c r="I58" s="100">
        <v>2015</v>
      </c>
      <c r="J58" s="100">
        <v>30567</v>
      </c>
      <c r="K58" s="100" t="s">
        <v>4959</v>
      </c>
      <c r="L58" s="101">
        <v>-0.011764705882353</v>
      </c>
    </row>
    <row r="59" customHeight="1" spans="6:12">
      <c r="F59" s="106"/>
      <c r="G59" s="100" t="s">
        <v>5046</v>
      </c>
      <c r="H59" s="100" t="s">
        <v>1207</v>
      </c>
      <c r="I59" s="100">
        <v>2017</v>
      </c>
      <c r="J59" s="100">
        <v>9286</v>
      </c>
      <c r="K59" s="100" t="s">
        <v>4963</v>
      </c>
      <c r="L59" s="101">
        <v>-0.0123674911660778</v>
      </c>
    </row>
    <row r="60" customHeight="1" spans="6:12">
      <c r="F60" s="106"/>
      <c r="G60" s="100" t="s">
        <v>1136</v>
      </c>
      <c r="H60" s="100" t="s">
        <v>5047</v>
      </c>
      <c r="I60" s="100">
        <v>2017</v>
      </c>
      <c r="J60" s="100">
        <v>3039</v>
      </c>
      <c r="K60" s="100" t="s">
        <v>4968</v>
      </c>
      <c r="L60" s="101">
        <v>-0.0140350877192981</v>
      </c>
    </row>
    <row r="61" customHeight="1" spans="6:12">
      <c r="F61" s="106"/>
      <c r="G61" s="100" t="s">
        <v>1515</v>
      </c>
      <c r="H61" s="100" t="s">
        <v>1591</v>
      </c>
      <c r="I61" s="100">
        <v>2014</v>
      </c>
      <c r="J61" s="100">
        <v>64361</v>
      </c>
      <c r="K61" s="100" t="s">
        <v>4953</v>
      </c>
      <c r="L61" s="101">
        <v>-0.0171990171990172</v>
      </c>
    </row>
    <row r="62" customHeight="1" spans="6:12">
      <c r="F62" s="106"/>
      <c r="G62" s="100" t="s">
        <v>5048</v>
      </c>
      <c r="H62" s="100" t="s">
        <v>5049</v>
      </c>
      <c r="I62" s="100">
        <v>2017</v>
      </c>
      <c r="J62" s="100">
        <v>8919</v>
      </c>
      <c r="K62" s="100" t="s">
        <v>5050</v>
      </c>
      <c r="L62" s="101">
        <v>-0.0199692780337941</v>
      </c>
    </row>
    <row r="63" customHeight="1" spans="6:12">
      <c r="F63" s="106"/>
      <c r="G63" s="100" t="s">
        <v>1687</v>
      </c>
      <c r="H63" s="100" t="s">
        <v>1686</v>
      </c>
      <c r="I63" s="100">
        <v>2013</v>
      </c>
      <c r="J63" s="100">
        <v>5706</v>
      </c>
      <c r="K63" s="100" t="s">
        <v>4970</v>
      </c>
      <c r="L63" s="101">
        <v>-0.0298913043478259</v>
      </c>
    </row>
    <row r="64" customHeight="1" spans="6:12">
      <c r="F64" s="106"/>
      <c r="G64" s="100" t="s">
        <v>1456</v>
      </c>
      <c r="H64" s="100" t="s">
        <v>5051</v>
      </c>
      <c r="I64" s="100">
        <v>2015</v>
      </c>
      <c r="J64" s="100">
        <v>1834</v>
      </c>
      <c r="K64" s="100" t="s">
        <v>4970</v>
      </c>
      <c r="L64" s="101">
        <v>-0.0308123249299719</v>
      </c>
    </row>
    <row r="65" customHeight="1" spans="6:12">
      <c r="F65" s="106"/>
      <c r="G65" s="100" t="s">
        <v>1691</v>
      </c>
      <c r="H65" s="100" t="s">
        <v>5052</v>
      </c>
      <c r="I65" s="100">
        <v>2013</v>
      </c>
      <c r="J65" s="100">
        <v>4936</v>
      </c>
      <c r="K65" s="100" t="s">
        <v>4953</v>
      </c>
      <c r="L65" s="101">
        <v>-0.0335766423357664</v>
      </c>
    </row>
    <row r="66" customHeight="1" spans="6:12">
      <c r="F66" s="106"/>
      <c r="G66" s="100" t="s">
        <v>1312</v>
      </c>
      <c r="H66" s="100" t="s">
        <v>5053</v>
      </c>
      <c r="I66" s="100">
        <v>2016</v>
      </c>
      <c r="J66" s="100">
        <v>1134</v>
      </c>
      <c r="K66" s="100" t="s">
        <v>5054</v>
      </c>
      <c r="L66" s="101">
        <v>-0.042016806722689</v>
      </c>
    </row>
    <row r="67" customHeight="1" spans="6:12">
      <c r="F67" s="106"/>
      <c r="G67" s="100" t="s">
        <v>895</v>
      </c>
      <c r="H67" s="100" t="s">
        <v>894</v>
      </c>
      <c r="I67" s="100">
        <v>2019</v>
      </c>
      <c r="J67" s="100">
        <v>3760</v>
      </c>
      <c r="K67" s="100" t="s">
        <v>4970</v>
      </c>
      <c r="L67" s="101">
        <v>-0.0459770114942527</v>
      </c>
    </row>
    <row r="68" customHeight="1" spans="6:12">
      <c r="F68" s="106"/>
      <c r="G68" s="100" t="s">
        <v>1451</v>
      </c>
      <c r="H68" s="100" t="s">
        <v>5055</v>
      </c>
      <c r="I68" s="100">
        <v>2015</v>
      </c>
      <c r="J68" s="100">
        <v>2157</v>
      </c>
      <c r="K68" s="100" t="s">
        <v>4973</v>
      </c>
      <c r="L68" s="101">
        <v>-0.0499999999999999</v>
      </c>
    </row>
    <row r="69" customHeight="1" spans="6:12">
      <c r="F69" s="106"/>
      <c r="G69" s="100" t="s">
        <v>1291</v>
      </c>
      <c r="H69" s="100" t="s">
        <v>5056</v>
      </c>
      <c r="I69" s="100">
        <v>2017</v>
      </c>
      <c r="J69" s="100">
        <v>8668</v>
      </c>
      <c r="K69" s="100" t="s">
        <v>4959</v>
      </c>
      <c r="L69" s="101">
        <v>-0.0613207547169811</v>
      </c>
    </row>
    <row r="70" customHeight="1" spans="6:12">
      <c r="F70" s="106"/>
      <c r="G70" s="100" t="s">
        <v>1347</v>
      </c>
      <c r="H70" s="100" t="s">
        <v>4952</v>
      </c>
      <c r="I70" s="100">
        <v>2016</v>
      </c>
      <c r="J70" s="100">
        <v>6359</v>
      </c>
      <c r="K70" s="100" t="s">
        <v>4970</v>
      </c>
      <c r="L70" s="101">
        <v>-0.0658436213991769</v>
      </c>
    </row>
    <row r="71" customHeight="1" spans="6:12">
      <c r="F71" s="106"/>
      <c r="G71" s="100" t="s">
        <v>1199</v>
      </c>
      <c r="H71" s="100" t="s">
        <v>1198</v>
      </c>
      <c r="I71" s="100">
        <v>2018</v>
      </c>
      <c r="J71" s="100">
        <v>3303</v>
      </c>
      <c r="K71" s="100" t="s">
        <v>4959</v>
      </c>
      <c r="L71" s="101">
        <v>-0.0708915145005371</v>
      </c>
    </row>
    <row r="72" customHeight="1" spans="6:12">
      <c r="F72" s="106"/>
      <c r="G72" s="100" t="s">
        <v>1306</v>
      </c>
      <c r="H72" s="100" t="s">
        <v>5057</v>
      </c>
      <c r="I72" s="100">
        <v>2016</v>
      </c>
      <c r="J72" s="100">
        <v>2108</v>
      </c>
      <c r="K72" s="100" t="s">
        <v>4973</v>
      </c>
      <c r="L72" s="101">
        <v>-0.0963855421686747</v>
      </c>
    </row>
    <row r="73" customHeight="1" spans="6:12">
      <c r="F73" s="106"/>
      <c r="G73" s="100" t="s">
        <v>1224</v>
      </c>
      <c r="H73" s="100" t="s">
        <v>4969</v>
      </c>
      <c r="I73" s="100">
        <v>2018</v>
      </c>
      <c r="J73" s="100">
        <v>8801</v>
      </c>
      <c r="K73" s="100" t="s">
        <v>4970</v>
      </c>
      <c r="L73" s="101">
        <v>-0.103026775320139</v>
      </c>
    </row>
    <row r="74" customHeight="1" spans="6:12">
      <c r="F74" s="106"/>
      <c r="G74" s="100" t="s">
        <v>876</v>
      </c>
      <c r="H74" s="100" t="s">
        <v>5018</v>
      </c>
      <c r="I74" s="100">
        <v>2019</v>
      </c>
      <c r="J74" s="100">
        <v>1164</v>
      </c>
      <c r="K74" s="100" t="s">
        <v>5019</v>
      </c>
      <c r="L74" s="101">
        <v>-0.119718309859154</v>
      </c>
    </row>
    <row r="75" customHeight="1" spans="6:12">
      <c r="F75" s="106"/>
      <c r="G75" s="100" t="s">
        <v>1030</v>
      </c>
      <c r="H75" s="100" t="s">
        <v>5003</v>
      </c>
      <c r="I75" s="100">
        <v>2018</v>
      </c>
      <c r="J75" s="100">
        <v>2424</v>
      </c>
      <c r="K75" s="100" t="s">
        <v>4984</v>
      </c>
      <c r="L75" s="101">
        <v>-0.125</v>
      </c>
    </row>
    <row r="76" customHeight="1" spans="6:12">
      <c r="F76" s="106"/>
      <c r="G76" s="100" t="s">
        <v>4960</v>
      </c>
      <c r="H76" s="100" t="s">
        <v>4961</v>
      </c>
      <c r="I76" s="100">
        <v>2016</v>
      </c>
      <c r="J76" s="100">
        <v>15622</v>
      </c>
      <c r="K76" s="100" t="s">
        <v>4959</v>
      </c>
      <c r="L76" s="101">
        <v>-0.158730158730158</v>
      </c>
    </row>
    <row r="77" customHeight="1" spans="6:12">
      <c r="F77" s="106"/>
      <c r="G77" s="100" t="s">
        <v>1361</v>
      </c>
      <c r="H77" s="100" t="s">
        <v>4987</v>
      </c>
      <c r="I77" s="100">
        <v>2016</v>
      </c>
      <c r="J77" s="100">
        <v>4045</v>
      </c>
      <c r="K77" s="100" t="s">
        <v>4970</v>
      </c>
      <c r="L77" s="101">
        <v>-0.169603524229074</v>
      </c>
    </row>
    <row r="78" customHeight="1" spans="6:12">
      <c r="F78" s="106"/>
      <c r="G78" s="100" t="s">
        <v>1418</v>
      </c>
      <c r="H78" s="100" t="s">
        <v>4952</v>
      </c>
      <c r="I78" s="100">
        <v>2015</v>
      </c>
      <c r="J78" s="100">
        <v>6937</v>
      </c>
      <c r="K78" s="100" t="s">
        <v>4959</v>
      </c>
      <c r="L78" s="101">
        <v>-0.173293768545994</v>
      </c>
    </row>
    <row r="79" customHeight="1" spans="6:12">
      <c r="F79" s="106"/>
      <c r="G79" s="100" t="s">
        <v>1351</v>
      </c>
      <c r="H79" s="100" t="s">
        <v>5006</v>
      </c>
      <c r="I79" s="100">
        <v>2016</v>
      </c>
      <c r="J79" s="100">
        <v>2402</v>
      </c>
      <c r="K79" s="100" t="s">
        <v>4973</v>
      </c>
      <c r="L79" s="101">
        <v>-0.226666666666666</v>
      </c>
    </row>
    <row r="80" customHeight="1" spans="6:12">
      <c r="F80" s="106"/>
      <c r="G80" s="100" t="s">
        <v>1460</v>
      </c>
      <c r="H80" s="100" t="s">
        <v>4997</v>
      </c>
      <c r="I80" s="100">
        <v>2015</v>
      </c>
      <c r="J80" s="100">
        <v>3397</v>
      </c>
      <c r="K80" s="100" t="s">
        <v>4973</v>
      </c>
      <c r="L80" s="101">
        <v>-0.25438596491228</v>
      </c>
    </row>
    <row r="81" customHeight="1" spans="6:12">
      <c r="F81" s="106"/>
      <c r="G81" s="100" t="s">
        <v>4998</v>
      </c>
      <c r="H81" s="100" t="s">
        <v>4999</v>
      </c>
      <c r="I81" s="100">
        <v>2016</v>
      </c>
      <c r="J81" s="100">
        <v>3018</v>
      </c>
      <c r="K81" s="100" t="s">
        <v>4986</v>
      </c>
      <c r="L81" s="101">
        <v>-0.345</v>
      </c>
    </row>
    <row r="82" customHeight="1" spans="6:12">
      <c r="F82" s="106"/>
      <c r="G82" s="100" t="s">
        <v>1213</v>
      </c>
      <c r="H82" s="100" t="s">
        <v>5014</v>
      </c>
      <c r="I82" s="100">
        <v>2017</v>
      </c>
      <c r="J82" s="100">
        <v>1221</v>
      </c>
      <c r="K82" s="100" t="s">
        <v>5015</v>
      </c>
      <c r="L82" s="101">
        <v>-0.426126126126126</v>
      </c>
    </row>
    <row r="83" customHeight="1" spans="6:12">
      <c r="F83" s="106"/>
      <c r="G83" s="100" t="s">
        <v>1356</v>
      </c>
      <c r="H83" s="100" t="s">
        <v>5012</v>
      </c>
      <c r="I83" s="100">
        <v>2016</v>
      </c>
      <c r="J83" s="100">
        <v>1233</v>
      </c>
      <c r="K83" s="100" t="s">
        <v>4986</v>
      </c>
      <c r="L83" s="101">
        <v>-0.464985994397759</v>
      </c>
    </row>
    <row r="84" customHeight="1" spans="6:12">
      <c r="F84" s="106"/>
      <c r="G84" s="100" t="s">
        <v>1162</v>
      </c>
      <c r="H84" s="100" t="s">
        <v>4995</v>
      </c>
      <c r="I84" s="100">
        <v>2017</v>
      </c>
      <c r="J84" s="100">
        <v>3433</v>
      </c>
      <c r="K84" s="100" t="s">
        <v>4973</v>
      </c>
      <c r="L84" s="101">
        <v>-0.999999999999993</v>
      </c>
    </row>
  </sheetData>
  <mergeCells count="3">
    <mergeCell ref="A1:F1"/>
    <mergeCell ref="G1:L1"/>
    <mergeCell ref="M1:Q42"/>
  </mergeCells>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N77"/>
  <sheetViews>
    <sheetView workbookViewId="0">
      <pane xSplit="1" ySplit="1" topLeftCell="B2" activePane="bottomRight" state="frozen"/>
      <selection/>
      <selection pane="topRight"/>
      <selection pane="bottomLeft"/>
      <selection pane="bottomRight" activeCell="B2" sqref="B2"/>
    </sheetView>
  </sheetViews>
  <sheetFormatPr defaultColWidth="12.6285714285714" defaultRowHeight="15.75" customHeight="1"/>
  <cols>
    <col min="1" max="1" width="21.1333333333333" customWidth="1"/>
    <col min="2" max="2" width="12.5047619047619" customWidth="1"/>
    <col min="3" max="5" width="10.5047619047619" customWidth="1"/>
    <col min="6" max="6" width="9.62857142857143" customWidth="1"/>
    <col min="7" max="7" width="9.75238095238095" customWidth="1"/>
    <col min="8" max="9" width="8.13333333333333" customWidth="1"/>
    <col min="10" max="10" width="9.5047619047619" customWidth="1"/>
    <col min="11" max="12" width="12.247619047619" customWidth="1"/>
    <col min="13" max="13" width="12.5047619047619" customWidth="1"/>
    <col min="14" max="18" width="11.752380952381" customWidth="1"/>
    <col min="19" max="19" width="10.5047619047619" customWidth="1"/>
    <col min="20" max="20" width="9.13333333333333" customWidth="1"/>
    <col min="21" max="21" width="9.38095238095238" customWidth="1"/>
    <col min="22" max="37" width="10.5047619047619" customWidth="1"/>
    <col min="38" max="39" width="41.247619047619" customWidth="1"/>
    <col min="40" max="40" width="29.8761904761905" customWidth="1"/>
  </cols>
  <sheetData>
    <row r="1" ht="102" spans="1:40">
      <c r="A1" s="35" t="s">
        <v>5058</v>
      </c>
      <c r="B1" s="35" t="s">
        <v>5059</v>
      </c>
      <c r="C1" s="36" t="s">
        <v>5060</v>
      </c>
      <c r="D1" s="36" t="s">
        <v>5061</v>
      </c>
      <c r="E1" s="36" t="s">
        <v>5062</v>
      </c>
      <c r="F1" s="35" t="s">
        <v>5063</v>
      </c>
      <c r="G1" s="35" t="s">
        <v>5064</v>
      </c>
      <c r="H1" s="35" t="s">
        <v>5065</v>
      </c>
      <c r="I1" s="35" t="s">
        <v>5066</v>
      </c>
      <c r="J1" s="35" t="s">
        <v>5067</v>
      </c>
      <c r="K1" s="36" t="s">
        <v>5068</v>
      </c>
      <c r="L1" s="36" t="s">
        <v>5069</v>
      </c>
      <c r="M1" s="36" t="s">
        <v>5070</v>
      </c>
      <c r="N1" s="35" t="s">
        <v>5071</v>
      </c>
      <c r="O1" s="35" t="s">
        <v>5072</v>
      </c>
      <c r="P1" s="35" t="s">
        <v>5073</v>
      </c>
      <c r="Q1" s="35" t="s">
        <v>5074</v>
      </c>
      <c r="R1" s="62" t="s">
        <v>5075</v>
      </c>
      <c r="S1" s="63" t="s">
        <v>5076</v>
      </c>
      <c r="T1" s="35" t="s">
        <v>5077</v>
      </c>
      <c r="U1" s="64" t="s">
        <v>5078</v>
      </c>
      <c r="V1" s="35" t="s">
        <v>5079</v>
      </c>
      <c r="W1" s="35" t="s">
        <v>5080</v>
      </c>
      <c r="X1" s="35" t="s">
        <v>5081</v>
      </c>
      <c r="Y1" s="35" t="s">
        <v>5082</v>
      </c>
      <c r="Z1" s="35" t="s">
        <v>5083</v>
      </c>
      <c r="AA1" s="35" t="s">
        <v>5084</v>
      </c>
      <c r="AB1" s="35" t="s">
        <v>5085</v>
      </c>
      <c r="AC1" s="35" t="s">
        <v>5086</v>
      </c>
      <c r="AD1" s="35" t="s">
        <v>5087</v>
      </c>
      <c r="AE1" s="35" t="s">
        <v>5088</v>
      </c>
      <c r="AF1" s="35" t="s">
        <v>5089</v>
      </c>
      <c r="AG1" s="35" t="s">
        <v>5090</v>
      </c>
      <c r="AH1" s="35" t="s">
        <v>5091</v>
      </c>
      <c r="AI1" s="35" t="s">
        <v>5092</v>
      </c>
      <c r="AJ1" s="35" t="s">
        <v>5093</v>
      </c>
      <c r="AK1" s="35" t="s">
        <v>5094</v>
      </c>
      <c r="AL1" s="35" t="s">
        <v>5095</v>
      </c>
      <c r="AM1" s="35" t="s">
        <v>5096</v>
      </c>
      <c r="AN1" s="35" t="s">
        <v>5097</v>
      </c>
    </row>
    <row r="2" ht="25.5" spans="1:40">
      <c r="A2" s="37" t="s">
        <v>5098</v>
      </c>
      <c r="B2" s="38" t="s">
        <v>766</v>
      </c>
      <c r="C2" s="39">
        <v>626400000000</v>
      </c>
      <c r="D2" s="40">
        <v>40090000000000</v>
      </c>
      <c r="E2" s="40">
        <v>40090000000000</v>
      </c>
      <c r="F2" s="39"/>
      <c r="G2" s="39"/>
      <c r="H2" s="39"/>
      <c r="I2" s="39"/>
      <c r="J2" s="39"/>
      <c r="K2" s="40"/>
      <c r="L2" s="40">
        <v>12000000000</v>
      </c>
      <c r="M2" s="40">
        <v>504200000000</v>
      </c>
      <c r="N2" s="52" t="s">
        <v>5099</v>
      </c>
      <c r="O2" s="53">
        <v>63</v>
      </c>
      <c r="P2" s="54"/>
      <c r="Q2" s="51"/>
      <c r="R2" s="39"/>
      <c r="S2" s="65">
        <v>44929</v>
      </c>
      <c r="T2" s="66">
        <v>2023</v>
      </c>
      <c r="U2" s="67" t="s">
        <v>5100</v>
      </c>
      <c r="V2" s="68"/>
      <c r="W2" s="39"/>
      <c r="X2" s="50">
        <v>35800</v>
      </c>
      <c r="Y2" s="50">
        <v>295</v>
      </c>
      <c r="Z2" s="50">
        <v>285</v>
      </c>
      <c r="AA2" s="50">
        <v>2310</v>
      </c>
      <c r="AB2" s="50">
        <v>2610</v>
      </c>
      <c r="AC2" s="50">
        <v>1313</v>
      </c>
      <c r="AD2" s="50">
        <v>192</v>
      </c>
      <c r="AE2" s="50">
        <v>7680</v>
      </c>
      <c r="AF2" s="50">
        <v>240</v>
      </c>
      <c r="AG2" s="50">
        <v>80</v>
      </c>
      <c r="AH2" s="50">
        <v>60</v>
      </c>
      <c r="AI2" s="50">
        <v>240</v>
      </c>
      <c r="AJ2" s="50">
        <v>60</v>
      </c>
      <c r="AK2" s="39"/>
      <c r="AL2" s="82"/>
      <c r="AM2" s="82"/>
      <c r="AN2" s="83"/>
    </row>
    <row r="3" ht="25.5" spans="1:40">
      <c r="A3" s="37" t="s">
        <v>5101</v>
      </c>
      <c r="B3" s="41" t="s">
        <v>5102</v>
      </c>
      <c r="C3" s="42">
        <v>1919000000000</v>
      </c>
      <c r="D3" s="43">
        <v>61420000000000</v>
      </c>
      <c r="E3" s="43">
        <v>122800000000000</v>
      </c>
      <c r="F3" s="44"/>
      <c r="G3" s="44"/>
      <c r="H3" s="44"/>
      <c r="I3" s="44"/>
      <c r="J3" s="44"/>
      <c r="K3" s="43"/>
      <c r="L3" s="43">
        <v>24000000000</v>
      </c>
      <c r="M3" s="43">
        <v>960000000000</v>
      </c>
      <c r="N3" s="55" t="s">
        <v>5099</v>
      </c>
      <c r="O3" s="56">
        <v>63</v>
      </c>
      <c r="P3" s="44"/>
      <c r="Q3" s="44"/>
      <c r="R3" s="44"/>
      <c r="S3" s="69">
        <v>44868</v>
      </c>
      <c r="T3" s="70">
        <v>2022</v>
      </c>
      <c r="U3" s="71" t="s">
        <v>5103</v>
      </c>
      <c r="V3" s="72"/>
      <c r="W3" s="44"/>
      <c r="X3" s="70">
        <v>57700</v>
      </c>
      <c r="Y3" s="70">
        <v>529</v>
      </c>
      <c r="Z3" s="70">
        <v>355</v>
      </c>
      <c r="AA3" s="70">
        <v>1855</v>
      </c>
      <c r="AB3" s="70">
        <v>2499</v>
      </c>
      <c r="AC3" s="70">
        <v>2500</v>
      </c>
      <c r="AD3" s="70">
        <v>384</v>
      </c>
      <c r="AE3" s="70">
        <v>6144</v>
      </c>
      <c r="AF3" s="70">
        <v>384</v>
      </c>
      <c r="AG3" s="70">
        <v>192</v>
      </c>
      <c r="AH3" s="46"/>
      <c r="AI3" s="70">
        <v>0</v>
      </c>
      <c r="AJ3" s="70">
        <v>96</v>
      </c>
      <c r="AK3" s="44"/>
      <c r="AL3" s="84" t="s">
        <v>5104</v>
      </c>
      <c r="AM3" s="44"/>
      <c r="AN3" s="85" t="s">
        <v>5105</v>
      </c>
    </row>
    <row r="4" ht="12.75" spans="1:40">
      <c r="A4" s="37" t="s">
        <v>5106</v>
      </c>
      <c r="B4" s="38" t="s">
        <v>766</v>
      </c>
      <c r="C4" s="39">
        <v>1414000000000</v>
      </c>
      <c r="D4" s="40">
        <v>90520000000000</v>
      </c>
      <c r="E4" s="40">
        <v>90520000000000</v>
      </c>
      <c r="F4" s="39"/>
      <c r="G4" s="39">
        <v>181000000000000</v>
      </c>
      <c r="H4" s="39">
        <v>362000000000000</v>
      </c>
      <c r="I4" s="39"/>
      <c r="J4" s="39">
        <v>362000000000000</v>
      </c>
      <c r="K4" s="40">
        <v>724000000000000</v>
      </c>
      <c r="L4" s="40">
        <v>48000000000</v>
      </c>
      <c r="M4" s="40">
        <v>864000000000</v>
      </c>
      <c r="N4" s="52" t="s">
        <v>5099</v>
      </c>
      <c r="O4" s="53">
        <v>63</v>
      </c>
      <c r="P4" s="54"/>
      <c r="Q4" s="51"/>
      <c r="R4" s="39"/>
      <c r="S4" s="65">
        <v>44847</v>
      </c>
      <c r="T4" s="66">
        <v>2022</v>
      </c>
      <c r="U4" s="67"/>
      <c r="V4" s="68"/>
      <c r="W4" s="39"/>
      <c r="X4" s="50">
        <v>76300</v>
      </c>
      <c r="Y4" s="50">
        <v>608</v>
      </c>
      <c r="Z4" s="50">
        <v>300</v>
      </c>
      <c r="AA4" s="50">
        <v>735</v>
      </c>
      <c r="AB4" s="50">
        <v>2490</v>
      </c>
      <c r="AC4" s="50">
        <v>2250</v>
      </c>
      <c r="AD4" s="50">
        <v>384</v>
      </c>
      <c r="AE4" s="50">
        <v>18176</v>
      </c>
      <c r="AF4" s="50">
        <v>568</v>
      </c>
      <c r="AG4" s="50">
        <v>192</v>
      </c>
      <c r="AH4" s="50">
        <v>142</v>
      </c>
      <c r="AI4" s="50">
        <v>568</v>
      </c>
      <c r="AJ4" s="50">
        <v>142</v>
      </c>
      <c r="AK4" s="39"/>
      <c r="AL4" s="39" t="s">
        <v>5107</v>
      </c>
      <c r="AM4" s="82"/>
      <c r="AN4" s="83"/>
    </row>
    <row r="5" ht="38.25" spans="1:40">
      <c r="A5" s="37" t="s">
        <v>5108</v>
      </c>
      <c r="B5" s="41" t="s">
        <v>766</v>
      </c>
      <c r="C5" s="42">
        <v>1290000000000</v>
      </c>
      <c r="D5" s="43">
        <v>82580000000000</v>
      </c>
      <c r="E5" s="43">
        <v>82580000000000</v>
      </c>
      <c r="F5" s="42">
        <v>82600000000000</v>
      </c>
      <c r="G5" s="42">
        <v>330000000000000</v>
      </c>
      <c r="H5" s="42">
        <v>660600000000000</v>
      </c>
      <c r="I5" s="44"/>
      <c r="J5" s="42">
        <v>660600000000000</v>
      </c>
      <c r="K5" s="43">
        <v>1321200000000000</v>
      </c>
      <c r="L5" s="43">
        <v>24000000000</v>
      </c>
      <c r="M5" s="43">
        <v>1008000000000</v>
      </c>
      <c r="N5" s="44" t="s">
        <v>5099</v>
      </c>
      <c r="O5" s="56">
        <v>63</v>
      </c>
      <c r="P5" s="44"/>
      <c r="Q5" s="44"/>
      <c r="R5" s="44"/>
      <c r="S5" s="69">
        <v>44824</v>
      </c>
      <c r="T5" s="70">
        <v>2022</v>
      </c>
      <c r="U5" s="71" t="s">
        <v>5109</v>
      </c>
      <c r="V5" s="72"/>
      <c r="W5" s="44" t="s">
        <v>5110</v>
      </c>
      <c r="X5" s="70">
        <v>76300</v>
      </c>
      <c r="Y5" s="70">
        <v>608</v>
      </c>
      <c r="Z5" s="70">
        <v>450</v>
      </c>
      <c r="AA5" s="70">
        <v>2235</v>
      </c>
      <c r="AB5" s="70">
        <v>2520</v>
      </c>
      <c r="AC5" s="70">
        <v>1313</v>
      </c>
      <c r="AD5" s="70">
        <v>384</v>
      </c>
      <c r="AE5" s="70">
        <v>16384</v>
      </c>
      <c r="AF5" s="70">
        <v>512</v>
      </c>
      <c r="AG5" s="70">
        <v>176</v>
      </c>
      <c r="AH5" s="70">
        <v>128</v>
      </c>
      <c r="AI5" s="70">
        <v>512</v>
      </c>
      <c r="AJ5" s="70">
        <v>128</v>
      </c>
      <c r="AK5" s="44"/>
      <c r="AL5" s="84" t="s">
        <v>5111</v>
      </c>
      <c r="AM5" s="84" t="s">
        <v>5112</v>
      </c>
      <c r="AN5" s="85" t="s">
        <v>5113</v>
      </c>
    </row>
    <row r="6" ht="25.5" spans="1:40">
      <c r="A6" s="37" t="s">
        <v>5114</v>
      </c>
      <c r="B6" s="38" t="s">
        <v>766</v>
      </c>
      <c r="C6" s="39">
        <v>761500000000</v>
      </c>
      <c r="D6" s="40">
        <v>48740000000000</v>
      </c>
      <c r="E6" s="40">
        <v>48740000000000</v>
      </c>
      <c r="F6" s="39"/>
      <c r="G6" s="39"/>
      <c r="H6" s="39"/>
      <c r="I6" s="39"/>
      <c r="J6" s="39"/>
      <c r="K6" s="40"/>
      <c r="L6" s="40">
        <v>16000000000</v>
      </c>
      <c r="M6" s="40">
        <v>716800000000</v>
      </c>
      <c r="N6" s="54" t="s">
        <v>5099</v>
      </c>
      <c r="O6" s="53">
        <v>62</v>
      </c>
      <c r="P6" s="54"/>
      <c r="Q6" s="51"/>
      <c r="R6" s="39"/>
      <c r="S6" s="65">
        <v>44824</v>
      </c>
      <c r="T6" s="66">
        <v>2022</v>
      </c>
      <c r="U6" s="67" t="s">
        <v>5115</v>
      </c>
      <c r="V6" s="68"/>
      <c r="W6" s="39"/>
      <c r="X6" s="50">
        <v>45900</v>
      </c>
      <c r="Y6" s="50">
        <v>379</v>
      </c>
      <c r="Z6" s="50">
        <v>320</v>
      </c>
      <c r="AA6" s="50">
        <v>2205</v>
      </c>
      <c r="AB6" s="50">
        <v>2505</v>
      </c>
      <c r="AC6" s="50">
        <v>1400</v>
      </c>
      <c r="AD6" s="50">
        <v>256</v>
      </c>
      <c r="AE6" s="50">
        <v>9728</v>
      </c>
      <c r="AF6" s="50">
        <v>304</v>
      </c>
      <c r="AG6" s="50">
        <v>112</v>
      </c>
      <c r="AH6" s="50">
        <v>76</v>
      </c>
      <c r="AI6" s="50">
        <v>304</v>
      </c>
      <c r="AJ6" s="50">
        <v>76</v>
      </c>
      <c r="AK6" s="39"/>
      <c r="AL6" s="86" t="s">
        <v>5116</v>
      </c>
      <c r="AM6" s="82"/>
      <c r="AN6" s="83"/>
    </row>
    <row r="7" ht="25.5" spans="1:40">
      <c r="A7" s="37" t="s">
        <v>5117</v>
      </c>
      <c r="B7" s="41" t="s">
        <v>766</v>
      </c>
      <c r="C7" s="42">
        <v>33450000000000</v>
      </c>
      <c r="D7" s="43">
        <v>66910000000000</v>
      </c>
      <c r="E7" s="43">
        <v>267600000000000</v>
      </c>
      <c r="F7" s="42">
        <v>494500000000000</v>
      </c>
      <c r="G7" s="42">
        <v>989500000000000</v>
      </c>
      <c r="H7" s="42">
        <f>3958000000000000/2</f>
        <v>1979000000000000</v>
      </c>
      <c r="I7" s="44"/>
      <c r="J7" s="42">
        <v>1979000000000000</v>
      </c>
      <c r="K7" s="43"/>
      <c r="L7" s="43">
        <v>80000000000</v>
      </c>
      <c r="M7" s="48">
        <v>3350000000000</v>
      </c>
      <c r="N7" s="44" t="s">
        <v>5118</v>
      </c>
      <c r="O7" s="56">
        <v>126</v>
      </c>
      <c r="P7" s="44" t="s">
        <v>5119</v>
      </c>
      <c r="Q7" s="42">
        <v>900</v>
      </c>
      <c r="R7" s="44"/>
      <c r="S7" s="69">
        <v>44642</v>
      </c>
      <c r="T7" s="70">
        <v>2022</v>
      </c>
      <c r="U7" s="73"/>
      <c r="V7" s="72"/>
      <c r="W7" s="44"/>
      <c r="X7" s="70">
        <v>80000</v>
      </c>
      <c r="Y7" s="70">
        <v>814</v>
      </c>
      <c r="Z7" s="70">
        <v>700</v>
      </c>
      <c r="AA7" s="70">
        <v>1665</v>
      </c>
      <c r="AB7" s="70">
        <v>1980</v>
      </c>
      <c r="AC7" s="70">
        <v>1313</v>
      </c>
      <c r="AD7" s="70">
        <v>5120</v>
      </c>
      <c r="AE7" s="70">
        <v>16896</v>
      </c>
      <c r="AF7" s="70">
        <v>528</v>
      </c>
      <c r="AG7" s="70">
        <v>24</v>
      </c>
      <c r="AH7" s="70">
        <v>132</v>
      </c>
      <c r="AI7" s="70">
        <v>528</v>
      </c>
      <c r="AJ7" s="46"/>
      <c r="AK7" s="44"/>
      <c r="AL7" s="84" t="s">
        <v>5120</v>
      </c>
      <c r="AM7" s="87" t="s">
        <v>5121</v>
      </c>
      <c r="AN7" s="83" t="s">
        <v>5122</v>
      </c>
    </row>
    <row r="8" ht="12.75" spans="1:40">
      <c r="A8" s="45" t="s">
        <v>5123</v>
      </c>
      <c r="B8" s="46" t="s">
        <v>766</v>
      </c>
      <c r="C8" s="42">
        <v>625000000000</v>
      </c>
      <c r="D8" s="42">
        <v>40000000000000</v>
      </c>
      <c r="E8" s="42">
        <v>40000000000000</v>
      </c>
      <c r="F8" s="42">
        <v>40000000000000</v>
      </c>
      <c r="G8" s="42">
        <v>160000000000000</v>
      </c>
      <c r="H8" s="44"/>
      <c r="I8" s="44"/>
      <c r="J8" s="42">
        <v>320000000000000</v>
      </c>
      <c r="K8" s="42">
        <v>640000000000000</v>
      </c>
      <c r="L8" s="42">
        <v>24000000000</v>
      </c>
      <c r="M8" s="42">
        <v>1008000000000</v>
      </c>
      <c r="N8" s="46" t="s">
        <v>5099</v>
      </c>
      <c r="O8" s="56">
        <v>63</v>
      </c>
      <c r="P8" s="44"/>
      <c r="Q8" s="46"/>
      <c r="R8" s="46"/>
      <c r="S8" s="69">
        <v>44588</v>
      </c>
      <c r="T8" s="70">
        <v>2022</v>
      </c>
      <c r="U8" s="71">
        <v>1999</v>
      </c>
      <c r="V8" s="72"/>
      <c r="W8" s="46" t="s">
        <v>5124</v>
      </c>
      <c r="X8" s="70">
        <v>28300</v>
      </c>
      <c r="Y8" s="70">
        <v>628</v>
      </c>
      <c r="Z8" s="70">
        <v>450</v>
      </c>
      <c r="AA8" s="70">
        <v>1560</v>
      </c>
      <c r="AB8" s="70">
        <v>1860</v>
      </c>
      <c r="AC8" s="70">
        <v>1313</v>
      </c>
      <c r="AD8" s="70">
        <v>384</v>
      </c>
      <c r="AE8" s="70">
        <v>10752</v>
      </c>
      <c r="AF8" s="70">
        <v>336</v>
      </c>
      <c r="AG8" s="70">
        <v>112</v>
      </c>
      <c r="AH8" s="70">
        <f>84</f>
        <v>84</v>
      </c>
      <c r="AI8" s="70">
        <v>336</v>
      </c>
      <c r="AJ8" s="70">
        <v>84</v>
      </c>
      <c r="AK8" s="46"/>
      <c r="AL8" s="88" t="s">
        <v>5125</v>
      </c>
      <c r="AM8" s="89" t="s">
        <v>5112</v>
      </c>
      <c r="AN8" s="85" t="s">
        <v>5126</v>
      </c>
    </row>
    <row r="9" ht="25.5" spans="1:40">
      <c r="A9" s="45" t="s">
        <v>5127</v>
      </c>
      <c r="B9" s="41" t="s">
        <v>5102</v>
      </c>
      <c r="C9" s="47">
        <v>47900000000000</v>
      </c>
      <c r="D9" s="47">
        <v>47900000000000</v>
      </c>
      <c r="E9" s="48">
        <v>383000000000000</v>
      </c>
      <c r="F9" s="47">
        <v>95700000000000</v>
      </c>
      <c r="G9" s="47">
        <v>383000000000000</v>
      </c>
      <c r="H9" s="44"/>
      <c r="I9" s="44"/>
      <c r="J9" s="43">
        <v>383000000000000</v>
      </c>
      <c r="K9" s="43"/>
      <c r="L9" s="43">
        <v>128000000000</v>
      </c>
      <c r="M9" s="43">
        <v>3200000000000</v>
      </c>
      <c r="N9" s="44" t="s">
        <v>5099</v>
      </c>
      <c r="O9" s="56">
        <v>63</v>
      </c>
      <c r="P9" s="44" t="s">
        <v>5128</v>
      </c>
      <c r="Q9" s="42">
        <v>400</v>
      </c>
      <c r="R9" s="44"/>
      <c r="S9" s="69">
        <v>44508</v>
      </c>
      <c r="T9" s="70">
        <v>2021</v>
      </c>
      <c r="U9" s="73"/>
      <c r="V9" s="72"/>
      <c r="W9" s="44" t="s">
        <v>5129</v>
      </c>
      <c r="X9" s="46"/>
      <c r="Y9" s="46"/>
      <c r="Z9" s="70">
        <v>560</v>
      </c>
      <c r="AA9" s="46"/>
      <c r="AB9" s="46"/>
      <c r="AC9" s="46"/>
      <c r="AD9" s="46"/>
      <c r="AE9" s="46"/>
      <c r="AF9" s="46"/>
      <c r="AG9" s="46"/>
      <c r="AH9" s="46"/>
      <c r="AI9" s="46"/>
      <c r="AJ9" s="46"/>
      <c r="AK9" s="44"/>
      <c r="AL9" s="84" t="s">
        <v>5130</v>
      </c>
      <c r="AM9" s="84" t="s">
        <v>5131</v>
      </c>
      <c r="AN9" s="90"/>
    </row>
    <row r="10" ht="25.5" spans="1:40">
      <c r="A10" s="37" t="s">
        <v>5132</v>
      </c>
      <c r="B10" s="41" t="s">
        <v>85</v>
      </c>
      <c r="C10" s="44"/>
      <c r="D10" s="44"/>
      <c r="E10" s="44">
        <f>275*10^12</f>
        <v>275000000000000</v>
      </c>
      <c r="F10" s="44"/>
      <c r="G10" s="49"/>
      <c r="H10" s="44"/>
      <c r="I10" s="44"/>
      <c r="J10" s="44"/>
      <c r="K10" s="44"/>
      <c r="L10" s="44">
        <v>32000000000</v>
      </c>
      <c r="M10" s="44">
        <v>1200000000000</v>
      </c>
      <c r="N10" s="44"/>
      <c r="O10" s="57"/>
      <c r="P10" s="44" t="s">
        <v>5133</v>
      </c>
      <c r="Q10" s="74">
        <v>336</v>
      </c>
      <c r="R10" s="44"/>
      <c r="S10" s="69">
        <v>44336</v>
      </c>
      <c r="T10" s="70">
        <v>2021</v>
      </c>
      <c r="U10" s="73"/>
      <c r="V10" s="75" t="s">
        <v>5134</v>
      </c>
      <c r="W10" s="44"/>
      <c r="X10" s="46"/>
      <c r="Y10" s="46"/>
      <c r="Z10" s="46"/>
      <c r="AA10" s="46"/>
      <c r="AB10" s="46"/>
      <c r="AC10" s="46"/>
      <c r="AD10" s="46"/>
      <c r="AE10" s="46"/>
      <c r="AF10" s="46"/>
      <c r="AG10" s="46"/>
      <c r="AH10" s="46"/>
      <c r="AI10" s="46"/>
      <c r="AJ10" s="46"/>
      <c r="AK10" s="44"/>
      <c r="AL10" s="84" t="s">
        <v>5135</v>
      </c>
      <c r="AM10" s="91" t="s">
        <v>5136</v>
      </c>
      <c r="AN10" s="90"/>
    </row>
    <row r="11" ht="12.75" spans="1:40">
      <c r="A11" s="45" t="s">
        <v>5137</v>
      </c>
      <c r="B11" s="46" t="s">
        <v>766</v>
      </c>
      <c r="C11" s="42">
        <v>868000000000</v>
      </c>
      <c r="D11" s="42">
        <v>27800000000000</v>
      </c>
      <c r="E11" s="42">
        <v>27800000000000</v>
      </c>
      <c r="F11" s="44"/>
      <c r="G11" s="44"/>
      <c r="H11" s="44"/>
      <c r="I11" s="44"/>
      <c r="J11" s="44"/>
      <c r="K11" s="42"/>
      <c r="L11" s="42">
        <v>24000000000</v>
      </c>
      <c r="M11" s="42">
        <v>768000000000</v>
      </c>
      <c r="N11" s="44" t="s">
        <v>5099</v>
      </c>
      <c r="O11" s="56">
        <v>63</v>
      </c>
      <c r="P11" s="44"/>
      <c r="Q11" s="42"/>
      <c r="R11" s="42">
        <v>405</v>
      </c>
      <c r="S11" s="69">
        <v>44298</v>
      </c>
      <c r="T11" s="70">
        <v>2021</v>
      </c>
      <c r="U11" s="71" t="s">
        <v>5138</v>
      </c>
      <c r="V11" s="72"/>
      <c r="W11" s="46"/>
      <c r="X11" s="70">
        <v>28300</v>
      </c>
      <c r="Y11" s="70">
        <v>628</v>
      </c>
      <c r="Z11" s="70">
        <v>230</v>
      </c>
      <c r="AA11" s="70">
        <v>1170</v>
      </c>
      <c r="AB11" s="70">
        <v>1695</v>
      </c>
      <c r="AC11" s="70">
        <v>2000</v>
      </c>
      <c r="AD11" s="70">
        <v>384</v>
      </c>
      <c r="AE11" s="70">
        <v>8192</v>
      </c>
      <c r="AF11" s="70">
        <v>256</v>
      </c>
      <c r="AG11" s="70">
        <v>96</v>
      </c>
      <c r="AH11" s="70">
        <v>64</v>
      </c>
      <c r="AI11" s="70">
        <v>256</v>
      </c>
      <c r="AJ11" s="70">
        <v>64</v>
      </c>
      <c r="AK11" s="46" t="s">
        <v>5139</v>
      </c>
      <c r="AL11" s="88" t="s">
        <v>5140</v>
      </c>
      <c r="AM11" s="46"/>
      <c r="AN11" s="85" t="s">
        <v>5141</v>
      </c>
    </row>
    <row r="12" ht="12.75" spans="1:40">
      <c r="A12" s="45" t="s">
        <v>5142</v>
      </c>
      <c r="B12" s="46" t="s">
        <v>766</v>
      </c>
      <c r="C12" s="42">
        <v>599000000000</v>
      </c>
      <c r="D12" s="42">
        <v>19170000000000</v>
      </c>
      <c r="E12" s="42">
        <v>19170000000000</v>
      </c>
      <c r="F12" s="44"/>
      <c r="G12" s="44"/>
      <c r="H12" s="44"/>
      <c r="I12" s="44"/>
      <c r="J12" s="44"/>
      <c r="K12" s="44"/>
      <c r="L12" s="42">
        <v>16000000000</v>
      </c>
      <c r="M12" s="42">
        <v>448000000000</v>
      </c>
      <c r="N12" s="46" t="s">
        <v>5099</v>
      </c>
      <c r="O12" s="56">
        <v>63</v>
      </c>
      <c r="P12" s="46"/>
      <c r="Q12" s="46"/>
      <c r="R12" s="46"/>
      <c r="S12" s="69">
        <v>44298</v>
      </c>
      <c r="T12" s="70">
        <v>2021</v>
      </c>
      <c r="U12" s="71" t="s">
        <v>5143</v>
      </c>
      <c r="V12" s="72"/>
      <c r="W12" s="46"/>
      <c r="X12" s="70">
        <v>17400</v>
      </c>
      <c r="Y12" s="70">
        <v>392</v>
      </c>
      <c r="Z12" s="70">
        <v>140</v>
      </c>
      <c r="AA12" s="70">
        <v>735</v>
      </c>
      <c r="AB12" s="70">
        <v>1560</v>
      </c>
      <c r="AC12" s="70">
        <v>1750</v>
      </c>
      <c r="AD12" s="70">
        <v>256</v>
      </c>
      <c r="AE12" s="70">
        <v>6144</v>
      </c>
      <c r="AF12" s="70">
        <v>192</v>
      </c>
      <c r="AG12" s="70">
        <v>96</v>
      </c>
      <c r="AH12" s="70">
        <v>48</v>
      </c>
      <c r="AI12" s="70">
        <v>192</v>
      </c>
      <c r="AJ12" s="70">
        <v>48</v>
      </c>
      <c r="AK12" s="46"/>
      <c r="AL12" s="88" t="s">
        <v>5144</v>
      </c>
      <c r="AM12" s="46"/>
      <c r="AN12" s="85" t="s">
        <v>5141</v>
      </c>
    </row>
    <row r="13" customHeight="1" spans="1:40">
      <c r="A13" s="45" t="s">
        <v>5145</v>
      </c>
      <c r="B13" s="46" t="s">
        <v>766</v>
      </c>
      <c r="C13" s="42">
        <v>985000000000</v>
      </c>
      <c r="D13" s="42">
        <v>31520000000000</v>
      </c>
      <c r="E13" s="42">
        <v>31520000000000</v>
      </c>
      <c r="F13" s="44"/>
      <c r="G13" s="44"/>
      <c r="H13" s="44"/>
      <c r="I13" s="44"/>
      <c r="J13" s="44"/>
      <c r="K13" s="44"/>
      <c r="L13" s="42">
        <v>24000000000</v>
      </c>
      <c r="M13" s="42">
        <v>600200000000</v>
      </c>
      <c r="N13" s="46" t="s">
        <v>5099</v>
      </c>
      <c r="O13" s="56">
        <v>63</v>
      </c>
      <c r="P13" s="46"/>
      <c r="Q13" s="46"/>
      <c r="R13" s="46"/>
      <c r="S13" s="69">
        <v>44298</v>
      </c>
      <c r="T13" s="70">
        <v>2021</v>
      </c>
      <c r="U13" s="73"/>
      <c r="V13" s="72"/>
      <c r="W13" s="46"/>
      <c r="X13" s="70">
        <v>28300</v>
      </c>
      <c r="Y13" s="70">
        <v>628</v>
      </c>
      <c r="Z13" s="70">
        <v>150</v>
      </c>
      <c r="AA13" s="70">
        <v>1320</v>
      </c>
      <c r="AB13" s="70">
        <v>1710</v>
      </c>
      <c r="AC13" s="70">
        <v>1563</v>
      </c>
      <c r="AD13" s="70">
        <v>384</v>
      </c>
      <c r="AE13" s="70">
        <v>9216</v>
      </c>
      <c r="AF13" s="70">
        <v>288</v>
      </c>
      <c r="AG13" s="70">
        <v>96</v>
      </c>
      <c r="AH13" s="70">
        <v>72</v>
      </c>
      <c r="AI13" s="70">
        <v>288</v>
      </c>
      <c r="AJ13" s="70">
        <v>72</v>
      </c>
      <c r="AK13" s="46"/>
      <c r="AL13" s="88" t="s">
        <v>5146</v>
      </c>
      <c r="AM13" s="44"/>
      <c r="AN13" s="90"/>
    </row>
    <row r="14" ht="51" spans="1:40">
      <c r="A14" s="37" t="s">
        <v>5147</v>
      </c>
      <c r="B14" s="38" t="s">
        <v>766</v>
      </c>
      <c r="C14" s="40">
        <v>584600000000</v>
      </c>
      <c r="D14" s="40">
        <v>37420000000000</v>
      </c>
      <c r="E14" s="40">
        <v>37420000000000</v>
      </c>
      <c r="F14" s="39">
        <v>74800000000000</v>
      </c>
      <c r="G14" s="39">
        <v>149700000000000</v>
      </c>
      <c r="H14" s="39"/>
      <c r="I14" s="39"/>
      <c r="J14" s="40">
        <v>299300000000000</v>
      </c>
      <c r="K14" s="40"/>
      <c r="L14" s="40">
        <v>48000000000</v>
      </c>
      <c r="M14" s="40">
        <v>695800000000</v>
      </c>
      <c r="N14" s="58" t="s">
        <v>5099</v>
      </c>
      <c r="O14" s="53">
        <v>63</v>
      </c>
      <c r="P14" s="59"/>
      <c r="Q14" s="40"/>
      <c r="R14" s="40"/>
      <c r="S14" s="76">
        <v>44109</v>
      </c>
      <c r="T14" s="66">
        <v>2020</v>
      </c>
      <c r="U14" s="67"/>
      <c r="V14" s="68"/>
      <c r="W14" s="39"/>
      <c r="X14" s="50">
        <v>28300</v>
      </c>
      <c r="Y14" s="50">
        <v>628</v>
      </c>
      <c r="Z14" s="50">
        <v>300</v>
      </c>
      <c r="AA14" s="50">
        <v>1305</v>
      </c>
      <c r="AB14" s="50">
        <v>1740</v>
      </c>
      <c r="AC14" s="50">
        <v>1812</v>
      </c>
      <c r="AD14" s="50">
        <v>384</v>
      </c>
      <c r="AE14" s="50">
        <v>10752</v>
      </c>
      <c r="AF14" s="50">
        <v>336</v>
      </c>
      <c r="AG14" s="50">
        <v>112</v>
      </c>
      <c r="AH14" s="50">
        <v>84</v>
      </c>
      <c r="AI14" s="50">
        <v>336</v>
      </c>
      <c r="AJ14" s="50">
        <v>84</v>
      </c>
      <c r="AK14" s="39"/>
      <c r="AL14" s="92" t="s">
        <v>5148</v>
      </c>
      <c r="AM14" s="93"/>
      <c r="AN14" s="90"/>
    </row>
    <row r="15" ht="38.25" spans="1:40">
      <c r="A15" s="37" t="s">
        <v>5149</v>
      </c>
      <c r="B15" s="41" t="s">
        <v>766</v>
      </c>
      <c r="C15" s="43">
        <v>9746000000000</v>
      </c>
      <c r="D15" s="43">
        <v>19500000000000</v>
      </c>
      <c r="E15" s="43">
        <v>77980000000000</v>
      </c>
      <c r="F15" s="42">
        <v>156000000000000</v>
      </c>
      <c r="G15" s="42">
        <v>312000000000000</v>
      </c>
      <c r="H15" s="44"/>
      <c r="I15" s="44"/>
      <c r="J15" s="43">
        <f>6.24*10^14</f>
        <v>624000000000000</v>
      </c>
      <c r="K15" s="43"/>
      <c r="L15" s="43">
        <v>80000000000</v>
      </c>
      <c r="M15" s="43">
        <v>2039000000000</v>
      </c>
      <c r="N15" s="46" t="s">
        <v>5099</v>
      </c>
      <c r="O15" s="56">
        <v>63</v>
      </c>
      <c r="P15" s="60" t="s">
        <v>5150</v>
      </c>
      <c r="Q15" s="43">
        <v>600</v>
      </c>
      <c r="R15" s="43">
        <v>925</v>
      </c>
      <c r="S15" s="77">
        <v>44151</v>
      </c>
      <c r="T15" s="70">
        <v>2020</v>
      </c>
      <c r="U15" s="71">
        <v>15000</v>
      </c>
      <c r="V15" s="75" t="s">
        <v>5151</v>
      </c>
      <c r="W15" s="44"/>
      <c r="X15" s="70">
        <v>54200</v>
      </c>
      <c r="Y15" s="70">
        <v>826</v>
      </c>
      <c r="Z15" s="70">
        <v>400</v>
      </c>
      <c r="AA15" s="70">
        <v>1275</v>
      </c>
      <c r="AB15" s="70">
        <v>1410</v>
      </c>
      <c r="AC15" s="70">
        <v>1593</v>
      </c>
      <c r="AD15" s="70">
        <v>5120</v>
      </c>
      <c r="AE15" s="70">
        <v>6912</v>
      </c>
      <c r="AF15" s="70">
        <v>432</v>
      </c>
      <c r="AG15" s="70">
        <v>160</v>
      </c>
      <c r="AH15" s="70">
        <v>108</v>
      </c>
      <c r="AI15" s="70">
        <v>432</v>
      </c>
      <c r="AJ15" s="46"/>
      <c r="AK15" s="44" t="s">
        <v>5152</v>
      </c>
      <c r="AL15" s="84" t="s">
        <v>5153</v>
      </c>
      <c r="AM15" s="84" t="s">
        <v>5154</v>
      </c>
      <c r="AN15" s="90"/>
    </row>
    <row r="16" ht="12.75" spans="1:40">
      <c r="A16" s="45" t="s">
        <v>5155</v>
      </c>
      <c r="B16" s="46" t="s">
        <v>766</v>
      </c>
      <c r="C16" s="42">
        <v>556000000000</v>
      </c>
      <c r="D16" s="42">
        <v>35590000000000</v>
      </c>
      <c r="E16" s="42">
        <v>35590000000000</v>
      </c>
      <c r="F16" s="44"/>
      <c r="G16" s="44"/>
      <c r="H16" s="44"/>
      <c r="I16" s="44"/>
      <c r="J16" s="42">
        <v>284000000000000</v>
      </c>
      <c r="K16" s="42">
        <v>568000000000000</v>
      </c>
      <c r="L16" s="42">
        <v>24000000000</v>
      </c>
      <c r="M16" s="42">
        <v>936200000000</v>
      </c>
      <c r="N16" s="46" t="s">
        <v>5099</v>
      </c>
      <c r="O16" s="56">
        <v>63</v>
      </c>
      <c r="P16" s="44" t="s">
        <v>5156</v>
      </c>
      <c r="Q16" s="70">
        <v>112.5</v>
      </c>
      <c r="R16" s="42">
        <v>471</v>
      </c>
      <c r="S16" s="69">
        <v>44075</v>
      </c>
      <c r="T16" s="70">
        <v>2020</v>
      </c>
      <c r="U16" s="71" t="s">
        <v>5157</v>
      </c>
      <c r="V16" s="72"/>
      <c r="W16" s="46" t="s">
        <v>5124</v>
      </c>
      <c r="X16" s="70">
        <v>28300</v>
      </c>
      <c r="Y16" s="70">
        <v>628</v>
      </c>
      <c r="Z16" s="70">
        <v>350</v>
      </c>
      <c r="AA16" s="70">
        <v>1395</v>
      </c>
      <c r="AB16" s="70">
        <v>1695</v>
      </c>
      <c r="AC16" s="70">
        <v>1219</v>
      </c>
      <c r="AD16" s="70">
        <v>384</v>
      </c>
      <c r="AE16" s="70">
        <v>10496</v>
      </c>
      <c r="AF16" s="70">
        <v>328</v>
      </c>
      <c r="AG16" s="70">
        <v>112</v>
      </c>
      <c r="AH16" s="70">
        <v>82</v>
      </c>
      <c r="AI16" s="70">
        <v>328</v>
      </c>
      <c r="AJ16" s="70">
        <v>82</v>
      </c>
      <c r="AK16" s="46" t="s">
        <v>5152</v>
      </c>
      <c r="AL16" s="88" t="s">
        <v>5158</v>
      </c>
      <c r="AM16" s="88" t="s">
        <v>5159</v>
      </c>
      <c r="AN16" s="85" t="s">
        <v>5160</v>
      </c>
    </row>
    <row r="17" ht="12.75" spans="1:40">
      <c r="A17" s="45" t="s">
        <v>5161</v>
      </c>
      <c r="B17" s="46" t="s">
        <v>766</v>
      </c>
      <c r="C17" s="42">
        <v>1210000000000</v>
      </c>
      <c r="D17" s="42">
        <v>38710000000000</v>
      </c>
      <c r="E17" s="42">
        <v>38710000000000</v>
      </c>
      <c r="F17" s="44"/>
      <c r="G17" s="44"/>
      <c r="H17" s="44"/>
      <c r="I17" s="44"/>
      <c r="J17" s="44"/>
      <c r="K17" s="44"/>
      <c r="L17" s="42">
        <v>48000000000</v>
      </c>
      <c r="M17" s="42">
        <v>768000000000</v>
      </c>
      <c r="N17" s="46" t="s">
        <v>5099</v>
      </c>
      <c r="O17" s="56">
        <v>63</v>
      </c>
      <c r="P17" s="46" t="s">
        <v>5156</v>
      </c>
      <c r="Q17" s="70">
        <v>112.5</v>
      </c>
      <c r="R17" s="46"/>
      <c r="S17" s="69">
        <v>44109</v>
      </c>
      <c r="T17" s="70">
        <v>2020</v>
      </c>
      <c r="U17" s="71" t="s">
        <v>5162</v>
      </c>
      <c r="V17" s="72"/>
      <c r="W17" s="46"/>
      <c r="X17" s="70">
        <v>28300</v>
      </c>
      <c r="Y17" s="70">
        <v>628</v>
      </c>
      <c r="Z17" s="70">
        <v>300</v>
      </c>
      <c r="AA17" s="70">
        <v>1410</v>
      </c>
      <c r="AB17" s="70">
        <v>1800</v>
      </c>
      <c r="AC17" s="70">
        <v>2000</v>
      </c>
      <c r="AD17" s="70">
        <v>384</v>
      </c>
      <c r="AE17" s="70">
        <v>10752</v>
      </c>
      <c r="AF17" s="70">
        <v>336</v>
      </c>
      <c r="AG17" s="70">
        <v>112</v>
      </c>
      <c r="AH17" s="70">
        <v>84</v>
      </c>
      <c r="AI17" s="70">
        <v>336</v>
      </c>
      <c r="AJ17" s="70">
        <v>84</v>
      </c>
      <c r="AK17" s="46"/>
      <c r="AL17" s="88" t="s">
        <v>5163</v>
      </c>
      <c r="AM17" s="90"/>
      <c r="AN17" s="85" t="s">
        <v>5164</v>
      </c>
    </row>
    <row r="18" ht="12.75" spans="1:40">
      <c r="A18" s="45" t="s">
        <v>5165</v>
      </c>
      <c r="B18" s="46" t="s">
        <v>766</v>
      </c>
      <c r="C18" s="42">
        <v>465100000000</v>
      </c>
      <c r="D18" s="42">
        <v>29770000000000</v>
      </c>
      <c r="E18" s="42">
        <v>29770000000000</v>
      </c>
      <c r="F18" s="44"/>
      <c r="G18" s="44"/>
      <c r="H18" s="44"/>
      <c r="I18" s="44"/>
      <c r="J18" s="44"/>
      <c r="K18" s="44"/>
      <c r="L18" s="42">
        <v>10000000000</v>
      </c>
      <c r="M18" s="42">
        <v>760300000000</v>
      </c>
      <c r="N18" s="46" t="s">
        <v>5099</v>
      </c>
      <c r="O18" s="56">
        <v>63</v>
      </c>
      <c r="P18" s="46"/>
      <c r="Q18" s="46"/>
      <c r="R18" s="46"/>
      <c r="S18" s="69">
        <v>44075</v>
      </c>
      <c r="T18" s="70">
        <v>2020</v>
      </c>
      <c r="U18" s="71">
        <v>699</v>
      </c>
      <c r="V18" s="72"/>
      <c r="W18" s="46"/>
      <c r="X18" s="70">
        <v>28300</v>
      </c>
      <c r="Y18" s="70">
        <v>628</v>
      </c>
      <c r="Z18" s="70">
        <v>320</v>
      </c>
      <c r="AA18" s="70">
        <v>1440</v>
      </c>
      <c r="AB18" s="70">
        <v>1710</v>
      </c>
      <c r="AC18" s="70">
        <v>1188</v>
      </c>
      <c r="AD18" s="70">
        <v>320</v>
      </c>
      <c r="AE18" s="70">
        <v>8704</v>
      </c>
      <c r="AF18" s="70">
        <v>272</v>
      </c>
      <c r="AG18" s="70">
        <v>96</v>
      </c>
      <c r="AH18" s="70">
        <v>68</v>
      </c>
      <c r="AI18" s="70">
        <v>272</v>
      </c>
      <c r="AJ18" s="70">
        <v>68</v>
      </c>
      <c r="AK18" s="46"/>
      <c r="AL18" s="88" t="s">
        <v>5166</v>
      </c>
      <c r="AM18" s="46"/>
      <c r="AN18" s="94" t="s">
        <v>5167</v>
      </c>
    </row>
    <row r="19" ht="25.5" spans="1:40">
      <c r="A19" s="37" t="s">
        <v>5168</v>
      </c>
      <c r="B19" s="41" t="s">
        <v>85</v>
      </c>
      <c r="C19" s="44"/>
      <c r="D19" s="44"/>
      <c r="E19" s="44">
        <f>123000000000000</f>
        <v>123000000000000</v>
      </c>
      <c r="F19" s="44"/>
      <c r="G19" s="44"/>
      <c r="H19" s="44"/>
      <c r="I19" s="44"/>
      <c r="J19" s="44"/>
      <c r="K19" s="44"/>
      <c r="L19" s="44">
        <v>32000000000</v>
      </c>
      <c r="M19" s="44">
        <v>900000000000</v>
      </c>
      <c r="N19" s="44"/>
      <c r="O19" s="57"/>
      <c r="P19" s="44" t="s">
        <v>5133</v>
      </c>
      <c r="Q19" s="42">
        <f>4*656/8</f>
        <v>328</v>
      </c>
      <c r="R19" s="44"/>
      <c r="S19" s="69">
        <v>43374</v>
      </c>
      <c r="T19" s="46">
        <f t="shared" ref="T19:T20" si="0">YEAR(S19)</f>
        <v>2018</v>
      </c>
      <c r="U19" s="73"/>
      <c r="V19" s="75" t="s">
        <v>5169</v>
      </c>
      <c r="W19" s="44"/>
      <c r="X19" s="46"/>
      <c r="Y19" s="46"/>
      <c r="Z19" s="46"/>
      <c r="AA19" s="46"/>
      <c r="AB19" s="46"/>
      <c r="AC19" s="46"/>
      <c r="AD19" s="46"/>
      <c r="AE19" s="46"/>
      <c r="AF19" s="46"/>
      <c r="AG19" s="46"/>
      <c r="AH19" s="46"/>
      <c r="AI19" s="46"/>
      <c r="AJ19" s="46"/>
      <c r="AK19" s="44" t="s">
        <v>5170</v>
      </c>
      <c r="AL19" s="84" t="s">
        <v>5135</v>
      </c>
      <c r="AM19" s="84" t="s">
        <v>5171</v>
      </c>
      <c r="AN19" s="49"/>
    </row>
    <row r="20" ht="12.75" spans="1:40">
      <c r="A20" s="45" t="s">
        <v>5172</v>
      </c>
      <c r="B20" s="46" t="s">
        <v>766</v>
      </c>
      <c r="C20" s="42">
        <f>420.2*10^9</f>
        <v>420200000000</v>
      </c>
      <c r="D20" s="42">
        <f>13.45*10^12</f>
        <v>13450000000000</v>
      </c>
      <c r="E20" s="42">
        <f>26.9*10^12</f>
        <v>26900000000000</v>
      </c>
      <c r="F20" s="44"/>
      <c r="G20" s="42">
        <v>113800000000000</v>
      </c>
      <c r="H20" s="44"/>
      <c r="I20" s="44"/>
      <c r="J20" s="42">
        <v>227700000000000</v>
      </c>
      <c r="K20" s="42">
        <v>455400000000000</v>
      </c>
      <c r="L20" s="42">
        <v>11000000000</v>
      </c>
      <c r="M20" s="42">
        <v>616000000000</v>
      </c>
      <c r="N20" s="44" t="s">
        <v>5173</v>
      </c>
      <c r="O20" s="56">
        <v>31.5</v>
      </c>
      <c r="P20" s="44" t="s">
        <v>5174</v>
      </c>
      <c r="Q20" s="42">
        <v>100</v>
      </c>
      <c r="R20" s="42">
        <v>275</v>
      </c>
      <c r="S20" s="69">
        <v>43363</v>
      </c>
      <c r="T20" s="46">
        <f t="shared" si="0"/>
        <v>2018</v>
      </c>
      <c r="U20" s="71" t="s">
        <v>5103</v>
      </c>
      <c r="V20" s="72"/>
      <c r="W20" s="46" t="s">
        <v>5175</v>
      </c>
      <c r="X20" s="70">
        <v>18600</v>
      </c>
      <c r="Y20" s="70">
        <v>754</v>
      </c>
      <c r="Z20" s="70">
        <v>250</v>
      </c>
      <c r="AA20" s="70">
        <v>1350</v>
      </c>
      <c r="AB20" s="70">
        <v>1545</v>
      </c>
      <c r="AC20" s="70">
        <v>1750</v>
      </c>
      <c r="AD20" s="70">
        <v>352</v>
      </c>
      <c r="AE20" s="70">
        <v>4352</v>
      </c>
      <c r="AF20" s="70">
        <v>272</v>
      </c>
      <c r="AG20" s="70">
        <v>88</v>
      </c>
      <c r="AH20" s="70">
        <v>68</v>
      </c>
      <c r="AI20" s="70">
        <v>544</v>
      </c>
      <c r="AJ20" s="70">
        <v>68</v>
      </c>
      <c r="AK20" s="46" t="s">
        <v>5170</v>
      </c>
      <c r="AL20" s="88" t="s">
        <v>5176</v>
      </c>
      <c r="AM20" s="88" t="s">
        <v>5112</v>
      </c>
      <c r="AN20" s="49"/>
    </row>
    <row r="21" ht="12.75" spans="1:40">
      <c r="A21" s="45" t="s">
        <v>5177</v>
      </c>
      <c r="B21" s="46" t="s">
        <v>766</v>
      </c>
      <c r="C21" s="42">
        <v>501000000000</v>
      </c>
      <c r="D21" s="42">
        <v>16300000000000</v>
      </c>
      <c r="E21" s="42">
        <v>32600000000000</v>
      </c>
      <c r="F21" s="44"/>
      <c r="G21" s="44"/>
      <c r="H21" s="44"/>
      <c r="I21" s="44"/>
      <c r="J21" s="44"/>
      <c r="K21" s="42"/>
      <c r="L21" s="42">
        <v>48000000000</v>
      </c>
      <c r="M21" s="42">
        <v>672000000000</v>
      </c>
      <c r="N21" s="44" t="s">
        <v>5173</v>
      </c>
      <c r="O21" s="56">
        <v>31.5</v>
      </c>
      <c r="P21" s="44" t="s">
        <v>5174</v>
      </c>
      <c r="Q21" s="42">
        <v>100</v>
      </c>
      <c r="R21" s="42">
        <v>300</v>
      </c>
      <c r="S21" s="69">
        <v>43325</v>
      </c>
      <c r="T21" s="70">
        <v>2018</v>
      </c>
      <c r="U21" s="71" t="s">
        <v>5178</v>
      </c>
      <c r="V21" s="72"/>
      <c r="W21" s="46"/>
      <c r="X21" s="70">
        <v>18600</v>
      </c>
      <c r="Y21" s="70">
        <v>754</v>
      </c>
      <c r="Z21" s="70">
        <v>260</v>
      </c>
      <c r="AA21" s="70">
        <v>1395</v>
      </c>
      <c r="AB21" s="70">
        <v>1770</v>
      </c>
      <c r="AC21" s="70">
        <v>1750</v>
      </c>
      <c r="AD21" s="70">
        <v>384</v>
      </c>
      <c r="AE21" s="70">
        <v>4608</v>
      </c>
      <c r="AF21" s="70">
        <v>288</v>
      </c>
      <c r="AG21" s="70">
        <v>96</v>
      </c>
      <c r="AH21" s="70">
        <v>72</v>
      </c>
      <c r="AI21" s="70">
        <v>576</v>
      </c>
      <c r="AJ21" s="70">
        <v>72</v>
      </c>
      <c r="AK21" s="46" t="s">
        <v>5170</v>
      </c>
      <c r="AL21" s="88" t="s">
        <v>5179</v>
      </c>
      <c r="AM21" s="46"/>
      <c r="AN21" s="49"/>
    </row>
    <row r="22" ht="12.75" spans="1:40">
      <c r="A22" s="45" t="s">
        <v>5180</v>
      </c>
      <c r="B22" s="46" t="s">
        <v>766</v>
      </c>
      <c r="C22" s="42">
        <v>254400000000</v>
      </c>
      <c r="D22" s="42">
        <v>8100000000000</v>
      </c>
      <c r="E22" s="42">
        <v>65130000000000</v>
      </c>
      <c r="F22" s="44"/>
      <c r="G22" s="44"/>
      <c r="H22" s="44"/>
      <c r="I22" s="44"/>
      <c r="J22" s="44"/>
      <c r="K22" s="44"/>
      <c r="L22" s="42">
        <v>16000000000</v>
      </c>
      <c r="M22" s="42">
        <v>320000000000</v>
      </c>
      <c r="N22" s="46" t="s">
        <v>5173</v>
      </c>
      <c r="O22" s="56">
        <v>31.5</v>
      </c>
      <c r="P22" s="46"/>
      <c r="Q22" s="46"/>
      <c r="R22" s="46"/>
      <c r="S22" s="69">
        <v>43356</v>
      </c>
      <c r="T22" s="70">
        <v>2018</v>
      </c>
      <c r="U22" s="73"/>
      <c r="V22" s="75" t="s">
        <v>5181</v>
      </c>
      <c r="W22" s="46"/>
      <c r="X22" s="70">
        <v>13600</v>
      </c>
      <c r="Y22" s="70">
        <v>545</v>
      </c>
      <c r="Z22" s="70">
        <v>70</v>
      </c>
      <c r="AA22" s="70">
        <v>585</v>
      </c>
      <c r="AB22" s="70">
        <v>1590</v>
      </c>
      <c r="AC22" s="70">
        <v>1250</v>
      </c>
      <c r="AD22" s="70">
        <v>256</v>
      </c>
      <c r="AE22" s="70">
        <v>2560</v>
      </c>
      <c r="AF22" s="70">
        <v>160</v>
      </c>
      <c r="AG22" s="70">
        <v>64</v>
      </c>
      <c r="AH22" s="70">
        <v>40</v>
      </c>
      <c r="AI22" s="70">
        <v>320</v>
      </c>
      <c r="AJ22" s="70">
        <v>40</v>
      </c>
      <c r="AK22" s="46"/>
      <c r="AL22" s="88" t="s">
        <v>5182</v>
      </c>
      <c r="AM22" s="46"/>
      <c r="AN22" s="49"/>
    </row>
    <row r="23" ht="12.75" spans="1:40">
      <c r="A23" s="45" t="s">
        <v>5183</v>
      </c>
      <c r="B23" s="46" t="s">
        <v>766</v>
      </c>
      <c r="C23" s="42">
        <v>222500000000</v>
      </c>
      <c r="D23" s="42">
        <v>7100000000000</v>
      </c>
      <c r="E23" s="42">
        <v>14240000000000</v>
      </c>
      <c r="F23" s="44"/>
      <c r="G23" s="44"/>
      <c r="H23" s="44"/>
      <c r="I23" s="44"/>
      <c r="J23" s="44"/>
      <c r="K23" s="44"/>
      <c r="L23" s="42">
        <v>8000000000</v>
      </c>
      <c r="M23" s="42">
        <v>416000000000</v>
      </c>
      <c r="N23" s="46" t="s">
        <v>5173</v>
      </c>
      <c r="O23" s="56">
        <v>31.5</v>
      </c>
      <c r="P23" s="46"/>
      <c r="Q23" s="46"/>
      <c r="R23" s="46"/>
      <c r="S23" s="69">
        <v>43417</v>
      </c>
      <c r="T23" s="70">
        <v>2018</v>
      </c>
      <c r="U23" s="71">
        <v>899</v>
      </c>
      <c r="V23" s="72"/>
      <c r="W23" s="46"/>
      <c r="X23" s="70">
        <v>13600</v>
      </c>
      <c r="Y23" s="70">
        <v>545</v>
      </c>
      <c r="Z23" s="70">
        <v>160</v>
      </c>
      <c r="AA23" s="70">
        <v>1005</v>
      </c>
      <c r="AB23" s="70">
        <v>1545</v>
      </c>
      <c r="AC23" s="70">
        <v>1625</v>
      </c>
      <c r="AD23" s="70">
        <v>256</v>
      </c>
      <c r="AE23" s="70">
        <v>2304</v>
      </c>
      <c r="AF23" s="70">
        <v>144</v>
      </c>
      <c r="AG23" s="70">
        <v>64</v>
      </c>
      <c r="AH23" s="70">
        <v>36</v>
      </c>
      <c r="AI23" s="70">
        <v>288</v>
      </c>
      <c r="AJ23" s="70">
        <v>36</v>
      </c>
      <c r="AK23" s="46"/>
      <c r="AL23" s="88" t="s">
        <v>5184</v>
      </c>
      <c r="AM23" s="46"/>
      <c r="AN23" s="46"/>
    </row>
    <row r="24" ht="12.75" spans="1:40">
      <c r="A24" s="45" t="s">
        <v>5185</v>
      </c>
      <c r="B24" s="46" t="s">
        <v>766</v>
      </c>
      <c r="C24" s="42">
        <v>348500000000</v>
      </c>
      <c r="D24" s="42">
        <v>11150000000000</v>
      </c>
      <c r="E24" s="42">
        <v>22300000000000</v>
      </c>
      <c r="F24" s="44"/>
      <c r="G24" s="44"/>
      <c r="H24" s="44"/>
      <c r="I24" s="44"/>
      <c r="J24" s="44"/>
      <c r="K24" s="44"/>
      <c r="L24" s="42">
        <v>16000000000</v>
      </c>
      <c r="M24" s="42">
        <v>448000000000</v>
      </c>
      <c r="N24" s="46" t="s">
        <v>5173</v>
      </c>
      <c r="O24" s="56">
        <v>31.5</v>
      </c>
      <c r="P24" s="44" t="s">
        <v>5174</v>
      </c>
      <c r="Q24" s="70">
        <v>50</v>
      </c>
      <c r="R24" s="46"/>
      <c r="S24" s="69">
        <v>43325</v>
      </c>
      <c r="T24" s="70">
        <v>2018</v>
      </c>
      <c r="U24" s="71" t="s">
        <v>5186</v>
      </c>
      <c r="V24" s="72"/>
      <c r="W24" s="46"/>
      <c r="X24" s="70">
        <v>13600</v>
      </c>
      <c r="Y24" s="70">
        <v>545</v>
      </c>
      <c r="Z24" s="70">
        <v>230</v>
      </c>
      <c r="AA24" s="70">
        <v>1620</v>
      </c>
      <c r="AB24" s="70">
        <v>1815</v>
      </c>
      <c r="AC24" s="70">
        <v>1750</v>
      </c>
      <c r="AD24" s="70">
        <v>256</v>
      </c>
      <c r="AE24" s="70">
        <v>3072</v>
      </c>
      <c r="AF24" s="70">
        <v>192</v>
      </c>
      <c r="AG24" s="70">
        <v>64</v>
      </c>
      <c r="AH24" s="70">
        <v>48</v>
      </c>
      <c r="AI24" s="70">
        <v>384</v>
      </c>
      <c r="AJ24" s="70">
        <v>48</v>
      </c>
      <c r="AK24" s="46"/>
      <c r="AL24" s="88" t="s">
        <v>5187</v>
      </c>
      <c r="AM24" s="46"/>
      <c r="AN24" s="46"/>
    </row>
    <row r="25" ht="12.75" spans="1:40">
      <c r="A25" s="45" t="s">
        <v>5188</v>
      </c>
      <c r="B25" s="46" t="s">
        <v>766</v>
      </c>
      <c r="C25" s="42">
        <v>509800000000</v>
      </c>
      <c r="D25" s="42">
        <v>16310000000000</v>
      </c>
      <c r="E25" s="42">
        <v>32620000000000</v>
      </c>
      <c r="F25" s="44"/>
      <c r="G25" s="44"/>
      <c r="H25" s="44"/>
      <c r="I25" s="44"/>
      <c r="J25" s="44"/>
      <c r="K25" s="44"/>
      <c r="L25" s="42">
        <v>24000000000</v>
      </c>
      <c r="M25" s="42">
        <v>672000000000</v>
      </c>
      <c r="N25" s="46" t="s">
        <v>5173</v>
      </c>
      <c r="O25" s="56">
        <v>31.5</v>
      </c>
      <c r="P25" s="44" t="s">
        <v>5174</v>
      </c>
      <c r="Q25" s="70">
        <v>100</v>
      </c>
      <c r="R25" s="46"/>
      <c r="S25" s="69">
        <v>43325</v>
      </c>
      <c r="T25" s="70">
        <v>2018</v>
      </c>
      <c r="U25" s="71" t="s">
        <v>5189</v>
      </c>
      <c r="V25" s="72"/>
      <c r="W25" s="46"/>
      <c r="X25" s="70">
        <v>18600</v>
      </c>
      <c r="Y25" s="70">
        <v>754</v>
      </c>
      <c r="Z25" s="70">
        <v>260</v>
      </c>
      <c r="AA25" s="70">
        <v>1440</v>
      </c>
      <c r="AB25" s="70">
        <v>1770</v>
      </c>
      <c r="AC25" s="70">
        <v>1750</v>
      </c>
      <c r="AD25" s="70">
        <v>384</v>
      </c>
      <c r="AE25" s="70">
        <v>4608</v>
      </c>
      <c r="AF25" s="70">
        <v>288</v>
      </c>
      <c r="AG25" s="70">
        <v>96</v>
      </c>
      <c r="AH25" s="70">
        <v>72</v>
      </c>
      <c r="AI25" s="70">
        <v>576</v>
      </c>
      <c r="AJ25" s="70">
        <v>72</v>
      </c>
      <c r="AK25" s="46"/>
      <c r="AL25" s="88" t="s">
        <v>5190</v>
      </c>
      <c r="AM25" s="46"/>
      <c r="AN25" s="88" t="s">
        <v>5191</v>
      </c>
    </row>
    <row r="26" ht="12.75" spans="1:40">
      <c r="A26" s="37" t="s">
        <v>5192</v>
      </c>
      <c r="B26" s="41" t="s">
        <v>766</v>
      </c>
      <c r="C26" s="42">
        <v>379700000000</v>
      </c>
      <c r="D26" s="42">
        <v>12150000000000</v>
      </c>
      <c r="E26" s="42">
        <v>189800000000</v>
      </c>
      <c r="F26" s="44"/>
      <c r="G26" s="44"/>
      <c r="H26" s="44"/>
      <c r="I26" s="44"/>
      <c r="J26" s="44"/>
      <c r="K26" s="44"/>
      <c r="L26" s="44">
        <v>12000000000</v>
      </c>
      <c r="M26" s="44">
        <v>548000000000</v>
      </c>
      <c r="N26" s="46" t="s">
        <v>5173</v>
      </c>
      <c r="O26" s="56">
        <v>31.5</v>
      </c>
      <c r="P26" s="44"/>
      <c r="Q26" s="44"/>
      <c r="R26" s="44"/>
      <c r="S26" s="69">
        <v>42831</v>
      </c>
      <c r="T26" s="70">
        <f t="shared" ref="T26:T28" si="1">YEAR(S26)</f>
        <v>2017</v>
      </c>
      <c r="U26" s="71" t="s">
        <v>5115</v>
      </c>
      <c r="V26" s="72"/>
      <c r="W26" s="46"/>
      <c r="X26" s="70">
        <v>11800</v>
      </c>
      <c r="Y26" s="70">
        <v>471</v>
      </c>
      <c r="Z26" s="70">
        <v>250</v>
      </c>
      <c r="AA26" s="70">
        <v>1405</v>
      </c>
      <c r="AB26" s="70">
        <v>1582</v>
      </c>
      <c r="AC26" s="70">
        <v>1426</v>
      </c>
      <c r="AD26" s="70">
        <v>384</v>
      </c>
      <c r="AE26" s="70">
        <v>3840</v>
      </c>
      <c r="AF26" s="70">
        <v>240</v>
      </c>
      <c r="AG26" s="70">
        <v>96</v>
      </c>
      <c r="AH26" s="70">
        <v>30</v>
      </c>
      <c r="AI26" s="46"/>
      <c r="AJ26" s="46"/>
      <c r="AK26" s="46"/>
      <c r="AL26" s="88" t="s">
        <v>5193</v>
      </c>
      <c r="AM26" s="46"/>
      <c r="AN26" s="90"/>
    </row>
    <row r="27" ht="12.75" spans="1:40">
      <c r="A27" s="37" t="s">
        <v>5194</v>
      </c>
      <c r="B27" s="41" t="s">
        <v>766</v>
      </c>
      <c r="C27" s="42">
        <v>7450000000000</v>
      </c>
      <c r="D27" s="42">
        <v>14900000000000</v>
      </c>
      <c r="E27" s="42">
        <v>29800000000000</v>
      </c>
      <c r="F27" s="44"/>
      <c r="G27" s="44"/>
      <c r="H27" s="44"/>
      <c r="I27" s="44"/>
      <c r="J27" s="44"/>
      <c r="K27" s="44"/>
      <c r="L27" s="44">
        <v>12000000000</v>
      </c>
      <c r="M27" s="44">
        <v>651000000000</v>
      </c>
      <c r="N27" s="46" t="s">
        <v>5173</v>
      </c>
      <c r="O27" s="56">
        <v>31.5</v>
      </c>
      <c r="P27" s="44"/>
      <c r="Q27" s="44"/>
      <c r="R27" s="44"/>
      <c r="S27" s="69">
        <v>43076</v>
      </c>
      <c r="T27" s="70">
        <f t="shared" si="1"/>
        <v>2017</v>
      </c>
      <c r="U27" s="71" t="s">
        <v>5195</v>
      </c>
      <c r="V27" s="72"/>
      <c r="W27" s="46"/>
      <c r="X27" s="70">
        <v>21100</v>
      </c>
      <c r="Y27" s="70">
        <v>815</v>
      </c>
      <c r="Z27" s="70">
        <v>250</v>
      </c>
      <c r="AA27" s="70">
        <v>1200</v>
      </c>
      <c r="AB27" s="70">
        <v>1455</v>
      </c>
      <c r="AC27" s="70">
        <v>848</v>
      </c>
      <c r="AD27" s="70">
        <v>3072</v>
      </c>
      <c r="AE27" s="70">
        <v>5120</v>
      </c>
      <c r="AF27" s="70">
        <v>320</v>
      </c>
      <c r="AG27" s="70">
        <v>96</v>
      </c>
      <c r="AH27" s="70">
        <v>80</v>
      </c>
      <c r="AI27" s="70">
        <v>640</v>
      </c>
      <c r="AJ27" s="46"/>
      <c r="AK27" s="46"/>
      <c r="AL27" s="88" t="s">
        <v>5196</v>
      </c>
      <c r="AM27" s="46"/>
      <c r="AN27" s="90"/>
    </row>
    <row r="28" ht="25.5" spans="1:40">
      <c r="A28" s="37" t="s">
        <v>5197</v>
      </c>
      <c r="B28" s="41" t="s">
        <v>766</v>
      </c>
      <c r="C28" s="42">
        <v>7800000000000</v>
      </c>
      <c r="D28" s="42">
        <v>15670000000000</v>
      </c>
      <c r="E28" s="44">
        <v>31330000000000</v>
      </c>
      <c r="F28" s="44">
        <v>120000000000000</v>
      </c>
      <c r="G28" s="44"/>
      <c r="H28" s="44"/>
      <c r="I28" s="44"/>
      <c r="J28" s="44"/>
      <c r="K28" s="44"/>
      <c r="L28" s="44">
        <v>16000000000</v>
      </c>
      <c r="M28" s="44">
        <v>897000000000</v>
      </c>
      <c r="N28" s="46" t="s">
        <v>5173</v>
      </c>
      <c r="O28" s="56">
        <v>31.5</v>
      </c>
      <c r="P28" s="44" t="s">
        <v>5174</v>
      </c>
      <c r="Q28" s="42">
        <v>300</v>
      </c>
      <c r="R28" s="44"/>
      <c r="S28" s="69">
        <v>42907</v>
      </c>
      <c r="T28" s="70">
        <f t="shared" si="1"/>
        <v>2017</v>
      </c>
      <c r="U28" s="71">
        <v>11500</v>
      </c>
      <c r="V28" s="75" t="s">
        <v>5198</v>
      </c>
      <c r="W28" s="46"/>
      <c r="X28" s="70">
        <v>21100</v>
      </c>
      <c r="Y28" s="70">
        <v>815</v>
      </c>
      <c r="Z28" s="70">
        <v>300</v>
      </c>
      <c r="AA28" s="70">
        <v>1312</v>
      </c>
      <c r="AB28" s="70">
        <v>1530</v>
      </c>
      <c r="AC28" s="70">
        <v>876</v>
      </c>
      <c r="AD28" s="70">
        <v>4096</v>
      </c>
      <c r="AE28" s="70">
        <v>5120</v>
      </c>
      <c r="AF28" s="70">
        <v>320</v>
      </c>
      <c r="AG28" s="70">
        <v>128</v>
      </c>
      <c r="AH28" s="70">
        <v>80</v>
      </c>
      <c r="AI28" s="70">
        <v>640</v>
      </c>
      <c r="AJ28" s="46"/>
      <c r="AK28" s="46" t="s">
        <v>5199</v>
      </c>
      <c r="AL28" s="88" t="s">
        <v>5200</v>
      </c>
      <c r="AM28" s="95" t="s">
        <v>5201</v>
      </c>
      <c r="AN28" s="90"/>
    </row>
    <row r="29" ht="12.75" spans="1:40">
      <c r="A29" s="37" t="s">
        <v>5202</v>
      </c>
      <c r="B29" s="41" t="s">
        <v>85</v>
      </c>
      <c r="C29" s="44"/>
      <c r="D29" s="43">
        <f>3*10^12</f>
        <v>3000000000000</v>
      </c>
      <c r="E29" s="43">
        <v>46000000000000</v>
      </c>
      <c r="F29" s="44"/>
      <c r="G29" s="44"/>
      <c r="H29" s="44"/>
      <c r="I29" s="44"/>
      <c r="J29" s="44"/>
      <c r="K29" s="44"/>
      <c r="L29" s="44">
        <v>16000000000</v>
      </c>
      <c r="M29" s="43">
        <v>600000000000</v>
      </c>
      <c r="N29" s="46" t="s">
        <v>5173</v>
      </c>
      <c r="O29" s="56">
        <v>31.5</v>
      </c>
      <c r="P29" s="44" t="s">
        <v>5133</v>
      </c>
      <c r="Q29" s="44">
        <f>4*496/8</f>
        <v>248</v>
      </c>
      <c r="R29" s="44"/>
      <c r="S29" s="77">
        <v>42856</v>
      </c>
      <c r="T29" s="70">
        <v>2017</v>
      </c>
      <c r="U29" s="73"/>
      <c r="V29" s="75" t="s">
        <v>5203</v>
      </c>
      <c r="W29" s="44"/>
      <c r="X29" s="46"/>
      <c r="Y29" s="46"/>
      <c r="Z29" s="46"/>
      <c r="AA29" s="46"/>
      <c r="AB29" s="46"/>
      <c r="AC29" s="46"/>
      <c r="AD29" s="46"/>
      <c r="AE29" s="46"/>
      <c r="AF29" s="46"/>
      <c r="AG29" s="46"/>
      <c r="AH29" s="46"/>
      <c r="AI29" s="46"/>
      <c r="AJ29" s="46"/>
      <c r="AK29" s="44" t="s">
        <v>5204</v>
      </c>
      <c r="AL29" s="84" t="s">
        <v>5171</v>
      </c>
      <c r="AM29" s="44"/>
      <c r="AN29" s="90"/>
    </row>
    <row r="30" customHeight="1" spans="1:40">
      <c r="A30" s="37" t="s">
        <v>5205</v>
      </c>
      <c r="B30" s="41" t="s">
        <v>766</v>
      </c>
      <c r="C30" s="43">
        <v>354000000000</v>
      </c>
      <c r="D30" s="43">
        <v>11340000000000</v>
      </c>
      <c r="E30" s="43">
        <v>177200000000</v>
      </c>
      <c r="F30" s="44"/>
      <c r="G30" s="44"/>
      <c r="H30" s="44"/>
      <c r="I30" s="44"/>
      <c r="J30" s="44"/>
      <c r="K30" s="44"/>
      <c r="L30" s="42">
        <v>11000000000</v>
      </c>
      <c r="M30" s="44">
        <v>484000000000</v>
      </c>
      <c r="N30" s="46" t="s">
        <v>5173</v>
      </c>
      <c r="O30" s="56">
        <v>31.5</v>
      </c>
      <c r="P30" s="44"/>
      <c r="Q30" s="44"/>
      <c r="R30" s="44">
        <v>196</v>
      </c>
      <c r="S30" s="69">
        <v>42804</v>
      </c>
      <c r="T30" s="70">
        <f>YEAR(S30)</f>
        <v>2017</v>
      </c>
      <c r="U30" s="71" t="s">
        <v>5206</v>
      </c>
      <c r="V30" s="72"/>
      <c r="W30" s="44"/>
      <c r="X30" s="70">
        <v>11800</v>
      </c>
      <c r="Y30" s="70">
        <v>471</v>
      </c>
      <c r="Z30" s="70">
        <v>250</v>
      </c>
      <c r="AA30" s="70">
        <v>1481</v>
      </c>
      <c r="AB30" s="70">
        <v>1582</v>
      </c>
      <c r="AC30" s="70">
        <v>1376</v>
      </c>
      <c r="AD30" s="70">
        <v>352</v>
      </c>
      <c r="AE30" s="70">
        <v>3584</v>
      </c>
      <c r="AF30" s="70">
        <v>224</v>
      </c>
      <c r="AG30" s="70">
        <v>88</v>
      </c>
      <c r="AH30" s="70">
        <v>28</v>
      </c>
      <c r="AI30" s="46"/>
      <c r="AJ30" s="46"/>
      <c r="AK30" s="44"/>
      <c r="AL30" s="84" t="s">
        <v>5207</v>
      </c>
      <c r="AM30" s="44"/>
      <c r="AN30" s="90"/>
    </row>
    <row r="31" ht="12.75" spans="1:40">
      <c r="A31" s="45" t="s">
        <v>5208</v>
      </c>
      <c r="B31" s="46" t="s">
        <v>766</v>
      </c>
      <c r="C31" s="42">
        <v>165000000000</v>
      </c>
      <c r="D31" s="42">
        <v>5304000000000</v>
      </c>
      <c r="E31" s="42">
        <f>82.88*10^9</f>
        <v>82880000000</v>
      </c>
      <c r="F31" s="44"/>
      <c r="G31" s="44"/>
      <c r="H31" s="44"/>
      <c r="I31" s="44"/>
      <c r="J31" s="44"/>
      <c r="K31" s="44"/>
      <c r="L31" s="42">
        <v>8000000000</v>
      </c>
      <c r="M31" s="42">
        <v>243400000000</v>
      </c>
      <c r="N31" s="46" t="s">
        <v>5173</v>
      </c>
      <c r="O31" s="56">
        <v>31.5</v>
      </c>
      <c r="P31" s="46"/>
      <c r="Q31" s="46"/>
      <c r="R31" s="46"/>
      <c r="S31" s="69">
        <v>42772</v>
      </c>
      <c r="T31" s="70">
        <v>2017</v>
      </c>
      <c r="U31" s="71" t="s">
        <v>5209</v>
      </c>
      <c r="V31" s="72"/>
      <c r="W31" s="46"/>
      <c r="X31" s="70">
        <v>7200</v>
      </c>
      <c r="Y31" s="70">
        <v>314</v>
      </c>
      <c r="Z31" s="70">
        <v>105</v>
      </c>
      <c r="AA31" s="70">
        <v>1202</v>
      </c>
      <c r="AB31" s="70">
        <v>1480</v>
      </c>
      <c r="AC31" s="70">
        <v>1901</v>
      </c>
      <c r="AD31" s="70">
        <v>256</v>
      </c>
      <c r="AE31" s="70">
        <v>1792</v>
      </c>
      <c r="AF31" s="70">
        <v>112</v>
      </c>
      <c r="AG31" s="70">
        <v>64</v>
      </c>
      <c r="AH31" s="70">
        <v>14</v>
      </c>
      <c r="AI31" s="46"/>
      <c r="AJ31" s="46"/>
      <c r="AK31" s="46"/>
      <c r="AL31" s="88" t="s">
        <v>5210</v>
      </c>
      <c r="AM31" s="46"/>
      <c r="AN31" s="46"/>
    </row>
    <row r="32" ht="12.75" spans="1:40">
      <c r="A32" s="45" t="s">
        <v>5211</v>
      </c>
      <c r="B32" s="50" t="s">
        <v>766</v>
      </c>
      <c r="C32" s="51">
        <f>4.7*10^12</f>
        <v>4700000000000</v>
      </c>
      <c r="D32" s="51">
        <f>9.3*10^12</f>
        <v>9300000000000</v>
      </c>
      <c r="E32" s="51">
        <f>18.7*10^12</f>
        <v>18700000000000</v>
      </c>
      <c r="F32" s="39"/>
      <c r="G32" s="39"/>
      <c r="H32" s="39"/>
      <c r="I32" s="39"/>
      <c r="J32" s="39"/>
      <c r="K32" s="39"/>
      <c r="L32" s="39">
        <v>16000000000</v>
      </c>
      <c r="M32" s="39">
        <v>732000000000</v>
      </c>
      <c r="N32" s="58" t="s">
        <v>5173</v>
      </c>
      <c r="O32" s="61">
        <v>31.5</v>
      </c>
      <c r="P32" s="58" t="s">
        <v>5212</v>
      </c>
      <c r="Q32" s="66">
        <v>160</v>
      </c>
      <c r="R32" s="50"/>
      <c r="S32" s="78">
        <v>42465</v>
      </c>
      <c r="T32" s="50">
        <v>2016</v>
      </c>
      <c r="U32" s="67" t="s">
        <v>5213</v>
      </c>
      <c r="V32" s="68" t="s">
        <v>5214</v>
      </c>
      <c r="W32" s="50"/>
      <c r="X32" s="50"/>
      <c r="Y32" s="50"/>
      <c r="Z32" s="50"/>
      <c r="AA32" s="50"/>
      <c r="AB32" s="50"/>
      <c r="AC32" s="50"/>
      <c r="AD32" s="50"/>
      <c r="AE32" s="50"/>
      <c r="AF32" s="50"/>
      <c r="AG32" s="50"/>
      <c r="AH32" s="50"/>
      <c r="AI32" s="50"/>
      <c r="AJ32" s="50"/>
      <c r="AK32" s="50"/>
      <c r="AL32" s="96" t="s">
        <v>5215</v>
      </c>
      <c r="AM32" s="93"/>
      <c r="AN32" s="90"/>
    </row>
    <row r="33" ht="12.75" spans="1:40">
      <c r="A33" s="45" t="s">
        <v>5216</v>
      </c>
      <c r="B33" s="46" t="s">
        <v>766</v>
      </c>
      <c r="C33" s="42">
        <v>178200000000</v>
      </c>
      <c r="D33" s="42">
        <v>5704000000000</v>
      </c>
      <c r="E33" s="42">
        <v>89000000000</v>
      </c>
      <c r="F33" s="44"/>
      <c r="G33" s="44"/>
      <c r="H33" s="44"/>
      <c r="I33" s="44"/>
      <c r="J33" s="42">
        <v>22000000000000</v>
      </c>
      <c r="K33" s="44"/>
      <c r="L33" s="42">
        <v>8000000000</v>
      </c>
      <c r="M33" s="42">
        <v>192300000000</v>
      </c>
      <c r="N33" s="46" t="s">
        <v>5173</v>
      </c>
      <c r="O33" s="56">
        <v>31.5</v>
      </c>
      <c r="P33" s="46"/>
      <c r="Q33" s="46"/>
      <c r="R33" s="46"/>
      <c r="S33" s="69">
        <v>42626</v>
      </c>
      <c r="T33" s="70">
        <v>2016</v>
      </c>
      <c r="U33" s="73"/>
      <c r="V33" s="75" t="s">
        <v>5217</v>
      </c>
      <c r="W33" s="46"/>
      <c r="X33" s="70">
        <v>7200</v>
      </c>
      <c r="Y33" s="70">
        <v>314</v>
      </c>
      <c r="Z33" s="70">
        <v>75</v>
      </c>
      <c r="AA33" s="70">
        <v>886</v>
      </c>
      <c r="AB33" s="70">
        <v>1114</v>
      </c>
      <c r="AC33" s="70">
        <v>1502</v>
      </c>
      <c r="AD33" s="70">
        <v>256</v>
      </c>
      <c r="AE33" s="70">
        <v>2560</v>
      </c>
      <c r="AF33" s="70">
        <v>160</v>
      </c>
      <c r="AG33" s="70">
        <v>64</v>
      </c>
      <c r="AH33" s="70">
        <v>20</v>
      </c>
      <c r="AI33" s="46"/>
      <c r="AJ33" s="46"/>
      <c r="AK33" s="46"/>
      <c r="AL33" s="88" t="s">
        <v>5218</v>
      </c>
      <c r="AM33" s="88" t="s">
        <v>5219</v>
      </c>
      <c r="AN33" s="90"/>
    </row>
    <row r="34" ht="12.75" spans="1:40">
      <c r="A34" s="45" t="s">
        <v>5220</v>
      </c>
      <c r="B34" s="50" t="s">
        <v>766</v>
      </c>
      <c r="C34" s="51">
        <v>277000000000</v>
      </c>
      <c r="D34" s="51">
        <v>8870000000000</v>
      </c>
      <c r="E34" s="51">
        <v>139000000000</v>
      </c>
      <c r="F34" s="39"/>
      <c r="G34" s="39"/>
      <c r="H34" s="39"/>
      <c r="I34" s="39"/>
      <c r="J34" s="39"/>
      <c r="K34" s="39"/>
      <c r="L34" s="39">
        <v>16000000000</v>
      </c>
      <c r="M34" s="39">
        <v>289000000000</v>
      </c>
      <c r="N34" s="58" t="s">
        <v>5173</v>
      </c>
      <c r="O34" s="61">
        <v>31.5</v>
      </c>
      <c r="P34" s="58"/>
      <c r="Q34" s="66"/>
      <c r="R34" s="50"/>
      <c r="S34" s="78">
        <v>42644</v>
      </c>
      <c r="T34" s="50">
        <v>2016</v>
      </c>
      <c r="U34" s="67" t="s">
        <v>5221</v>
      </c>
      <c r="V34" s="68"/>
      <c r="W34" s="50"/>
      <c r="X34" s="50">
        <v>7200</v>
      </c>
      <c r="Y34" s="50">
        <v>314</v>
      </c>
      <c r="Z34" s="50">
        <v>180</v>
      </c>
      <c r="AA34" s="50">
        <v>1607</v>
      </c>
      <c r="AB34" s="50">
        <v>1733</v>
      </c>
      <c r="AC34" s="50">
        <v>1127</v>
      </c>
      <c r="AD34" s="50">
        <v>256</v>
      </c>
      <c r="AE34" s="50">
        <v>2560</v>
      </c>
      <c r="AF34" s="50">
        <v>160</v>
      </c>
      <c r="AG34" s="50">
        <v>64</v>
      </c>
      <c r="AH34" s="50">
        <v>20</v>
      </c>
      <c r="AI34" s="50"/>
      <c r="AJ34" s="50"/>
      <c r="AK34" s="50"/>
      <c r="AL34" s="96" t="s">
        <v>5222</v>
      </c>
      <c r="AM34" s="50"/>
      <c r="AN34" s="83"/>
    </row>
    <row r="35" ht="12.75" spans="1:40">
      <c r="A35" s="45" t="s">
        <v>5223</v>
      </c>
      <c r="B35" s="50" t="s">
        <v>766</v>
      </c>
      <c r="C35" s="39">
        <v>395000000000</v>
      </c>
      <c r="D35" s="51">
        <v>12600000000000</v>
      </c>
      <c r="E35" s="39">
        <v>197000000000</v>
      </c>
      <c r="F35" s="39"/>
      <c r="G35" s="39"/>
      <c r="H35" s="39"/>
      <c r="I35" s="39"/>
      <c r="J35" s="39"/>
      <c r="K35" s="39"/>
      <c r="L35" s="39">
        <v>24000000000</v>
      </c>
      <c r="M35" s="39">
        <v>433000000000</v>
      </c>
      <c r="N35" s="58" t="s">
        <v>5173</v>
      </c>
      <c r="O35" s="61">
        <v>31.5</v>
      </c>
      <c r="P35" s="58"/>
      <c r="Q35" s="66"/>
      <c r="R35" s="50"/>
      <c r="S35" s="78">
        <v>42644</v>
      </c>
      <c r="T35" s="50">
        <v>2016</v>
      </c>
      <c r="U35" s="67" t="s">
        <v>5224</v>
      </c>
      <c r="V35" s="68"/>
      <c r="W35" s="50"/>
      <c r="X35" s="50">
        <v>11800</v>
      </c>
      <c r="Y35" s="50">
        <v>471</v>
      </c>
      <c r="Z35" s="50">
        <v>250</v>
      </c>
      <c r="AA35" s="50">
        <v>1506</v>
      </c>
      <c r="AB35" s="50">
        <v>1645</v>
      </c>
      <c r="AC35" s="50">
        <v>1127</v>
      </c>
      <c r="AD35" s="50">
        <v>384</v>
      </c>
      <c r="AE35" s="50">
        <v>3840</v>
      </c>
      <c r="AF35" s="50">
        <v>240</v>
      </c>
      <c r="AG35" s="50">
        <v>96</v>
      </c>
      <c r="AH35" s="50">
        <v>30</v>
      </c>
      <c r="AI35" s="50"/>
      <c r="AJ35" s="50"/>
      <c r="AK35" s="50"/>
      <c r="AL35" s="96" t="s">
        <v>5225</v>
      </c>
      <c r="AM35" s="93"/>
      <c r="AN35" s="96" t="s">
        <v>5222</v>
      </c>
    </row>
    <row r="36" ht="12.75" spans="1:40">
      <c r="A36" s="45" t="s">
        <v>5226</v>
      </c>
      <c r="B36" s="46" t="s">
        <v>766</v>
      </c>
      <c r="C36" s="42">
        <v>367400000000</v>
      </c>
      <c r="D36" s="42">
        <v>11760000000000</v>
      </c>
      <c r="E36" s="42">
        <v>183700000000</v>
      </c>
      <c r="F36" s="44"/>
      <c r="G36" s="44"/>
      <c r="H36" s="44"/>
      <c r="I36" s="44"/>
      <c r="J36" s="44"/>
      <c r="K36" s="44"/>
      <c r="L36" s="42">
        <v>24000000000</v>
      </c>
      <c r="M36" s="42">
        <v>694300000000</v>
      </c>
      <c r="N36" s="46" t="s">
        <v>5173</v>
      </c>
      <c r="O36" s="56">
        <v>31.5</v>
      </c>
      <c r="P36" s="46"/>
      <c r="Q36" s="46"/>
      <c r="R36" s="46"/>
      <c r="S36" s="69">
        <v>42626</v>
      </c>
      <c r="T36" s="70">
        <v>2016</v>
      </c>
      <c r="U36" s="71" t="s">
        <v>5213</v>
      </c>
      <c r="V36" s="72"/>
      <c r="W36" s="46"/>
      <c r="X36" s="70">
        <v>11800</v>
      </c>
      <c r="Y36" s="70">
        <v>471</v>
      </c>
      <c r="Z36" s="70">
        <v>250</v>
      </c>
      <c r="AA36" s="70">
        <v>1303</v>
      </c>
      <c r="AB36" s="70">
        <v>1531</v>
      </c>
      <c r="AC36" s="70">
        <v>1808</v>
      </c>
      <c r="AD36" s="70">
        <v>384</v>
      </c>
      <c r="AE36" s="70">
        <v>3840</v>
      </c>
      <c r="AF36" s="70">
        <v>240</v>
      </c>
      <c r="AG36" s="70">
        <v>96</v>
      </c>
      <c r="AH36" s="70">
        <v>30</v>
      </c>
      <c r="AI36" s="46"/>
      <c r="AJ36" s="46"/>
      <c r="AK36" s="46"/>
      <c r="AL36" s="88" t="s">
        <v>5227</v>
      </c>
      <c r="AM36" s="46"/>
      <c r="AN36" s="46"/>
    </row>
    <row r="37" ht="12.75" spans="1:40">
      <c r="A37" s="37" t="s">
        <v>5228</v>
      </c>
      <c r="B37" s="41" t="s">
        <v>766</v>
      </c>
      <c r="C37" s="42">
        <v>209000000000</v>
      </c>
      <c r="D37" s="42">
        <v>6691000000000</v>
      </c>
      <c r="E37" s="44"/>
      <c r="F37" s="44"/>
      <c r="G37" s="44"/>
      <c r="H37" s="44"/>
      <c r="I37" s="44"/>
      <c r="J37" s="44"/>
      <c r="K37" s="42"/>
      <c r="L37" s="42">
        <v>12000000000</v>
      </c>
      <c r="M37" s="42">
        <v>336600000000</v>
      </c>
      <c r="N37" s="46" t="s">
        <v>5173</v>
      </c>
      <c r="O37" s="56">
        <v>31.5</v>
      </c>
      <c r="P37" s="44"/>
      <c r="Q37" s="44"/>
      <c r="R37" s="44"/>
      <c r="S37" s="69">
        <v>42080</v>
      </c>
      <c r="T37" s="70">
        <v>2015</v>
      </c>
      <c r="U37" s="71" t="s">
        <v>5103</v>
      </c>
      <c r="V37" s="72"/>
      <c r="W37" s="46"/>
      <c r="X37" s="70">
        <v>8000</v>
      </c>
      <c r="Y37" s="70">
        <v>601</v>
      </c>
      <c r="Z37" s="70">
        <v>250</v>
      </c>
      <c r="AA37" s="70">
        <v>1000</v>
      </c>
      <c r="AB37" s="70">
        <v>1089</v>
      </c>
      <c r="AC37" s="70">
        <v>1753</v>
      </c>
      <c r="AD37" s="70">
        <v>384</v>
      </c>
      <c r="AE37" s="70">
        <v>3072</v>
      </c>
      <c r="AF37" s="70">
        <v>192</v>
      </c>
      <c r="AG37" s="70">
        <v>96</v>
      </c>
      <c r="AH37" s="70">
        <v>24</v>
      </c>
      <c r="AI37" s="46"/>
      <c r="AJ37" s="46"/>
      <c r="AK37" s="46"/>
      <c r="AL37" s="88" t="s">
        <v>5229</v>
      </c>
      <c r="AM37" s="90"/>
      <c r="AN37" s="90"/>
    </row>
    <row r="38" ht="12.75" spans="1:40">
      <c r="A38" s="45" t="s">
        <v>5230</v>
      </c>
      <c r="B38" s="46" t="s">
        <v>766</v>
      </c>
      <c r="C38" s="42">
        <f>213.5*10^9</f>
        <v>213500000000</v>
      </c>
      <c r="D38" s="42">
        <f>6.832*10^12</f>
        <v>6832000000000</v>
      </c>
      <c r="E38" s="44"/>
      <c r="F38" s="44"/>
      <c r="G38" s="44"/>
      <c r="H38" s="44"/>
      <c r="I38" s="44"/>
      <c r="J38" s="44"/>
      <c r="K38" s="42"/>
      <c r="L38" s="42">
        <f>1.2*10^10</f>
        <v>12000000000</v>
      </c>
      <c r="M38" s="42">
        <v>288000000000</v>
      </c>
      <c r="N38" s="46" t="s">
        <v>5173</v>
      </c>
      <c r="O38" s="56">
        <v>31.5</v>
      </c>
      <c r="P38" s="44"/>
      <c r="Q38" s="42"/>
      <c r="R38" s="44"/>
      <c r="S38" s="69">
        <v>42318</v>
      </c>
      <c r="T38" s="70">
        <v>2015</v>
      </c>
      <c r="U38" s="73"/>
      <c r="V38" s="72"/>
      <c r="W38" s="46"/>
      <c r="X38" s="70">
        <v>8000</v>
      </c>
      <c r="Y38" s="70">
        <v>601</v>
      </c>
      <c r="Z38" s="70">
        <v>250</v>
      </c>
      <c r="AA38" s="70">
        <v>948</v>
      </c>
      <c r="AB38" s="70">
        <v>1112</v>
      </c>
      <c r="AC38" s="70">
        <v>1502</v>
      </c>
      <c r="AD38" s="70">
        <v>384</v>
      </c>
      <c r="AE38" s="70">
        <v>3072</v>
      </c>
      <c r="AF38" s="70">
        <v>192</v>
      </c>
      <c r="AG38" s="70">
        <v>96</v>
      </c>
      <c r="AH38" s="70">
        <v>24</v>
      </c>
      <c r="AI38" s="46"/>
      <c r="AJ38" s="46"/>
      <c r="AK38" s="46"/>
      <c r="AL38" s="88" t="s">
        <v>5231</v>
      </c>
      <c r="AM38" s="46"/>
      <c r="AN38" s="90"/>
    </row>
    <row r="39" ht="12.75" spans="1:40">
      <c r="A39" s="45" t="s">
        <v>5232</v>
      </c>
      <c r="B39" s="46" t="s">
        <v>766</v>
      </c>
      <c r="C39" s="42">
        <f>35.97*10^9</f>
        <v>35970000000</v>
      </c>
      <c r="D39" s="42">
        <f>1151000000000</f>
        <v>1151000000000</v>
      </c>
      <c r="E39" s="44"/>
      <c r="F39" s="44"/>
      <c r="G39" s="44"/>
      <c r="H39" s="44"/>
      <c r="I39" s="44"/>
      <c r="J39" s="44"/>
      <c r="K39" s="44"/>
      <c r="L39" s="42">
        <v>4000000000</v>
      </c>
      <c r="M39" s="42">
        <v>80000000000</v>
      </c>
      <c r="N39" s="46" t="s">
        <v>5233</v>
      </c>
      <c r="O39" s="56">
        <v>15.75</v>
      </c>
      <c r="P39" s="46"/>
      <c r="Q39" s="46"/>
      <c r="R39" s="46"/>
      <c r="S39" s="69">
        <v>42032</v>
      </c>
      <c r="T39" s="70">
        <v>2015</v>
      </c>
      <c r="U39" s="73"/>
      <c r="V39" s="72"/>
      <c r="W39" s="46"/>
      <c r="X39" s="70">
        <v>1870</v>
      </c>
      <c r="Y39" s="70">
        <v>148</v>
      </c>
      <c r="Z39" s="70">
        <v>45</v>
      </c>
      <c r="AA39" s="70">
        <v>1058</v>
      </c>
      <c r="AB39" s="70">
        <v>1124</v>
      </c>
      <c r="AC39" s="70">
        <v>1250</v>
      </c>
      <c r="AD39" s="70">
        <v>128</v>
      </c>
      <c r="AE39" s="70">
        <v>512</v>
      </c>
      <c r="AF39" s="70">
        <v>32</v>
      </c>
      <c r="AG39" s="70">
        <v>16</v>
      </c>
      <c r="AH39" s="70">
        <v>4</v>
      </c>
      <c r="AI39" s="46"/>
      <c r="AJ39" s="46"/>
      <c r="AK39" s="46"/>
      <c r="AL39" s="88" t="s">
        <v>5234</v>
      </c>
      <c r="AM39" s="46"/>
      <c r="AN39" s="90"/>
    </row>
    <row r="40" ht="12.75" spans="1:40">
      <c r="A40" s="45" t="s">
        <v>5235</v>
      </c>
      <c r="B40" s="46" t="s">
        <v>766</v>
      </c>
      <c r="C40" s="42">
        <f>80.39*10^9</f>
        <v>80390000000</v>
      </c>
      <c r="D40" s="42">
        <v>2573000000000</v>
      </c>
      <c r="E40" s="44"/>
      <c r="F40" s="44"/>
      <c r="G40" s="44"/>
      <c r="H40" s="44"/>
      <c r="I40" s="44"/>
      <c r="J40" s="44"/>
      <c r="K40" s="44"/>
      <c r="L40" s="42">
        <v>8000000000</v>
      </c>
      <c r="M40" s="42">
        <v>192000000000</v>
      </c>
      <c r="N40" s="46" t="s">
        <v>5173</v>
      </c>
      <c r="O40" s="56">
        <v>31.5</v>
      </c>
      <c r="P40" s="46"/>
      <c r="Q40" s="46"/>
      <c r="R40" s="46"/>
      <c r="S40" s="69">
        <v>42184</v>
      </c>
      <c r="T40" s="70">
        <v>2015</v>
      </c>
      <c r="U40" s="73"/>
      <c r="V40" s="72"/>
      <c r="W40" s="46"/>
      <c r="X40" s="70">
        <v>5200</v>
      </c>
      <c r="Y40" s="70">
        <v>398</v>
      </c>
      <c r="Z40" s="70">
        <v>120</v>
      </c>
      <c r="AA40" s="70">
        <v>773</v>
      </c>
      <c r="AB40" s="46"/>
      <c r="AC40" s="70">
        <v>1502</v>
      </c>
      <c r="AD40" s="70">
        <v>256</v>
      </c>
      <c r="AE40" s="70">
        <v>1664</v>
      </c>
      <c r="AF40" s="70">
        <v>104</v>
      </c>
      <c r="AG40" s="70">
        <v>64</v>
      </c>
      <c r="AH40" s="70">
        <v>13</v>
      </c>
      <c r="AI40" s="46"/>
      <c r="AJ40" s="46"/>
      <c r="AK40" s="46"/>
      <c r="AL40" s="88" t="s">
        <v>5236</v>
      </c>
      <c r="AM40" s="46"/>
      <c r="AN40" s="90"/>
    </row>
    <row r="41" ht="12.75" spans="1:40">
      <c r="A41" s="45" t="s">
        <v>5237</v>
      </c>
      <c r="B41" s="46" t="s">
        <v>766</v>
      </c>
      <c r="C41" s="42">
        <f>150.8*10^9*2</f>
        <v>301600000000</v>
      </c>
      <c r="D41" s="42">
        <f>4825000000000*2</f>
        <v>9650000000000</v>
      </c>
      <c r="E41" s="44"/>
      <c r="F41" s="44"/>
      <c r="G41" s="44"/>
      <c r="H41" s="44"/>
      <c r="I41" s="44"/>
      <c r="J41" s="44"/>
      <c r="K41" s="44"/>
      <c r="L41" s="42">
        <v>16000000000</v>
      </c>
      <c r="M41" s="42">
        <v>320800000000</v>
      </c>
      <c r="N41" s="46" t="s">
        <v>5173</v>
      </c>
      <c r="O41" s="56">
        <v>31.5</v>
      </c>
      <c r="P41" s="46"/>
      <c r="Q41" s="46"/>
      <c r="R41" s="46"/>
      <c r="S41" s="69">
        <v>42246</v>
      </c>
      <c r="T41" s="70">
        <v>2015</v>
      </c>
      <c r="U41" s="73"/>
      <c r="V41" s="72"/>
      <c r="W41" s="46"/>
      <c r="X41" s="70">
        <v>10400</v>
      </c>
      <c r="Y41" s="70">
        <v>796</v>
      </c>
      <c r="Z41" s="70">
        <v>300</v>
      </c>
      <c r="AA41" s="70">
        <v>557</v>
      </c>
      <c r="AB41" s="70">
        <v>1178</v>
      </c>
      <c r="AC41" s="70">
        <v>1253</v>
      </c>
      <c r="AD41" s="70">
        <v>512</v>
      </c>
      <c r="AE41" s="70">
        <v>4096</v>
      </c>
      <c r="AF41" s="70">
        <v>256</v>
      </c>
      <c r="AG41" s="70">
        <v>128</v>
      </c>
      <c r="AH41" s="70">
        <v>32</v>
      </c>
      <c r="AI41" s="46"/>
      <c r="AJ41" s="46"/>
      <c r="AK41" s="46"/>
      <c r="AL41" s="88" t="s">
        <v>5238</v>
      </c>
      <c r="AM41" s="46"/>
      <c r="AN41" s="90"/>
    </row>
    <row r="42" ht="12.75" spans="1:40">
      <c r="A42" s="37" t="s">
        <v>5239</v>
      </c>
      <c r="B42" s="41" t="s">
        <v>766</v>
      </c>
      <c r="C42" s="42">
        <v>1882000000000</v>
      </c>
      <c r="D42" s="42">
        <v>5645000000000</v>
      </c>
      <c r="E42" s="44"/>
      <c r="F42" s="44"/>
      <c r="G42" s="44"/>
      <c r="H42" s="44"/>
      <c r="I42" s="44"/>
      <c r="J42" s="44"/>
      <c r="K42" s="42"/>
      <c r="L42" s="42">
        <v>6000000000</v>
      </c>
      <c r="M42" s="42">
        <v>336000000000</v>
      </c>
      <c r="N42" s="46" t="s">
        <v>5173</v>
      </c>
      <c r="O42" s="56">
        <v>31.5</v>
      </c>
      <c r="P42" s="44"/>
      <c r="Q42" s="44"/>
      <c r="R42" s="44"/>
      <c r="S42" s="69">
        <v>41688</v>
      </c>
      <c r="T42" s="46">
        <f t="shared" ref="T42:T45" si="2">YEAR(S42)</f>
        <v>2014</v>
      </c>
      <c r="U42" s="71" t="s">
        <v>5103</v>
      </c>
      <c r="V42" s="72"/>
      <c r="W42" s="46"/>
      <c r="X42" s="70">
        <v>7080</v>
      </c>
      <c r="Y42" s="70">
        <v>561</v>
      </c>
      <c r="Z42" s="70">
        <v>250</v>
      </c>
      <c r="AA42" s="70">
        <v>889</v>
      </c>
      <c r="AB42" s="70">
        <v>980</v>
      </c>
      <c r="AC42" s="70">
        <v>1750</v>
      </c>
      <c r="AD42" s="70">
        <v>384</v>
      </c>
      <c r="AE42" s="70">
        <v>2880</v>
      </c>
      <c r="AF42" s="70">
        <v>240</v>
      </c>
      <c r="AG42" s="70">
        <v>48</v>
      </c>
      <c r="AH42" s="70">
        <v>15</v>
      </c>
      <c r="AI42" s="46"/>
      <c r="AJ42" s="46"/>
      <c r="AK42" s="46"/>
      <c r="AL42" s="88" t="s">
        <v>5240</v>
      </c>
      <c r="AM42" s="46"/>
      <c r="AN42" s="46"/>
    </row>
    <row r="43" ht="12.75" spans="1:40">
      <c r="A43" s="45" t="s">
        <v>5241</v>
      </c>
      <c r="B43" s="46" t="s">
        <v>766</v>
      </c>
      <c r="C43" s="42">
        <v>2742000000000</v>
      </c>
      <c r="D43" s="47">
        <v>8126000000000</v>
      </c>
      <c r="E43" s="44"/>
      <c r="F43" s="44"/>
      <c r="G43" s="44"/>
      <c r="H43" s="44"/>
      <c r="I43" s="44"/>
      <c r="J43" s="44"/>
      <c r="K43" s="42"/>
      <c r="L43" s="42">
        <v>24000000000</v>
      </c>
      <c r="M43" s="42">
        <v>241000000000</v>
      </c>
      <c r="N43" s="46" t="s">
        <v>5173</v>
      </c>
      <c r="O43" s="56">
        <v>31.5</v>
      </c>
      <c r="P43" s="44"/>
      <c r="Q43" s="44"/>
      <c r="R43" s="44"/>
      <c r="S43" s="69">
        <v>41960</v>
      </c>
      <c r="T43" s="46">
        <f t="shared" si="2"/>
        <v>2014</v>
      </c>
      <c r="U43" s="71" t="s">
        <v>5242</v>
      </c>
      <c r="V43" s="75" t="s">
        <v>5243</v>
      </c>
      <c r="W43" s="46"/>
      <c r="X43" s="70">
        <v>14200</v>
      </c>
      <c r="Y43" s="70">
        <v>1122</v>
      </c>
      <c r="Z43" s="70">
        <v>300</v>
      </c>
      <c r="AA43" s="70">
        <v>562</v>
      </c>
      <c r="AB43" s="70">
        <v>824</v>
      </c>
      <c r="AC43" s="70">
        <v>1253</v>
      </c>
      <c r="AD43" s="70">
        <v>768</v>
      </c>
      <c r="AE43" s="70">
        <v>4992</v>
      </c>
      <c r="AF43" s="70">
        <v>416</v>
      </c>
      <c r="AG43" s="70">
        <v>96</v>
      </c>
      <c r="AH43" s="70">
        <v>26</v>
      </c>
      <c r="AI43" s="46"/>
      <c r="AJ43" s="46"/>
      <c r="AK43" s="46" t="s">
        <v>5244</v>
      </c>
      <c r="AL43" s="88" t="s">
        <v>5245</v>
      </c>
      <c r="AM43" s="97" t="s">
        <v>5246</v>
      </c>
      <c r="AN43" s="85" t="s">
        <v>5247</v>
      </c>
    </row>
    <row r="44" ht="12.75" spans="1:40">
      <c r="A44" s="45" t="s">
        <v>5248</v>
      </c>
      <c r="B44" s="46" t="s">
        <v>766</v>
      </c>
      <c r="C44" s="42">
        <v>1682000000000</v>
      </c>
      <c r="D44" s="42">
        <v>5046000000000</v>
      </c>
      <c r="E44" s="44"/>
      <c r="F44" s="44"/>
      <c r="G44" s="44"/>
      <c r="H44" s="44"/>
      <c r="I44" s="44"/>
      <c r="J44" s="44"/>
      <c r="K44" s="42"/>
      <c r="L44" s="42">
        <v>12000000000</v>
      </c>
      <c r="M44" s="42">
        <v>288000000000</v>
      </c>
      <c r="N44" s="46" t="s">
        <v>5173</v>
      </c>
      <c r="O44" s="56">
        <v>31.5</v>
      </c>
      <c r="P44" s="44"/>
      <c r="Q44" s="44"/>
      <c r="R44" s="44"/>
      <c r="S44" s="69">
        <v>41600</v>
      </c>
      <c r="T44" s="46">
        <f t="shared" si="2"/>
        <v>2013</v>
      </c>
      <c r="U44" s="71" t="s">
        <v>5249</v>
      </c>
      <c r="V44" s="72"/>
      <c r="W44" s="46"/>
      <c r="X44" s="70">
        <v>7080</v>
      </c>
      <c r="Y44" s="70">
        <v>561</v>
      </c>
      <c r="Z44" s="70">
        <v>245</v>
      </c>
      <c r="AA44" s="70">
        <v>745</v>
      </c>
      <c r="AB44" s="70">
        <v>876</v>
      </c>
      <c r="AC44" s="70">
        <v>1502</v>
      </c>
      <c r="AD44" s="70">
        <v>384</v>
      </c>
      <c r="AE44" s="70">
        <v>2880</v>
      </c>
      <c r="AF44" s="70">
        <v>240</v>
      </c>
      <c r="AG44" s="70">
        <v>48</v>
      </c>
      <c r="AH44" s="70">
        <v>15</v>
      </c>
      <c r="AI44" s="46"/>
      <c r="AJ44" s="46"/>
      <c r="AK44" s="46" t="s">
        <v>5244</v>
      </c>
      <c r="AL44" s="88" t="s">
        <v>5250</v>
      </c>
      <c r="AM44" s="46"/>
      <c r="AN44" s="46"/>
    </row>
    <row r="45" ht="12.75" spans="1:40">
      <c r="A45" s="37" t="s">
        <v>5251</v>
      </c>
      <c r="B45" s="41" t="s">
        <v>766</v>
      </c>
      <c r="C45" s="42">
        <f>1.732*10^12</f>
        <v>1732000000000</v>
      </c>
      <c r="D45" s="42">
        <v>5196000000000</v>
      </c>
      <c r="E45" s="44"/>
      <c r="F45" s="44"/>
      <c r="G45" s="44"/>
      <c r="H45" s="44"/>
      <c r="I45" s="44"/>
      <c r="J45" s="44"/>
      <c r="K45" s="42"/>
      <c r="L45" s="42">
        <v>12000000000</v>
      </c>
      <c r="M45" s="42">
        <v>288000000000</v>
      </c>
      <c r="N45" s="46" t="s">
        <v>5173</v>
      </c>
      <c r="O45" s="56">
        <v>31.5</v>
      </c>
      <c r="P45" s="44"/>
      <c r="Q45" s="44"/>
      <c r="R45" s="44"/>
      <c r="S45" s="69">
        <v>41478</v>
      </c>
      <c r="T45" s="70">
        <f t="shared" si="2"/>
        <v>2013</v>
      </c>
      <c r="U45" s="71" t="s">
        <v>5252</v>
      </c>
      <c r="V45" s="72"/>
      <c r="W45" s="46"/>
      <c r="X45" s="70">
        <v>7080</v>
      </c>
      <c r="Y45" s="70">
        <v>561</v>
      </c>
      <c r="Z45" s="70">
        <v>225</v>
      </c>
      <c r="AA45" s="70">
        <v>797</v>
      </c>
      <c r="AB45" s="70">
        <v>902</v>
      </c>
      <c r="AC45" s="70">
        <v>1502</v>
      </c>
      <c r="AD45" s="70">
        <v>384</v>
      </c>
      <c r="AE45" s="70">
        <v>2880</v>
      </c>
      <c r="AF45" s="70">
        <v>240</v>
      </c>
      <c r="AG45" s="70">
        <v>48</v>
      </c>
      <c r="AH45" s="70">
        <v>15</v>
      </c>
      <c r="AI45" s="46"/>
      <c r="AJ45" s="46"/>
      <c r="AK45" s="46"/>
      <c r="AL45" s="88" t="s">
        <v>5253</v>
      </c>
      <c r="AM45" s="46"/>
      <c r="AN45" s="90"/>
    </row>
    <row r="46" ht="12.75" spans="1:40">
      <c r="A46" s="45" t="s">
        <v>5254</v>
      </c>
      <c r="B46" s="46" t="s">
        <v>766</v>
      </c>
      <c r="C46" s="42">
        <f>1.17*10^12</f>
        <v>1170000000000</v>
      </c>
      <c r="D46" s="42">
        <f>3.52*10^12</f>
        <v>3520000000000</v>
      </c>
      <c r="E46" s="44"/>
      <c r="F46" s="44"/>
      <c r="G46" s="44"/>
      <c r="H46" s="44"/>
      <c r="I46" s="44"/>
      <c r="J46" s="44"/>
      <c r="K46" s="42"/>
      <c r="L46" s="42">
        <f>5*10^9</f>
        <v>5000000000</v>
      </c>
      <c r="M46" s="42">
        <f>2.08*10^11</f>
        <v>208000000000</v>
      </c>
      <c r="N46" s="46" t="s">
        <v>5233</v>
      </c>
      <c r="O46" s="56">
        <v>15.75</v>
      </c>
      <c r="P46" s="46"/>
      <c r="Q46" s="46"/>
      <c r="R46" s="46"/>
      <c r="S46" s="69">
        <v>41225</v>
      </c>
      <c r="T46" s="70">
        <v>2012</v>
      </c>
      <c r="U46" s="71" t="s">
        <v>5255</v>
      </c>
      <c r="V46" s="72"/>
      <c r="W46" s="46"/>
      <c r="X46" s="70">
        <v>7080</v>
      </c>
      <c r="Y46" s="70">
        <v>561</v>
      </c>
      <c r="Z46" s="70">
        <v>225</v>
      </c>
      <c r="AA46" s="70">
        <v>706</v>
      </c>
      <c r="AB46" s="46"/>
      <c r="AC46" s="70">
        <v>1300</v>
      </c>
      <c r="AD46" s="70">
        <v>320</v>
      </c>
      <c r="AE46" s="70">
        <v>2496</v>
      </c>
      <c r="AF46" s="70">
        <v>208</v>
      </c>
      <c r="AG46" s="70">
        <v>40</v>
      </c>
      <c r="AH46" s="70">
        <v>13</v>
      </c>
      <c r="AI46" s="46"/>
      <c r="AJ46" s="46"/>
      <c r="AK46" s="46"/>
      <c r="AL46" s="88" t="s">
        <v>5256</v>
      </c>
      <c r="AM46" s="46"/>
      <c r="AN46" s="90"/>
    </row>
    <row r="47" ht="12.75" spans="1:40">
      <c r="A47" s="45" t="s">
        <v>5257</v>
      </c>
      <c r="B47" s="50" t="s">
        <v>766</v>
      </c>
      <c r="C47" s="51">
        <v>197600000000</v>
      </c>
      <c r="D47" s="51">
        <v>1581000000000</v>
      </c>
      <c r="E47" s="39"/>
      <c r="F47" s="39"/>
      <c r="G47" s="39"/>
      <c r="H47" s="39"/>
      <c r="I47" s="39"/>
      <c r="J47" s="39"/>
      <c r="K47" s="51"/>
      <c r="L47" s="51">
        <v>1536000000</v>
      </c>
      <c r="M47" s="51">
        <v>192400000000</v>
      </c>
      <c r="N47" s="58" t="s">
        <v>5233</v>
      </c>
      <c r="O47" s="53">
        <v>15.75</v>
      </c>
      <c r="P47" s="54"/>
      <c r="Q47" s="39"/>
      <c r="R47" s="39"/>
      <c r="S47" s="65">
        <v>40491</v>
      </c>
      <c r="T47" s="66">
        <v>2010</v>
      </c>
      <c r="U47" s="67" t="s">
        <v>5258</v>
      </c>
      <c r="V47" s="68"/>
      <c r="W47" s="50"/>
      <c r="X47" s="50">
        <v>3000</v>
      </c>
      <c r="Y47" s="50">
        <v>520</v>
      </c>
      <c r="Z47" s="50">
        <v>244</v>
      </c>
      <c r="AA47" s="50">
        <v>772</v>
      </c>
      <c r="AB47" s="50">
        <v>1544</v>
      </c>
      <c r="AC47" s="50">
        <v>1002</v>
      </c>
      <c r="AD47" s="50">
        <v>384</v>
      </c>
      <c r="AE47" s="50">
        <v>512</v>
      </c>
      <c r="AF47" s="50">
        <v>64</v>
      </c>
      <c r="AG47" s="50">
        <v>48</v>
      </c>
      <c r="AH47" s="50">
        <v>16</v>
      </c>
      <c r="AI47" s="50"/>
      <c r="AJ47" s="50"/>
      <c r="AK47" s="50"/>
      <c r="AL47" s="96" t="s">
        <v>5259</v>
      </c>
      <c r="AM47" s="93"/>
      <c r="AN47" s="83"/>
    </row>
    <row r="48" ht="25.5" spans="1:40">
      <c r="A48" s="45" t="s">
        <v>5260</v>
      </c>
      <c r="B48" s="41" t="s">
        <v>766</v>
      </c>
      <c r="C48" s="42">
        <v>77760000000</v>
      </c>
      <c r="D48" s="42">
        <v>622100000000</v>
      </c>
      <c r="E48" s="44"/>
      <c r="F48" s="44"/>
      <c r="G48" s="44"/>
      <c r="H48" s="44"/>
      <c r="I48" s="44"/>
      <c r="J48" s="44"/>
      <c r="K48" s="44"/>
      <c r="L48" s="44">
        <v>1024000000</v>
      </c>
      <c r="M48" s="44">
        <v>141100000000</v>
      </c>
      <c r="N48" s="44" t="s">
        <v>5233</v>
      </c>
      <c r="O48" s="44"/>
      <c r="P48" s="44"/>
      <c r="Q48" s="44"/>
      <c r="R48" s="44"/>
      <c r="S48" s="79"/>
      <c r="T48" s="70">
        <v>2008</v>
      </c>
      <c r="U48" s="71" t="s">
        <v>5261</v>
      </c>
      <c r="V48" s="72"/>
      <c r="W48" s="44"/>
      <c r="X48" s="70">
        <v>1400</v>
      </c>
      <c r="Y48" s="70">
        <v>576</v>
      </c>
      <c r="Z48" s="70">
        <v>236</v>
      </c>
      <c r="AA48" s="70">
        <v>602</v>
      </c>
      <c r="AB48" s="46"/>
      <c r="AC48" s="70">
        <v>1107</v>
      </c>
      <c r="AD48" s="70">
        <v>512</v>
      </c>
      <c r="AE48" s="70">
        <v>240</v>
      </c>
      <c r="AF48" s="70">
        <v>80</v>
      </c>
      <c r="AG48" s="70">
        <v>32</v>
      </c>
      <c r="AH48" s="70">
        <v>30</v>
      </c>
      <c r="AI48" s="46"/>
      <c r="AJ48" s="46"/>
      <c r="AK48" s="44"/>
      <c r="AL48" s="84" t="s">
        <v>5262</v>
      </c>
      <c r="AM48" s="44"/>
      <c r="AN48" s="90"/>
    </row>
    <row r="49" ht="12.75" spans="1:40">
      <c r="A49" s="45" t="s">
        <v>5263</v>
      </c>
      <c r="B49" s="46" t="s">
        <v>766</v>
      </c>
      <c r="C49" s="42">
        <v>4700000000000</v>
      </c>
      <c r="D49" s="42">
        <v>9560000000000</v>
      </c>
      <c r="E49" s="42">
        <v>19100000000000</v>
      </c>
      <c r="F49" s="46"/>
      <c r="G49" s="46"/>
      <c r="H49" s="46"/>
      <c r="I49" s="46"/>
      <c r="J49" s="46"/>
      <c r="K49" s="44"/>
      <c r="L49" s="42">
        <v>16000000000</v>
      </c>
      <c r="M49" s="42">
        <v>732000000000</v>
      </c>
      <c r="N49" s="44" t="s">
        <v>5173</v>
      </c>
      <c r="O49" s="56">
        <v>31.5</v>
      </c>
      <c r="P49" s="44" t="s">
        <v>5212</v>
      </c>
      <c r="Q49" s="42">
        <v>160</v>
      </c>
      <c r="R49" s="44"/>
      <c r="S49" s="69">
        <v>42541</v>
      </c>
      <c r="T49" s="70">
        <v>2016</v>
      </c>
      <c r="U49" s="71" t="s">
        <v>5213</v>
      </c>
      <c r="V49" s="75" t="s">
        <v>5214</v>
      </c>
      <c r="W49" s="46"/>
      <c r="X49" s="70">
        <v>15300</v>
      </c>
      <c r="Y49" s="70">
        <v>610</v>
      </c>
      <c r="Z49" s="70">
        <v>250</v>
      </c>
      <c r="AA49" s="70">
        <v>1190</v>
      </c>
      <c r="AB49" s="70">
        <v>1329</v>
      </c>
      <c r="AC49" s="70">
        <v>715</v>
      </c>
      <c r="AD49" s="70">
        <v>4096</v>
      </c>
      <c r="AE49" s="70">
        <v>3584</v>
      </c>
      <c r="AF49" s="70">
        <v>224</v>
      </c>
      <c r="AG49" s="70">
        <v>96</v>
      </c>
      <c r="AH49" s="70">
        <v>56</v>
      </c>
      <c r="AI49" s="46"/>
      <c r="AJ49" s="46"/>
      <c r="AK49" s="46"/>
      <c r="AL49" s="88" t="s">
        <v>5264</v>
      </c>
      <c r="AM49" s="88" t="s">
        <v>5215</v>
      </c>
      <c r="AN49" s="90"/>
    </row>
    <row r="50" ht="12.75" spans="3:21">
      <c r="C50" s="32"/>
      <c r="D50" s="32"/>
      <c r="E50" s="32"/>
      <c r="K50" s="32"/>
      <c r="L50" s="32"/>
      <c r="M50" s="32"/>
      <c r="S50" s="80"/>
      <c r="U50" s="81"/>
    </row>
    <row r="51" ht="12.75" spans="3:21">
      <c r="C51" s="32"/>
      <c r="D51" s="32"/>
      <c r="E51" s="32"/>
      <c r="K51" s="32"/>
      <c r="L51" s="32"/>
      <c r="M51" s="32"/>
      <c r="S51" s="80"/>
      <c r="U51" s="81"/>
    </row>
    <row r="52" ht="12.75" spans="3:21">
      <c r="C52" s="32"/>
      <c r="D52" s="32"/>
      <c r="E52" s="32"/>
      <c r="K52" s="32"/>
      <c r="L52" s="32"/>
      <c r="M52" s="32"/>
      <c r="S52" s="80"/>
      <c r="U52" s="81"/>
    </row>
    <row r="53" ht="12.75" spans="3:21">
      <c r="C53" s="32"/>
      <c r="D53" s="32"/>
      <c r="E53" s="32"/>
      <c r="K53" s="32"/>
      <c r="L53" s="32"/>
      <c r="M53" s="32"/>
      <c r="S53" s="80"/>
      <c r="U53" s="81"/>
    </row>
    <row r="54" ht="12.75" spans="3:21">
      <c r="C54" s="32"/>
      <c r="D54" s="32"/>
      <c r="E54" s="32"/>
      <c r="K54" s="32"/>
      <c r="L54" s="32"/>
      <c r="M54" s="32"/>
      <c r="S54" s="80"/>
      <c r="U54" s="81"/>
    </row>
    <row r="55" ht="12.75" spans="3:21">
      <c r="C55" s="32"/>
      <c r="D55" s="32"/>
      <c r="E55" s="32"/>
      <c r="K55" s="32"/>
      <c r="L55" s="32"/>
      <c r="M55" s="32"/>
      <c r="S55" s="80"/>
      <c r="U55" s="81"/>
    </row>
    <row r="56" ht="12.75" spans="3:21">
      <c r="C56" s="32"/>
      <c r="D56" s="32"/>
      <c r="E56" s="32"/>
      <c r="K56" s="32"/>
      <c r="L56" s="32"/>
      <c r="M56" s="32"/>
      <c r="S56" s="80"/>
      <c r="U56" s="81"/>
    </row>
    <row r="57" ht="12.75" spans="3:21">
      <c r="C57" s="32"/>
      <c r="D57" s="32"/>
      <c r="E57" s="32"/>
      <c r="K57" s="32"/>
      <c r="L57" s="32"/>
      <c r="M57" s="32"/>
      <c r="S57" s="80"/>
      <c r="U57" s="81"/>
    </row>
    <row r="58" ht="12.75" spans="3:21">
      <c r="C58" s="32"/>
      <c r="D58" s="32"/>
      <c r="E58" s="32"/>
      <c r="K58" s="32"/>
      <c r="L58" s="32"/>
      <c r="M58" s="32"/>
      <c r="S58" s="80"/>
      <c r="U58" s="81"/>
    </row>
    <row r="59" ht="12.75" spans="3:21">
      <c r="C59" s="32"/>
      <c r="D59" s="32"/>
      <c r="E59" s="32"/>
      <c r="K59" s="32"/>
      <c r="L59" s="32"/>
      <c r="M59" s="32"/>
      <c r="S59" s="80"/>
      <c r="U59" s="81"/>
    </row>
    <row r="60" ht="12.75" spans="3:21">
      <c r="C60" s="32"/>
      <c r="D60" s="32"/>
      <c r="E60" s="32"/>
      <c r="K60" s="32"/>
      <c r="L60" s="32"/>
      <c r="M60" s="32"/>
      <c r="S60" s="80"/>
      <c r="U60" s="81"/>
    </row>
    <row r="61" ht="12.75" spans="3:21">
      <c r="C61" s="32"/>
      <c r="D61" s="32"/>
      <c r="E61" s="32"/>
      <c r="K61" s="32"/>
      <c r="L61" s="32"/>
      <c r="M61" s="32"/>
      <c r="S61" s="80"/>
      <c r="U61" s="81"/>
    </row>
    <row r="62" ht="12.75" spans="3:21">
      <c r="C62" s="32"/>
      <c r="D62" s="32"/>
      <c r="E62" s="32"/>
      <c r="K62" s="32"/>
      <c r="L62" s="32"/>
      <c r="M62" s="32"/>
      <c r="S62" s="80"/>
      <c r="U62" s="81"/>
    </row>
    <row r="63" ht="12.75" spans="3:21">
      <c r="C63" s="32"/>
      <c r="D63" s="32"/>
      <c r="E63" s="32"/>
      <c r="K63" s="32"/>
      <c r="L63" s="32"/>
      <c r="M63" s="32"/>
      <c r="S63" s="80"/>
      <c r="U63" s="81"/>
    </row>
    <row r="64" ht="12.75" spans="3:21">
      <c r="C64" s="32"/>
      <c r="D64" s="32"/>
      <c r="E64" s="32"/>
      <c r="K64" s="32"/>
      <c r="L64" s="32"/>
      <c r="M64" s="32"/>
      <c r="S64" s="80"/>
      <c r="U64" s="81"/>
    </row>
    <row r="65" ht="12.75" spans="3:21">
      <c r="C65" s="32"/>
      <c r="D65" s="32"/>
      <c r="E65" s="32"/>
      <c r="K65" s="32"/>
      <c r="L65" s="32"/>
      <c r="M65" s="32"/>
      <c r="S65" s="80"/>
      <c r="U65" s="81"/>
    </row>
    <row r="66" ht="12.75" spans="3:21">
      <c r="C66" s="32"/>
      <c r="D66" s="32"/>
      <c r="E66" s="32"/>
      <c r="K66" s="32"/>
      <c r="L66" s="32"/>
      <c r="M66" s="32"/>
      <c r="S66" s="80"/>
      <c r="U66" s="81"/>
    </row>
    <row r="67" ht="12.75" spans="3:21">
      <c r="C67" s="32"/>
      <c r="D67" s="32"/>
      <c r="E67" s="32"/>
      <c r="K67" s="32"/>
      <c r="L67" s="32"/>
      <c r="M67" s="32"/>
      <c r="S67" s="80"/>
      <c r="U67" s="81"/>
    </row>
    <row r="68" ht="12.75" spans="3:21">
      <c r="C68" s="32"/>
      <c r="D68" s="32"/>
      <c r="E68" s="32"/>
      <c r="K68" s="32"/>
      <c r="L68" s="32"/>
      <c r="M68" s="32"/>
      <c r="S68" s="80"/>
      <c r="U68" s="81"/>
    </row>
    <row r="69" ht="12.75" spans="3:21">
      <c r="C69" s="32"/>
      <c r="D69" s="32"/>
      <c r="E69" s="32"/>
      <c r="K69" s="32"/>
      <c r="L69" s="32"/>
      <c r="M69" s="32"/>
      <c r="S69" s="80"/>
      <c r="U69" s="81"/>
    </row>
    <row r="70" ht="12.75" spans="3:21">
      <c r="C70" s="32"/>
      <c r="D70" s="32"/>
      <c r="E70" s="32"/>
      <c r="K70" s="32"/>
      <c r="L70" s="32"/>
      <c r="M70" s="32"/>
      <c r="S70" s="80"/>
      <c r="U70" s="81"/>
    </row>
    <row r="71" ht="12.75" spans="3:21">
      <c r="C71" s="32"/>
      <c r="D71" s="32"/>
      <c r="E71" s="32"/>
      <c r="K71" s="32"/>
      <c r="L71" s="32"/>
      <c r="M71" s="32"/>
      <c r="S71" s="80"/>
      <c r="U71" s="81"/>
    </row>
    <row r="72" ht="12.75" spans="3:21">
      <c r="C72" s="32"/>
      <c r="D72" s="32"/>
      <c r="E72" s="32"/>
      <c r="K72" s="32"/>
      <c r="L72" s="32"/>
      <c r="M72" s="32"/>
      <c r="S72" s="80"/>
      <c r="U72" s="81"/>
    </row>
    <row r="73" ht="12.75" spans="3:21">
      <c r="C73" s="32"/>
      <c r="D73" s="32"/>
      <c r="E73" s="32"/>
      <c r="K73" s="32"/>
      <c r="L73" s="32"/>
      <c r="M73" s="32"/>
      <c r="S73" s="80"/>
      <c r="U73" s="81"/>
    </row>
    <row r="74" ht="12.75" spans="3:21">
      <c r="C74" s="32"/>
      <c r="D74" s="32"/>
      <c r="E74" s="32"/>
      <c r="K74" s="32"/>
      <c r="L74" s="32"/>
      <c r="M74" s="32"/>
      <c r="S74" s="80"/>
      <c r="U74" s="81"/>
    </row>
    <row r="75" ht="12.75" spans="3:21">
      <c r="C75" s="32"/>
      <c r="D75" s="32"/>
      <c r="E75" s="32"/>
      <c r="K75" s="32"/>
      <c r="L75" s="32"/>
      <c r="M75" s="32"/>
      <c r="S75" s="80"/>
      <c r="U75" s="81"/>
    </row>
    <row r="76" ht="12.75" spans="3:21">
      <c r="C76" s="32"/>
      <c r="D76" s="32"/>
      <c r="E76" s="32"/>
      <c r="K76" s="32"/>
      <c r="L76" s="32"/>
      <c r="M76" s="32"/>
      <c r="S76" s="80"/>
      <c r="U76" s="81"/>
    </row>
    <row r="77" ht="12.75" spans="3:21">
      <c r="C77" s="32"/>
      <c r="D77" s="32"/>
      <c r="E77" s="32"/>
      <c r="K77" s="32"/>
      <c r="L77" s="32"/>
      <c r="M77" s="32"/>
      <c r="S77" s="80"/>
      <c r="U77" s="81"/>
    </row>
  </sheetData>
  <customSheetViews>
    <customSheetView guid="{89D46002-BAFD-4762-ACB0-4E4D20C6227E}" filter="1" showAutoFilter="1">
      <autoFilter ref="A1:AL22"/>
    </customSheetView>
  </customSheetViews>
  <hyperlinks>
    <hyperlink ref="R1" r:id="rId3" display="LambdaLabs FP32 ResNet-50 Pytorch Throughput (samples/s)"/>
    <hyperlink ref="AL3" r:id="rId4" display="https://www.techpowerup.com/gpu-specs/radeon-rx-7900-xtx.c3941"/>
    <hyperlink ref="AN3" r:id="rId5" display="https://www.pcgamer.com/amd-radeon-rx-7900-xtx-xt-price-release-date-specs/"/>
    <hyperlink ref="AL5" r:id="rId6" display="https://www.techpowerup.com/gpu-specs/geforce-rtx-4090.c3889"/>
    <hyperlink ref="AM5" r:id="rId7" display="https://images.nvidia.com/aem-dam/Solutions/geforce/ada/nvidia-ada-gpu-architecture.pdf"/>
    <hyperlink ref="AN5" r:id="rId8" display="https://www.pcgamesn.com/nvidia/rtx-4090-release-date-price-spec-and-benchmarks"/>
    <hyperlink ref="AL6" r:id="rId9" display="https://www.techpowerup.com/gpu-specs/geforce-rtx-4080.c3888;"/>
    <hyperlink ref="AL7" r:id="rId10" display="https://www.techpowerup.com/gpu-specs/h100-sxm5.c3900"/>
    <hyperlink ref="AM7" r:id="rId11" display="https://resources.nvidia.com/en-us-tensor-core/nvidia-tensor-core-gpu-datasheet"/>
    <hyperlink ref="AL8" r:id="rId12" display="https://www.techpowerup.com/gpu-specs/geforce-rtx-3090-ti.c3829"/>
    <hyperlink ref="AM8" r:id="rId7" display="https://images.nvidia.com/aem-dam/Solutions/geforce/ada/nvidia-ada-gpu-architecture.pdf"/>
    <hyperlink ref="AN8" r:id="rId13" display="https://www.wikiwand.com/en/GeForce_30_series"/>
    <hyperlink ref="AL9" r:id="rId14" display="https://www.amd.com/system/files/documents/amd-instinct-mi200-datasheet.pdf"/>
    <hyperlink ref="AM9" r:id="rId15" display="https://www.wikiwand.com/en/AMD_Instinct"/>
    <hyperlink ref="AL10" r:id="rId16" display="https://cloud.google.com/tpu/docs/system-architecture-tpu-vm"/>
    <hyperlink ref="AM10" r:id="rId17" display="https://dl.acm.org/doi/pdf/10.1145/3360307"/>
    <hyperlink ref="AL11" r:id="rId18" display="https://www.techpowerup.com/gpu-specs/rtx-a5000.c3748"/>
    <hyperlink ref="AN11" r:id="rId19" display="https://develop3d.com/hardware/nvidia-rtx-a4000-and-rtx-a5000-gpus-launch/"/>
    <hyperlink ref="AL12" r:id="rId20" display="techpowerup.com/gpu-specs/rtx-a4000.c3756"/>
    <hyperlink ref="AN12" r:id="rId19" display="https://develop3d.com/hardware/nvidia-rtx-a4000-and-rtx-a5000-gpus-launch/"/>
    <hyperlink ref="AL13" r:id="rId21" display="https://www.techpowerup.com/gpu-specs/a10g.c3798"/>
    <hyperlink ref="AL15" r:id="rId22" display="https://www.techpowerup.com/gpu-specs/a100-sxm4-80-gb.c3746"/>
    <hyperlink ref="AM15" r:id="rId23" display="https://www.nvidia.com/content/dam/en-zz/Solutions/Data-Center/a100/pdf/nvidia-a100-datasheet-us-nvidia-1758950-r4-web.pdf"/>
    <hyperlink ref="AL16" r:id="rId24" display="https://www.techpowerup.com/gpu-specs/geforce-rtx-3090.c3622"/>
    <hyperlink ref="AM16" r:id="rId25" location="page=38" display="https://images.nvidia.com/aem-dam/en-zz/Solutions/geforce/ampere/pdf/NVIDIA-ampere-GA102-GPU-Architecture-Whitepaper-V1.pdf#page=38"/>
    <hyperlink ref="AN16" r:id="rId26" display="https://www.tomsguide.com/news/nvidia-geforce-rtx-3090"/>
    <hyperlink ref="AL17" r:id="rId27" display="https://www.techpowerup.com/gpu-specs/rtx-a6000.c3686"/>
    <hyperlink ref="AN17" r:id="rId28" display="https://wccftech.com/nvidia-rtx-a6000-48-gb-workstation-graphics-card-full-ga102-gpu-4650-us/"/>
    <hyperlink ref="AL18" r:id="rId29" display="https://www.techpowerup.com/gpu-specs/geforce-rtx-3080.c3621"/>
    <hyperlink ref="AN18" r:id="rId30" display="https://www.tomsguide.com/news/nvidia-geforce-rtx-3080-ti"/>
    <hyperlink ref="AL19" r:id="rId16" display="https://cloud.google.com/tpu/docs/system-architecture-tpu-vm"/>
    <hyperlink ref="AM19" r:id="rId31" display="A Domain-Specific Supercomputer for Training"/>
    <hyperlink ref="AL20" r:id="rId32" display="https://www.techpowerup.com/gpu-specs/geforce-rtx-2080-ti.c3305"/>
    <hyperlink ref="AM20" r:id="rId7" display="https://images.nvidia.com/aem-dam/Solutions/geforce/ada/nvidia-ada-gpu-architecture.pdf"/>
    <hyperlink ref="AL21" r:id="rId33" display="https://www.techpowerup.com/gpu-specs/quadro-rtx-8000.c3306"/>
    <hyperlink ref="AL22" r:id="rId34" display="https://www.techpowerup.com/gpu-specs/tesla-t4.c3316"/>
    <hyperlink ref="AL23" r:id="rId35" display="https://www.techpowerup.com/gpu-specs/quadro-rtx-4000.c3336"/>
    <hyperlink ref="AL24" r:id="rId36" display="https://www.techpowerup.com/gpu-specs/quadro-rtx-5000.c3308"/>
    <hyperlink ref="AL25" r:id="rId37" display="https://www.techpowerup.com/gpu-specs/quadro-rtx-6000.c3307"/>
    <hyperlink ref="AN25" r:id="rId38" display="https://woolypooly.com/en/device/gpu/nvidia-quadro-rtx-6000"/>
    <hyperlink ref="AL26" r:id="rId39" display="https://www.techpowerup.com/gpu-specs/titan-xp.c2948"/>
    <hyperlink ref="AL27" r:id="rId40" display="https://www.techpowerup.com/gpu-specs/titan-v.c3051"/>
    <hyperlink ref="AL28" r:id="rId41" display="https://images.nvidia.com/content/technologies/volta/pdf/volta-v100-datasheet-update-us-1165301-r5.pdf"/>
    <hyperlink ref="AM28" r:id="rId42" display="https://www.techpowerup.com/gpu-specs/tesla-v100-sxm2-16-gb.c3018"/>
    <hyperlink ref="AL29" r:id="rId31" display="A Domain-Specific Supercomputer for Training"/>
    <hyperlink ref="AL30" r:id="rId43" display="https://www.techpowerup.com/gpu-specs/geforce-gtx-1080-ti.c2877"/>
    <hyperlink ref="AL31" r:id="rId44" display="https://www.techpowerup.com/gpu-specs/quadro-p4000.c2930"/>
    <hyperlink ref="AL32" r:id="rId45" display="https://images.nvidia.com/content/tesla/pdf/nvidia-tesla-p100-PCIe-datasheet.pdf"/>
    <hyperlink ref="AL33" r:id="rId46" display="https://www.techpowerup.com/gpu-specs/tesla-p4.c2879"/>
    <hyperlink ref="AM33" r:id="rId47" display="https://images.nvidia.com/content/pdf/tesla/184457-Tesla-P4-Datasheet-NV-Final-Letter-Web.pdf"/>
    <hyperlink ref="AL34" r:id="rId48" display="https://www.techpowerup.com/gpu-specs/quadro-p5000.c2864"/>
    <hyperlink ref="AL35" r:id="rId49" display="https://www.techpowerup.com/gpu-specs/quadro-p6000.c2865"/>
    <hyperlink ref="AN35" r:id="rId48" display="https://www.techpowerup.com/gpu-specs/quadro-p5000.c2864"/>
    <hyperlink ref="AL36" r:id="rId50" display="https://www.techpowerup.com/gpu-specs/tesla-p40.c2878"/>
    <hyperlink ref="AL37" r:id="rId51" display="https://www.techpowerup.com/gpu-specs/geforce-gtx-titan-x.c2632"/>
    <hyperlink ref="AL38" r:id="rId52" display="https://www.techpowerup.com/gpu-specs/tesla-m40.c2771"/>
    <hyperlink ref="AL39" r:id="rId53" display="https://www.techpowerup.com/gpu-specs/quadro-k1200.c2641"/>
    <hyperlink ref="AL40" r:id="rId54" display="https://www.techpowerup.com/gpu-specs/quadro-m4000.c2757"/>
    <hyperlink ref="AL41" r:id="rId55" display="https://www.techpowerup.com/gpu-specs/tesla-m60.c2760"/>
    <hyperlink ref="AL42" r:id="rId56" display="https://www.techpowerup.com/gpu-specs/geforce-gtx-titan-black.c2549"/>
    <hyperlink ref="AL43" r:id="rId57" display="https://www.techpowerup.com/gpu-specs/tesla-k80.c2616"/>
    <hyperlink ref="AM43" r:id="rId58" display="https://www.nvidia.com/content/dam/en-zz/Solutions/Data-Center/tesla-product-literature/TeslaK80-datasheet.pdf"/>
    <hyperlink ref="AN43" r:id="rId59" display="https://www.anandtech.com/show/8729/nvidia-launches-tesla-k80-gk210-gpu"/>
    <hyperlink ref="AL44" r:id="rId60" display="https://www.techpowerup.com/gpu-specs/tesla-k40s.c2528"/>
    <hyperlink ref="AL45" r:id="rId61" display="https://www.techpowerup.com/gpu-specs/quadro-k6000.c2426"/>
    <hyperlink ref="AL46" r:id="rId62" display="https://www.techpowerup.com/gpu-specs/tesla-k20c.c564"/>
    <hyperlink ref="AL47" r:id="rId63" display="https://www.techpowerup.com/gpu-specs/geforce-gtx-580.c270"/>
    <hyperlink ref="AL48" r:id="rId64" display="https://www.techpowerup.com/gpu-specs/geforce-gtx-280.c216"/>
    <hyperlink ref="AL49" r:id="rId65" display="https://www.techpowerup.com/gpu-specs/tesla-p100-pcie-16-gb.c2888"/>
    <hyperlink ref="AM49" r:id="rId45" display="https://images.nvidia.com/content/tesla/pdf/nvidia-tesla-p100-PCIe-datasheet.pdf"/>
  </hyperlink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N37"/>
  <sheetViews>
    <sheetView workbookViewId="0">
      <selection activeCell="A1" sqref="A1"/>
    </sheetView>
  </sheetViews>
  <sheetFormatPr defaultColWidth="12.6285714285714" defaultRowHeight="15.75" customHeight="1"/>
  <cols>
    <col min="4" max="4" width="21.1333333333333" customWidth="1"/>
    <col min="12" max="14" width="21.6285714285714" customWidth="1"/>
  </cols>
  <sheetData>
    <row r="1" customHeight="1" spans="1:14">
      <c r="A1" s="25" t="s">
        <v>5265</v>
      </c>
      <c r="B1" s="25" t="s">
        <v>5266</v>
      </c>
      <c r="C1" s="25" t="s">
        <v>7</v>
      </c>
      <c r="D1" s="25" t="s">
        <v>5267</v>
      </c>
      <c r="E1" s="25" t="s">
        <v>5268</v>
      </c>
      <c r="F1" s="25" t="s">
        <v>5269</v>
      </c>
      <c r="G1" s="25" t="s">
        <v>5270</v>
      </c>
      <c r="K1" s="2" t="s">
        <v>7</v>
      </c>
      <c r="L1" s="2" t="s">
        <v>5271</v>
      </c>
      <c r="M1" s="2" t="s">
        <v>5272</v>
      </c>
      <c r="N1" s="2" t="s">
        <v>5273</v>
      </c>
    </row>
    <row r="2" customHeight="1" spans="1:14">
      <c r="A2" s="26" t="s">
        <v>1700</v>
      </c>
      <c r="B2" s="27">
        <v>41093</v>
      </c>
      <c r="C2" s="28">
        <v>2012</v>
      </c>
      <c r="D2" s="29" t="s">
        <v>5274</v>
      </c>
      <c r="E2" s="30">
        <v>198000000000</v>
      </c>
      <c r="F2" s="30">
        <v>1580000000000</v>
      </c>
      <c r="G2" s="29"/>
      <c r="K2" s="22">
        <v>2012</v>
      </c>
      <c r="L2" s="32">
        <f ca="1" t="shared" ref="L2:L11" si="0">AVERAGEIF(C$2:E$36,K2,E:E)</f>
        <v>198000000000</v>
      </c>
      <c r="M2" s="33">
        <f ca="1" t="shared" ref="M2:M11" si="1">AVERAGEIF(C$2:F$36,K2,F:F)</f>
        <v>1580000000000</v>
      </c>
      <c r="N2" s="34" t="s">
        <v>5275</v>
      </c>
    </row>
    <row r="3" customHeight="1" spans="1:14">
      <c r="A3" s="26" t="s">
        <v>5276</v>
      </c>
      <c r="B3" s="27">
        <v>41182</v>
      </c>
      <c r="C3" s="28">
        <v>2012</v>
      </c>
      <c r="D3" s="29" t="s">
        <v>5274</v>
      </c>
      <c r="E3" s="30">
        <v>198000000000</v>
      </c>
      <c r="F3" s="30">
        <v>1580000000000</v>
      </c>
      <c r="G3" s="29"/>
      <c r="K3" s="22">
        <v>2013</v>
      </c>
      <c r="L3" s="32">
        <f ca="1" t="shared" si="0"/>
        <v>198000000000</v>
      </c>
      <c r="M3" s="33">
        <f ca="1" t="shared" si="1"/>
        <v>1580000000000</v>
      </c>
      <c r="N3" s="34" t="s">
        <v>5275</v>
      </c>
    </row>
    <row r="4" customHeight="1" spans="1:14">
      <c r="A4" s="26" t="s">
        <v>1625</v>
      </c>
      <c r="B4" s="31">
        <v>41590</v>
      </c>
      <c r="C4" s="28">
        <v>2013</v>
      </c>
      <c r="D4" s="29" t="s">
        <v>5274</v>
      </c>
      <c r="E4" s="30">
        <v>198000000000</v>
      </c>
      <c r="F4" s="30">
        <v>1580000000000</v>
      </c>
      <c r="G4" s="29"/>
      <c r="K4" s="22">
        <v>2014</v>
      </c>
      <c r="L4" s="32">
        <f ca="1" t="shared" si="0"/>
        <v>954000000000</v>
      </c>
      <c r="M4" s="33">
        <f ca="1" t="shared" si="1"/>
        <v>3350000000000</v>
      </c>
      <c r="N4" s="34" t="s">
        <v>5275</v>
      </c>
    </row>
    <row r="5" customHeight="1" spans="1:14">
      <c r="A5" s="26" t="s">
        <v>5277</v>
      </c>
      <c r="B5" s="27">
        <v>41886</v>
      </c>
      <c r="C5" s="28">
        <v>2014</v>
      </c>
      <c r="D5" s="29" t="s">
        <v>5239</v>
      </c>
      <c r="E5" s="30">
        <v>1710000000000</v>
      </c>
      <c r="F5" s="30">
        <v>5120000000000</v>
      </c>
      <c r="G5" s="29"/>
      <c r="K5" s="22">
        <v>2015</v>
      </c>
      <c r="L5" s="32">
        <f ca="1" t="shared" si="0"/>
        <v>507666666666.667</v>
      </c>
      <c r="M5" s="33">
        <f ca="1" t="shared" si="1"/>
        <v>4956666666666.67</v>
      </c>
      <c r="N5" s="32">
        <f ca="1">AVERAGEIF(C$2:G$36,K5,G$2:G$36)</f>
        <v>9429500000000</v>
      </c>
    </row>
    <row r="6" customHeight="1" spans="1:14">
      <c r="A6" s="26" t="s">
        <v>1521</v>
      </c>
      <c r="B6" s="27">
        <v>41892</v>
      </c>
      <c r="C6" s="28">
        <v>2014</v>
      </c>
      <c r="D6" s="29" t="s">
        <v>5278</v>
      </c>
      <c r="E6" s="30">
        <v>1170000000000</v>
      </c>
      <c r="F6" s="30">
        <v>3520000000000</v>
      </c>
      <c r="G6" s="29"/>
      <c r="K6" s="22">
        <v>2016</v>
      </c>
      <c r="L6" s="32">
        <f ca="1" t="shared" si="0"/>
        <v>2813333333333.33</v>
      </c>
      <c r="M6" s="33">
        <f ca="1" t="shared" si="1"/>
        <v>6833333333333.33</v>
      </c>
      <c r="N6" s="34" t="s">
        <v>5275</v>
      </c>
    </row>
    <row r="7" customHeight="1" spans="1:14">
      <c r="A7" s="26" t="s">
        <v>1414</v>
      </c>
      <c r="B7" s="27">
        <v>42346</v>
      </c>
      <c r="C7" s="28">
        <v>2015</v>
      </c>
      <c r="D7" s="29" t="s">
        <v>5279</v>
      </c>
      <c r="E7" s="30">
        <v>317000000000</v>
      </c>
      <c r="F7" s="30">
        <v>10200000000000</v>
      </c>
      <c r="G7" s="30">
        <v>159000000000</v>
      </c>
      <c r="K7" s="22">
        <v>2017</v>
      </c>
      <c r="L7" s="32">
        <f ca="1" t="shared" si="0"/>
        <v>2260000000000</v>
      </c>
      <c r="M7" s="33">
        <f ca="1" t="shared" si="1"/>
        <v>5816000000000</v>
      </c>
      <c r="N7" s="32">
        <f ca="1" t="shared" ref="N7:N11" si="2">AVERAGEIF(C$2:G$36,K7,G$2:G$36)</f>
        <v>18700000000000</v>
      </c>
    </row>
    <row r="8" customHeight="1" spans="1:14">
      <c r="A8" s="26" t="s">
        <v>5280</v>
      </c>
      <c r="B8" s="27">
        <v>42346</v>
      </c>
      <c r="C8" s="28">
        <v>2015</v>
      </c>
      <c r="D8" s="29" t="s">
        <v>5232</v>
      </c>
      <c r="E8" s="30">
        <v>36000000000</v>
      </c>
      <c r="F8" s="30">
        <v>1150000000000</v>
      </c>
      <c r="G8" s="29"/>
      <c r="K8" s="22">
        <v>2018</v>
      </c>
      <c r="L8" s="32">
        <f ca="1" t="shared" si="0"/>
        <v>2910200000000</v>
      </c>
      <c r="M8" s="33">
        <f ca="1" t="shared" si="1"/>
        <v>9366000000000</v>
      </c>
      <c r="N8" s="32">
        <f ca="1" t="shared" si="2"/>
        <v>109743750000000</v>
      </c>
    </row>
    <row r="9" customHeight="1" spans="1:14">
      <c r="A9" s="26" t="s">
        <v>5280</v>
      </c>
      <c r="B9" s="27">
        <v>42346</v>
      </c>
      <c r="C9" s="28">
        <v>2015</v>
      </c>
      <c r="D9" s="29" t="s">
        <v>5211</v>
      </c>
      <c r="E9" s="30">
        <v>4700000000000</v>
      </c>
      <c r="F9" s="30">
        <v>9300000000000</v>
      </c>
      <c r="G9" s="30">
        <v>18700000000000</v>
      </c>
      <c r="K9" s="22">
        <v>2019</v>
      </c>
      <c r="L9" s="32">
        <f ca="1" t="shared" si="0"/>
        <v>3891000000000</v>
      </c>
      <c r="M9" s="33">
        <f ca="1" t="shared" si="1"/>
        <v>67875000000000</v>
      </c>
      <c r="N9" s="32">
        <f ca="1" t="shared" si="2"/>
        <v>420000000000000</v>
      </c>
    </row>
    <row r="10" customHeight="1" spans="1:14">
      <c r="A10" s="26" t="s">
        <v>5281</v>
      </c>
      <c r="B10" s="27">
        <v>42639</v>
      </c>
      <c r="C10" s="28">
        <v>2016</v>
      </c>
      <c r="D10" s="29" t="s">
        <v>5282</v>
      </c>
      <c r="E10" s="30">
        <v>1870000000000</v>
      </c>
      <c r="F10" s="30">
        <v>5600000000000</v>
      </c>
      <c r="G10" s="29"/>
      <c r="K10" s="22">
        <v>2020</v>
      </c>
      <c r="L10" s="32">
        <f ca="1" t="shared" si="0"/>
        <v>7450000000000</v>
      </c>
      <c r="M10" s="33">
        <f ca="1" t="shared" si="1"/>
        <v>58140000000000</v>
      </c>
      <c r="N10" s="32">
        <f ca="1" t="shared" si="2"/>
        <v>420000000000000</v>
      </c>
    </row>
    <row r="11" customHeight="1" spans="1:14">
      <c r="A11" s="26" t="s">
        <v>1263</v>
      </c>
      <c r="B11" s="27">
        <v>42650</v>
      </c>
      <c r="C11" s="28">
        <v>2016</v>
      </c>
      <c r="D11" s="29" t="s">
        <v>5282</v>
      </c>
      <c r="E11" s="30">
        <v>1870000000000</v>
      </c>
      <c r="F11" s="30">
        <v>5600000000000</v>
      </c>
      <c r="G11" s="29"/>
      <c r="K11" s="22">
        <v>2021</v>
      </c>
      <c r="L11" s="32">
        <f ca="1" t="shared" si="0"/>
        <v>10462500000000</v>
      </c>
      <c r="M11" s="33">
        <f ca="1" t="shared" si="1"/>
        <v>64740000000000</v>
      </c>
      <c r="N11" s="32">
        <f ca="1" t="shared" si="2"/>
        <v>366000000000000</v>
      </c>
    </row>
    <row r="12" customHeight="1" spans="1:7">
      <c r="A12" s="26" t="s">
        <v>5283</v>
      </c>
      <c r="B12" s="27">
        <v>42651</v>
      </c>
      <c r="C12" s="28">
        <v>2016</v>
      </c>
      <c r="D12" s="29" t="s">
        <v>5282</v>
      </c>
      <c r="E12" s="30">
        <v>1870000000000</v>
      </c>
      <c r="F12" s="30">
        <v>5600000000000</v>
      </c>
      <c r="G12" s="29"/>
    </row>
    <row r="13" customHeight="1" spans="1:7">
      <c r="A13" s="26" t="s">
        <v>1253</v>
      </c>
      <c r="B13" s="27">
        <v>42679</v>
      </c>
      <c r="C13" s="28">
        <v>2017</v>
      </c>
      <c r="D13" s="29" t="s">
        <v>5284</v>
      </c>
      <c r="E13" s="30">
        <v>1430000000000</v>
      </c>
      <c r="F13" s="30">
        <v>4290000000000</v>
      </c>
      <c r="G13" s="29"/>
    </row>
    <row r="14" customHeight="1" spans="1:7">
      <c r="A14" s="26" t="s">
        <v>1109</v>
      </c>
      <c r="B14" s="27">
        <v>42758</v>
      </c>
      <c r="C14" s="28">
        <v>2017</v>
      </c>
      <c r="D14" s="29" t="s">
        <v>5284</v>
      </c>
      <c r="E14" s="30">
        <v>1430000000000</v>
      </c>
      <c r="F14" s="30">
        <v>4290000000000</v>
      </c>
      <c r="G14" s="29"/>
    </row>
    <row r="15" customHeight="1" spans="1:7">
      <c r="A15" s="26" t="s">
        <v>5285</v>
      </c>
      <c r="B15" s="27">
        <v>42829</v>
      </c>
      <c r="C15" s="28">
        <v>2017</v>
      </c>
      <c r="D15" s="29" t="s">
        <v>5282</v>
      </c>
      <c r="E15" s="30">
        <v>1870000000000</v>
      </c>
      <c r="F15" s="30">
        <v>5600000000000</v>
      </c>
      <c r="G15" s="29"/>
    </row>
    <row r="16" customHeight="1" spans="1:7">
      <c r="A16" s="26" t="s">
        <v>1123</v>
      </c>
      <c r="B16" s="27">
        <v>42898</v>
      </c>
      <c r="C16" s="28">
        <v>2017</v>
      </c>
      <c r="D16" s="29" t="s">
        <v>5211</v>
      </c>
      <c r="E16" s="30">
        <v>4700000000000</v>
      </c>
      <c r="F16" s="30">
        <v>9300000000000</v>
      </c>
      <c r="G16" s="30">
        <v>18700000000000</v>
      </c>
    </row>
    <row r="17" customHeight="1" spans="1:7">
      <c r="A17" s="26" t="s">
        <v>4374</v>
      </c>
      <c r="B17" s="27">
        <v>42951</v>
      </c>
      <c r="C17" s="28">
        <v>2017</v>
      </c>
      <c r="D17" s="29" t="s">
        <v>5282</v>
      </c>
      <c r="E17" s="30">
        <v>1870000000000</v>
      </c>
      <c r="F17" s="30">
        <v>5600000000000</v>
      </c>
      <c r="G17" s="29"/>
    </row>
    <row r="18" customHeight="1" spans="1:7">
      <c r="A18" s="26" t="s">
        <v>985</v>
      </c>
      <c r="B18" s="27">
        <v>43136</v>
      </c>
      <c r="C18" s="28">
        <v>2018</v>
      </c>
      <c r="D18" s="29" t="s">
        <v>5286</v>
      </c>
      <c r="E18" s="30">
        <v>4700000000000</v>
      </c>
      <c r="F18" s="30">
        <v>9300000000000</v>
      </c>
      <c r="G18" s="30">
        <v>18700000000000</v>
      </c>
    </row>
    <row r="19" customHeight="1" spans="1:7">
      <c r="A19" s="26" t="s">
        <v>990</v>
      </c>
      <c r="B19" s="27">
        <v>43198</v>
      </c>
      <c r="C19" s="28">
        <v>2018</v>
      </c>
      <c r="D19" s="29" t="s">
        <v>5230</v>
      </c>
      <c r="E19" s="30">
        <v>214000000000</v>
      </c>
      <c r="F19" s="30">
        <v>6830000000000</v>
      </c>
      <c r="G19" s="29"/>
    </row>
    <row r="20" customHeight="1" spans="1:7">
      <c r="A20" s="26" t="s">
        <v>990</v>
      </c>
      <c r="B20" s="27">
        <v>43198</v>
      </c>
      <c r="C20" s="28">
        <v>2018</v>
      </c>
      <c r="D20" s="29" t="s">
        <v>5279</v>
      </c>
      <c r="E20" s="30">
        <v>317000000000</v>
      </c>
      <c r="F20" s="30">
        <v>10200000000000</v>
      </c>
      <c r="G20" s="30">
        <v>159000000000</v>
      </c>
    </row>
    <row r="21" customHeight="1" spans="1:7">
      <c r="A21" s="26" t="s">
        <v>968</v>
      </c>
      <c r="B21" s="27">
        <v>43371</v>
      </c>
      <c r="C21" s="28">
        <v>2018</v>
      </c>
      <c r="D21" s="29" t="s">
        <v>5168</v>
      </c>
      <c r="F21" s="30">
        <v>123000000000000</v>
      </c>
      <c r="G21" s="30">
        <v>420000000000000</v>
      </c>
    </row>
    <row r="22" customHeight="1" spans="1:7">
      <c r="A22" s="26" t="s">
        <v>4381</v>
      </c>
      <c r="B22" s="27">
        <v>43614</v>
      </c>
      <c r="C22" s="28">
        <v>2019</v>
      </c>
      <c r="D22" s="29" t="s">
        <v>5168</v>
      </c>
      <c r="F22" s="30">
        <v>123000000000000</v>
      </c>
      <c r="G22" s="30">
        <v>420000000000000</v>
      </c>
    </row>
    <row r="23" customHeight="1" spans="1:7">
      <c r="A23" s="26" t="s">
        <v>769</v>
      </c>
      <c r="B23" s="27">
        <v>43725</v>
      </c>
      <c r="C23" s="28">
        <v>2019</v>
      </c>
      <c r="D23" s="29" t="s">
        <v>5287</v>
      </c>
      <c r="E23" s="30">
        <v>7450000000000</v>
      </c>
      <c r="F23" s="30">
        <v>14900000000000</v>
      </c>
      <c r="G23" s="29"/>
    </row>
    <row r="24" customHeight="1" spans="1:7">
      <c r="A24" s="26" t="s">
        <v>4384</v>
      </c>
      <c r="B24" s="27">
        <v>43740</v>
      </c>
      <c r="C24" s="28">
        <v>2018</v>
      </c>
      <c r="D24" s="29" t="s">
        <v>5288</v>
      </c>
      <c r="E24" s="30">
        <v>332000000000</v>
      </c>
      <c r="F24" s="30">
        <v>10600000000000</v>
      </c>
      <c r="G24" s="30">
        <v>116000000000</v>
      </c>
    </row>
    <row r="25" customHeight="1" spans="1:7">
      <c r="A25" s="26" t="s">
        <v>807</v>
      </c>
      <c r="B25" s="31">
        <v>43754</v>
      </c>
      <c r="C25" s="28">
        <v>2019</v>
      </c>
      <c r="D25" s="29" t="s">
        <v>5287</v>
      </c>
      <c r="E25" s="30">
        <v>7450000000000</v>
      </c>
      <c r="F25" s="30">
        <v>14900000000000</v>
      </c>
      <c r="G25" s="29"/>
    </row>
    <row r="26" customHeight="1" spans="1:7">
      <c r="A26" s="26" t="s">
        <v>774</v>
      </c>
      <c r="B26" s="31">
        <v>43761</v>
      </c>
      <c r="C26" s="28">
        <v>2019</v>
      </c>
      <c r="D26" s="29" t="s">
        <v>5168</v>
      </c>
      <c r="F26" s="30">
        <v>123000000000000</v>
      </c>
      <c r="G26" s="30">
        <v>420000000000000</v>
      </c>
    </row>
    <row r="27" customHeight="1" spans="1:7">
      <c r="A27" s="26" t="s">
        <v>681</v>
      </c>
      <c r="B27" s="27">
        <v>43874</v>
      </c>
      <c r="C27" s="28">
        <v>2020</v>
      </c>
      <c r="D27" s="29" t="s">
        <v>5168</v>
      </c>
      <c r="F27" s="30">
        <v>123000000000000</v>
      </c>
      <c r="G27" s="30">
        <v>420000000000000</v>
      </c>
    </row>
    <row r="28" customHeight="1" spans="1:7">
      <c r="A28" s="26" t="s">
        <v>568</v>
      </c>
      <c r="B28" s="27">
        <v>43979</v>
      </c>
      <c r="C28" s="28">
        <v>2020</v>
      </c>
      <c r="D28" s="29" t="s">
        <v>5287</v>
      </c>
      <c r="E28" s="30">
        <v>7450000000000</v>
      </c>
      <c r="F28" s="30">
        <v>14900000000000</v>
      </c>
      <c r="G28" s="29"/>
    </row>
    <row r="29" customHeight="1" spans="1:7">
      <c r="A29" s="26" t="s">
        <v>582</v>
      </c>
      <c r="B29" s="27">
        <v>43999</v>
      </c>
      <c r="C29" s="28">
        <v>2020</v>
      </c>
      <c r="D29" s="29" t="s">
        <v>5289</v>
      </c>
      <c r="E29" s="30">
        <v>7450000000000</v>
      </c>
      <c r="F29" s="30">
        <v>14900000000000</v>
      </c>
      <c r="G29" s="29"/>
    </row>
    <row r="30" customHeight="1" spans="1:7">
      <c r="A30" s="26" t="s">
        <v>4402</v>
      </c>
      <c r="B30" s="31">
        <v>44126</v>
      </c>
      <c r="C30" s="28">
        <v>2020</v>
      </c>
      <c r="D30" s="29" t="s">
        <v>5287</v>
      </c>
      <c r="E30" s="30">
        <v>7450000000000</v>
      </c>
      <c r="F30" s="30">
        <v>14900000000000</v>
      </c>
      <c r="G30" s="29"/>
    </row>
    <row r="31" customHeight="1" spans="1:7">
      <c r="A31" s="26" t="s">
        <v>4402</v>
      </c>
      <c r="B31" s="31">
        <v>44126</v>
      </c>
      <c r="C31" s="28">
        <v>2020</v>
      </c>
      <c r="D31" s="29" t="s">
        <v>5287</v>
      </c>
      <c r="E31" s="30">
        <v>7450000000000</v>
      </c>
      <c r="F31" s="30">
        <v>14900000000000</v>
      </c>
      <c r="G31" s="29"/>
    </row>
    <row r="32" customHeight="1" spans="1:7">
      <c r="A32" s="26" t="s">
        <v>4421</v>
      </c>
      <c r="B32" s="27">
        <v>44260</v>
      </c>
      <c r="C32" s="28">
        <v>2021</v>
      </c>
      <c r="D32" s="29" t="s">
        <v>5287</v>
      </c>
      <c r="E32" s="30">
        <v>7450000000000</v>
      </c>
      <c r="F32" s="30">
        <v>14900000000000</v>
      </c>
      <c r="G32" s="29"/>
    </row>
    <row r="33" customHeight="1" spans="1:7">
      <c r="A33" s="26" t="s">
        <v>438</v>
      </c>
      <c r="B33" s="27">
        <v>44298</v>
      </c>
      <c r="C33" s="28">
        <v>2021</v>
      </c>
      <c r="D33" s="29" t="s">
        <v>5149</v>
      </c>
      <c r="E33" s="30">
        <v>19500000000000</v>
      </c>
      <c r="F33" s="30">
        <v>156000000000000</v>
      </c>
      <c r="G33" s="30">
        <v>312000000000000</v>
      </c>
    </row>
    <row r="34" customHeight="1" spans="1:7">
      <c r="A34" s="26" t="s">
        <v>5290</v>
      </c>
      <c r="B34" s="27">
        <v>44370</v>
      </c>
      <c r="C34" s="28">
        <v>2021</v>
      </c>
      <c r="D34" s="29" t="s">
        <v>5287</v>
      </c>
      <c r="E34" s="30">
        <v>7450000000000</v>
      </c>
      <c r="F34" s="30">
        <v>14900000000000</v>
      </c>
      <c r="G34" s="29"/>
    </row>
    <row r="35" customHeight="1" spans="1:7">
      <c r="A35" s="26" t="s">
        <v>5290</v>
      </c>
      <c r="B35" s="27">
        <v>44370</v>
      </c>
      <c r="C35" s="28">
        <v>2021</v>
      </c>
      <c r="D35" s="29" t="s">
        <v>5168</v>
      </c>
      <c r="F35" s="30">
        <v>123000000000000</v>
      </c>
      <c r="G35" s="30">
        <v>420000000000000</v>
      </c>
    </row>
    <row r="36" customHeight="1" spans="1:7">
      <c r="A36" s="26" t="s">
        <v>4415</v>
      </c>
      <c r="B36" s="27">
        <v>44417</v>
      </c>
      <c r="C36" s="28">
        <v>2021</v>
      </c>
      <c r="D36" s="29" t="s">
        <v>5287</v>
      </c>
      <c r="E36" s="30">
        <v>7450000000000</v>
      </c>
      <c r="F36" s="30">
        <v>14900000000000</v>
      </c>
      <c r="G36" s="29"/>
    </row>
    <row r="37" customHeight="1" spans="1:7">
      <c r="A37" s="29"/>
      <c r="B37" s="27"/>
      <c r="C37" s="28"/>
      <c r="D37" s="29"/>
      <c r="E37" s="30"/>
      <c r="F37" s="30"/>
      <c r="G37" s="29"/>
    </row>
  </sheetData>
  <autoFilter ref="A1:G36">
    <sortState ref="A1:G36">
      <sortCondition ref="B1:B36"/>
    </sortState>
    <extLst/>
  </autoFilter>
  <mergeCells count="5">
    <mergeCell ref="D21:E21"/>
    <mergeCell ref="D22:E22"/>
    <mergeCell ref="D26:E26"/>
    <mergeCell ref="D27:E27"/>
    <mergeCell ref="D35:E35"/>
  </mergeCells>
  <hyperlinks>
    <hyperlink ref="A2" r:id="rId1" display="https://arxiv.org/abs/1207.0580"/>
    <hyperlink ref="A3" r:id="rId2" display="https://papers.nips.cc/paper/4824-imagenet-classification-with-deep-convolutional-neural-networks.pdf"/>
    <hyperlink ref="A4" r:id="rId3" display="https://arxiv.org/abs/1311.2901"/>
    <hyperlink ref="A5" r:id="rId4" display="https://arxiv.org/pdf/1409.1556.pdf"/>
    <hyperlink ref="A6" r:id="rId5" display="https://arxiv.org/abs/1409.3215"/>
    <hyperlink ref="A7" r:id="rId6" display="https://arxiv.org/abs/1512.02595"/>
    <hyperlink ref="A8" r:id="rId7" display="https://arxiv.org/pdf/1512.02595.pdf"/>
    <hyperlink ref="A9" r:id="rId7" display="https://arxiv.org/pdf/1512.02595.pdf"/>
    <hyperlink ref="A10" r:id="rId8" display="https://arxiv.org/abs/1609.08144"/>
    <hyperlink ref="A11" r:id="rId9" display="https://arxiv.org/abs/1610.02357"/>
    <hyperlink ref="A12" r:id="rId10" display="https://arxiv.org/pdf/1609.08144.pdf"/>
    <hyperlink ref="A13" r:id="rId11" display="https://arxiv.org/abs/1611.01578"/>
    <hyperlink ref="A14" r:id="rId12" display="https://arxiv.org/abs/1701.06538"/>
    <hyperlink ref="A15" r:id="rId13" display="https://arxiv.org/pdf/1610.02357.pdf"/>
    <hyperlink ref="A16" r:id="rId14" display="https://proceedings.neurips.cc/paper/2017/file/3f5ee243547dee91fbd053c1c4a845aa-Paper.pdf"/>
    <hyperlink ref="A17" r:id="rId15" display="https://arxiv.org/pdf/1707.02968.pdf"/>
    <hyperlink ref="A18" r:id="rId16" display="https://arxiv.org/abs/1802.01561"/>
    <hyperlink ref="A19" r:id="rId17" display="https://arxiv.org/abs/1804.02767"/>
    <hyperlink ref="A20" r:id="rId17" display="https://arxiv.org/abs/1804.02767"/>
    <hyperlink ref="A21" r:id="rId18" display="https://arxiv.org/abs/1809.11096"/>
    <hyperlink ref="A22" r:id="rId19" display="https://arxiv.org/pdf/1807.11626.pdf"/>
    <hyperlink ref="A23" r:id="rId20" display="https://arxiv.org/abs/1909.08053"/>
    <hyperlink ref="A24" r:id="rId21" display="https://arxiv.org/pdf/1903.11059.pdf"/>
    <hyperlink ref="A25" r:id="rId22" display="https://arxiv.org/abs/1910.07113"/>
    <hyperlink ref="A26" r:id="rId23" display="https://arxiv.org/abs/1910.10683"/>
    <hyperlink ref="A27" r:id="rId24" display="https://arxiv.org/abs/2002.05709"/>
    <hyperlink ref="A28" r:id="rId25" display="https://arxiv.org/abs/2005.14165"/>
    <hyperlink ref="A29" r:id="rId26" display="https://openai.com/blog/image-gpt/"/>
    <hyperlink ref="A30" r:id="rId27" display="https://arxiv.org/pdf/2006.11477.pdf"/>
    <hyperlink ref="A31" r:id="rId27" display="https://arxiv.org/pdf/2006.11477.pdf"/>
    <hyperlink ref="A32" r:id="rId28" display="https://arxiv.org/pdf/2103.01988.pdf"/>
    <hyperlink ref="A33" r:id="rId29" display="https://arxiv.org/abs/2104.05158"/>
    <hyperlink ref="A34" r:id="rId30" display="https://arxiv.org/pdf/2104.00298v3.pdf"/>
    <hyperlink ref="A35" r:id="rId30" display="https://arxiv.org/pdf/2104.00298v3.pdf"/>
    <hyperlink ref="A36" r:id="rId31" display="https://arxiv.org/pdf/2105.15082.pdf"/>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8"/>
  <sheetViews>
    <sheetView workbookViewId="0">
      <pane ySplit="1" topLeftCell="A2" activePane="bottomLeft" state="frozen"/>
      <selection/>
      <selection pane="bottomLeft" activeCell="B3" sqref="B3"/>
    </sheetView>
  </sheetViews>
  <sheetFormatPr defaultColWidth="12.6285714285714" defaultRowHeight="15.75" customHeight="1" outlineLevelRow="7" outlineLevelCol="1"/>
  <cols>
    <col min="1" max="1" width="31.1333333333333" customWidth="1"/>
  </cols>
  <sheetData>
    <row r="1" customHeight="1" spans="1:2">
      <c r="A1" s="1" t="s">
        <v>8</v>
      </c>
      <c r="B1" s="1" t="s">
        <v>9</v>
      </c>
    </row>
    <row r="2" customHeight="1" spans="1:2">
      <c r="A2" s="22" t="s">
        <v>5291</v>
      </c>
      <c r="B2" s="23" t="s">
        <v>5292</v>
      </c>
    </row>
    <row r="3" customHeight="1" spans="1:2">
      <c r="A3" s="22" t="s">
        <v>5293</v>
      </c>
      <c r="B3" s="23" t="s">
        <v>5294</v>
      </c>
    </row>
    <row r="4" customHeight="1" spans="1:2">
      <c r="A4" s="22" t="s">
        <v>5295</v>
      </c>
      <c r="B4" s="23" t="s">
        <v>5296</v>
      </c>
    </row>
    <row r="5" customHeight="1" spans="1:2">
      <c r="A5" s="24" t="s">
        <v>5297</v>
      </c>
      <c r="B5" s="23" t="s">
        <v>5298</v>
      </c>
    </row>
    <row r="6" customHeight="1" spans="1:2">
      <c r="A6" s="22" t="s">
        <v>5299</v>
      </c>
      <c r="B6" s="23" t="s">
        <v>5300</v>
      </c>
    </row>
    <row r="7" customHeight="1" spans="1:2">
      <c r="A7" s="22" t="s">
        <v>5301</v>
      </c>
      <c r="B7" s="23" t="s">
        <v>5302</v>
      </c>
    </row>
    <row r="8" customHeight="1" spans="1:2">
      <c r="A8" s="22" t="s">
        <v>5303</v>
      </c>
      <c r="B8" s="23" t="s">
        <v>5304</v>
      </c>
    </row>
  </sheetData>
  <hyperlinks>
    <hyperlink ref="B2" r:id="rId3" display="https://mailchi.mp/79ac4ef6d9da/an-154what-economic-growth-theory-has-to-say-about-transformative-ai"/>
    <hyperlink ref="B3" r:id="rId4" display="https://us13.campaign-archive.com/?u=67bd06787e84d73db24fb0aa5&amp;id=c6b2399af9"/>
    <hyperlink ref="B4" r:id="rId5" display="https://towardsdatascience.com/parameter-counts-in-machine-learning-a312dc4753d0"/>
    <hyperlink ref="A5" r:id="rId6" display="Neurons.ai"/>
    <hyperlink ref="B5" r:id="rId7" display="https://neurons.ai/blog/news-stories/parameter-counts-in-machine-learning-by-jaime-sevilla-jul-2021-towards-data-science/"/>
    <hyperlink ref="B6" r:id="rId8" display="https://forum.effectivealtruism.org/posts/BHPxe8YuuJ4SZWAF3/compute-transformative-ai-and-compute-1-4"/>
    <hyperlink ref="B7" r:id="rId9" display="https://twitter.com/albrgr/status/1441068221231026188"/>
    <hyperlink ref="B8" r:id="rId10" display="https://forum.effectivealtruism.org/posts/aSDnzAm85a3Pi87rm/what-role-should-evolutionary-analogies-play-in"/>
  </hyperlinks>
  <pageMargins left="0.75" right="0.75" top="1" bottom="1" header="0.5" footer="0.5"/>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7"/>
  <sheetViews>
    <sheetView workbookViewId="0">
      <selection activeCell="A1" sqref="A1:J1"/>
    </sheetView>
  </sheetViews>
  <sheetFormatPr defaultColWidth="12.6285714285714" defaultRowHeight="15.75" customHeight="1"/>
  <cols>
    <col min="1" max="1" width="13" customWidth="1"/>
  </cols>
  <sheetData>
    <row r="1" customHeight="1" spans="1:10">
      <c r="A1" s="7" t="s">
        <v>5305</v>
      </c>
      <c r="B1" s="8"/>
      <c r="C1" s="8"/>
      <c r="D1" s="8"/>
      <c r="E1" s="8"/>
      <c r="F1" s="8"/>
      <c r="G1" s="8"/>
      <c r="H1" s="8"/>
      <c r="I1" s="8"/>
      <c r="J1" s="17"/>
    </row>
    <row r="2" customHeight="1" spans="1:11">
      <c r="A2" s="9" t="s">
        <v>1</v>
      </c>
      <c r="B2" s="10" t="s">
        <v>5306</v>
      </c>
      <c r="C2" s="10" t="s">
        <v>5307</v>
      </c>
      <c r="D2" s="10" t="s">
        <v>5308</v>
      </c>
      <c r="E2" s="10" t="s">
        <v>5309</v>
      </c>
      <c r="F2" s="10" t="s">
        <v>5310</v>
      </c>
      <c r="G2" s="10" t="s">
        <v>5311</v>
      </c>
      <c r="H2" s="10" t="s">
        <v>5312</v>
      </c>
      <c r="I2" s="10" t="s">
        <v>5313</v>
      </c>
      <c r="J2" s="18" t="s">
        <v>5314</v>
      </c>
      <c r="K2" s="19" t="s">
        <v>5315</v>
      </c>
    </row>
    <row r="3" customHeight="1" spans="1:11">
      <c r="A3" s="11" t="s">
        <v>51</v>
      </c>
      <c r="B3" s="12">
        <f>COUNTIFS('ALL ML SYSTEMS'!$B:$B,$A3,'ALL ML SYSTEMS'!$H:$H,"&lt;1961")</f>
        <v>21</v>
      </c>
      <c r="C3" s="12">
        <f>COUNTIFS('ALL ML SYSTEMS'!$B:$B,$A3,'ALL ML SYSTEMS'!$H:$H,"&lt;1971")-B3</f>
        <v>0</v>
      </c>
      <c r="D3" s="12">
        <f>COUNTIFS('ALL ML SYSTEMS'!$B:$B,$A3,'ALL ML SYSTEMS'!$H:$H,"&lt;1981")-SUM(B3:C3)</f>
        <v>0</v>
      </c>
      <c r="E3" s="12">
        <f>COUNTIFS('ALL ML SYSTEMS'!$B:$B,$A3,'ALL ML SYSTEMS'!$H:$H,"&lt;1991")-SUM(B3:D3)</f>
        <v>0</v>
      </c>
      <c r="F3" s="12">
        <f>COUNTIFS('ALL ML SYSTEMS'!$B:$B,$A3,'ALL ML SYSTEMS'!$H:$H,"&lt;2000")-SUM(B3:E3)</f>
        <v>0</v>
      </c>
      <c r="G3" s="12">
        <f>COUNTIFS('ALL ML SYSTEMS'!$B:$B,$A3,'ALL ML SYSTEMS'!$H:$H,"&lt;2006")-SUM(B3:F3)</f>
        <v>0</v>
      </c>
      <c r="H3" s="12">
        <f>COUNTIFS('ALL ML SYSTEMS'!$B:$B,$A3,'ALL ML SYSTEMS'!$H:$H,"&lt;2011")-SUM(B3:G3)</f>
        <v>0</v>
      </c>
      <c r="I3" s="12">
        <f>COUNTIFS('ALL ML SYSTEMS'!$B:$B,$A3,'ALL ML SYSTEMS'!$H:$H,"&lt;2015")-SUM(B3:H3)</f>
        <v>0</v>
      </c>
      <c r="J3" s="20">
        <f>COUNTIFS('ALL ML SYSTEMS'!$B:$B,$A3,'ALL ML SYSTEMS'!$H:$H,"&lt;2050")-SUM(B3:I3)</f>
        <v>21</v>
      </c>
      <c r="K3" s="16">
        <f t="shared" ref="K3:K16" si="0">SUM(B3:J3)</f>
        <v>42</v>
      </c>
    </row>
    <row r="4" customHeight="1" spans="1:11">
      <c r="A4" s="11" t="s">
        <v>41</v>
      </c>
      <c r="B4" s="12">
        <f>COUNTIFS('ALL ML SYSTEMS'!$B:$B,$A4,'ALL ML SYSTEMS'!$H:$H,"&lt;1961")</f>
        <v>35</v>
      </c>
      <c r="C4" s="12">
        <f>COUNTIFS('ALL ML SYSTEMS'!$B:$B,$A4,'ALL ML SYSTEMS'!$H:$H,"&lt;1971")-B4</f>
        <v>0</v>
      </c>
      <c r="D4" s="12">
        <f>COUNTIFS('ALL ML SYSTEMS'!$B:$B,$A4,'ALL ML SYSTEMS'!$H:$H,"&lt;1981")-SUM(B4:C4)</f>
        <v>1</v>
      </c>
      <c r="E4" s="12">
        <f>COUNTIFS('ALL ML SYSTEMS'!$B:$B,$A4,'ALL ML SYSTEMS'!$H:$H,"&lt;1991")-SUM(B4:D4)</f>
        <v>0</v>
      </c>
      <c r="F4" s="12">
        <f>COUNTIFS('ALL ML SYSTEMS'!$B:$B,$A4,'ALL ML SYSTEMS'!$H:$H,"&lt;2000")-SUM(B4:E4)</f>
        <v>2</v>
      </c>
      <c r="G4" s="12">
        <f>COUNTIFS('ALL ML SYSTEMS'!$B:$B,$A4,'ALL ML SYSTEMS'!$H:$H,"&lt;2006")-SUM(B4:F4)</f>
        <v>2</v>
      </c>
      <c r="H4" s="12">
        <f>COUNTIFS('ALL ML SYSTEMS'!$B:$B,$A4,'ALL ML SYSTEMS'!$H:$H,"&lt;2011")-SUM(B4:G4)</f>
        <v>0</v>
      </c>
      <c r="I4" s="12">
        <f>COUNTIFS('ALL ML SYSTEMS'!$B:$B,$A4,'ALL ML SYSTEMS'!$H:$H,"&lt;2015")-SUM(B4:H4)</f>
        <v>1</v>
      </c>
      <c r="J4" s="20">
        <f>COUNTIFS('ALL ML SYSTEMS'!$B:$B,$A4,'ALL ML SYSTEMS'!$H:$H,"&lt;2050")-SUM(B4:I4)</f>
        <v>6</v>
      </c>
      <c r="K4" s="16">
        <f t="shared" si="0"/>
        <v>47</v>
      </c>
    </row>
    <row r="5" customHeight="1" spans="1:11">
      <c r="A5" s="11" t="s">
        <v>256</v>
      </c>
      <c r="B5" s="12">
        <f>COUNTIFS('ALL ML SYSTEMS'!$B:$B,$A5,'ALL ML SYSTEMS'!$H:$H,"&lt;1961")</f>
        <v>6</v>
      </c>
      <c r="C5" s="12">
        <f>COUNTIFS('ALL ML SYSTEMS'!$B:$B,$A5,'ALL ML SYSTEMS'!$H:$H,"&lt;1971")-B5</f>
        <v>0</v>
      </c>
      <c r="D5" s="12">
        <f>COUNTIFS('ALL ML SYSTEMS'!$B:$B,$A5,'ALL ML SYSTEMS'!$H:$H,"&lt;1981")-SUM(B5:C5)</f>
        <v>0</v>
      </c>
      <c r="E5" s="12">
        <f>COUNTIFS('ALL ML SYSTEMS'!$B:$B,$A5,'ALL ML SYSTEMS'!$H:$H,"&lt;1991")-SUM(B5:D5)</f>
        <v>0</v>
      </c>
      <c r="F5" s="12">
        <f>COUNTIFS('ALL ML SYSTEMS'!$B:$B,$A5,'ALL ML SYSTEMS'!$H:$H,"&lt;2000")-SUM(B5:E5)</f>
        <v>0</v>
      </c>
      <c r="G5" s="12">
        <f>COUNTIFS('ALL ML SYSTEMS'!$B:$B,$A5,'ALL ML SYSTEMS'!$H:$H,"&lt;2006")-SUM(B5:F5)</f>
        <v>0</v>
      </c>
      <c r="H5" s="12">
        <f>COUNTIFS('ALL ML SYSTEMS'!$B:$B,$A5,'ALL ML SYSTEMS'!$H:$H,"&lt;2011")-SUM(B5:G5)</f>
        <v>0</v>
      </c>
      <c r="I5" s="12">
        <f>COUNTIFS('ALL ML SYSTEMS'!$B:$B,$A5,'ALL ML SYSTEMS'!$H:$H,"&lt;2015")-SUM(B5:H5)</f>
        <v>0</v>
      </c>
      <c r="J5" s="20">
        <f>COUNTIFS('ALL ML SYSTEMS'!$B:$B,$A5,'ALL ML SYSTEMS'!$H:$H,"&lt;2050")-SUM(B5:I5)</f>
        <v>5</v>
      </c>
      <c r="K5" s="16">
        <f t="shared" si="0"/>
        <v>11</v>
      </c>
    </row>
    <row r="6" customHeight="1" spans="1:11">
      <c r="A6" s="11" t="s">
        <v>199</v>
      </c>
      <c r="B6" s="12">
        <f>COUNTIFS('ALL ML SYSTEMS'!$B:$B,$A6,'ALL ML SYSTEMS'!$H:$H,"&lt;1961")</f>
        <v>4</v>
      </c>
      <c r="C6" s="12">
        <f>COUNTIFS('ALL ML SYSTEMS'!$B:$B,$A6,'ALL ML SYSTEMS'!$H:$H,"&lt;1971")-B6</f>
        <v>0</v>
      </c>
      <c r="D6" s="12">
        <f>COUNTIFS('ALL ML SYSTEMS'!$B:$B,$A6,'ALL ML SYSTEMS'!$H:$H,"&lt;1981")-SUM(B6:C6)</f>
        <v>0</v>
      </c>
      <c r="E6" s="12">
        <f>COUNTIFS('ALL ML SYSTEMS'!$B:$B,$A6,'ALL ML SYSTEMS'!$H:$H,"&lt;1991")-SUM(B6:D6)</f>
        <v>0</v>
      </c>
      <c r="F6" s="12">
        <f>COUNTIFS('ALL ML SYSTEMS'!$B:$B,$A6,'ALL ML SYSTEMS'!$H:$H,"&lt;2000")-SUM(B6:E6)</f>
        <v>0</v>
      </c>
      <c r="G6" s="12">
        <f>COUNTIFS('ALL ML SYSTEMS'!$B:$B,$A6,'ALL ML SYSTEMS'!$H:$H,"&lt;2006")-SUM(B6:F6)</f>
        <v>0</v>
      </c>
      <c r="H6" s="12">
        <f>COUNTIFS('ALL ML SYSTEMS'!$B:$B,$A6,'ALL ML SYSTEMS'!$H:$H,"&lt;2011")-SUM(B6:G6)</f>
        <v>0</v>
      </c>
      <c r="I6" s="12">
        <f>COUNTIFS('ALL ML SYSTEMS'!$B:$B,$A6,'ALL ML SYSTEMS'!$H:$H,"&lt;2015")-SUM(B6:H6)</f>
        <v>0</v>
      </c>
      <c r="J6" s="20">
        <f>COUNTIFS('ALL ML SYSTEMS'!$B:$B,$A6,'ALL ML SYSTEMS'!$H:$H,"&lt;2050")-SUM(B6:I6)</f>
        <v>1</v>
      </c>
      <c r="K6" s="16">
        <f t="shared" si="0"/>
        <v>5</v>
      </c>
    </row>
    <row r="7" customHeight="1" spans="1:11">
      <c r="A7" s="11" t="s">
        <v>434</v>
      </c>
      <c r="B7" s="12">
        <f>COUNTIFS('ALL ML SYSTEMS'!$B:$B,$A7,'ALL ML SYSTEMS'!$H:$H,"&lt;1961")</f>
        <v>7</v>
      </c>
      <c r="C7" s="12">
        <f>COUNTIFS('ALL ML SYSTEMS'!$B:$B,$A7,'ALL ML SYSTEMS'!$H:$H,"&lt;1971")-B7</f>
        <v>0</v>
      </c>
      <c r="D7" s="12">
        <f>COUNTIFS('ALL ML SYSTEMS'!$B:$B,$A7,'ALL ML SYSTEMS'!$H:$H,"&lt;1981")-SUM(B7:C7)</f>
        <v>0</v>
      </c>
      <c r="E7" s="12">
        <f>COUNTIFS('ALL ML SYSTEMS'!$B:$B,$A7,'ALL ML SYSTEMS'!$H:$H,"&lt;1991")-SUM(B7:D7)</f>
        <v>0</v>
      </c>
      <c r="F7" s="12">
        <f>COUNTIFS('ALL ML SYSTEMS'!$B:$B,$A7,'ALL ML SYSTEMS'!$H:$H,"&lt;2000")-SUM(B7:E7)</f>
        <v>0</v>
      </c>
      <c r="G7" s="12">
        <f>COUNTIFS('ALL ML SYSTEMS'!$B:$B,$A7,'ALL ML SYSTEMS'!$H:$H,"&lt;2006")-SUM(B7:F7)</f>
        <v>0</v>
      </c>
      <c r="H7" s="12">
        <f>COUNTIFS('ALL ML SYSTEMS'!$B:$B,$A7,'ALL ML SYSTEMS'!$H:$H,"&lt;2011")-SUM(B7:G7)</f>
        <v>0</v>
      </c>
      <c r="I7" s="12">
        <f>COUNTIFS('ALL ML SYSTEMS'!$B:$B,$A7,'ALL ML SYSTEMS'!$H:$H,"&lt;2015")-SUM(B7:H7)</f>
        <v>0</v>
      </c>
      <c r="J7" s="20">
        <f>COUNTIFS('ALL ML SYSTEMS'!$B:$B,$A7,'ALL ML SYSTEMS'!$H:$H,"&lt;2050")-SUM(B7:I7)</f>
        <v>0</v>
      </c>
      <c r="K7" s="16">
        <f t="shared" si="0"/>
        <v>7</v>
      </c>
    </row>
    <row r="8" customHeight="1" spans="1:11">
      <c r="A8" s="11" t="s">
        <v>77</v>
      </c>
      <c r="B8" s="12">
        <f>COUNTIFS('ALL ML SYSTEMS'!$B:$B,$A8,'ALL ML SYSTEMS'!$H:$H,"&lt;1961")</f>
        <v>1</v>
      </c>
      <c r="C8" s="12">
        <f>COUNTIFS('ALL ML SYSTEMS'!$B:$B,$A8,'ALL ML SYSTEMS'!$H:$H,"&lt;1971")-B8</f>
        <v>0</v>
      </c>
      <c r="D8" s="12">
        <f>COUNTIFS('ALL ML SYSTEMS'!$B:$B,$A8,'ALL ML SYSTEMS'!$H:$H,"&lt;1981")-SUM(B8:C8)</f>
        <v>0</v>
      </c>
      <c r="E8" s="12">
        <f>COUNTIFS('ALL ML SYSTEMS'!$B:$B,$A8,'ALL ML SYSTEMS'!$H:$H,"&lt;1991")-SUM(B8:D8)</f>
        <v>0</v>
      </c>
      <c r="F8" s="12">
        <f>COUNTIFS('ALL ML SYSTEMS'!$B:$B,$A8,'ALL ML SYSTEMS'!$H:$H,"&lt;2000")-SUM(B8:E8)</f>
        <v>0</v>
      </c>
      <c r="G8" s="12">
        <f>COUNTIFS('ALL ML SYSTEMS'!$B:$B,$A8,'ALL ML SYSTEMS'!$H:$H,"&lt;2006")-SUM(B8:F8)</f>
        <v>0</v>
      </c>
      <c r="H8" s="12">
        <f>COUNTIFS('ALL ML SYSTEMS'!$B:$B,$A8,'ALL ML SYSTEMS'!$H:$H,"&lt;2011")-SUM(B8:G8)</f>
        <v>0</v>
      </c>
      <c r="I8" s="12">
        <f>COUNTIFS('ALL ML SYSTEMS'!$B:$B,$A8,'ALL ML SYSTEMS'!$H:$H,"&lt;2015")-SUM(B8:H8)</f>
        <v>0</v>
      </c>
      <c r="J8" s="20">
        <f>COUNTIFS('ALL ML SYSTEMS'!$B:$B,$A8,'ALL ML SYSTEMS'!$H:$H,"&lt;2050")-SUM(B8:I8)</f>
        <v>3</v>
      </c>
      <c r="K8" s="16">
        <f t="shared" si="0"/>
        <v>4</v>
      </c>
    </row>
    <row r="9" customHeight="1" spans="1:11">
      <c r="A9" s="11" t="s">
        <v>126</v>
      </c>
      <c r="B9" s="12">
        <f>COUNTIFS('ALL ML SYSTEMS'!$B:$B,$A9,'ALL ML SYSTEMS'!$H:$H,"&lt;1961")</f>
        <v>6</v>
      </c>
      <c r="C9" s="12">
        <f>COUNTIFS('ALL ML SYSTEMS'!$B:$B,$A9,'ALL ML SYSTEMS'!$H:$H,"&lt;1971")-B9</f>
        <v>0</v>
      </c>
      <c r="D9" s="12">
        <f>COUNTIFS('ALL ML SYSTEMS'!$B:$B,$A9,'ALL ML SYSTEMS'!$H:$H,"&lt;1981")-SUM(B9:C9)</f>
        <v>0</v>
      </c>
      <c r="E9" s="12">
        <f>COUNTIFS('ALL ML SYSTEMS'!$B:$B,$A9,'ALL ML SYSTEMS'!$H:$H,"&lt;1991")-SUM(B9:D9)</f>
        <v>0</v>
      </c>
      <c r="F9" s="12">
        <f>COUNTIFS('ALL ML SYSTEMS'!$B:$B,$A9,'ALL ML SYSTEMS'!$H:$H,"&lt;2000")-SUM(B9:E9)</f>
        <v>0</v>
      </c>
      <c r="G9" s="12">
        <f>COUNTIFS('ALL ML SYSTEMS'!$B:$B,$A9,'ALL ML SYSTEMS'!$H:$H,"&lt;2006")-SUM(B9:F9)</f>
        <v>0</v>
      </c>
      <c r="H9" s="12">
        <f>COUNTIFS('ALL ML SYSTEMS'!$B:$B,$A9,'ALL ML SYSTEMS'!$H:$H,"&lt;2011")-SUM(B9:G9)</f>
        <v>0</v>
      </c>
      <c r="I9" s="12">
        <f>COUNTIFS('ALL ML SYSTEMS'!$B:$B,$A9,'ALL ML SYSTEMS'!$H:$H,"&lt;2015")-SUM(B9:H9)</f>
        <v>0</v>
      </c>
      <c r="J9" s="20">
        <f>COUNTIFS('ALL ML SYSTEMS'!$B:$B,$A9,'ALL ML SYSTEMS'!$H:$H,"&lt;2050")-SUM(B9:I9)</f>
        <v>1</v>
      </c>
      <c r="K9" s="16">
        <f t="shared" si="0"/>
        <v>7</v>
      </c>
    </row>
    <row r="10" customHeight="1" spans="1:11">
      <c r="A10" s="11" t="s">
        <v>3789</v>
      </c>
      <c r="B10" s="12">
        <f>COUNTIFS('ALL ML SYSTEMS'!$B:$B,$A10,'ALL ML SYSTEMS'!$H:$H,"&lt;1961")</f>
        <v>0</v>
      </c>
      <c r="C10" s="12">
        <f>COUNTIFS('ALL ML SYSTEMS'!$B:$B,$A10,'ALL ML SYSTEMS'!$H:$H,"&lt;1971")-B10</f>
        <v>0</v>
      </c>
      <c r="D10" s="12">
        <f>COUNTIFS('ALL ML SYSTEMS'!$B:$B,$A10,'ALL ML SYSTEMS'!$H:$H,"&lt;1981")-SUM(B10:C10)</f>
        <v>0</v>
      </c>
      <c r="E10" s="12">
        <f>COUNTIFS('ALL ML SYSTEMS'!$B:$B,$A10,'ALL ML SYSTEMS'!$H:$H,"&lt;1991")-SUM(B10:D10)</f>
        <v>0</v>
      </c>
      <c r="F10" s="12">
        <f>COUNTIFS('ALL ML SYSTEMS'!$B:$B,$A10,'ALL ML SYSTEMS'!$H:$H,"&lt;2000")-SUM(B10:E10)</f>
        <v>0</v>
      </c>
      <c r="G10" s="12">
        <f>COUNTIFS('ALL ML SYSTEMS'!$B:$B,$A10,'ALL ML SYSTEMS'!$H:$H,"&lt;2006")-SUM(B10:F10)</f>
        <v>0</v>
      </c>
      <c r="H10" s="12">
        <f>COUNTIFS('ALL ML SYSTEMS'!$B:$B,$A10,'ALL ML SYSTEMS'!$H:$H,"&lt;2011")-SUM(B10:G10)</f>
        <v>0</v>
      </c>
      <c r="I10" s="12">
        <f>COUNTIFS('ALL ML SYSTEMS'!$B:$B,$A10,'ALL ML SYSTEMS'!$H:$H,"&lt;2015")-SUM(B10:H10)</f>
        <v>0</v>
      </c>
      <c r="J10" s="20">
        <f>COUNTIFS('ALL ML SYSTEMS'!$B:$B,$A10,'ALL ML SYSTEMS'!$H:$H,"&lt;2050")-SUM(B10:I10)</f>
        <v>0</v>
      </c>
      <c r="K10" s="16">
        <f t="shared" si="0"/>
        <v>0</v>
      </c>
    </row>
    <row r="11" customHeight="1" spans="1:11">
      <c r="A11" s="11" t="s">
        <v>1910</v>
      </c>
      <c r="B11" s="12">
        <f>COUNTIFS('ALL ML SYSTEMS'!$B:$B,$A11,'ALL ML SYSTEMS'!$H:$H,"&lt;1961")</f>
        <v>0</v>
      </c>
      <c r="C11" s="12">
        <f>COUNTIFS('ALL ML SYSTEMS'!$B:$B,$A11,'ALL ML SYSTEMS'!$H:$H,"&lt;1971")-B11</f>
        <v>0</v>
      </c>
      <c r="D11" s="12">
        <f>COUNTIFS('ALL ML SYSTEMS'!$B:$B,$A11,'ALL ML SYSTEMS'!$H:$H,"&lt;1981")-SUM(B11:C11)</f>
        <v>0</v>
      </c>
      <c r="E11" s="12">
        <f>COUNTIFS('ALL ML SYSTEMS'!$B:$B,$A11,'ALL ML SYSTEMS'!$H:$H,"&lt;1991")-SUM(B11:D11)</f>
        <v>0</v>
      </c>
      <c r="F11" s="12">
        <f>COUNTIFS('ALL ML SYSTEMS'!$B:$B,$A11,'ALL ML SYSTEMS'!$H:$H,"&lt;2000")-SUM(B11:E11)</f>
        <v>0</v>
      </c>
      <c r="G11" s="12">
        <f>COUNTIFS('ALL ML SYSTEMS'!$B:$B,$A11,'ALL ML SYSTEMS'!$H:$H,"&lt;2006")-SUM(B11:F11)</f>
        <v>0</v>
      </c>
      <c r="H11" s="12">
        <f>COUNTIFS('ALL ML SYSTEMS'!$B:$B,$A11,'ALL ML SYSTEMS'!$H:$H,"&lt;2011")-SUM(B11:G11)</f>
        <v>0</v>
      </c>
      <c r="I11" s="12">
        <f>COUNTIFS('ALL ML SYSTEMS'!$B:$B,$A11,'ALL ML SYSTEMS'!$H:$H,"&lt;2015")-SUM(B11:H11)</f>
        <v>0</v>
      </c>
      <c r="J11" s="20">
        <f>COUNTIFS('ALL ML SYSTEMS'!$B:$B,$A11,'ALL ML SYSTEMS'!$H:$H,"&lt;2050")-SUM(B11:I11)</f>
        <v>0</v>
      </c>
      <c r="K11" s="16">
        <f t="shared" si="0"/>
        <v>0</v>
      </c>
    </row>
    <row r="12" customHeight="1" spans="1:11">
      <c r="A12" s="11" t="s">
        <v>32</v>
      </c>
      <c r="B12" s="12">
        <f>COUNTIFS('ALL ML SYSTEMS'!$B:$B,$A12,'ALL ML SYSTEMS'!$H:$H,"&lt;1961")</f>
        <v>0</v>
      </c>
      <c r="C12" s="12">
        <f>COUNTIFS('ALL ML SYSTEMS'!$B:$B,$A12,'ALL ML SYSTEMS'!$H:$H,"&lt;1971")-B12</f>
        <v>0</v>
      </c>
      <c r="D12" s="12">
        <f>COUNTIFS('ALL ML SYSTEMS'!$B:$B,$A12,'ALL ML SYSTEMS'!$H:$H,"&lt;1981")-SUM(B12:C12)</f>
        <v>0</v>
      </c>
      <c r="E12" s="12">
        <f>COUNTIFS('ALL ML SYSTEMS'!$B:$B,$A12,'ALL ML SYSTEMS'!$H:$H,"&lt;1991")-SUM(B12:D12)</f>
        <v>0</v>
      </c>
      <c r="F12" s="12">
        <f>COUNTIFS('ALL ML SYSTEMS'!$B:$B,$A12,'ALL ML SYSTEMS'!$H:$H,"&lt;2000")-SUM(B12:E12)</f>
        <v>0</v>
      </c>
      <c r="G12" s="12">
        <f>COUNTIFS('ALL ML SYSTEMS'!$B:$B,$A12,'ALL ML SYSTEMS'!$H:$H,"&lt;2006")-SUM(B12:F12)</f>
        <v>0</v>
      </c>
      <c r="H12" s="12">
        <f>COUNTIFS('ALL ML SYSTEMS'!$B:$B,$A12,'ALL ML SYSTEMS'!$H:$H,"&lt;2011")-SUM(B12:G12)</f>
        <v>0</v>
      </c>
      <c r="I12" s="12">
        <f>COUNTIFS('ALL ML SYSTEMS'!$B:$B,$A12,'ALL ML SYSTEMS'!$H:$H,"&lt;2015")-SUM(B12:H12)</f>
        <v>0</v>
      </c>
      <c r="J12" s="20">
        <f>COUNTIFS('ALL ML SYSTEMS'!$B:$B,$A12,'ALL ML SYSTEMS'!$H:$H,"&lt;2050")-SUM(B12:I12)</f>
        <v>7</v>
      </c>
      <c r="K12" s="16">
        <f t="shared" si="0"/>
        <v>7</v>
      </c>
    </row>
    <row r="13" customHeight="1" spans="1:11">
      <c r="A13" s="11" t="s">
        <v>1873</v>
      </c>
      <c r="B13" s="12">
        <f>COUNTIFS('ALL ML SYSTEMS'!$B:$B,$A13,'ALL ML SYSTEMS'!$H:$H,"&lt;1961")</f>
        <v>1</v>
      </c>
      <c r="C13" s="12">
        <f>COUNTIFS('ALL ML SYSTEMS'!$B:$B,$A13,'ALL ML SYSTEMS'!$H:$H,"&lt;1971")-B13</f>
        <v>0</v>
      </c>
      <c r="D13" s="12">
        <f>COUNTIFS('ALL ML SYSTEMS'!$B:$B,$A13,'ALL ML SYSTEMS'!$H:$H,"&lt;1981")-SUM(B13:C13)</f>
        <v>0</v>
      </c>
      <c r="E13" s="12">
        <f>COUNTIFS('ALL ML SYSTEMS'!$B:$B,$A13,'ALL ML SYSTEMS'!$H:$H,"&lt;1991")-SUM(B13:D13)</f>
        <v>0</v>
      </c>
      <c r="F13" s="12">
        <f>COUNTIFS('ALL ML SYSTEMS'!$B:$B,$A13,'ALL ML SYSTEMS'!$H:$H,"&lt;2000")-SUM(B13:E13)</f>
        <v>0</v>
      </c>
      <c r="G13" s="12">
        <f>COUNTIFS('ALL ML SYSTEMS'!$B:$B,$A13,'ALL ML SYSTEMS'!$H:$H,"&lt;2006")-SUM(B13:F13)</f>
        <v>0</v>
      </c>
      <c r="H13" s="12">
        <f>COUNTIFS('ALL ML SYSTEMS'!$B:$B,$A13,'ALL ML SYSTEMS'!$H:$H,"&lt;2011")-SUM(B13:G13)</f>
        <v>0</v>
      </c>
      <c r="I13" s="12">
        <f>COUNTIFS('ALL ML SYSTEMS'!$B:$B,$A13,'ALL ML SYSTEMS'!$H:$H,"&lt;2015")-SUM(B13:H13)</f>
        <v>0</v>
      </c>
      <c r="J13" s="20">
        <f>COUNTIFS('ALL ML SYSTEMS'!$B:$B,$A13,'ALL ML SYSTEMS'!$H:$H,"&lt;2050")-SUM(B13:I13)</f>
        <v>0</v>
      </c>
      <c r="K13" s="16">
        <f t="shared" si="0"/>
        <v>1</v>
      </c>
    </row>
    <row r="14" customHeight="1" spans="1:11">
      <c r="A14" s="11" t="s">
        <v>1303</v>
      </c>
      <c r="B14" s="12">
        <f>COUNTIFS('ALL ML SYSTEMS'!$B:$B,$A14,'ALL ML SYSTEMS'!$H:$H,"&lt;1961")</f>
        <v>2</v>
      </c>
      <c r="C14" s="12">
        <f>COUNTIFS('ALL ML SYSTEMS'!$B:$B,$A14,'ALL ML SYSTEMS'!$H:$H,"&lt;1971")-B14</f>
        <v>0</v>
      </c>
      <c r="D14" s="12">
        <f>COUNTIFS('ALL ML SYSTEMS'!$B:$B,$A14,'ALL ML SYSTEMS'!$H:$H,"&lt;1981")-SUM(B14:C14)</f>
        <v>0</v>
      </c>
      <c r="E14" s="12">
        <f>COUNTIFS('ALL ML SYSTEMS'!$B:$B,$A14,'ALL ML SYSTEMS'!$H:$H,"&lt;1991")-SUM(B14:D14)</f>
        <v>0</v>
      </c>
      <c r="F14" s="12">
        <f>COUNTIFS('ALL ML SYSTEMS'!$B:$B,$A14,'ALL ML SYSTEMS'!$H:$H,"&lt;2000")-SUM(B14:E14)</f>
        <v>0</v>
      </c>
      <c r="G14" s="12">
        <f>COUNTIFS('ALL ML SYSTEMS'!$B:$B,$A14,'ALL ML SYSTEMS'!$H:$H,"&lt;2006")-SUM(B14:F14)</f>
        <v>0</v>
      </c>
      <c r="H14" s="12">
        <f>COUNTIFS('ALL ML SYSTEMS'!$B:$B,$A14,'ALL ML SYSTEMS'!$H:$H,"&lt;2011")-SUM(B14:G14)</f>
        <v>0</v>
      </c>
      <c r="I14" s="12">
        <f>COUNTIFS('ALL ML SYSTEMS'!$B:$B,$A14,'ALL ML SYSTEMS'!$H:$H,"&lt;2015")-SUM(B14:H14)</f>
        <v>0</v>
      </c>
      <c r="J14" s="20">
        <f>COUNTIFS('ALL ML SYSTEMS'!$B:$B,$A14,'ALL ML SYSTEMS'!$H:$H,"&lt;2050")-SUM(B14:I14)</f>
        <v>0</v>
      </c>
      <c r="K14" s="16">
        <f t="shared" si="0"/>
        <v>2</v>
      </c>
    </row>
    <row r="15" customHeight="1" spans="1:11">
      <c r="A15" s="11" t="s">
        <v>804</v>
      </c>
      <c r="B15" s="12">
        <f>COUNTIFS('ALL ML SYSTEMS'!$B:$B,$A15,'ALL ML SYSTEMS'!$H:$H,"&lt;1961")</f>
        <v>0</v>
      </c>
      <c r="C15" s="12">
        <f>COUNTIFS('ALL ML SYSTEMS'!$B:$B,$A15,'ALL ML SYSTEMS'!$H:$H,"&lt;1971")-B15</f>
        <v>0</v>
      </c>
      <c r="D15" s="12">
        <f>COUNTIFS('ALL ML SYSTEMS'!$B:$B,$A15,'ALL ML SYSTEMS'!$H:$H,"&lt;1981")-SUM(B15:C15)</f>
        <v>0</v>
      </c>
      <c r="E15" s="12">
        <f>COUNTIFS('ALL ML SYSTEMS'!$B:$B,$A15,'ALL ML SYSTEMS'!$H:$H,"&lt;1991")-SUM(B15:D15)</f>
        <v>0</v>
      </c>
      <c r="F15" s="12">
        <f>COUNTIFS('ALL ML SYSTEMS'!$B:$B,$A15,'ALL ML SYSTEMS'!$H:$H,"&lt;2000")-SUM(B15:E15)</f>
        <v>0</v>
      </c>
      <c r="G15" s="12">
        <f>COUNTIFS('ALL ML SYSTEMS'!$B:$B,$A15,'ALL ML SYSTEMS'!$H:$H,"&lt;2006")-SUM(B15:F15)</f>
        <v>0</v>
      </c>
      <c r="H15" s="12">
        <f>COUNTIFS('ALL ML SYSTEMS'!$B:$B,$A15,'ALL ML SYSTEMS'!$H:$H,"&lt;2011")-SUM(B15:G15)</f>
        <v>0</v>
      </c>
      <c r="I15" s="12">
        <f>COUNTIFS('ALL ML SYSTEMS'!$B:$B,$A15,'ALL ML SYSTEMS'!$H:$H,"&lt;2015")-SUM(B15:H15)</f>
        <v>0</v>
      </c>
      <c r="J15" s="20">
        <f>COUNTIFS('ALL ML SYSTEMS'!$B:$B,$A15,'ALL ML SYSTEMS'!$H:$H,"&lt;2050")-SUM(B15:I15)</f>
        <v>0</v>
      </c>
      <c r="K15" s="16">
        <f t="shared" si="0"/>
        <v>0</v>
      </c>
    </row>
    <row r="16" customHeight="1" spans="1:11">
      <c r="A16" s="13" t="s">
        <v>524</v>
      </c>
      <c r="B16" s="14">
        <f>COUNTIFS('ALL ML SYSTEMS'!$B:$B,$A16,'ALL ML SYSTEMS'!$H:$H,"&lt;1961")</f>
        <v>0</v>
      </c>
      <c r="C16" s="14">
        <f>COUNTIFS('ALL ML SYSTEMS'!$B:$B,$A16,'ALL ML SYSTEMS'!$H:$H,"&lt;1971")-B16</f>
        <v>0</v>
      </c>
      <c r="D16" s="14">
        <f>COUNTIFS('ALL ML SYSTEMS'!$B:$B,$A16,'ALL ML SYSTEMS'!$H:$H,"&lt;1981")-SUM(B16:C16)</f>
        <v>0</v>
      </c>
      <c r="E16" s="14">
        <f>COUNTIFS('ALL ML SYSTEMS'!$B:$B,$A16,'ALL ML SYSTEMS'!$H:$H,"&lt;1991")-SUM(B16:D16)</f>
        <v>0</v>
      </c>
      <c r="F16" s="14">
        <f>COUNTIFS('ALL ML SYSTEMS'!$B:$B,$A16,'ALL ML SYSTEMS'!$H:$H,"&lt;2000")-SUM(B16:E16)</f>
        <v>0</v>
      </c>
      <c r="G16" s="14">
        <f>COUNTIFS('ALL ML SYSTEMS'!$B:$B,$A16,'ALL ML SYSTEMS'!$H:$H,"&lt;2006")-SUM(B16:F16)</f>
        <v>0</v>
      </c>
      <c r="H16" s="14">
        <f>COUNTIFS('ALL ML SYSTEMS'!$B:$B,$A16,'ALL ML SYSTEMS'!$H:$H,"&lt;2011")-SUM(B16:G16)</f>
        <v>0</v>
      </c>
      <c r="I16" s="14">
        <f>COUNTIFS('ALL ML SYSTEMS'!$B:$B,$A16,'ALL ML SYSTEMS'!$H:$H,"&lt;2015")-SUM(B16:H16)</f>
        <v>0</v>
      </c>
      <c r="J16" s="21">
        <f>COUNTIFS('ALL ML SYSTEMS'!$B:$B,$A16,'ALL ML SYSTEMS'!$H:$H,"&lt;2050")-SUM(B16:I16)</f>
        <v>0</v>
      </c>
      <c r="K16" s="16">
        <f t="shared" si="0"/>
        <v>0</v>
      </c>
    </row>
    <row r="17" customHeight="1" spans="1:11">
      <c r="A17" s="15" t="s">
        <v>5315</v>
      </c>
      <c r="B17" s="16">
        <f t="shared" ref="B17:K17" si="1">SUM(B2:B16)</f>
        <v>83</v>
      </c>
      <c r="C17" s="16">
        <f t="shared" si="1"/>
        <v>0</v>
      </c>
      <c r="D17" s="16">
        <f t="shared" si="1"/>
        <v>1</v>
      </c>
      <c r="E17" s="16">
        <f t="shared" si="1"/>
        <v>0</v>
      </c>
      <c r="F17" s="16">
        <f t="shared" si="1"/>
        <v>2</v>
      </c>
      <c r="G17" s="16">
        <f t="shared" si="1"/>
        <v>2</v>
      </c>
      <c r="H17" s="16">
        <f t="shared" si="1"/>
        <v>0</v>
      </c>
      <c r="I17" s="16">
        <f t="shared" si="1"/>
        <v>1</v>
      </c>
      <c r="J17" s="16">
        <f t="shared" si="1"/>
        <v>44</v>
      </c>
      <c r="K17" s="16">
        <f t="shared" si="1"/>
        <v>133</v>
      </c>
    </row>
  </sheetData>
  <mergeCells count="1">
    <mergeCell ref="A1:J1"/>
  </mergeCells>
  <conditionalFormatting sqref="B3:J5">
    <cfRule type="colorScale" priority="1">
      <colorScale>
        <cfvo type="min"/>
        <cfvo type="percentile" val="35"/>
        <cfvo type="max"/>
        <color rgb="FFE67C73"/>
        <color rgb="FFFFFFFF"/>
        <color rgb="FF57BB8A"/>
      </colorScale>
    </cfRule>
  </conditionalFormatting>
  <pageMargins left="0.75" right="0.75" top="1" bottom="1" header="0.5" footer="0.5"/>
  <headerFooter/>
  <tableParts count="2">
    <tablePart r:id="rId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10"/>
  <sheetViews>
    <sheetView workbookViewId="0">
      <pane ySplit="1" topLeftCell="A2" activePane="bottomLeft" state="frozen"/>
      <selection/>
      <selection pane="bottomLeft" activeCell="B3" sqref="B3"/>
    </sheetView>
  </sheetViews>
  <sheetFormatPr defaultColWidth="12.6285714285714" defaultRowHeight="15.75" customHeight="1" outlineLevelCol="5"/>
  <sheetData>
    <row r="1" customHeight="1" spans="1:6">
      <c r="A1" s="1" t="s">
        <v>5316</v>
      </c>
      <c r="B1" s="1" t="s">
        <v>5076</v>
      </c>
      <c r="C1" s="1" t="s">
        <v>8</v>
      </c>
      <c r="D1" s="1" t="s">
        <v>9</v>
      </c>
      <c r="E1" s="2" t="s">
        <v>1</v>
      </c>
      <c r="F1" s="2" t="s">
        <v>5317</v>
      </c>
    </row>
    <row r="2" customHeight="1" spans="1:4">
      <c r="A2" s="3" t="s">
        <v>2071</v>
      </c>
      <c r="B2" s="4">
        <v>1967</v>
      </c>
      <c r="C2" s="4"/>
      <c r="D2" s="4"/>
    </row>
    <row r="3" customHeight="1" spans="1:4">
      <c r="A3" s="3" t="s">
        <v>1647</v>
      </c>
      <c r="B3" s="5"/>
      <c r="C3" s="4"/>
      <c r="D3" s="4"/>
    </row>
    <row r="4" customHeight="1" spans="1:4">
      <c r="A4" s="3" t="s">
        <v>5318</v>
      </c>
      <c r="B4" s="5"/>
      <c r="C4" s="4"/>
      <c r="D4" s="4"/>
    </row>
    <row r="5" customHeight="1" spans="1:4">
      <c r="A5" s="3" t="s">
        <v>5319</v>
      </c>
      <c r="B5" s="5">
        <v>39356</v>
      </c>
      <c r="C5" s="4" t="s">
        <v>5320</v>
      </c>
      <c r="D5" s="6" t="s">
        <v>5321</v>
      </c>
    </row>
    <row r="6" customHeight="1" spans="1:4">
      <c r="A6" s="3" t="s">
        <v>184</v>
      </c>
      <c r="B6" s="4">
        <v>2009</v>
      </c>
      <c r="C6" s="4" t="s">
        <v>5322</v>
      </c>
      <c r="D6" s="6" t="s">
        <v>5323</v>
      </c>
    </row>
    <row r="7" customHeight="1" spans="1:2">
      <c r="A7" s="3" t="s">
        <v>5324</v>
      </c>
      <c r="B7" s="4">
        <v>2015</v>
      </c>
    </row>
    <row r="8" customHeight="1" spans="1:2">
      <c r="A8" s="3" t="s">
        <v>775</v>
      </c>
      <c r="B8" s="4">
        <v>2019</v>
      </c>
    </row>
    <row r="9" customHeight="1" spans="1:1">
      <c r="A9" s="3" t="s">
        <v>5325</v>
      </c>
    </row>
    <row r="10" customHeight="1" spans="1:1">
      <c r="A10" s="3" t="s">
        <v>1142</v>
      </c>
    </row>
  </sheetData>
  <hyperlinks>
    <hyperlink ref="D5" r:id="rId1" location="reference" display="http://vis-www.cs.umass.edu/lfw/#reference"/>
    <hyperlink ref="D6" r:id="rId2" display="http://image-net.org/static_files/papers/ImageNet_VSS2009.pdf"/>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AD1007"/>
  <sheetViews>
    <sheetView workbookViewId="0">
      <pane xSplit="1" ySplit="1" topLeftCell="B2" activePane="bottomRight" state="frozen"/>
      <selection/>
      <selection pane="topRight"/>
      <selection pane="bottomLeft"/>
      <selection pane="bottomRight" activeCell="B2" sqref="B2"/>
    </sheetView>
  </sheetViews>
  <sheetFormatPr defaultColWidth="12.6285714285714" defaultRowHeight="15.75" customHeight="1"/>
  <cols>
    <col min="4" max="4" width="13.247619047619" customWidth="1"/>
    <col min="9" max="9" width="25.752380952381" customWidth="1"/>
  </cols>
  <sheetData>
    <row r="1" customHeight="1" spans="1:30">
      <c r="A1" s="321" t="s">
        <v>0</v>
      </c>
      <c r="B1" s="321" t="s">
        <v>1</v>
      </c>
      <c r="C1" s="321" t="s">
        <v>2</v>
      </c>
      <c r="D1" s="321" t="s">
        <v>3</v>
      </c>
      <c r="E1" s="321" t="s">
        <v>4</v>
      </c>
      <c r="F1" s="321" t="s">
        <v>5</v>
      </c>
      <c r="G1" s="321" t="s">
        <v>6</v>
      </c>
      <c r="H1" s="322" t="s">
        <v>7</v>
      </c>
      <c r="I1" s="321" t="s">
        <v>8</v>
      </c>
      <c r="J1" s="321" t="s">
        <v>9</v>
      </c>
      <c r="K1" s="321" t="s">
        <v>10</v>
      </c>
      <c r="L1" s="321" t="s">
        <v>11</v>
      </c>
      <c r="M1" s="331" t="s">
        <v>12</v>
      </c>
      <c r="N1" s="331" t="s">
        <v>13</v>
      </c>
      <c r="O1" s="332" t="s">
        <v>2512</v>
      </c>
      <c r="P1" s="333" t="s">
        <v>15</v>
      </c>
      <c r="Q1" s="331" t="s">
        <v>16</v>
      </c>
      <c r="R1" s="321" t="s">
        <v>17</v>
      </c>
      <c r="S1" s="331" t="s">
        <v>2513</v>
      </c>
      <c r="T1" s="321" t="s">
        <v>19</v>
      </c>
      <c r="U1" s="321" t="s">
        <v>20</v>
      </c>
      <c r="V1" s="321" t="s">
        <v>21</v>
      </c>
      <c r="W1" s="321" t="s">
        <v>22</v>
      </c>
      <c r="X1" s="321" t="s">
        <v>23</v>
      </c>
      <c r="Y1" s="321" t="s">
        <v>24</v>
      </c>
      <c r="Z1" s="321" t="s">
        <v>25</v>
      </c>
      <c r="AA1" s="321" t="s">
        <v>2514</v>
      </c>
      <c r="AB1" s="321" t="s">
        <v>27</v>
      </c>
      <c r="AC1" s="321" t="s">
        <v>28</v>
      </c>
      <c r="AD1" s="321" t="s">
        <v>29</v>
      </c>
    </row>
    <row r="2" customHeight="1" spans="1:30">
      <c r="A2" s="323" t="str">
        <f>'ALL ML SYSTEMS'!A2</f>
        <v>GPT-4</v>
      </c>
      <c r="B2" s="323" t="str">
        <f>'ALL ML SYSTEMS'!B2</f>
        <v>Multimodal</v>
      </c>
      <c r="C2" s="323" t="str">
        <f>'ALL ML SYSTEMS'!C2</f>
        <v>Language modelling</v>
      </c>
      <c r="D2" s="323" t="str">
        <f>'ALL ML SYSTEMS'!D2</f>
        <v>OpenAI</v>
      </c>
      <c r="E2" s="323" t="str">
        <f>'ALL ML SYSTEMS'!E2</f>
        <v>Industry</v>
      </c>
      <c r="F2" s="323" t="str">
        <f>'ALL ML SYSTEMS'!F2</f>
        <v>OpenAI</v>
      </c>
      <c r="G2" s="324">
        <f>'ALL ML SYSTEMS'!G2</f>
        <v>45000</v>
      </c>
      <c r="H2" s="323">
        <f>'ALL ML SYSTEMS'!H2</f>
        <v>2023</v>
      </c>
      <c r="I2" s="323" t="str">
        <f>'ALL ML SYSTEMS'!I2</f>
        <v>GPT-4 Technical Report</v>
      </c>
      <c r="J2" s="334" t="str">
        <f>'ALL ML SYSTEMS'!J2</f>
        <v>https://arxiv.org/abs/2303.08774</v>
      </c>
      <c r="K2" s="335">
        <f>'ALL ML SYSTEMS'!K2</f>
        <v>0</v>
      </c>
      <c r="L2" s="323" t="str">
        <f>'ALL ML SYSTEMS'!L2</f>
        <v>SOTA Improvement</v>
      </c>
      <c r="M2" s="335" t="str">
        <f>'ALL ML SYSTEMS'!M2</f>
        <v>Yes</v>
      </c>
      <c r="N2" s="335">
        <f>'ALL ML SYSTEMS'!N2</f>
        <v>0</v>
      </c>
      <c r="O2" s="335">
        <f>'ALL ML SYSTEMS'!O2</f>
        <v>2.1e+25</v>
      </c>
      <c r="P2" s="336">
        <f>'ALL ML SYSTEMS'!P2</f>
        <v>0</v>
      </c>
      <c r="Q2" s="335">
        <f>'ALL ML SYSTEMS'!Q2</f>
        <v>0</v>
      </c>
      <c r="R2" s="323">
        <f>'ALL ML SYSTEMS'!R2</f>
        <v>0</v>
      </c>
      <c r="S2" s="323">
        <f>'ALL ML SYSTEMS'!S2</f>
        <v>0</v>
      </c>
      <c r="T2" s="323">
        <f>'ALL ML SYSTEMS'!T2</f>
        <v>0</v>
      </c>
      <c r="U2" s="323">
        <f>'ALL ML SYSTEMS'!U2</f>
        <v>0</v>
      </c>
      <c r="V2" s="323">
        <f>'ALL ML SYSTEMS'!V2</f>
        <v>0</v>
      </c>
      <c r="W2" s="323">
        <f>'ALL ML SYSTEMS'!W2</f>
        <v>0</v>
      </c>
      <c r="X2" s="323">
        <f>'ALL ML SYSTEMS'!X2</f>
        <v>0</v>
      </c>
      <c r="Y2" s="323">
        <f>'ALL ML SYSTEMS'!Y2</f>
        <v>0</v>
      </c>
      <c r="Z2" s="323">
        <f>'ALL ML SYSTEMS'!Z2</f>
        <v>0</v>
      </c>
      <c r="AA2" s="340">
        <f>'ALL ML SYSTEMS'!AA2</f>
        <v>0</v>
      </c>
      <c r="AB2" s="323" t="str">
        <f>'ALL ML SYSTEMS'!AB2</f>
        <v>Yes</v>
      </c>
      <c r="AC2" s="323">
        <f>'ALL ML SYSTEMS'!AC2</f>
        <v>0</v>
      </c>
      <c r="AD2" s="323">
        <f>'ALL ML SYSTEMS'!AD2</f>
        <v>0</v>
      </c>
    </row>
    <row r="3" hidden="1" customHeight="1" spans="1:30">
      <c r="A3" s="325" t="str">
        <f>'ALL ML SYSTEMS'!A3</f>
        <v>Phenaki</v>
      </c>
      <c r="B3" s="325" t="str">
        <f>'ALL ML SYSTEMS'!B3</f>
        <v>Vision</v>
      </c>
      <c r="C3" s="325" t="str">
        <f>'ALL ML SYSTEMS'!C3</f>
        <v>Video generation</v>
      </c>
      <c r="D3" s="325" t="str">
        <f>'ALL ML SYSTEMS'!D3</f>
        <v>Google Brain, University College London, University of Michigan</v>
      </c>
      <c r="E3" s="325" t="str">
        <f>'ALL ML SYSTEMS'!E3</f>
        <v>Industry - Academia Collaboration (Industry leaning)</v>
      </c>
      <c r="F3" s="325" t="str">
        <f>'ALL ML SYSTEMS'!F3</f>
        <v>Ruben Villegas, Mohammad Babaeizadeh, Pieter-Jan Kindermans, Hernan Moraldo, Han Zhang, Mohammad Taghi Saffar, Santiago Castro, Julius Kunze, Dumitru Erhan</v>
      </c>
      <c r="G3" s="326">
        <f>'ALL ML SYSTEMS'!G3</f>
        <v>44839</v>
      </c>
      <c r="H3" s="325">
        <f>'ALL ML SYSTEMS'!H3</f>
        <v>2022</v>
      </c>
      <c r="I3" s="325" t="str">
        <f>'ALL ML SYSTEMS'!I3</f>
        <v>Phenaki: Variable Length Video Generation From Open Domain Textual Description</v>
      </c>
      <c r="J3" s="337" t="str">
        <f>'ALL ML SYSTEMS'!J3</f>
        <v>https://arxiv.org/abs/2210.02399</v>
      </c>
      <c r="K3" s="338">
        <f>'ALL ML SYSTEMS'!K3</f>
        <v>0</v>
      </c>
      <c r="L3" s="325">
        <f>'ALL ML SYSTEMS'!L3</f>
        <v>0</v>
      </c>
      <c r="M3" s="338" t="str">
        <f>'ALL ML SYSTEMS'!M3</f>
        <v>No</v>
      </c>
      <c r="N3" s="338">
        <f>'ALL ML SYSTEMS'!N3</f>
        <v>1800000000</v>
      </c>
      <c r="O3" s="338">
        <f>'ALL ML SYSTEMS'!O3</f>
        <v>0</v>
      </c>
      <c r="P3" s="339">
        <f>'ALL ML SYSTEMS'!P3</f>
        <v>0</v>
      </c>
      <c r="Q3" s="338">
        <f>'ALL ML SYSTEMS'!Q3</f>
        <v>0</v>
      </c>
      <c r="R3" s="325">
        <f>'ALL ML SYSTEMS'!R3</f>
        <v>0</v>
      </c>
      <c r="S3" s="325">
        <f>'ALL ML SYSTEMS'!S3</f>
        <v>0</v>
      </c>
      <c r="T3" s="325">
        <f>'ALL ML SYSTEMS'!T3</f>
        <v>0</v>
      </c>
      <c r="U3" s="325">
        <f>'ALL ML SYSTEMS'!U3</f>
        <v>0</v>
      </c>
      <c r="V3" s="325">
        <f>'ALL ML SYSTEMS'!V3</f>
        <v>0</v>
      </c>
      <c r="W3" s="325">
        <f>'ALL ML SYSTEMS'!W3</f>
        <v>0</v>
      </c>
      <c r="X3" s="325">
        <f>'ALL ML SYSTEMS'!X3</f>
        <v>0</v>
      </c>
      <c r="Y3" s="325">
        <f>'ALL ML SYSTEMS'!Y3</f>
        <v>0</v>
      </c>
      <c r="Z3" s="325">
        <f>'ALL ML SYSTEMS'!Z3</f>
        <v>0</v>
      </c>
      <c r="AA3" s="341" t="str">
        <f>'ALL ML SYSTEMS'!AA3</f>
        <v/>
      </c>
      <c r="AB3" s="325"/>
      <c r="AC3" s="325" t="str">
        <f>'ALL ML SYSTEMS'!AB3</f>
        <v>Yes</v>
      </c>
      <c r="AD3" s="325">
        <f>'ALL ML SYSTEMS'!AC3</f>
        <v>0</v>
      </c>
    </row>
    <row r="4" customHeight="1" spans="1:30">
      <c r="A4" s="323" t="str">
        <f>'ALL ML SYSTEMS'!A4</f>
        <v>Minerva (540B)</v>
      </c>
      <c r="B4" s="323" t="str">
        <f>'ALL ML SYSTEMS'!B4</f>
        <v>Language</v>
      </c>
      <c r="C4" s="323" t="str">
        <f>'ALL ML SYSTEMS'!C4</f>
        <v>Quantitative Reasoning Problems</v>
      </c>
      <c r="D4" s="323" t="str">
        <f>'ALL ML SYSTEMS'!D4</f>
        <v>Google Research</v>
      </c>
      <c r="E4" s="323" t="str">
        <f>'ALL ML SYSTEMS'!E4</f>
        <v>Industry</v>
      </c>
      <c r="F4" s="323" t="str">
        <f>'ALL ML SYSTEMS'!F4</f>
        <v>Aitor Lewkowycz, Anders Andreassen, David Dohan, Ethan Dyer, Henryk Michalewski, Vinay Ramasesh, Ambrose Slone, Cem Anil, Imanol Schlag, Theo Gutman-Solo, Yuhuai Wu, Behnam Neyshabur, Guy Gur-Ari, Vedant Misra</v>
      </c>
      <c r="G4" s="324">
        <f>'ALL ML SYSTEMS'!G4</f>
        <v>44741</v>
      </c>
      <c r="H4" s="323">
        <f>'ALL ML SYSTEMS'!H4</f>
        <v>2022</v>
      </c>
      <c r="I4" s="323" t="str">
        <f>'ALL ML SYSTEMS'!I4</f>
        <v>Solving Quantitative Reasoning Problems with Language Models</v>
      </c>
      <c r="J4" s="334" t="str">
        <f>'ALL ML SYSTEMS'!J4</f>
        <v>https://arxiv.org/abs/2206.14858</v>
      </c>
      <c r="K4" s="335">
        <f>'ALL ML SYSTEMS'!K4</f>
        <v>0</v>
      </c>
      <c r="L4" s="323" t="str">
        <f>'ALL ML SYSTEMS'!L4</f>
        <v>SOTA Improvement</v>
      </c>
      <c r="M4" s="335" t="str">
        <f>'ALL ML SYSTEMS'!M4</f>
        <v>Yes</v>
      </c>
      <c r="N4" s="335">
        <f>'ALL ML SYSTEMS'!N4</f>
        <v>540350000000</v>
      </c>
      <c r="O4" s="335">
        <f>'ALL ML SYSTEMS'!O4</f>
        <v>2.7414947368421e+24</v>
      </c>
      <c r="P4" s="336" t="str">
        <f>'ALL ML SYSTEMS'!P4</f>
        <v>PaLM, finetuned on Arxiv</v>
      </c>
      <c r="Q4" s="335">
        <f>'ALL ML SYSTEMS'!Q4</f>
        <v>613875000000</v>
      </c>
      <c r="R4" s="335">
        <f>'ALL ML SYSTEMS'!R4</f>
        <v>818500000000</v>
      </c>
      <c r="S4" s="323">
        <f>'ALL ML SYSTEMS'!S4</f>
        <v>0</v>
      </c>
      <c r="T4" s="323">
        <f>'ALL ML SYSTEMS'!T4</f>
        <v>0</v>
      </c>
      <c r="U4" s="323">
        <f>'ALL ML SYSTEMS'!U4</f>
        <v>0</v>
      </c>
      <c r="V4" s="323">
        <f>'ALL ML SYSTEMS'!V4</f>
        <v>0</v>
      </c>
      <c r="W4" s="323">
        <f>'ALL ML SYSTEMS'!W4</f>
        <v>0</v>
      </c>
      <c r="X4" s="323">
        <f>'ALL ML SYSTEMS'!X4</f>
        <v>0</v>
      </c>
      <c r="Y4" s="323">
        <f>'ALL ML SYSTEMS'!Y4</f>
        <v>0</v>
      </c>
      <c r="Z4" s="323">
        <f>'ALL ML SYSTEMS'!Z4</f>
        <v>0</v>
      </c>
      <c r="AA4" s="340">
        <f>'ALL ML SYSTEMS'!AA4</f>
        <v>3267257.74977208</v>
      </c>
      <c r="AB4" s="323" t="str">
        <f>'ALL ML SYSTEMS'!AB4</f>
        <v>Yes</v>
      </c>
      <c r="AC4" s="323">
        <f>'ALL ML SYSTEMS'!AC4</f>
        <v>0</v>
      </c>
      <c r="AD4" s="323" t="str">
        <f>'ALL ML SYSTEMS'!AD4</f>
        <v>Industry</v>
      </c>
    </row>
    <row r="5" customHeight="1" spans="1:30">
      <c r="A5" s="325" t="str">
        <f>'ALL ML SYSTEMS'!A5</f>
        <v>PaLM (540B)</v>
      </c>
      <c r="B5" s="325" t="str">
        <f>'ALL ML SYSTEMS'!B5</f>
        <v>Language</v>
      </c>
      <c r="C5" s="325" t="str">
        <f>'ALL ML SYSTEMS'!C5</f>
        <v>Language modelling</v>
      </c>
      <c r="D5" s="325" t="str">
        <f>'ALL ML SYSTEMS'!D5</f>
        <v>Google Research</v>
      </c>
      <c r="E5" s="325" t="str">
        <f>'ALL ML SYSTEMS'!E5</f>
        <v>Industry</v>
      </c>
      <c r="F5" s="325" t="str">
        <f>'ALL ML SYSTEMS'!F5</f>
        <v>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v>
      </c>
      <c r="G5" s="326">
        <f>'ALL ML SYSTEMS'!G5</f>
        <v>44655</v>
      </c>
      <c r="H5" s="325">
        <f>'ALL ML SYSTEMS'!H5</f>
        <v>2022</v>
      </c>
      <c r="I5" s="325" t="str">
        <f>'ALL ML SYSTEMS'!I5</f>
        <v>PaLM: Scaling Language Modeling with Pathways</v>
      </c>
      <c r="J5" s="337" t="str">
        <f>'ALL ML SYSTEMS'!J5</f>
        <v>https://arxiv.org/abs/2204.02311</v>
      </c>
      <c r="K5" s="338">
        <f>'ALL ML SYSTEMS'!K5</f>
        <v>228</v>
      </c>
      <c r="L5" s="325" t="str">
        <f>'ALL ML SYSTEMS'!L5</f>
        <v>SOTA Improvement</v>
      </c>
      <c r="M5" s="338" t="str">
        <f>'ALL ML SYSTEMS'!M5</f>
        <v>Yes</v>
      </c>
      <c r="N5" s="338">
        <f>'ALL ML SYSTEMS'!N5</f>
        <v>540350000000</v>
      </c>
      <c r="O5" s="338">
        <f>'ALL ML SYSTEMS'!O5</f>
        <v>2.5272e+24</v>
      </c>
      <c r="P5" s="339">
        <f>'ALL ML SYSTEMS'!P5</f>
        <v>0</v>
      </c>
      <c r="Q5" s="338">
        <f>'ALL ML SYSTEMS'!Q5</f>
        <v>585000000000</v>
      </c>
      <c r="R5" s="325">
        <f>'ALL ML SYSTEMS'!R5</f>
        <v>0</v>
      </c>
      <c r="S5" s="325">
        <f>'ALL ML SYSTEMS'!S5</f>
        <v>0</v>
      </c>
      <c r="T5" s="325">
        <f>'ALL ML SYSTEMS'!T5</f>
        <v>0</v>
      </c>
      <c r="U5" s="325">
        <f>'ALL ML SYSTEMS'!U5</f>
        <v>0</v>
      </c>
      <c r="V5" s="325">
        <f>'ALL ML SYSTEMS'!V5</f>
        <v>0</v>
      </c>
      <c r="W5" s="325">
        <f>'ALL ML SYSTEMS'!W5</f>
        <v>0</v>
      </c>
      <c r="X5" s="325">
        <f>'ALL ML SYSTEMS'!X5</f>
        <v>0</v>
      </c>
      <c r="Y5" s="325">
        <f>'ALL ML SYSTEMS'!Y5</f>
        <v>0</v>
      </c>
      <c r="Z5" s="325">
        <f>'ALL ML SYSTEMS'!Z5</f>
        <v>0</v>
      </c>
      <c r="AA5" s="341">
        <f>'ALL ML SYSTEMS'!AA5</f>
        <v>3232806.53266529</v>
      </c>
      <c r="AB5" s="325" t="str">
        <f>'ALL ML SYSTEMS'!AB5</f>
        <v>Yes</v>
      </c>
      <c r="AC5" s="325">
        <f>'ALL ML SYSTEMS'!AC5</f>
        <v>0</v>
      </c>
      <c r="AD5" s="325" t="str">
        <f>'ALL ML SYSTEMS'!AD5</f>
        <v>Industry</v>
      </c>
    </row>
    <row r="6" hidden="1" customHeight="1" spans="1:30">
      <c r="A6" s="323" t="str">
        <f>'ALL ML SYSTEMS'!A6</f>
        <v>OPT-175B</v>
      </c>
      <c r="B6" s="323" t="str">
        <f>'ALL ML SYSTEMS'!B6</f>
        <v>Language</v>
      </c>
      <c r="C6" s="323" t="str">
        <f>'ALL ML SYSTEMS'!C6</f>
        <v>Language modelling</v>
      </c>
      <c r="D6" s="323" t="str">
        <f>'ALL ML SYSTEMS'!D6</f>
        <v>Meta AI</v>
      </c>
      <c r="E6" s="323" t="str">
        <f>'ALL ML SYSTEMS'!E6</f>
        <v>Industry</v>
      </c>
      <c r="F6" s="323" t="str">
        <f>'ALL ML SYSTEMS'!F6</f>
        <v>Susan Zhang, Stephen Roller, Naman Goyal, Mikel Artetxe, Moya Chen, Shuohui Chen, Christopher Dewan, Mona Diab, Xian Li, Xi Victoria Lin, Todor Mihaylov, Myle Ott, Sam Shleifer, Kurt Shuster, Daniel Simig, Punit Singh Koura, Anjali Sridhar, Tianlu Wang, Luke Zettlemoyer</v>
      </c>
      <c r="G6" s="324">
        <f>'ALL ML SYSTEMS'!G6</f>
        <v>44683</v>
      </c>
      <c r="H6" s="323">
        <f>'ALL ML SYSTEMS'!H6</f>
        <v>2022</v>
      </c>
      <c r="I6" s="323" t="str">
        <f>'ALL ML SYSTEMS'!I6</f>
        <v>OPT: Open Pre-trained Transformer Language Models</v>
      </c>
      <c r="J6" s="334" t="str">
        <f>'ALL ML SYSTEMS'!J6</f>
        <v>https://ai.facebook.com/blog/democratizing-access-to-large-scale-language-models-with-opt-175b/</v>
      </c>
      <c r="K6" s="335">
        <f>'ALL ML SYSTEMS'!K6</f>
        <v>0</v>
      </c>
      <c r="L6" s="323">
        <f>'ALL ML SYSTEMS'!L6</f>
        <v>0</v>
      </c>
      <c r="M6" s="335" t="str">
        <f>'ALL ML SYSTEMS'!M6</f>
        <v>No</v>
      </c>
      <c r="N6" s="335">
        <f>'ALL ML SYSTEMS'!N6</f>
        <v>175000000000</v>
      </c>
      <c r="O6" s="335">
        <f>'ALL ML SYSTEMS'!O6</f>
        <v>7.56e+23</v>
      </c>
      <c r="P6" s="336">
        <f>'ALL ML SYSTEMS'!P6</f>
        <v>0</v>
      </c>
      <c r="Q6" s="335">
        <f>'ALL ML SYSTEMS'!Q6</f>
        <v>135000000000</v>
      </c>
      <c r="R6" s="323">
        <f>'ALL ML SYSTEMS'!R6</f>
        <v>0</v>
      </c>
      <c r="S6" s="323">
        <f>'ALL ML SYSTEMS'!S6</f>
        <v>0</v>
      </c>
      <c r="T6" s="323">
        <f>'ALL ML SYSTEMS'!T6</f>
        <v>0</v>
      </c>
      <c r="U6" s="323">
        <f>'ALL ML SYSTEMS'!U6</f>
        <v>0</v>
      </c>
      <c r="V6" s="323">
        <f>'ALL ML SYSTEMS'!V6</f>
        <v>0</v>
      </c>
      <c r="W6" s="323">
        <f>'ALL ML SYSTEMS'!W6</f>
        <v>0</v>
      </c>
      <c r="X6" s="323">
        <f>'ALL ML SYSTEMS'!X6</f>
        <v>0</v>
      </c>
      <c r="Y6" s="323">
        <f>'ALL ML SYSTEMS'!Y6</f>
        <v>0</v>
      </c>
      <c r="Z6" s="323">
        <f>'ALL ML SYSTEMS'!Z6</f>
        <v>0</v>
      </c>
      <c r="AA6" s="340">
        <f>'ALL ML SYSTEMS'!AA6</f>
        <v>1654082.50447642</v>
      </c>
      <c r="AB6" s="323"/>
      <c r="AC6" s="323" t="str">
        <f>'ALL ML SYSTEMS'!AB6</f>
        <v>Yes</v>
      </c>
      <c r="AD6" s="323">
        <f>'ALL ML SYSTEMS'!AC6</f>
        <v>0</v>
      </c>
    </row>
    <row r="7" customHeight="1" spans="1:30">
      <c r="A7" s="325" t="str">
        <f>'ALL ML SYSTEMS'!A7</f>
        <v>Chinchilla</v>
      </c>
      <c r="B7" s="325" t="str">
        <f>'ALL ML SYSTEMS'!B7</f>
        <v>Language</v>
      </c>
      <c r="C7" s="325" t="str">
        <f>'ALL ML SYSTEMS'!C7</f>
        <v>Language modelling</v>
      </c>
      <c r="D7" s="325" t="str">
        <f>'ALL ML SYSTEMS'!D7</f>
        <v>DeepMind</v>
      </c>
      <c r="E7" s="325" t="str">
        <f>'ALL ML SYSTEMS'!E7</f>
        <v>Industry</v>
      </c>
      <c r="F7" s="325" t="str">
        <f>'ALL ML SYSTEMS'!F7</f>
        <v>Jordan Hoffmann, Sebastian Borgeaud, Arthur Mensch, Elena Buchatskaya, Trevor Cai, Eliza Rutherford, Diego de Las Casas, Lisa Anne Hendricks, Johannes Welbl, Aidan Clark, Tom Hennigan, Eric Noland, Katie Millican, George van den Driessche, Bogdan Damoc, Aurelia Guy, Simon Osindero, Karen Simonyan, Erich Elsen, Jack W. Rae, Oriol Vinyals and Laurent Sifre</v>
      </c>
      <c r="G7" s="326">
        <f>'ALL ML SYSTEMS'!G7</f>
        <v>44649</v>
      </c>
      <c r="H7" s="327">
        <f>'ALL ML SYSTEMS'!H7</f>
        <v>2022</v>
      </c>
      <c r="I7" s="325" t="str">
        <f>'ALL ML SYSTEMS'!I7</f>
        <v>Training Compute-Optimal Large Language Models</v>
      </c>
      <c r="J7" s="337" t="str">
        <f>'ALL ML SYSTEMS'!J7</f>
        <v>https://arxiv.org/abs/2203.15556</v>
      </c>
      <c r="K7" s="338">
        <f>'ALL ML SYSTEMS'!K7</f>
        <v>0</v>
      </c>
      <c r="L7" s="325" t="str">
        <f>'ALL ML SYSTEMS'!L7</f>
        <v>SOTA Improvement</v>
      </c>
      <c r="M7" s="338" t="str">
        <f>'ALL ML SYSTEMS'!M7</f>
        <v>Yes</v>
      </c>
      <c r="N7" s="338">
        <f>'ALL ML SYSTEMS'!N7</f>
        <v>70000000000</v>
      </c>
      <c r="O7" s="338">
        <f>'ALL ML SYSTEMS'!O7</f>
        <v>5.76e+23</v>
      </c>
      <c r="P7" s="339">
        <f>'ALL ML SYSTEMS'!P7</f>
        <v>0</v>
      </c>
      <c r="Q7" s="338">
        <f>'ALL ML SYSTEMS'!Q7</f>
        <v>1050000000000</v>
      </c>
      <c r="R7" s="325">
        <f>'ALL ML SYSTEMS'!R7</f>
        <v>0</v>
      </c>
      <c r="S7" s="338">
        <f>'ALL ML SYSTEMS'!S7</f>
        <v>0</v>
      </c>
      <c r="T7" s="325">
        <f>'ALL ML SYSTEMS'!T7</f>
        <v>0</v>
      </c>
      <c r="U7" s="325">
        <f>'ALL ML SYSTEMS'!U7</f>
        <v>0</v>
      </c>
      <c r="V7" s="325">
        <f>'ALL ML SYSTEMS'!V7</f>
        <v>0</v>
      </c>
      <c r="W7" s="325">
        <f>'ALL ML SYSTEMS'!W7</f>
        <v>0</v>
      </c>
      <c r="X7" s="325">
        <f>'ALL ML SYSTEMS'!X7</f>
        <v>0</v>
      </c>
      <c r="Y7" s="325">
        <f>'ALL ML SYSTEMS'!Y7</f>
        <v>0</v>
      </c>
      <c r="Z7" s="325">
        <f>'ALL ML SYSTEMS'!Z7</f>
        <v>0</v>
      </c>
      <c r="AA7" s="341">
        <f>'ALL ML SYSTEMS'!AA7</f>
        <v>753491.57852839</v>
      </c>
      <c r="AB7" s="325" t="str">
        <f>'ALL ML SYSTEMS'!AB7</f>
        <v>Yes</v>
      </c>
      <c r="AC7" s="325">
        <f>'ALL ML SYSTEMS'!AC7</f>
        <v>0</v>
      </c>
      <c r="AD7" s="325" t="str">
        <f>'ALL ML SYSTEMS'!AD7</f>
        <v>Industry</v>
      </c>
    </row>
    <row r="8" customHeight="1" spans="1:30">
      <c r="A8" s="323" t="str">
        <f>'ALL ML SYSTEMS'!A8</f>
        <v>Parti</v>
      </c>
      <c r="B8" s="323" t="str">
        <f>'ALL ML SYSTEMS'!B8</f>
        <v>Drawing</v>
      </c>
      <c r="C8" s="323" t="str">
        <f>'ALL ML SYSTEMS'!C8</f>
        <v>Text-to-image</v>
      </c>
      <c r="D8" s="323" t="str">
        <f>'ALL ML SYSTEMS'!D8</f>
        <v>Google Research</v>
      </c>
      <c r="E8" s="323" t="str">
        <f>'ALL ML SYSTEMS'!E8</f>
        <v>Industry</v>
      </c>
      <c r="F8" s="323" t="str">
        <f>'ALL ML SYSTEMS'!F8</f>
        <v>Jiahui Yu, Yuanzhong Xu, Jing Yu Koh, Thang Luong, Gunjan Baid, Zirui Wang, Vijay Vasudevan, Alexander Ku, Yinfei Yang, Burcu Karagol Ayan, Ben Hutchinson, Wei Han, Zarana Parekh, Xin Li, Han Zhang, Jason Baldridge, Yonghui Wu</v>
      </c>
      <c r="G8" s="324">
        <f>'ALL ML SYSTEMS'!G8</f>
        <v>44734</v>
      </c>
      <c r="H8" s="323">
        <f>'ALL ML SYSTEMS'!H8</f>
        <v>2022</v>
      </c>
      <c r="I8" s="323" t="str">
        <f>'ALL ML SYSTEMS'!I8</f>
        <v>Scaling Autoregressive Models for Content-Rich Text-to-Image Generation</v>
      </c>
      <c r="J8" s="334" t="str">
        <f>'ALL ML SYSTEMS'!J8</f>
        <v>https://arxiv.org/abs/2206.10789v1</v>
      </c>
      <c r="K8" s="335">
        <f>'ALL ML SYSTEMS'!K8</f>
        <v>0</v>
      </c>
      <c r="L8" s="323" t="str">
        <f>'ALL ML SYSTEMS'!L8</f>
        <v>SOTA Improvement</v>
      </c>
      <c r="M8" s="335" t="str">
        <f>'ALL ML SYSTEMS'!M8</f>
        <v>Yes</v>
      </c>
      <c r="N8" s="335">
        <f>'ALL ML SYSTEMS'!N8</f>
        <v>20000000000</v>
      </c>
      <c r="O8" s="335">
        <f>'ALL ML SYSTEMS'!O8</f>
        <v>3.96289537619263e+23</v>
      </c>
      <c r="P8" s="336" t="str">
        <f>'ALL ML SYSTEMS'!P8</f>
        <v>LAION-400M, FIT400M, JFT-4B </v>
      </c>
      <c r="Q8" s="335">
        <f>'ALL ML SYSTEMS'!Q8</f>
        <v>4800000000</v>
      </c>
      <c r="R8" s="323">
        <f>'ALL ML SYSTEMS'!R8</f>
        <v>0</v>
      </c>
      <c r="S8" s="323">
        <f>'ALL ML SYSTEMS'!S8</f>
        <v>0</v>
      </c>
      <c r="T8" s="323">
        <f>'ALL ML SYSTEMS'!T8</f>
        <v>0</v>
      </c>
      <c r="U8" s="323">
        <f>'ALL ML SYSTEMS'!U8</f>
        <v>0</v>
      </c>
      <c r="V8" s="323">
        <f>'ALL ML SYSTEMS'!V8</f>
        <v>0</v>
      </c>
      <c r="W8" s="323">
        <f>'ALL ML SYSTEMS'!W8</f>
        <v>0</v>
      </c>
      <c r="X8" s="323">
        <f>'ALL ML SYSTEMS'!X8</f>
        <v>0</v>
      </c>
      <c r="Y8" s="323">
        <f>'ALL ML SYSTEMS'!Y8</f>
        <v>0</v>
      </c>
      <c r="Z8" s="323">
        <f>'ALL ML SYSTEMS'!Z8</f>
        <v>0</v>
      </c>
      <c r="AA8" s="340">
        <f>'ALL ML SYSTEMS'!AA8</f>
        <v>486659.76703549</v>
      </c>
      <c r="AB8" s="323" t="str">
        <f>'ALL ML SYSTEMS'!AB8</f>
        <v>Yes</v>
      </c>
      <c r="AC8" s="323">
        <f>'ALL ML SYSTEMS'!AC8</f>
        <v>0</v>
      </c>
      <c r="AD8" s="323" t="str">
        <f>'ALL ML SYSTEMS'!AD8</f>
        <v>Industry</v>
      </c>
    </row>
    <row r="9" customHeight="1" spans="1:30">
      <c r="A9" s="325" t="str">
        <f>'ALL ML SYSTEMS'!A9</f>
        <v>LaMDA</v>
      </c>
      <c r="B9" s="325" t="str">
        <f>'ALL ML SYSTEMS'!B9</f>
        <v>Language</v>
      </c>
      <c r="C9" s="325">
        <f>'ALL ML SYSTEMS'!C9</f>
        <v>0</v>
      </c>
      <c r="D9" s="325" t="str">
        <f>'ALL ML SYSTEMS'!D9</f>
        <v>Google</v>
      </c>
      <c r="E9" s="325" t="str">
        <f>'ALL ML SYSTEMS'!E9</f>
        <v>Industry</v>
      </c>
      <c r="F9" s="325" t="str">
        <f>'ALL ML SYSTEMS'!F9</f>
        <v>Romal Thoppilan, Daniel De Freitas, Jamie Hall, Noam Shazeer, Apoorv Kulshreshtha, Heng-Tze Cheng, Alicia Jin, Taylor Bos, Leslie Baker, Yu Du, YaGuang Li, Hongrae Lee, Huaixiu Steven Zheng, Amin Ghafouri, Marcelo Menegali, Yanping Huang, Maxim Krikun, Dmitry Lepikhin, James Qin, Dehao Chen, Yuanzhong Xu, Zhifeng Chen, Adam Roberts, Maarten Bosma, Yanqi Zhou, Chung-Ching Chang, Igor Krivokon, Will Rusch, Marc Pickett, Kathleen Meier-Hellstern, Meredith Ringel Morris, Tulsee Doshi, Renelito Delos Santos, Toju Duke, Johnny Soraker, Ben Zevenbergen, Vinodkumar Prabhakaran, Mark Diaz, Ben Hutchinson, Kristen Olson, Alejandra Molina, Erin Hoffman-John, Josh Lee, Lora Aroyo, Ravi Rajakumar, Alena Butryna, Matthew Lamm, Viktoriya Kuzmina, Joe Fenton, Aaron Cohen, Rachel Bernstein, Ray Kurzweil, Blaise Aguera-Arcas, Claire Cui, Marian Croak, Ed Chi, Quoc Le</v>
      </c>
      <c r="G9" s="326">
        <f>'ALL ML SYSTEMS'!G9</f>
        <v>44602</v>
      </c>
      <c r="H9" s="327">
        <f>'ALL ML SYSTEMS'!H9</f>
        <v>4602</v>
      </c>
      <c r="I9" s="325" t="str">
        <f>'ALL ML SYSTEMS'!I9</f>
        <v>LaMDA: Language Models for Dialog Applications</v>
      </c>
      <c r="J9" s="337" t="str">
        <f>'ALL ML SYSTEMS'!J9</f>
        <v>https://arxiv.org/abs/2201.08239</v>
      </c>
      <c r="K9" s="338">
        <f>'ALL ML SYSTEMS'!K9</f>
        <v>0</v>
      </c>
      <c r="L9" s="325" t="str">
        <f>'ALL ML SYSTEMS'!L9</f>
        <v>Historical significance</v>
      </c>
      <c r="M9" s="338" t="str">
        <f>'ALL ML SYSTEMS'!M9</f>
        <v>Yes</v>
      </c>
      <c r="N9" s="338">
        <f>'ALL ML SYSTEMS'!N9</f>
        <v>137000000000</v>
      </c>
      <c r="O9" s="338">
        <f>'ALL ML SYSTEMS'!O9</f>
        <v>3.55e+23</v>
      </c>
      <c r="P9" s="339" t="str">
        <f>'ALL ML SYSTEMS'!P9</f>
        <v>Infiniset</v>
      </c>
      <c r="Q9" s="338">
        <f>'ALL ML SYSTEMS'!Q9</f>
        <v>1560000000</v>
      </c>
      <c r="R9" s="325">
        <f>'ALL ML SYSTEMS'!R9</f>
        <v>0</v>
      </c>
      <c r="S9" s="338">
        <f>'ALL ML SYSTEMS'!S9</f>
        <v>0</v>
      </c>
      <c r="T9" s="325">
        <f>'ALL ML SYSTEMS'!T9</f>
        <v>0</v>
      </c>
      <c r="U9" s="325">
        <f>'ALL ML SYSTEMS'!U9</f>
        <v>0</v>
      </c>
      <c r="V9" s="325">
        <f>'ALL ML SYSTEMS'!V9</f>
        <v>0</v>
      </c>
      <c r="W9" s="325">
        <f>'ALL ML SYSTEMS'!W9</f>
        <v>0</v>
      </c>
      <c r="X9" s="325">
        <f>'ALL ML SYSTEMS'!X9</f>
        <v>0</v>
      </c>
      <c r="Y9" s="325">
        <f>'ALL ML SYSTEMS'!Y9</f>
        <v>0</v>
      </c>
      <c r="Z9" s="325">
        <f>'ALL ML SYSTEMS'!Z9</f>
        <v>0</v>
      </c>
      <c r="AA9" s="341">
        <f>'ALL ML SYSTEMS'!AA9</f>
        <v>484957.204278073</v>
      </c>
      <c r="AB9" s="325" t="str">
        <f>'ALL ML SYSTEMS'!AB9</f>
        <v>Yes</v>
      </c>
      <c r="AC9" s="325">
        <f>'ALL ML SYSTEMS'!AC9</f>
        <v>0</v>
      </c>
      <c r="AD9" s="325" t="str">
        <f>'ALL ML SYSTEMS'!AD9</f>
        <v>Industry</v>
      </c>
    </row>
    <row r="10" hidden="1" customHeight="1" spans="1:30">
      <c r="A10" s="323" t="str">
        <f>'ALL ML SYSTEMS'!A10</f>
        <v>YaLM</v>
      </c>
      <c r="B10" s="323" t="str">
        <f>'ALL ML SYSTEMS'!B10</f>
        <v>Language</v>
      </c>
      <c r="C10" s="323" t="str">
        <f>'ALL ML SYSTEMS'!C10</f>
        <v>Language modelling</v>
      </c>
      <c r="D10" s="323" t="str">
        <f>'ALL ML SYSTEMS'!D10</f>
        <v>Yandex</v>
      </c>
      <c r="E10" s="323" t="str">
        <f>'ALL ML SYSTEMS'!E10</f>
        <v>Industry</v>
      </c>
      <c r="F10" s="323">
        <f>'ALL ML SYSTEMS'!F10</f>
        <v>0</v>
      </c>
      <c r="G10" s="324" t="str">
        <f>'ALL ML SYSTEMS'!G10</f>
        <v>23/06/2022</v>
      </c>
      <c r="H10" s="323">
        <f>'ALL ML SYSTEMS'!H10</f>
        <v>2022</v>
      </c>
      <c r="I10" s="323">
        <f>'ALL ML SYSTEMS'!I10</f>
        <v>0</v>
      </c>
      <c r="J10" s="334" t="str">
        <f>'ALL ML SYSTEMS'!J10</f>
        <v>https://medium.com/yandex/yandex-publishes-yalm-100b-its-the-largest-gpt-like-neural-network-in-open-source-d1df53d0e9a6</v>
      </c>
      <c r="K10" s="335">
        <f>'ALL ML SYSTEMS'!K10</f>
        <v>0</v>
      </c>
      <c r="L10" s="323">
        <f>'ALL ML SYSTEMS'!L10</f>
        <v>0</v>
      </c>
      <c r="M10" s="335" t="str">
        <f>'ALL ML SYSTEMS'!M10</f>
        <v>No</v>
      </c>
      <c r="N10" s="335">
        <f>'ALL ML SYSTEMS'!N10</f>
        <v>100000000000</v>
      </c>
      <c r="O10" s="335">
        <f>'ALL ML SYSTEMS'!O10</f>
        <v>2.2e+23</v>
      </c>
      <c r="P10" s="336">
        <f>'ALL ML SYSTEMS'!P10</f>
        <v>0</v>
      </c>
      <c r="Q10" s="335">
        <f>'ALL ML SYSTEMS'!Q10</f>
        <v>0</v>
      </c>
      <c r="R10" s="323">
        <f>'ALL ML SYSTEMS'!R10</f>
        <v>0</v>
      </c>
      <c r="S10" s="323">
        <f>'ALL ML SYSTEMS'!S10</f>
        <v>0</v>
      </c>
      <c r="T10" s="323">
        <f>'ALL ML SYSTEMS'!T10</f>
        <v>0</v>
      </c>
      <c r="U10" s="323">
        <f>'ALL ML SYSTEMS'!U10</f>
        <v>0</v>
      </c>
      <c r="V10" s="323">
        <f>'ALL ML SYSTEMS'!V10</f>
        <v>0</v>
      </c>
      <c r="W10" s="323">
        <f>'ALL ML SYSTEMS'!W10</f>
        <v>0</v>
      </c>
      <c r="X10" s="323">
        <f>'ALL ML SYSTEMS'!X10</f>
        <v>0</v>
      </c>
      <c r="Y10" s="323">
        <f>'ALL ML SYSTEMS'!Y10</f>
        <v>0</v>
      </c>
      <c r="Z10" s="323">
        <f>'ALL ML SYSTEMS'!Z10</f>
        <v>0</v>
      </c>
      <c r="AA10" s="340" t="str">
        <f>'ALL ML SYSTEMS'!AA10</f>
        <v/>
      </c>
      <c r="AB10" s="323"/>
      <c r="AC10" s="323">
        <f>'ALL ML SYSTEMS'!AB10</f>
        <v>0</v>
      </c>
      <c r="AD10" s="323">
        <f>'ALL ML SYSTEMS'!AC10</f>
        <v>0</v>
      </c>
    </row>
    <row r="11" customHeight="1" spans="1:30">
      <c r="A11" s="325" t="str">
        <f>'ALL ML SYSTEMS'!A11</f>
        <v>AlexaTM 20B</v>
      </c>
      <c r="B11" s="325" t="str">
        <f>'ALL ML SYSTEMS'!B11</f>
        <v>Language</v>
      </c>
      <c r="C11" s="325" t="str">
        <f>'ALL ML SYSTEMS'!C11</f>
        <v>Language modelling</v>
      </c>
      <c r="D11" s="325" t="str">
        <f>'ALL ML SYSTEMS'!D11</f>
        <v>Amazon</v>
      </c>
      <c r="E11" s="325" t="str">
        <f>'ALL ML SYSTEMS'!E11</f>
        <v>Industry</v>
      </c>
      <c r="F11" s="325" t="str">
        <f>'ALL ML SYSTEMS'!F11</f>
        <v>Saleh Soltan, Shankar Ananthakrishnan, Jack FitzGerald, Rahul Gupta, Wael Hamza, Haidar Khan, Charith Peris, Stephen Rawls, Andy Rosenbaum, Anna Rumshisky, Chandana Satya Prakash, Mukund Sridhar, Fabian Triefenbach, Apurv Verma, Gokhan Tur, Prem Natarajan</v>
      </c>
      <c r="G11" s="326">
        <f>'ALL ML SYSTEMS'!G11</f>
        <v>44775</v>
      </c>
      <c r="H11" s="325">
        <f>'ALL ML SYSTEMS'!H11</f>
        <v>2022</v>
      </c>
      <c r="I11" s="325" t="str">
        <f>'ALL ML SYSTEMS'!I11</f>
        <v>AlexaTM 20B: Few-Shot Learning Using a Large-Scale Multilingual Seq2Seq Model</v>
      </c>
      <c r="J11" s="337" t="str">
        <f>'ALL ML SYSTEMS'!J11</f>
        <v>https://arxiv.org/abs/2208.01448</v>
      </c>
      <c r="K11" s="338">
        <f>'ALL ML SYSTEMS'!K11</f>
        <v>0</v>
      </c>
      <c r="L11" s="325" t="str">
        <f>'ALL ML SYSTEMS'!L11</f>
        <v>SOTA Improvement</v>
      </c>
      <c r="M11" s="338" t="str">
        <f>'ALL ML SYSTEMS'!M11</f>
        <v>Yes</v>
      </c>
      <c r="N11" s="338">
        <f>'ALL ML SYSTEMS'!N11</f>
        <v>19750000000</v>
      </c>
      <c r="O11" s="338">
        <f>'ALL ML SYSTEMS'!O11</f>
        <v>2.04374016e+23</v>
      </c>
      <c r="P11" s="339" t="str">
        <f>'ALL ML SYSTEMS'!P11</f>
        <v>mC4; Wikipedia</v>
      </c>
      <c r="Q11" s="338">
        <f>'ALL ML SYSTEMS'!Q11</f>
        <v>0</v>
      </c>
      <c r="R11" s="325">
        <f>'ALL ML SYSTEMS'!R11</f>
        <v>0</v>
      </c>
      <c r="S11" s="325">
        <f>'ALL ML SYSTEMS'!S11</f>
        <v>0</v>
      </c>
      <c r="T11" s="325">
        <f>'ALL ML SYSTEMS'!T11</f>
        <v>2880</v>
      </c>
      <c r="U11" s="325">
        <f>'ALL ML SYSTEMS'!U11</f>
        <v>368640</v>
      </c>
      <c r="V11" s="325">
        <f>'ALL ML SYSTEMS'!V11</f>
        <v>0</v>
      </c>
      <c r="W11" s="325">
        <f>'ALL ML SYSTEMS'!W11</f>
        <v>0</v>
      </c>
      <c r="X11" s="325">
        <f>'ALL ML SYSTEMS'!X11</f>
        <v>0</v>
      </c>
      <c r="Y11" s="325">
        <f>'ALL ML SYSTEMS'!Y11</f>
        <v>0</v>
      </c>
      <c r="Z11" s="325">
        <f>'ALL ML SYSTEMS'!Z11</f>
        <v>0</v>
      </c>
      <c r="AA11" s="341" t="str">
        <f>'ALL ML SYSTEMS'!AA11</f>
        <v/>
      </c>
      <c r="AB11" s="325">
        <f>'ALL ML SYSTEMS'!AB11</f>
        <v>0</v>
      </c>
      <c r="AC11" s="325">
        <f>'ALL ML SYSTEMS'!AC11</f>
        <v>0</v>
      </c>
      <c r="AD11" s="325" t="str">
        <f>'ALL ML SYSTEMS'!AD11</f>
        <v>Industry</v>
      </c>
    </row>
    <row r="12" hidden="1" customHeight="1" spans="1:30">
      <c r="A12" s="323" t="str">
        <f>'ALL ML SYSTEMS'!A12</f>
        <v>BLOOM</v>
      </c>
      <c r="B12" s="323" t="str">
        <f>'ALL ML SYSTEMS'!B12</f>
        <v>Language</v>
      </c>
      <c r="C12" s="323" t="str">
        <f>'ALL ML SYSTEMS'!C12</f>
        <v>Language model</v>
      </c>
      <c r="D12" s="323" t="str">
        <f>'ALL ML SYSTEMS'!D12</f>
        <v>Hugging Face, BigScience</v>
      </c>
      <c r="E12" s="323" t="str">
        <f>'ALL ML SYSTEMS'!E12</f>
        <v>Research Collective</v>
      </c>
      <c r="F12" s="323" t="str">
        <f>'ALL ML SYSTEMS'!F12</f>
        <v>Margaret Mitchell, Giada Pistilli, Yacine Jernite, Ezinwanne Ozoani, Marissa Gerchick, Nazneen Rajani, Sasha Luccioni, Irene Solaiman, Maraim Masoud, Somaieh Nikpoor, Carlos Muñoz Ferrandis, Stas Bekman, Christopher Akiki, Danish Contractor, David Lansky, Angelina McMillan-Major, Tristan Thrush, Suzana Ilić, Gérard Dupont, Shayne Longpre, Manan Dey, Stella Biderman, Douwe Kiela, Emi Baylor, Teven Le Scao, Aaron Gokaslan, Julien Launay, Niklas Muennighoff</v>
      </c>
      <c r="G12" s="328">
        <f>'ALL ML SYSTEMS'!G12</f>
        <v>44873</v>
      </c>
      <c r="H12" s="323">
        <f>'ALL ML SYSTEMS'!H12</f>
        <v>2022</v>
      </c>
      <c r="I12" s="323" t="str">
        <f>'ALL ML SYSTEMS'!I12</f>
        <v>BigScience Large Open-science Open-access Multilingual Language Model
</v>
      </c>
      <c r="J12" s="334" t="str">
        <f>'ALL ML SYSTEMS'!J12</f>
        <v>https://huggingface.co/bigscience/bloom</v>
      </c>
      <c r="K12" s="335">
        <f>'ALL ML SYSTEMS'!K12</f>
        <v>0</v>
      </c>
      <c r="L12" s="323">
        <f>'ALL ML SYSTEMS'!L12</f>
        <v>0</v>
      </c>
      <c r="M12" s="335" t="str">
        <f>'ALL ML SYSTEMS'!M12</f>
        <v>No</v>
      </c>
      <c r="N12" s="335">
        <f>'ALL ML SYSTEMS'!N12</f>
        <v>176000000000</v>
      </c>
      <c r="O12" s="335">
        <f>'ALL ML SYSTEMS'!O12</f>
        <v>1.8e+23</v>
      </c>
      <c r="P12" s="336" t="str">
        <f>'ALL ML SYSTEMS'!P12</f>
        <v>"TB scale multilingual dataset"</v>
      </c>
      <c r="Q12" s="335">
        <f>'ALL ML SYSTEMS'!Q12</f>
        <v>0</v>
      </c>
      <c r="R12" s="323">
        <f>'ALL ML SYSTEMS'!R12</f>
        <v>0</v>
      </c>
      <c r="S12" s="323">
        <f>'ALL ML SYSTEMS'!S12</f>
        <v>0</v>
      </c>
      <c r="T12" s="323">
        <f>'ALL ML SYSTEMS'!T12</f>
        <v>0</v>
      </c>
      <c r="U12" s="323">
        <f>'ALL ML SYSTEMS'!U12</f>
        <v>0</v>
      </c>
      <c r="V12" s="323">
        <f>'ALL ML SYSTEMS'!V12</f>
        <v>0</v>
      </c>
      <c r="W12" s="323">
        <f>'ALL ML SYSTEMS'!W12</f>
        <v>0</v>
      </c>
      <c r="X12" s="323">
        <f>'ALL ML SYSTEMS'!X12</f>
        <v>0</v>
      </c>
      <c r="Y12" s="323">
        <f>'ALL ML SYSTEMS'!Y12</f>
        <v>0</v>
      </c>
      <c r="Z12" s="323">
        <f>'ALL ML SYSTEMS'!Z12</f>
        <v>0</v>
      </c>
      <c r="AA12" s="340" t="str">
        <f>'ALL ML SYSTEMS'!AA12</f>
        <v/>
      </c>
      <c r="AB12" s="323"/>
      <c r="AC12" s="323" t="str">
        <f>'ALL ML SYSTEMS'!AB12</f>
        <v>Yes</v>
      </c>
      <c r="AD12" s="323">
        <f>'ALL ML SYSTEMS'!AC12</f>
        <v>0</v>
      </c>
    </row>
    <row r="13" customHeight="1" spans="1:30">
      <c r="A13" s="325" t="str">
        <f>'ALL ML SYSTEMS'!A13</f>
        <v>GPT-NeoX-20B</v>
      </c>
      <c r="B13" s="325" t="str">
        <f>'ALL ML SYSTEMS'!B13</f>
        <v>Language</v>
      </c>
      <c r="C13" s="325">
        <f>'ALL ML SYSTEMS'!C13</f>
        <v>0</v>
      </c>
      <c r="D13" s="325" t="str">
        <f>'ALL ML SYSTEMS'!D13</f>
        <v>EleutherAI</v>
      </c>
      <c r="E13" s="325" t="str">
        <f>'ALL ML SYSTEMS'!E13</f>
        <v>Research Collective</v>
      </c>
      <c r="F13" s="325" t="str">
        <f>'ALL ML SYSTEMS'!F13</f>
        <v>Sid Black, Stella Biderman, Eric Hallahan, Quentin Anthony, Leo Gao, Laurence Golding, Horace He, Connor Leahy, Kyle McDonell, Jason Phang, Michael Pieler, USVSN Sai Prashanth, Shivanshu Purohit, Laria Reynolds, Jonathan Tow, Ben Wang, Samuel Weinbach</v>
      </c>
      <c r="G13" s="326">
        <f>'ALL ML SYSTEMS'!G13</f>
        <v>44601</v>
      </c>
      <c r="H13" s="327">
        <f>'ALL ML SYSTEMS'!H13</f>
        <v>2022</v>
      </c>
      <c r="I13" s="325" t="str">
        <f>'ALL ML SYSTEMS'!I13</f>
        <v>Announcing GPT- NeoX- 20B</v>
      </c>
      <c r="J13" s="337" t="str">
        <f>'ALL ML SYSTEMS'!J13</f>
        <v>https://blog.eleuther.ai/announcing-20b/</v>
      </c>
      <c r="K13" s="338">
        <f>'ALL ML SYSTEMS'!K13</f>
        <v>45</v>
      </c>
      <c r="L13" s="325" t="str">
        <f>'ALL ML SYSTEMS'!L13</f>
        <v>Historical significance</v>
      </c>
      <c r="M13" s="338" t="str">
        <f>'ALL ML SYSTEMS'!M13</f>
        <v>Yes</v>
      </c>
      <c r="N13" s="338">
        <f>'ALL ML SYSTEMS'!N13</f>
        <v>20000000000</v>
      </c>
      <c r="O13" s="338">
        <f>'ALL ML SYSTEMS'!O13</f>
        <v>9.31627008e+22</v>
      </c>
      <c r="P13" s="339" t="str">
        <f>'ALL ML SYSTEMS'!P13</f>
        <v>The Pile</v>
      </c>
      <c r="Q13" s="338">
        <f>'ALL ML SYSTEMS'!Q13</f>
        <v>177167400000</v>
      </c>
      <c r="R13" s="325">
        <f>'ALL ML SYSTEMS'!R13</f>
        <v>0</v>
      </c>
      <c r="S13" s="338">
        <f>'ALL ML SYSTEMS'!S13</f>
        <v>0</v>
      </c>
      <c r="T13" s="325">
        <f>'ALL ML SYSTEMS'!T13</f>
        <v>0</v>
      </c>
      <c r="U13" s="325">
        <f>'ALL ML SYSTEMS'!U13</f>
        <v>0</v>
      </c>
      <c r="V13" s="325">
        <f>'ALL ML SYSTEMS'!V13</f>
        <v>0</v>
      </c>
      <c r="W13" s="325">
        <f>'ALL ML SYSTEMS'!W13</f>
        <v>0</v>
      </c>
      <c r="X13" s="325">
        <f>'ALL ML SYSTEMS'!X13</f>
        <v>0</v>
      </c>
      <c r="Y13" s="325">
        <f>'ALL ML SYSTEMS'!Y13</f>
        <v>0</v>
      </c>
      <c r="Z13" s="325">
        <f>'ALL ML SYSTEMS'!Z13</f>
        <v>0</v>
      </c>
      <c r="AA13" s="341">
        <f>'ALL ML SYSTEMS'!AA13</f>
        <v>202407.464363562</v>
      </c>
      <c r="AB13" s="325" t="str">
        <f>'ALL ML SYSTEMS'!AB13</f>
        <v>Yes</v>
      </c>
      <c r="AC13" s="325">
        <f>'ALL ML SYSTEMS'!AC13</f>
        <v>0</v>
      </c>
      <c r="AD13" s="325" t="str">
        <f>'ALL ML SYSTEMS'!AD13</f>
        <v>Industry</v>
      </c>
    </row>
    <row r="14" customHeight="1" spans="1:30">
      <c r="A14" s="323" t="str">
        <f>'ALL ML SYSTEMS'!A14</f>
        <v>Stable Diffusion (LDM-KL-8-G)</v>
      </c>
      <c r="B14" s="323" t="str">
        <f>'ALL ML SYSTEMS'!B14</f>
        <v>Drawing</v>
      </c>
      <c r="C14" s="323" t="str">
        <f>'ALL ML SYSTEMS'!C14</f>
        <v>Text-to-image</v>
      </c>
      <c r="D14" s="323" t="str">
        <f>'ALL ML SYSTEMS'!D14</f>
        <v>Stability AI, Runway</v>
      </c>
      <c r="E14" s="323" t="str">
        <f>'ALL ML SYSTEMS'!E14</f>
        <v>Industry</v>
      </c>
      <c r="F14" s="323" t="str">
        <f>'ALL ML SYSTEMS'!F14</f>
        <v>Robin Rombach, Andreas Blattmann, Dominik Lorenz, Patrick Esser, Björn Ommer</v>
      </c>
      <c r="G14" s="324">
        <f>'ALL ML SYSTEMS'!G14</f>
        <v>44664</v>
      </c>
      <c r="H14" s="323">
        <f>'ALL ML SYSTEMS'!H14</f>
        <v>2022</v>
      </c>
      <c r="I14" s="323" t="str">
        <f>'ALL ML SYSTEMS'!I14</f>
        <v>High-Resolution Image Synthesis with Latent Diffusion Models</v>
      </c>
      <c r="J14" s="334" t="str">
        <f>'ALL ML SYSTEMS'!J14</f>
        <v>https://arxiv.org/abs/2112.10752</v>
      </c>
      <c r="K14" s="335">
        <f>'ALL ML SYSTEMS'!K14</f>
        <v>0</v>
      </c>
      <c r="L14" s="323" t="str">
        <f>'ALL ML SYSTEMS'!L14</f>
        <v>Significant use</v>
      </c>
      <c r="M14" s="335" t="str">
        <f>'ALL ML SYSTEMS'!M14</f>
        <v>Yes</v>
      </c>
      <c r="N14" s="335">
        <f>'ALL ML SYSTEMS'!N14</f>
        <v>1450000000</v>
      </c>
      <c r="O14" s="335">
        <f>'ALL ML SYSTEMS'!O14</f>
        <v>5e+22</v>
      </c>
      <c r="P14" s="336" t="str">
        <f>'ALL ML SYSTEMS'!P14</f>
        <v>LAION-400M</v>
      </c>
      <c r="Q14" s="335">
        <f>'ALL ML SYSTEMS'!Q14</f>
        <v>400000000</v>
      </c>
      <c r="R14" s="323">
        <f>'ALL ML SYSTEMS'!R14</f>
        <v>0</v>
      </c>
      <c r="S14" s="323">
        <f>'ALL ML SYSTEMS'!S14</f>
        <v>0</v>
      </c>
      <c r="T14" s="323">
        <f>'ALL ML SYSTEMS'!T14</f>
        <v>0</v>
      </c>
      <c r="U14" s="323">
        <f>'ALL ML SYSTEMS'!U14</f>
        <v>0</v>
      </c>
      <c r="V14" s="323">
        <f>'ALL ML SYSTEMS'!V14</f>
        <v>0</v>
      </c>
      <c r="W14" s="323">
        <f>'ALL ML SYSTEMS'!W14</f>
        <v>0</v>
      </c>
      <c r="X14" s="323">
        <f>'ALL ML SYSTEMS'!X14</f>
        <v>0</v>
      </c>
      <c r="Y14" s="323">
        <f>'ALL ML SYSTEMS'!Y14</f>
        <v>0</v>
      </c>
      <c r="Z14" s="323">
        <f>'ALL ML SYSTEMS'!Z14</f>
        <v>0</v>
      </c>
      <c r="AA14" s="340" t="str">
        <f>'ALL ML SYSTEMS'!AA14</f>
        <v/>
      </c>
      <c r="AB14" s="323" t="str">
        <f>'ALL ML SYSTEMS'!AB14</f>
        <v>Yes</v>
      </c>
      <c r="AC14" s="323">
        <f>'ALL ML SYSTEMS'!AC14</f>
        <v>0</v>
      </c>
      <c r="AD14" s="323">
        <f>'ALL ML SYSTEMS'!AD14</f>
        <v>0</v>
      </c>
    </row>
    <row r="15" customHeight="1" spans="1:30">
      <c r="A15" s="325" t="str">
        <f>'ALL ML SYSTEMS'!A15</f>
        <v>Whisper</v>
      </c>
      <c r="B15" s="325" t="str">
        <f>'ALL ML SYSTEMS'!B15</f>
        <v>Speech</v>
      </c>
      <c r="C15" s="325" t="str">
        <f>'ALL ML SYSTEMS'!C15</f>
        <v>Audio Speech Recognition</v>
      </c>
      <c r="D15" s="325" t="str">
        <f>'ALL ML SYSTEMS'!D15</f>
        <v>OpenAI</v>
      </c>
      <c r="E15" s="325" t="str">
        <f>'ALL ML SYSTEMS'!E15</f>
        <v>Industry</v>
      </c>
      <c r="F15" s="325" t="str">
        <f>'ALL ML SYSTEMS'!F15</f>
        <v>Alec Radford, Jong Wook Kim, Tao Xu, Greg Brockman, Christine McLeavey, Ilya Sutskever</v>
      </c>
      <c r="G15" s="326">
        <f>'ALL ML SYSTEMS'!G15</f>
        <v>44825</v>
      </c>
      <c r="H15" s="325">
        <f>'ALL ML SYSTEMS'!H15</f>
        <v>2022</v>
      </c>
      <c r="I15" s="325" t="str">
        <f>'ALL ML SYSTEMS'!I15</f>
        <v>Robust Speech Recognition via Large-Scale Weak Supervision</v>
      </c>
      <c r="J15" s="337" t="str">
        <f>'ALL ML SYSTEMS'!J15</f>
        <v>https://cdn.openai.com/papers/whisper.pdf</v>
      </c>
      <c r="K15" s="338">
        <f>'ALL ML SYSTEMS'!K15</f>
        <v>0</v>
      </c>
      <c r="L15" s="325" t="str">
        <f>'ALL ML SYSTEMS'!L15</f>
        <v>SOTA Improvement</v>
      </c>
      <c r="M15" s="338" t="str">
        <f>'ALL ML SYSTEMS'!M15</f>
        <v>Yes</v>
      </c>
      <c r="N15" s="338">
        <f>'ALL ML SYSTEMS'!N15</f>
        <v>1550000000</v>
      </c>
      <c r="O15" s="338">
        <f>'ALL ML SYSTEMS'!O15</f>
        <v>4.65e+22</v>
      </c>
      <c r="P15" s="339">
        <f>'ALL ML SYSTEMS'!P15</f>
        <v>0</v>
      </c>
      <c r="Q15" s="338">
        <f>'ALL ML SYSTEMS'!Q15</f>
        <v>9302400000</v>
      </c>
      <c r="R15" s="325">
        <f>'ALL ML SYSTEMS'!R15</f>
        <v>0</v>
      </c>
      <c r="S15" s="325">
        <f>'ALL ML SYSTEMS'!S15</f>
        <v>0</v>
      </c>
      <c r="T15" s="325">
        <f>'ALL ML SYSTEMS'!T15</f>
        <v>0</v>
      </c>
      <c r="U15" s="325">
        <f>'ALL ML SYSTEMS'!U15</f>
        <v>0</v>
      </c>
      <c r="V15" s="325">
        <f>'ALL ML SYSTEMS'!V15</f>
        <v>0</v>
      </c>
      <c r="W15" s="325">
        <f>'ALL ML SYSTEMS'!W15</f>
        <v>0</v>
      </c>
      <c r="X15" s="325">
        <f>'ALL ML SYSTEMS'!X15</f>
        <v>0</v>
      </c>
      <c r="Y15" s="325">
        <f>'ALL ML SYSTEMS'!Y15</f>
        <v>0</v>
      </c>
      <c r="Z15" s="325">
        <f>'ALL ML SYSTEMS'!Z15</f>
        <v>0</v>
      </c>
      <c r="AA15" s="341" t="str">
        <f>'ALL ML SYSTEMS'!AA15</f>
        <v/>
      </c>
      <c r="AB15" s="325" t="str">
        <f>'ALL ML SYSTEMS'!AB15</f>
        <v>Yes</v>
      </c>
      <c r="AC15" s="325">
        <f>'ALL ML SYSTEMS'!AC15</f>
        <v>0</v>
      </c>
      <c r="AD15" s="325">
        <f>'ALL ML SYSTEMS'!AD15</f>
        <v>0</v>
      </c>
    </row>
    <row r="16" hidden="1" customHeight="1" spans="1:30">
      <c r="A16" s="323" t="str">
        <f>'ALL ML SYSTEMS'!A16</f>
        <v>GLM-130B</v>
      </c>
      <c r="B16" s="323" t="str">
        <f>'ALL ML SYSTEMS'!B16</f>
        <v>Language</v>
      </c>
      <c r="C16" s="323">
        <f>'ALL ML SYSTEMS'!C16</f>
        <v>0</v>
      </c>
      <c r="D16" s="323" t="str">
        <f>'ALL ML SYSTEMS'!D16</f>
        <v>Tsinghua KEG</v>
      </c>
      <c r="E16" s="323" t="str">
        <f>'ALL ML SYSTEMS'!E16</f>
        <v>Academia</v>
      </c>
      <c r="F16" s="323">
        <f>'ALL ML SYSTEMS'!F16</f>
        <v>0</v>
      </c>
      <c r="G16" s="324">
        <f>'ALL ML SYSTEMS'!G16</f>
        <v>44777</v>
      </c>
      <c r="H16" s="323">
        <f>'ALL ML SYSTEMS'!H16</f>
        <v>2022</v>
      </c>
      <c r="I16" s="323" t="str">
        <f>'ALL ML SYSTEMS'!I16</f>
        <v>GLM-130B: An open bilingual pre-trained model</v>
      </c>
      <c r="J16" s="334" t="str">
        <f>'ALL ML SYSTEMS'!J16</f>
        <v>https://keg.cs.tsinghua.edu.cn/glm-130b/posts/glm-130b/</v>
      </c>
      <c r="K16" s="335">
        <f>'ALL ML SYSTEMS'!K16</f>
        <v>0</v>
      </c>
      <c r="L16" s="323">
        <f>'ALL ML SYSTEMS'!L16</f>
        <v>0</v>
      </c>
      <c r="M16" s="335" t="str">
        <f>'ALL ML SYSTEMS'!M16</f>
        <v>No</v>
      </c>
      <c r="N16" s="335">
        <f>'ALL ML SYSTEMS'!N16</f>
        <v>130000000000</v>
      </c>
      <c r="O16" s="335">
        <f>'ALL ML SYSTEMS'!O16</f>
        <v>4.6e+22</v>
      </c>
      <c r="P16" s="336">
        <f>'ALL ML SYSTEMS'!P16</f>
        <v>0</v>
      </c>
      <c r="Q16" s="335">
        <f>'ALL ML SYSTEMS'!Q16</f>
        <v>0</v>
      </c>
      <c r="R16" s="323">
        <f>'ALL ML SYSTEMS'!R16</f>
        <v>0</v>
      </c>
      <c r="S16" s="323">
        <f>'ALL ML SYSTEMS'!S16</f>
        <v>0</v>
      </c>
      <c r="T16" s="323">
        <f>'ALL ML SYSTEMS'!T16</f>
        <v>0</v>
      </c>
      <c r="U16" s="323">
        <f>'ALL ML SYSTEMS'!U16</f>
        <v>0</v>
      </c>
      <c r="V16" s="323">
        <f>'ALL ML SYSTEMS'!V16</f>
        <v>0</v>
      </c>
      <c r="W16" s="323">
        <f>'ALL ML SYSTEMS'!W16</f>
        <v>0</v>
      </c>
      <c r="X16" s="323">
        <f>'ALL ML SYSTEMS'!X16</f>
        <v>0</v>
      </c>
      <c r="Y16" s="323">
        <f>'ALL ML SYSTEMS'!Y16</f>
        <v>0</v>
      </c>
      <c r="Z16" s="323">
        <f>'ALL ML SYSTEMS'!Z16</f>
        <v>0</v>
      </c>
      <c r="AA16" s="340" t="str">
        <f>'ALL ML SYSTEMS'!AA16</f>
        <v/>
      </c>
      <c r="AB16" s="323"/>
      <c r="AC16" s="323">
        <f>'ALL ML SYSTEMS'!AB16</f>
        <v>0</v>
      </c>
      <c r="AD16" s="323">
        <f>'ALL ML SYSTEMS'!AC16</f>
        <v>0</v>
      </c>
    </row>
    <row r="17" customHeight="1" spans="1:30">
      <c r="A17" s="325" t="str">
        <f>'ALL ML SYSTEMS'!A17</f>
        <v>AlphaCode</v>
      </c>
      <c r="B17" s="325" t="str">
        <f>'ALL ML SYSTEMS'!B17</f>
        <v>Language</v>
      </c>
      <c r="C17" s="325" t="str">
        <f>'ALL ML SYSTEMS'!C17</f>
        <v>Code generation</v>
      </c>
      <c r="D17" s="325" t="str">
        <f>'ALL ML SYSTEMS'!D17</f>
        <v>DeepMind</v>
      </c>
      <c r="E17" s="325" t="str">
        <f>'ALL ML SYSTEMS'!E17</f>
        <v>Industry</v>
      </c>
      <c r="F17" s="325" t="str">
        <f>'ALL ML SYSTEMS'!F17</f>
        <v>The Alpha Code team</v>
      </c>
      <c r="G17" s="326">
        <f>'ALL ML SYSTEMS'!G17</f>
        <v>44594</v>
      </c>
      <c r="H17" s="327">
        <f>'ALL ML SYSTEMS'!H17</f>
        <v>4594</v>
      </c>
      <c r="I17" s="325" t="str">
        <f>'ALL ML SYSTEMS'!I17</f>
        <v>Competition-Level Code Generation with AlphaCode</v>
      </c>
      <c r="J17" s="337" t="str">
        <f>'ALL ML SYSTEMS'!J17</f>
        <v>https://deepmind.com/blog/article/Competitive-programming-with-AlphaCode</v>
      </c>
      <c r="K17" s="338">
        <f>'ALL ML SYSTEMS'!K17</f>
        <v>75</v>
      </c>
      <c r="L17" s="325" t="str">
        <f>'ALL ML SYSTEMS'!L17</f>
        <v>SOTA improvement</v>
      </c>
      <c r="M17" s="338" t="str">
        <f>'ALL ML SYSTEMS'!M17</f>
        <v>Yes</v>
      </c>
      <c r="N17" s="338">
        <f>'ALL ML SYSTEMS'!N17</f>
        <v>0</v>
      </c>
      <c r="O17" s="338">
        <f>'ALL ML SYSTEMS'!O17</f>
        <v>4.051728e+23</v>
      </c>
      <c r="P17" s="339">
        <f>'ALL ML SYSTEMS'!P17</f>
        <v>0</v>
      </c>
      <c r="Q17" s="338">
        <f>'ALL ML SYSTEMS'!Q17</f>
        <v>0</v>
      </c>
      <c r="R17" s="325">
        <f>'ALL ML SYSTEMS'!R17</f>
        <v>0</v>
      </c>
      <c r="S17" s="338">
        <f>'ALL ML SYSTEMS'!S17</f>
        <v>0</v>
      </c>
      <c r="T17" s="325">
        <f>'ALL ML SYSTEMS'!T17</f>
        <v>0</v>
      </c>
      <c r="U17" s="325">
        <f>'ALL ML SYSTEMS'!U17</f>
        <v>0</v>
      </c>
      <c r="V17" s="325">
        <f>'ALL ML SYSTEMS'!V17</f>
        <v>0</v>
      </c>
      <c r="W17" s="325">
        <f>'ALL ML SYSTEMS'!W17</f>
        <v>0</v>
      </c>
      <c r="X17" s="325">
        <f>'ALL ML SYSTEMS'!X17</f>
        <v>0</v>
      </c>
      <c r="Y17" s="325">
        <f>'ALL ML SYSTEMS'!Y17</f>
        <v>0</v>
      </c>
      <c r="Z17" s="325">
        <f>'ALL ML SYSTEMS'!Z17</f>
        <v>0</v>
      </c>
      <c r="AA17" s="341" t="str">
        <f>'ALL ML SYSTEMS'!AA17</f>
        <v/>
      </c>
      <c r="AB17" s="325" t="str">
        <f>'ALL ML SYSTEMS'!AB17</f>
        <v>Yes</v>
      </c>
      <c r="AC17" s="325">
        <f>'ALL ML SYSTEMS'!AC17</f>
        <v>0</v>
      </c>
      <c r="AD17" s="325" t="str">
        <f>'ALL ML SYSTEMS'!AD17</f>
        <v>Industry</v>
      </c>
    </row>
    <row r="18" customHeight="1" spans="1:30">
      <c r="A18" s="323" t="str">
        <f>'ALL ML SYSTEMS'!A18</f>
        <v>NLLB</v>
      </c>
      <c r="B18" s="323" t="str">
        <f>'ALL ML SYSTEMS'!B18</f>
        <v>Language</v>
      </c>
      <c r="C18" s="323" t="str">
        <f>'ALL ML SYSTEMS'!C18</f>
        <v>Translation</v>
      </c>
      <c r="D18" s="323" t="str">
        <f>'ALL ML SYSTEMS'!D18</f>
        <v>Meta AI</v>
      </c>
      <c r="E18" s="323" t="str">
        <f>'ALL ML SYSTEMS'!E18</f>
        <v>Industry</v>
      </c>
      <c r="F18" s="323" t="str">
        <f>'ALL ML SYSTEMS'!F18</f>
        <v>Marta R. Costa-jussà, James Cross, Onur Çelebi, Maha Elbayad, Kenneth Heafield, Kevin Heffernan, Elahe Kalbassi, Janice Lam, Daniel Licht, Jean Maillard, Anna Sun, Skyler Wang, Guillaume Wenzek, Al Youngblood, Bapi Akula, Loic Barrault, Gabriel Mejia Gonzalez, Prangthip Hansanti, John Hoffman, Semarley Jarrett, Kaushik Ram Sadagopan, Dirk Rowe, Shannon Spruit, Chau Tran, Pierre Andrews, Necip Fazil Ayan, Shruti Bhosale, Sergey Edunov, Angela Fan, Cynthia Gao, Vedanuj Goswami, Francisco (Paco) Guzmán, Philipp Koehn, Alexandre Mourachko, Christophe Ropers, Safiyyah Saleem, Holger Schwenk, Jeff Wang</v>
      </c>
      <c r="G18" s="324">
        <f>'ALL ML SYSTEMS'!G18</f>
        <v>44748</v>
      </c>
      <c r="H18" s="323">
        <f>'ALL ML SYSTEMS'!H18</f>
        <v>2022</v>
      </c>
      <c r="I18" s="323" t="str">
        <f>'ALL ML SYSTEMS'!I18</f>
        <v>No Language Left Behind: Scaling Human-Centered Machine Translation</v>
      </c>
      <c r="J18" s="334" t="str">
        <f>'ALL ML SYSTEMS'!J18</f>
        <v>https://research.facebook.com/publications/no-language-left-behind/?utm_source=twitter&amp;utm_medium=organic_social&amp;utm_campaign=nllb&amp;utm_content=os-artifacts</v>
      </c>
      <c r="K18" s="335">
        <f>'ALL ML SYSTEMS'!K18</f>
        <v>19</v>
      </c>
      <c r="L18" s="323" t="str">
        <f>'ALL ML SYSTEMS'!L18</f>
        <v>SOTA Improvement</v>
      </c>
      <c r="M18" s="335" t="str">
        <f>'ALL ML SYSTEMS'!M18</f>
        <v>Yes</v>
      </c>
      <c r="N18" s="335">
        <f>'ALL ML SYSTEMS'!N18</f>
        <v>54500000000</v>
      </c>
      <c r="O18" s="335">
        <f>'ALL ML SYSTEMS'!O18</f>
        <v>1.751113728e+22</v>
      </c>
      <c r="P18" s="336">
        <f>'ALL ML SYSTEMS'!P18</f>
        <v>0</v>
      </c>
      <c r="Q18" s="335">
        <f>'ALL ML SYSTEMS'!Q18</f>
        <v>360000000000</v>
      </c>
      <c r="R18" s="323">
        <f>'ALL ML SYSTEMS'!R18</f>
        <v>0</v>
      </c>
      <c r="S18" s="323">
        <f>'ALL ML SYSTEMS'!S18</f>
        <v>0</v>
      </c>
      <c r="T18" s="323">
        <f>'ALL ML SYSTEMS'!T18</f>
        <v>0</v>
      </c>
      <c r="U18" s="323">
        <f>'ALL ML SYSTEMS'!U18</f>
        <v>0</v>
      </c>
      <c r="V18" s="323">
        <f>'ALL ML SYSTEMS'!V18</f>
        <v>0</v>
      </c>
      <c r="W18" s="323">
        <f>'ALL ML SYSTEMS'!W18</f>
        <v>0</v>
      </c>
      <c r="X18" s="323">
        <f>'ALL ML SYSTEMS'!X18</f>
        <v>0</v>
      </c>
      <c r="Y18" s="323">
        <f>'ALL ML SYSTEMS'!Y18</f>
        <v>0</v>
      </c>
      <c r="Z18" s="323">
        <f>'ALL ML SYSTEMS'!Z18</f>
        <v>0</v>
      </c>
      <c r="AA18" s="340">
        <f>'ALL ML SYSTEMS'!AA18</f>
        <v>39175.6382639152</v>
      </c>
      <c r="AB18" s="323" t="str">
        <f>'ALL ML SYSTEMS'!AB18</f>
        <v>Yes</v>
      </c>
      <c r="AC18" s="323">
        <f>'ALL ML SYSTEMS'!AC18</f>
        <v>0</v>
      </c>
      <c r="AD18" s="323" t="str">
        <f>'ALL ML SYSTEMS'!AD18</f>
        <v>Industry</v>
      </c>
    </row>
    <row r="19" hidden="1" customHeight="1" spans="1:30">
      <c r="A19" s="325" t="str">
        <f>'ALL ML SYSTEMS'!A19</f>
        <v>Primer</v>
      </c>
      <c r="B19" s="325" t="str">
        <f>'ALL ML SYSTEMS'!B19</f>
        <v>Language</v>
      </c>
      <c r="C19" s="325">
        <f>'ALL ML SYSTEMS'!C19</f>
        <v>0</v>
      </c>
      <c r="D19" s="325" t="str">
        <f>'ALL ML SYSTEMS'!D19</f>
        <v>Google Research, Brain Team</v>
      </c>
      <c r="E19" s="325" t="str">
        <f>'ALL ML SYSTEMS'!E19</f>
        <v>Industry</v>
      </c>
      <c r="F19" s="325" t="str">
        <f>'ALL ML SYSTEMS'!F19</f>
        <v>DavidR.So, WojciechMan ́ke, HanxiaoLiu, ZihangDai, NoamShazeer, QuocV.Le</v>
      </c>
      <c r="G19" s="326">
        <f>'ALL ML SYSTEMS'!G19</f>
        <v>44585</v>
      </c>
      <c r="H19" s="327">
        <f>'ALL ML SYSTEMS'!H19</f>
        <v>4585</v>
      </c>
      <c r="I19" s="325" t="str">
        <f>'ALL ML SYSTEMS'!I19</f>
        <v>Primer: Searching for Efficient Transformers for Language Modeling</v>
      </c>
      <c r="J19" s="337" t="str">
        <f>'ALL ML SYSTEMS'!J19</f>
        <v>https://arxiv.org/abs/2109.08668</v>
      </c>
      <c r="K19" s="338">
        <f>'ALL ML SYSTEMS'!K19</f>
        <v>39</v>
      </c>
      <c r="L19" s="325">
        <f>'ALL ML SYSTEMS'!L19</f>
        <v>0</v>
      </c>
      <c r="M19" s="338" t="str">
        <f>'ALL ML SYSTEMS'!M19</f>
        <v>No</v>
      </c>
      <c r="N19" s="338">
        <f>'ALL ML SYSTEMS'!N19</f>
        <v>1900000000</v>
      </c>
      <c r="O19" s="338">
        <f>'ALL ML SYSTEMS'!O19</f>
        <v>7.1e+21</v>
      </c>
      <c r="P19" s="339" t="str">
        <f>'ALL ML SYSTEMS'!P19</f>
        <v>C4</v>
      </c>
      <c r="Q19" s="338">
        <f>'ALL ML SYSTEMS'!Q19</f>
        <v>173284750600</v>
      </c>
      <c r="R19" s="325">
        <f>'ALL ML SYSTEMS'!R19</f>
        <v>0</v>
      </c>
      <c r="S19" s="338">
        <f>'ALL ML SYSTEMS'!S19</f>
        <v>0</v>
      </c>
      <c r="T19" s="325">
        <f>'ALL ML SYSTEMS'!T19</f>
        <v>0</v>
      </c>
      <c r="U19" s="325">
        <f>'ALL ML SYSTEMS'!U19</f>
        <v>0</v>
      </c>
      <c r="V19" s="325">
        <f>'ALL ML SYSTEMS'!V19</f>
        <v>0</v>
      </c>
      <c r="W19" s="325">
        <f>'ALL ML SYSTEMS'!W19</f>
        <v>0</v>
      </c>
      <c r="X19" s="325">
        <f>'ALL ML SYSTEMS'!X19</f>
        <v>0</v>
      </c>
      <c r="Y19" s="325">
        <f>'ALL ML SYSTEMS'!Y19</f>
        <v>0</v>
      </c>
      <c r="Z19" s="325">
        <f>'ALL ML SYSTEMS'!Z19</f>
        <v>0</v>
      </c>
      <c r="AA19" s="341">
        <f>'ALL ML SYSTEMS'!AA19</f>
        <v>9690.72466888913</v>
      </c>
      <c r="AB19" s="325"/>
      <c r="AC19" s="325">
        <f>'ALL ML SYSTEMS'!AB19</f>
        <v>0</v>
      </c>
      <c r="AD19" s="325">
        <f>'ALL ML SYSTEMS'!AC19</f>
        <v>0</v>
      </c>
    </row>
    <row r="20" customHeight="1" spans="1:30">
      <c r="A20" s="323" t="str">
        <f>'ALL ML SYSTEMS'!A20</f>
        <v>Gato</v>
      </c>
      <c r="B20" s="323" t="str">
        <f>'ALL ML SYSTEMS'!B20</f>
        <v>Multimodal</v>
      </c>
      <c r="C20" s="323">
        <f>'ALL ML SYSTEMS'!C20</f>
        <v>0</v>
      </c>
      <c r="D20" s="323" t="str">
        <f>'ALL ML SYSTEMS'!D20</f>
        <v>DeepMind</v>
      </c>
      <c r="E20" s="323" t="str">
        <f>'ALL ML SYSTEMS'!E20</f>
        <v>Industry</v>
      </c>
      <c r="F20" s="323" t="str">
        <f>'ALL ML SYSTEMS'!F20</f>
        <v>Scott Reed, Konrad Żołna, Emilio Parisotto, Sergio Gómez Colmenarejo, Alexander Novikov, Gabriel Barth-Maron, Mai Giménez, Yury Sulsky, Jackie Kay, Jost Tobias Springenberg, Tom Eccles, Jake Bruce, Ali Razavi, Ashley Edwards, Nicolas Heess, Yutian Chen, Raia Hadsell, Oriol Vinyals, Mahyar Bordbar, Nando de Freitas</v>
      </c>
      <c r="G20" s="324">
        <f>'ALL ML SYSTEMS'!G20</f>
        <v>44693</v>
      </c>
      <c r="H20" s="323">
        <f>'ALL ML SYSTEMS'!H20</f>
        <v>2022</v>
      </c>
      <c r="I20" s="323" t="str">
        <f>'ALL ML SYSTEMS'!I20</f>
        <v>A Generalist Agent</v>
      </c>
      <c r="J20" s="334" t="str">
        <f>'ALL ML SYSTEMS'!J20</f>
        <v>https://www.deepmind.com/publications/a-generalist-agent</v>
      </c>
      <c r="K20" s="335">
        <f>'ALL ML SYSTEMS'!K20</f>
        <v>0</v>
      </c>
      <c r="L20" s="323" t="str">
        <f>'ALL ML SYSTEMS'!L20</f>
        <v>Historical significance</v>
      </c>
      <c r="M20" s="335" t="str">
        <f>'ALL ML SYSTEMS'!M20</f>
        <v>Yes</v>
      </c>
      <c r="N20" s="335">
        <f>'ALL ML SYSTEMS'!N20</f>
        <v>1180000000</v>
      </c>
      <c r="O20" s="335">
        <f>'ALL ML SYSTEMS'!O20</f>
        <v>5.44e+21</v>
      </c>
      <c r="P20" s="336">
        <f>'ALL ML SYSTEMS'!P20</f>
        <v>0</v>
      </c>
      <c r="Q20" s="335">
        <f>'ALL ML SYSTEMS'!Q20</f>
        <v>0</v>
      </c>
      <c r="R20" s="323">
        <f>'ALL ML SYSTEMS'!R20</f>
        <v>0</v>
      </c>
      <c r="S20" s="323">
        <f>'ALL ML SYSTEMS'!S20</f>
        <v>0</v>
      </c>
      <c r="T20" s="323">
        <f>'ALL ML SYSTEMS'!T20</f>
        <v>0</v>
      </c>
      <c r="U20" s="323">
        <f>'ALL ML SYSTEMS'!U20</f>
        <v>0</v>
      </c>
      <c r="V20" s="323">
        <f>'ALL ML SYSTEMS'!V20</f>
        <v>0</v>
      </c>
      <c r="W20" s="323">
        <f>'ALL ML SYSTEMS'!W20</f>
        <v>0</v>
      </c>
      <c r="X20" s="323">
        <f>'ALL ML SYSTEMS'!X20</f>
        <v>0</v>
      </c>
      <c r="Y20" s="323">
        <f>'ALL ML SYSTEMS'!Y20</f>
        <v>0</v>
      </c>
      <c r="Z20" s="323">
        <f>'ALL ML SYSTEMS'!Z20</f>
        <v>0</v>
      </c>
      <c r="AA20" s="340">
        <f>'ALL ML SYSTEMS'!AA20</f>
        <v>6781.08229491861</v>
      </c>
      <c r="AB20" s="323">
        <f>'ALL ML SYSTEMS'!AB20</f>
        <v>0</v>
      </c>
      <c r="AC20" s="323">
        <f>'ALL ML SYSTEMS'!AC20</f>
        <v>0</v>
      </c>
      <c r="AD20" s="323" t="str">
        <f>'ALL ML SYSTEMS'!AD20</f>
        <v>Industry</v>
      </c>
    </row>
    <row r="21" hidden="1" customHeight="1" spans="1:30">
      <c r="A21" s="325" t="str">
        <f>'ALL ML SYSTEMS'!A21</f>
        <v>GPT-SW3</v>
      </c>
      <c r="B21" s="325" t="str">
        <f>'ALL ML SYSTEMS'!B21</f>
        <v>Language</v>
      </c>
      <c r="C21" s="325" t="str">
        <f>'ALL ML SYSTEMS'!C21</f>
        <v>Language modelling</v>
      </c>
      <c r="D21" s="325" t="str">
        <f>'ALL ML SYSTEMS'!D21</f>
        <v>AI Sweden, RISE</v>
      </c>
      <c r="E21" s="325" t="str">
        <f>'ALL ML SYSTEMS'!E21</f>
        <v>Academia</v>
      </c>
      <c r="F21" s="325" t="str">
        <f>'ALL ML SYSTEMS'!F21</f>
        <v>Ariel Ekgren, Amaru Cuba Gyllensten, Evangelia Gogoulou, Alice Heiman, Severine Verlinden, Joey Ohman, Fredrik Carlsson, Magnus Sahlgren</v>
      </c>
      <c r="G21" s="326" t="str">
        <f>'ALL ML SYSTEMS'!G21</f>
        <v>25/06/2022</v>
      </c>
      <c r="H21" s="325">
        <f>'ALL ML SYSTEMS'!H21</f>
        <v>2022</v>
      </c>
      <c r="I21" s="325" t="str">
        <f>'ALL ML SYSTEMS'!I21</f>
        <v>Lessons Learned from GPT-SW3: Building the First Large-Scale Generative Language Model for Swedish</v>
      </c>
      <c r="J21" s="337" t="str">
        <f>'ALL ML SYSTEMS'!J21</f>
        <v>http://www.lrec-conf.org/proceedings/lrec2022/pdf/2022.lrec-1.376.pdf</v>
      </c>
      <c r="K21" s="338">
        <f>'ALL ML SYSTEMS'!K21</f>
        <v>0</v>
      </c>
      <c r="L21" s="325">
        <f>'ALL ML SYSTEMS'!L21</f>
        <v>0</v>
      </c>
      <c r="M21" s="338" t="str">
        <f>'ALL ML SYSTEMS'!M21</f>
        <v>No</v>
      </c>
      <c r="N21" s="338">
        <f>'ALL ML SYSTEMS'!N21</f>
        <v>3500000000</v>
      </c>
      <c r="O21" s="338">
        <f>'ALL ML SYSTEMS'!O21</f>
        <v>1.3e+21</v>
      </c>
      <c r="P21" s="339">
        <f>'ALL ML SYSTEMS'!P21</f>
        <v>0</v>
      </c>
      <c r="Q21" s="338">
        <f>'ALL ML SYSTEMS'!Q21</f>
        <v>0</v>
      </c>
      <c r="R21" s="325">
        <f>'ALL ML SYSTEMS'!R21</f>
        <v>0</v>
      </c>
      <c r="S21" s="325">
        <f>'ALL ML SYSTEMS'!S21</f>
        <v>0</v>
      </c>
      <c r="T21" s="325">
        <f>'ALL ML SYSTEMS'!T21</f>
        <v>0</v>
      </c>
      <c r="U21" s="325">
        <f>'ALL ML SYSTEMS'!U21</f>
        <v>0</v>
      </c>
      <c r="V21" s="325">
        <f>'ALL ML SYSTEMS'!V21</f>
        <v>0</v>
      </c>
      <c r="W21" s="325">
        <f>'ALL ML SYSTEMS'!W21</f>
        <v>0</v>
      </c>
      <c r="X21" s="325">
        <f>'ALL ML SYSTEMS'!X21</f>
        <v>0</v>
      </c>
      <c r="Y21" s="325">
        <f>'ALL ML SYSTEMS'!Y21</f>
        <v>0</v>
      </c>
      <c r="Z21" s="325">
        <f>'ALL ML SYSTEMS'!Z21</f>
        <v>0</v>
      </c>
      <c r="AA21" s="341" t="str">
        <f>'ALL ML SYSTEMS'!AA21</f>
        <v/>
      </c>
      <c r="AB21" s="325"/>
      <c r="AC21" s="325" t="str">
        <f>'ALL ML SYSTEMS'!AB21</f>
        <v>Yes</v>
      </c>
      <c r="AD21" s="325">
        <f>'ALL ML SYSTEMS'!AC21</f>
        <v>0</v>
      </c>
    </row>
    <row r="22" customHeight="1" spans="1:30">
      <c r="A22" s="323" t="str">
        <f>'ALL ML SYSTEMS'!A22</f>
        <v>Sparse all-MLP</v>
      </c>
      <c r="B22" s="323" t="str">
        <f>'ALL ML SYSTEMS'!B22</f>
        <v>Language</v>
      </c>
      <c r="C22" s="323">
        <f>'ALL ML SYSTEMS'!C22</f>
        <v>0</v>
      </c>
      <c r="D22" s="323" t="str">
        <f>'ALL ML SYSTEMS'!D22</f>
        <v>MetaAI</v>
      </c>
      <c r="E22" s="323" t="str">
        <f>'ALL ML SYSTEMS'!E22</f>
        <v>Industry - Academia Collaboration (Industry leaning)</v>
      </c>
      <c r="F22" s="323" t="str">
        <f>'ALL ML SYSTEMS'!F22</f>
        <v>Ping Yu, Mikel Artexte, Myle Ott, Sam  Shleifer, Hongyu Gong, Ves Stoyanov</v>
      </c>
      <c r="G22" s="324">
        <f>'ALL ML SYSTEMS'!G22</f>
        <v>44665</v>
      </c>
      <c r="H22" s="329">
        <f>'ALL ML SYSTEMS'!H22</f>
        <v>2022</v>
      </c>
      <c r="I22" s="323" t="str">
        <f>'ALL ML SYSTEMS'!I22</f>
        <v>Efficient Language Modeling with Sparse all-MLP</v>
      </c>
      <c r="J22" s="334" t="str">
        <f>'ALL ML SYSTEMS'!J22</f>
        <v>https://arxiv.org/abs/2203.06850</v>
      </c>
      <c r="K22" s="335">
        <f>'ALL ML SYSTEMS'!K22</f>
        <v>0</v>
      </c>
      <c r="L22" s="323" t="str">
        <f>'ALL ML SYSTEMS'!L22</f>
        <v>SOTA Improvement</v>
      </c>
      <c r="M22" s="335" t="str">
        <f>'ALL ML SYSTEMS'!M22</f>
        <v>Yes</v>
      </c>
      <c r="N22" s="335">
        <f>'ALL ML SYSTEMS'!N22</f>
        <v>3500000000</v>
      </c>
      <c r="O22" s="335">
        <f>'ALL ML SYSTEMS'!O22</f>
        <v>2.172538368e+19</v>
      </c>
      <c r="P22" s="336" t="str">
        <f>'ALL ML SYSTEMS'!P22</f>
        <v>RoBERTa dataset</v>
      </c>
      <c r="Q22" s="335">
        <f>'ALL ML SYSTEMS'!Q22</f>
        <v>0</v>
      </c>
      <c r="R22" s="323">
        <f>'ALL ML SYSTEMS'!R22</f>
        <v>0</v>
      </c>
      <c r="S22" s="335">
        <f>'ALL ML SYSTEMS'!S22</f>
        <v>0</v>
      </c>
      <c r="T22" s="323">
        <f>'ALL ML SYSTEMS'!T22</f>
        <v>0</v>
      </c>
      <c r="U22" s="323">
        <f>'ALL ML SYSTEMS'!U22</f>
        <v>20.41</v>
      </c>
      <c r="V22" s="323">
        <f>'ALL ML SYSTEMS'!V22</f>
        <v>0</v>
      </c>
      <c r="W22" s="323">
        <f>'ALL ML SYSTEMS'!W22</f>
        <v>0</v>
      </c>
      <c r="X22" s="323">
        <f>'ALL ML SYSTEMS'!X22</f>
        <v>0</v>
      </c>
      <c r="Y22" s="323">
        <f>'ALL ML SYSTEMS'!Y22</f>
        <v>0</v>
      </c>
      <c r="Z22" s="323">
        <f>'ALL ML SYSTEMS'!Z22</f>
        <v>0</v>
      </c>
      <c r="AA22" s="340">
        <f>'ALL ML SYSTEMS'!AA22</f>
        <v>80.2939765306011</v>
      </c>
      <c r="AB22" s="323" t="str">
        <f>'ALL ML SYSTEMS'!AB22</f>
        <v>Yes</v>
      </c>
      <c r="AC22" s="323">
        <f>'ALL ML SYSTEMS'!AC22</f>
        <v>0</v>
      </c>
      <c r="AD22" s="323" t="str">
        <f>'ALL ML SYSTEMS'!AD22</f>
        <v>Industry</v>
      </c>
    </row>
    <row r="23" hidden="1" customHeight="1" spans="1:30">
      <c r="A23" s="325" t="str">
        <f>'ALL ML SYSTEMS'!A23</f>
        <v>LiMoE</v>
      </c>
      <c r="B23" s="325" t="str">
        <f>'ALL ML SYSTEMS'!B23</f>
        <v>Multimodal</v>
      </c>
      <c r="C23" s="325" t="str">
        <f>'ALL ML SYSTEMS'!C23</f>
        <v>Image classification</v>
      </c>
      <c r="D23" s="325" t="str">
        <f>'ALL ML SYSTEMS'!D23</f>
        <v>Google</v>
      </c>
      <c r="E23" s="325" t="str">
        <f>'ALL ML SYSTEMS'!E23</f>
        <v>Industry</v>
      </c>
      <c r="F23" s="325" t="str">
        <f>'ALL ML SYSTEMS'!F23</f>
        <v>Basil Mustafa, Carlos Riquelme, Joan Puigcerver, Rodolphe Jenatton, Neil Houlsby</v>
      </c>
      <c r="G23" s="326">
        <f>'ALL ML SYSTEMS'!G23</f>
        <v>44718</v>
      </c>
      <c r="H23" s="325">
        <f>'ALL ML SYSTEMS'!H23</f>
        <v>2022</v>
      </c>
      <c r="I23" s="325" t="str">
        <f>'ALL ML SYSTEMS'!I23</f>
        <v>Multimodal Contrastive Learning with LIMoE: the Language-Image Mixture of Experts</v>
      </c>
      <c r="J23" s="337" t="str">
        <f>'ALL ML SYSTEMS'!J23</f>
        <v>https://arxiv.org/abs/2206.02770</v>
      </c>
      <c r="K23" s="325">
        <f>'ALL ML SYSTEMS'!K23</f>
        <v>15</v>
      </c>
      <c r="L23" s="325">
        <f>'ALL ML SYSTEMS'!L23</f>
        <v>0</v>
      </c>
      <c r="M23" s="338" t="str">
        <f>'ALL ML SYSTEMS'!M23</f>
        <v>No</v>
      </c>
      <c r="N23" s="338">
        <f>'ALL ML SYSTEMS'!N23</f>
        <v>5600000000</v>
      </c>
      <c r="O23" s="338">
        <f>'ALL ML SYSTEMS'!O23</f>
        <v>200000000000</v>
      </c>
      <c r="P23" s="325">
        <f>'ALL ML SYSTEMS'!P23</f>
        <v>0</v>
      </c>
      <c r="Q23" s="325">
        <f>'ALL ML SYSTEMS'!Q23</f>
        <v>0</v>
      </c>
      <c r="R23" s="325">
        <f>'ALL ML SYSTEMS'!R23</f>
        <v>0</v>
      </c>
      <c r="S23" s="325">
        <f>'ALL ML SYSTEMS'!S23</f>
        <v>0</v>
      </c>
      <c r="T23" s="325">
        <f>'ALL ML SYSTEMS'!T23</f>
        <v>0</v>
      </c>
      <c r="U23" s="325">
        <f>'ALL ML SYSTEMS'!U23</f>
        <v>0</v>
      </c>
      <c r="V23" s="325">
        <f>'ALL ML SYSTEMS'!V23</f>
        <v>0</v>
      </c>
      <c r="W23" s="325">
        <f>'ALL ML SYSTEMS'!W23</f>
        <v>0</v>
      </c>
      <c r="X23" s="325">
        <f>'ALL ML SYSTEMS'!X23</f>
        <v>0</v>
      </c>
      <c r="Y23" s="325">
        <f>'ALL ML SYSTEMS'!Y23</f>
        <v>0</v>
      </c>
      <c r="Z23" s="325">
        <f>'ALL ML SYSTEMS'!Z23</f>
        <v>0</v>
      </c>
      <c r="AA23" s="341" t="str">
        <f>'ALL ML SYSTEMS'!AA23</f>
        <v/>
      </c>
      <c r="AB23" s="325"/>
      <c r="AC23" s="325">
        <f>'ALL ML SYSTEMS'!AB23</f>
        <v>0</v>
      </c>
      <c r="AD23" s="325">
        <f>'ALL ML SYSTEMS'!AC23</f>
        <v>0</v>
      </c>
    </row>
    <row r="24" customHeight="1" spans="1:30">
      <c r="A24" s="323" t="str">
        <f>'ALL ML SYSTEMS'!A24</f>
        <v>data2vec (vision)</v>
      </c>
      <c r="B24" s="323" t="str">
        <f>'ALL ML SYSTEMS'!B24</f>
        <v>Vision</v>
      </c>
      <c r="C24" s="323">
        <f>'ALL ML SYSTEMS'!C24</f>
        <v>0</v>
      </c>
      <c r="D24" s="323" t="str">
        <f>'ALL ML SYSTEMS'!D24</f>
        <v>MetaAI</v>
      </c>
      <c r="E24" s="323" t="str">
        <f>'ALL ML SYSTEMS'!E24</f>
        <v>Industry</v>
      </c>
      <c r="F24" s="323" t="str">
        <f>'ALL ML SYSTEMS'!F24</f>
        <v>Alexei Baevski,  Wei-Ning Hsu,  Qiantong Xu , Arun Babu,  Jiatao Gu,  Michael Auli</v>
      </c>
      <c r="G24" s="324">
        <f>'ALL ML SYSTEMS'!G24</f>
        <v>44581</v>
      </c>
      <c r="H24" s="329">
        <f>'ALL ML SYSTEMS'!H24</f>
        <v>4581</v>
      </c>
      <c r="I24" s="323" t="str">
        <f>'ALL ML SYSTEMS'!I24</f>
        <v>Data2vec: A General Framework for Self-supervised Learning in Speech, Vision and Language</v>
      </c>
      <c r="J24" s="334" t="str">
        <f>'ALL ML SYSTEMS'!J24</f>
        <v>https://ai.facebook.com/research/data2vec-a-general-framework-for-self-supervised-learning-in-speech-vision-and-language/</v>
      </c>
      <c r="K24" s="335">
        <f>'ALL ML SYSTEMS'!K24</f>
        <v>180</v>
      </c>
      <c r="L24" s="323" t="str">
        <f>'ALL ML SYSTEMS'!L24</f>
        <v>SOTA Improvement</v>
      </c>
      <c r="M24" s="335" t="str">
        <f>'ALL ML SYSTEMS'!M24</f>
        <v>Yes</v>
      </c>
      <c r="N24" s="335">
        <f>'ALL ML SYSTEMS'!N24</f>
        <v>705134592</v>
      </c>
      <c r="O24" s="335">
        <f>'ALL ML SYSTEMS'!O24</f>
        <v>0</v>
      </c>
      <c r="P24" s="336" t="str">
        <f>'ALL ML SYSTEMS'!P24</f>
        <v>ImageNet</v>
      </c>
      <c r="Q24" s="335">
        <f>'ALL ML SYSTEMS'!Q24</f>
        <v>1281167</v>
      </c>
      <c r="R24" s="323">
        <f>'ALL ML SYSTEMS'!R24</f>
        <v>0</v>
      </c>
      <c r="S24" s="335">
        <f>'ALL ML SYSTEMS'!S24</f>
        <v>0</v>
      </c>
      <c r="T24" s="323">
        <f>'ALL ML SYSTEMS'!T24</f>
        <v>0</v>
      </c>
      <c r="U24" s="323">
        <f>'ALL ML SYSTEMS'!U24</f>
        <v>0</v>
      </c>
      <c r="V24" s="323">
        <f>'ALL ML SYSTEMS'!V24</f>
        <v>0</v>
      </c>
      <c r="W24" s="323">
        <f>'ALL ML SYSTEMS'!W24</f>
        <v>0</v>
      </c>
      <c r="X24" s="323">
        <f>'ALL ML SYSTEMS'!X24</f>
        <v>0</v>
      </c>
      <c r="Y24" s="323">
        <f>'ALL ML SYSTEMS'!Y24</f>
        <v>0</v>
      </c>
      <c r="Z24" s="323">
        <f>'ALL ML SYSTEMS'!Z24</f>
        <v>0</v>
      </c>
      <c r="AA24" s="340" t="str">
        <f>'ALL ML SYSTEMS'!AA24</f>
        <v/>
      </c>
      <c r="AB24" s="323" t="str">
        <f>'ALL ML SYSTEMS'!AB24</f>
        <v>Yes</v>
      </c>
      <c r="AC24" s="323">
        <f>'ALL ML SYSTEMS'!AC24</f>
        <v>0</v>
      </c>
      <c r="AD24" s="323" t="str">
        <f>'ALL ML SYSTEMS'!AD24</f>
        <v>Industry</v>
      </c>
    </row>
    <row r="25" customHeight="1" spans="1:30">
      <c r="A25" s="325" t="str">
        <f>'ALL ML SYSTEMS'!A25</f>
        <v>data2vec (speech)</v>
      </c>
      <c r="B25" s="325" t="str">
        <f>'ALL ML SYSTEMS'!B25</f>
        <v>Speech</v>
      </c>
      <c r="C25" s="325">
        <f>'ALL ML SYSTEMS'!C25</f>
        <v>0</v>
      </c>
      <c r="D25" s="325" t="str">
        <f>'ALL ML SYSTEMS'!D25</f>
        <v>MetaAI</v>
      </c>
      <c r="E25" s="325" t="str">
        <f>'ALL ML SYSTEMS'!E25</f>
        <v>Industry</v>
      </c>
      <c r="F25" s="325" t="str">
        <f>'ALL ML SYSTEMS'!F25</f>
        <v>Alexei Baevski,  Wei-Ning Hsu,  Qiantong Xu , Arun Babu,  Jiatao Gu,  Michael Auli</v>
      </c>
      <c r="G25" s="326">
        <f>'ALL ML SYSTEMS'!G25</f>
        <v>44581</v>
      </c>
      <c r="H25" s="327">
        <f>'ALL ML SYSTEMS'!H25</f>
        <v>4581</v>
      </c>
      <c r="I25" s="325" t="str">
        <f>'ALL ML SYSTEMS'!I25</f>
        <v>Data2vec: A General Framework for Self-supervised Learning in Speech, Vision and Language</v>
      </c>
      <c r="J25" s="337" t="str">
        <f>'ALL ML SYSTEMS'!J25</f>
        <v>https://ai.facebook.com/research/data2vec-a-general-framework-for-self-supervised-learning-in-speech-vision-and-language/</v>
      </c>
      <c r="K25" s="338">
        <f>'ALL ML SYSTEMS'!K25</f>
        <v>180</v>
      </c>
      <c r="L25" s="325" t="str">
        <f>'ALL ML SYSTEMS'!L25</f>
        <v>SOTA Improvement</v>
      </c>
      <c r="M25" s="338" t="str">
        <f>'ALL ML SYSTEMS'!M25</f>
        <v>Yes</v>
      </c>
      <c r="N25" s="338">
        <f>'ALL ML SYSTEMS'!N25</f>
        <v>705134592</v>
      </c>
      <c r="O25" s="338">
        <f>'ALL ML SYSTEMS'!O25</f>
        <v>0</v>
      </c>
      <c r="P25" s="339" t="str">
        <f>'ALL ML SYSTEMS'!P25</f>
        <v>LS-960</v>
      </c>
      <c r="Q25" s="338">
        <f>'ALL ML SYSTEMS'!Q25</f>
        <v>13132800</v>
      </c>
      <c r="R25" s="325">
        <f>'ALL ML SYSTEMS'!R25</f>
        <v>0</v>
      </c>
      <c r="S25" s="338">
        <f>'ALL ML SYSTEMS'!S25</f>
        <v>0</v>
      </c>
      <c r="T25" s="325">
        <f>'ALL ML SYSTEMS'!T25</f>
        <v>0</v>
      </c>
      <c r="U25" s="325">
        <f>'ALL ML SYSTEMS'!U25</f>
        <v>0</v>
      </c>
      <c r="V25" s="325">
        <f>'ALL ML SYSTEMS'!V25</f>
        <v>0</v>
      </c>
      <c r="W25" s="325">
        <f>'ALL ML SYSTEMS'!W25</f>
        <v>0</v>
      </c>
      <c r="X25" s="325">
        <f>'ALL ML SYSTEMS'!X25</f>
        <v>0</v>
      </c>
      <c r="Y25" s="325">
        <f>'ALL ML SYSTEMS'!Y25</f>
        <v>0</v>
      </c>
      <c r="Z25" s="325">
        <f>'ALL ML SYSTEMS'!Z25</f>
        <v>0</v>
      </c>
      <c r="AA25" s="341" t="str">
        <f>'ALL ML SYSTEMS'!AA25</f>
        <v/>
      </c>
      <c r="AB25" s="325" t="str">
        <f>'ALL ML SYSTEMS'!AB25</f>
        <v>Yes</v>
      </c>
      <c r="AC25" s="325">
        <f>'ALL ML SYSTEMS'!AC25</f>
        <v>0</v>
      </c>
      <c r="AD25" s="325" t="str">
        <f>'ALL ML SYSTEMS'!AD25</f>
        <v>Industry</v>
      </c>
    </row>
    <row r="26" customHeight="1" spans="1:30">
      <c r="A26" s="323" t="str">
        <f>'ALL ML SYSTEMS'!A26</f>
        <v>data2vec (language)</v>
      </c>
      <c r="B26" s="323" t="str">
        <f>'ALL ML SYSTEMS'!B26</f>
        <v>Language</v>
      </c>
      <c r="C26" s="323">
        <f>'ALL ML SYSTEMS'!C26</f>
        <v>0</v>
      </c>
      <c r="D26" s="323" t="str">
        <f>'ALL ML SYSTEMS'!D26</f>
        <v>MetaAI</v>
      </c>
      <c r="E26" s="323" t="str">
        <f>'ALL ML SYSTEMS'!E26</f>
        <v>Industry</v>
      </c>
      <c r="F26" s="323" t="str">
        <f>'ALL ML SYSTEMS'!F26</f>
        <v>Alexei Baevski,  Wei-Ning Hsu,  Qiantong Xu , Arun Babu,  Jiatao Gu,  Michael Auli</v>
      </c>
      <c r="G26" s="324">
        <f>'ALL ML SYSTEMS'!G26</f>
        <v>44581</v>
      </c>
      <c r="H26" s="329">
        <f>'ALL ML SYSTEMS'!H26</f>
        <v>4581</v>
      </c>
      <c r="I26" s="323" t="str">
        <f>'ALL ML SYSTEMS'!I26</f>
        <v>Data2vec: A General Framework for Self-supervised Learning in Speech, Vision and Language</v>
      </c>
      <c r="J26" s="334" t="str">
        <f>'ALL ML SYSTEMS'!J26</f>
        <v>https://ai.facebook.com/research/data2vec-a-general-framework-for-self-supervised-learning-in-speech-vision-and-language/</v>
      </c>
      <c r="K26" s="335">
        <f>'ALL ML SYSTEMS'!K26</f>
        <v>180</v>
      </c>
      <c r="L26" s="323" t="str">
        <f>'ALL ML SYSTEMS'!L26</f>
        <v>SOTA Improvement</v>
      </c>
      <c r="M26" s="335" t="str">
        <f>'ALL ML SYSTEMS'!M26</f>
        <v>Yes</v>
      </c>
      <c r="N26" s="335">
        <f>'ALL ML SYSTEMS'!N26</f>
        <v>705134592</v>
      </c>
      <c r="O26" s="335">
        <f>'ALL ML SYSTEMS'!O26</f>
        <v>0</v>
      </c>
      <c r="P26" s="336" t="str">
        <f>'ALL ML SYSTEMS'!P26</f>
        <v>Books Corpus, English Wikipedia</v>
      </c>
      <c r="Q26" s="335">
        <f>'ALL ML SYSTEMS'!Q26</f>
        <v>3300000000</v>
      </c>
      <c r="R26" s="323">
        <f>'ALL ML SYSTEMS'!R26</f>
        <v>0</v>
      </c>
      <c r="S26" s="335">
        <f>'ALL ML SYSTEMS'!S26</f>
        <v>0</v>
      </c>
      <c r="T26" s="323">
        <f>'ALL ML SYSTEMS'!T26</f>
        <v>0</v>
      </c>
      <c r="U26" s="323">
        <f>'ALL ML SYSTEMS'!U26</f>
        <v>0</v>
      </c>
      <c r="V26" s="323">
        <f>'ALL ML SYSTEMS'!V26</f>
        <v>0</v>
      </c>
      <c r="W26" s="323">
        <f>'ALL ML SYSTEMS'!W26</f>
        <v>0</v>
      </c>
      <c r="X26" s="323">
        <f>'ALL ML SYSTEMS'!X26</f>
        <v>0</v>
      </c>
      <c r="Y26" s="323">
        <f>'ALL ML SYSTEMS'!Y26</f>
        <v>0</v>
      </c>
      <c r="Z26" s="323">
        <f>'ALL ML SYSTEMS'!Z26</f>
        <v>0</v>
      </c>
      <c r="AA26" s="340" t="str">
        <f>'ALL ML SYSTEMS'!AA26</f>
        <v/>
      </c>
      <c r="AB26" s="323" t="str">
        <f>'ALL ML SYSTEMS'!AB26</f>
        <v>Yes</v>
      </c>
      <c r="AC26" s="323">
        <f>'ALL ML SYSTEMS'!AC26</f>
        <v>0</v>
      </c>
      <c r="AD26" s="323" t="str">
        <f>'ALL ML SYSTEMS'!AD26</f>
        <v>Industry</v>
      </c>
    </row>
    <row r="27" customHeight="1" spans="1:30">
      <c r="A27" s="325" t="str">
        <f>'ALL ML SYSTEMS'!A27</f>
        <v>InstructGPT</v>
      </c>
      <c r="B27" s="325" t="str">
        <f>'ALL ML SYSTEMS'!B27</f>
        <v>Language</v>
      </c>
      <c r="C27" s="325">
        <f>'ALL ML SYSTEMS'!C27</f>
        <v>0</v>
      </c>
      <c r="D27" s="325" t="str">
        <f>'ALL ML SYSTEMS'!D27</f>
        <v>OpenAI</v>
      </c>
      <c r="E27" s="325" t="str">
        <f>'ALL ML SYSTEMS'!E27</f>
        <v>Industry</v>
      </c>
      <c r="F27" s="325" t="str">
        <f>'ALL ML SYSTEMS'!F27</f>
        <v>Long Ouyang, Pamela Mishkin, Jeff Wu, Xu Jiang, Diogo Almeida, Carroll L. Wainwright,John Schulman Amanda Askell, Fraser Kelton Peter Welinder, Luke Miller Maddie Simens Paul Christiano,Ryan Lowe,Chong Zhang Jacob Hilton, Sandhini Agarwal Katarina Slama Alex Ray, Jan Leike</v>
      </c>
      <c r="G27" s="326">
        <f>'ALL ML SYSTEMS'!G27</f>
        <v>44588</v>
      </c>
      <c r="H27" s="327">
        <f>'ALL ML SYSTEMS'!H27</f>
        <v>4588</v>
      </c>
      <c r="I27" s="325" t="str">
        <f>'ALL ML SYSTEMS'!I27</f>
        <v>Training language models to follow instructions with human feedback</v>
      </c>
      <c r="J27" s="337" t="str">
        <f>'ALL ML SYSTEMS'!J27</f>
        <v>https://cdn.openai.com/papers/Training_language_models_to_follow_instructions_with_human_feedback.pdf</v>
      </c>
      <c r="K27" s="338">
        <f>'ALL ML SYSTEMS'!K27</f>
        <v>149</v>
      </c>
      <c r="L27" s="325" t="str">
        <f>'ALL ML SYSTEMS'!L27</f>
        <v>Historical significance</v>
      </c>
      <c r="M27" s="338" t="str">
        <f>'ALL ML SYSTEMS'!M27</f>
        <v>Yes</v>
      </c>
      <c r="N27" s="338">
        <f>'ALL ML SYSTEMS'!N27</f>
        <v>0</v>
      </c>
      <c r="O27" s="338">
        <f>'ALL ML SYSTEMS'!O27</f>
        <v>0</v>
      </c>
      <c r="P27" s="339">
        <f>'ALL ML SYSTEMS'!P27</f>
        <v>0</v>
      </c>
      <c r="Q27" s="338">
        <f>'ALL ML SYSTEMS'!Q27</f>
        <v>33207</v>
      </c>
      <c r="R27" s="325">
        <f>'ALL ML SYSTEMS'!R27</f>
        <v>0</v>
      </c>
      <c r="S27" s="338">
        <f>'ALL ML SYSTEMS'!S27</f>
        <v>0</v>
      </c>
      <c r="T27" s="325">
        <f>'ALL ML SYSTEMS'!T27</f>
        <v>0</v>
      </c>
      <c r="U27" s="325">
        <f>'ALL ML SYSTEMS'!U27</f>
        <v>0</v>
      </c>
      <c r="V27" s="325">
        <f>'ALL ML SYSTEMS'!V27</f>
        <v>0</v>
      </c>
      <c r="W27" s="325">
        <f>'ALL ML SYSTEMS'!W27</f>
        <v>0</v>
      </c>
      <c r="X27" s="325">
        <f>'ALL ML SYSTEMS'!X27</f>
        <v>0</v>
      </c>
      <c r="Y27" s="325">
        <f>'ALL ML SYSTEMS'!Y27</f>
        <v>0</v>
      </c>
      <c r="Z27" s="325">
        <f>'ALL ML SYSTEMS'!Z27</f>
        <v>0</v>
      </c>
      <c r="AA27" s="341" t="str">
        <f>'ALL ML SYSTEMS'!AA27</f>
        <v/>
      </c>
      <c r="AB27" s="325" t="str">
        <f>'ALL ML SYSTEMS'!AB27</f>
        <v>Yes</v>
      </c>
      <c r="AC27" s="325">
        <f>'ALL ML SYSTEMS'!AC27</f>
        <v>0</v>
      </c>
      <c r="AD27" s="325" t="str">
        <f>'ALL ML SYSTEMS'!AD27</f>
        <v>Industry</v>
      </c>
    </row>
    <row r="28" hidden="1" customHeight="1" spans="1:30">
      <c r="A28" s="323" t="str">
        <f>'ALL ML SYSTEMS'!A28</f>
        <v>RETRO-7B</v>
      </c>
      <c r="B28" s="323" t="str">
        <f>'ALL ML SYSTEMS'!B28</f>
        <v>Language</v>
      </c>
      <c r="C28" s="323">
        <f>'ALL ML SYSTEMS'!C28</f>
        <v>0</v>
      </c>
      <c r="D28" s="323" t="str">
        <f>'ALL ML SYSTEMS'!D28</f>
        <v>DeepMind</v>
      </c>
      <c r="E28" s="323" t="str">
        <f>'ALL ML SYSTEMS'!E28</f>
        <v>Industry</v>
      </c>
      <c r="F28" s="323" t="str">
        <f>'ALL ML SYSTEMS'!F28</f>
        <v>Sebastian Borgeaud†, Arthur Mensch†, Jordan Hoffmann†, Trevor Cai, Eliza Rutherford, Katie Millican, George van den Driessche, Jean-Baptiste Lespiau, Bogdan Damoc, Aidan Clark, Diego de Las Casas, Aurelia Guy, Jacob Menick, Roman Ring, Tom Hennigan, Saffron Huang, Loren Maggiore, Chris Jones, Albin Cassirer, Andy Brock, Michela Paganini, Geoffrey Irving, Oriol Vinyals, Simon Osindero,Karen Simonyan, Jack W. Rae‡, Erich Elsen‡ and Laurent Sifre</v>
      </c>
      <c r="G28" s="324">
        <f>'ALL ML SYSTEMS'!G28</f>
        <v>44599</v>
      </c>
      <c r="H28" s="329">
        <f>'ALL ML SYSTEMS'!H28</f>
        <v>4599</v>
      </c>
      <c r="I28" s="323" t="str">
        <f>'ALL ML SYSTEMS'!I28</f>
        <v>Improving language models by retrieving from trillions of tokens</v>
      </c>
      <c r="J28" s="334" t="str">
        <f>'ALL ML SYSTEMS'!J28</f>
        <v>https://arxiv.org/abs/2112.04426</v>
      </c>
      <c r="K28" s="335">
        <f>'ALL ML SYSTEMS'!K28</f>
        <v>59</v>
      </c>
      <c r="L28" s="323">
        <f>'ALL ML SYSTEMS'!L28</f>
        <v>0</v>
      </c>
      <c r="M28" s="335" t="str">
        <f>'ALL ML SYSTEMS'!M28</f>
        <v>No</v>
      </c>
      <c r="N28" s="335">
        <f>'ALL ML SYSTEMS'!N28</f>
        <v>7500000000</v>
      </c>
      <c r="O28" s="335">
        <f>'ALL ML SYSTEMS'!O28</f>
        <v>0</v>
      </c>
      <c r="P28" s="336">
        <f>'ALL ML SYSTEMS'!P28</f>
        <v>0</v>
      </c>
      <c r="Q28" s="335">
        <f>'ALL ML SYSTEMS'!Q28</f>
        <v>1500000000000</v>
      </c>
      <c r="R28" s="323">
        <f>'ALL ML SYSTEMS'!R28</f>
        <v>0</v>
      </c>
      <c r="S28" s="335">
        <f>'ALL ML SYSTEMS'!S28</f>
        <v>0</v>
      </c>
      <c r="T28" s="323">
        <f>'ALL ML SYSTEMS'!T28</f>
        <v>0</v>
      </c>
      <c r="U28" s="323">
        <f>'ALL ML SYSTEMS'!U28</f>
        <v>0</v>
      </c>
      <c r="V28" s="323">
        <f>'ALL ML SYSTEMS'!V28</f>
        <v>0</v>
      </c>
      <c r="W28" s="323">
        <f>'ALL ML SYSTEMS'!W28</f>
        <v>0</v>
      </c>
      <c r="X28" s="323">
        <f>'ALL ML SYSTEMS'!X28</f>
        <v>0</v>
      </c>
      <c r="Y28" s="323">
        <f>'ALL ML SYSTEMS'!Y28</f>
        <v>0</v>
      </c>
      <c r="Z28" s="323">
        <f>'ALL ML SYSTEMS'!Z28</f>
        <v>0</v>
      </c>
      <c r="AA28" s="340" t="str">
        <f>'ALL ML SYSTEMS'!AA28</f>
        <v/>
      </c>
      <c r="AB28" s="323"/>
      <c r="AC28" s="323" t="str">
        <f>'ALL ML SYSTEMS'!AB28</f>
        <v>Yes</v>
      </c>
      <c r="AD28" s="323" t="str">
        <f>'ALL ML SYSTEMS'!AC28</f>
        <v>Retrieval Transformer</v>
      </c>
    </row>
    <row r="29" hidden="1" customHeight="1" spans="1:30">
      <c r="A29" s="325" t="str">
        <f>'ALL ML SYSTEMS'!A29</f>
        <v>MuZero VP9</v>
      </c>
      <c r="B29" s="325" t="str">
        <f>'ALL ML SYSTEMS'!B29</f>
        <v>Other</v>
      </c>
      <c r="C29" s="325" t="str">
        <f>'ALL ML SYSTEMS'!C29</f>
        <v>Video compression</v>
      </c>
      <c r="D29" s="325" t="str">
        <f>'ALL ML SYSTEMS'!D29</f>
        <v>DeepMind</v>
      </c>
      <c r="E29" s="325" t="str">
        <f>'ALL ML SYSTEMS'!E29</f>
        <v>Industry</v>
      </c>
      <c r="F29" s="325" t="str">
        <f>'ALL ML SYSTEMS'!F29</f>
        <v>Amol Mandhane, Anton Zhernov, Maribeth Rauh, Chenjie Gu, Miaosen Wang, Flora Xue, Wendy Shang, Derek Pang, Rene Claus, Ching-Han Chiang, Cheng Chen, Jingning Han, Angie Chen, Daniel J. Mankowitz, Jackson Broshear, Julian Schrittwieser, Thomas Hubert, Oriol Vinyals, Timothy Mann</v>
      </c>
      <c r="G29" s="326">
        <f>'ALL ML SYSTEMS'!G29</f>
        <v>44606</v>
      </c>
      <c r="H29" s="325">
        <f>'ALL ML SYSTEMS'!H29</f>
        <v>2022</v>
      </c>
      <c r="I29" s="325" t="str">
        <f>'ALL ML SYSTEMS'!I29</f>
        <v>MuZero with Self-competition for Rate Control in VP9 Video Compression</v>
      </c>
      <c r="J29" s="337" t="str">
        <f>'ALL ML SYSTEMS'!J29</f>
        <v>https://arxiv.org/abs/2202.06626</v>
      </c>
      <c r="K29" s="338">
        <f>'ALL ML SYSTEMS'!K29</f>
        <v>0</v>
      </c>
      <c r="L29" s="325">
        <f>'ALL ML SYSTEMS'!L29</f>
        <v>0</v>
      </c>
      <c r="M29" s="338" t="str">
        <f>'ALL ML SYSTEMS'!M29</f>
        <v>No</v>
      </c>
      <c r="N29" s="325">
        <f>'ALL ML SYSTEMS'!N29</f>
        <v>0</v>
      </c>
      <c r="O29" s="338">
        <f>'ALL ML SYSTEMS'!O29</f>
        <v>0</v>
      </c>
      <c r="P29" s="339">
        <f>'ALL ML SYSTEMS'!P29</f>
        <v>0</v>
      </c>
      <c r="Q29" s="338">
        <f>'ALL ML SYSTEMS'!Q29</f>
        <v>0</v>
      </c>
      <c r="R29" s="325">
        <f>'ALL ML SYSTEMS'!R29</f>
        <v>0</v>
      </c>
      <c r="S29" s="325">
        <f>'ALL ML SYSTEMS'!S29</f>
        <v>0</v>
      </c>
      <c r="T29" s="325">
        <f>'ALL ML SYSTEMS'!T29</f>
        <v>0</v>
      </c>
      <c r="U29" s="325">
        <f>'ALL ML SYSTEMS'!U29</f>
        <v>0</v>
      </c>
      <c r="V29" s="325">
        <f>'ALL ML SYSTEMS'!V29</f>
        <v>0</v>
      </c>
      <c r="W29" s="325">
        <f>'ALL ML SYSTEMS'!W29</f>
        <v>0</v>
      </c>
      <c r="X29" s="325">
        <f>'ALL ML SYSTEMS'!X29</f>
        <v>0</v>
      </c>
      <c r="Y29" s="325">
        <f>'ALL ML SYSTEMS'!Y29</f>
        <v>0</v>
      </c>
      <c r="Z29" s="325">
        <f>'ALL ML SYSTEMS'!Z29</f>
        <v>0</v>
      </c>
      <c r="AA29" s="341" t="str">
        <f>'ALL ML SYSTEMS'!AA29</f>
        <v/>
      </c>
      <c r="AB29" s="325"/>
      <c r="AC29" s="325">
        <f>'ALL ML SYSTEMS'!AB29</f>
        <v>0</v>
      </c>
      <c r="AD29" s="325">
        <f>'ALL ML SYSTEMS'!AC29</f>
        <v>0</v>
      </c>
    </row>
    <row r="30" hidden="1" customHeight="1" spans="1:30">
      <c r="A30" s="323" t="str">
        <f>'ALL ML SYSTEMS'!A30</f>
        <v>DeepNet</v>
      </c>
      <c r="B30" s="323" t="str">
        <f>'ALL ML SYSTEMS'!B30</f>
        <v>Language</v>
      </c>
      <c r="C30" s="323" t="str">
        <f>'ALL ML SYSTEMS'!C30</f>
        <v>Language modelling</v>
      </c>
      <c r="D30" s="323" t="str">
        <f>'ALL ML SYSTEMS'!D30</f>
        <v>Microsoft Research</v>
      </c>
      <c r="E30" s="323" t="str">
        <f>'ALL ML SYSTEMS'!E30</f>
        <v>Industry</v>
      </c>
      <c r="F30" s="323" t="str">
        <f>'ALL ML SYSTEMS'!F30</f>
        <v>Hongyu Wang, Shuming Ma, Li Dong, Shaohan Huang, Dongdong Zhang, Furu Wei</v>
      </c>
      <c r="G30" s="324">
        <f>'ALL ML SYSTEMS'!G30</f>
        <v>44621</v>
      </c>
      <c r="H30" s="329">
        <f>'ALL ML SYSTEMS'!H30</f>
        <v>4621</v>
      </c>
      <c r="I30" s="323" t="str">
        <f>'ALL ML SYSTEMS'!I30</f>
        <v>DeepNet: Scaling Transformers to 1,000 Layers</v>
      </c>
      <c r="J30" s="334" t="str">
        <f>'ALL ML SYSTEMS'!J30</f>
        <v>https://arxiv.org/abs/2203.00555</v>
      </c>
      <c r="K30" s="335">
        <f>'ALL ML SYSTEMS'!K30</f>
        <v>0</v>
      </c>
      <c r="L30" s="323">
        <f>'ALL ML SYSTEMS'!L30</f>
        <v>0</v>
      </c>
      <c r="M30" s="335" t="str">
        <f>'ALL ML SYSTEMS'!M30</f>
        <v>No</v>
      </c>
      <c r="N30" s="335">
        <f>'ALL ML SYSTEMS'!N30</f>
        <v>3200000000</v>
      </c>
      <c r="O30" s="335">
        <f>'ALL ML SYSTEMS'!O30</f>
        <v>0</v>
      </c>
      <c r="P30" s="336">
        <f>'ALL ML SYSTEMS'!P30</f>
        <v>0</v>
      </c>
      <c r="Q30" s="335">
        <f>'ALL ML SYSTEMS'!Q30</f>
        <v>12000000000</v>
      </c>
      <c r="R30" s="323">
        <f>'ALL ML SYSTEMS'!R30</f>
        <v>0</v>
      </c>
      <c r="S30" s="335">
        <f>'ALL ML SYSTEMS'!S30</f>
        <v>0</v>
      </c>
      <c r="T30" s="323">
        <f>'ALL ML SYSTEMS'!T30</f>
        <v>0</v>
      </c>
      <c r="U30" s="323">
        <f>'ALL ML SYSTEMS'!U30</f>
        <v>0</v>
      </c>
      <c r="V30" s="323">
        <f>'ALL ML SYSTEMS'!V30</f>
        <v>0</v>
      </c>
      <c r="W30" s="323">
        <f>'ALL ML SYSTEMS'!W30</f>
        <v>0</v>
      </c>
      <c r="X30" s="323">
        <f>'ALL ML SYSTEMS'!X30</f>
        <v>0</v>
      </c>
      <c r="Y30" s="323">
        <f>'ALL ML SYSTEMS'!Y30</f>
        <v>0</v>
      </c>
      <c r="Z30" s="323">
        <f>'ALL ML SYSTEMS'!Z30</f>
        <v>0</v>
      </c>
      <c r="AA30" s="340" t="str">
        <f>'ALL ML SYSTEMS'!AA30</f>
        <v/>
      </c>
      <c r="AB30" s="323"/>
      <c r="AC30" s="323">
        <f>'ALL ML SYSTEMS'!AB30</f>
        <v>0</v>
      </c>
      <c r="AD30" s="323">
        <f>'ALL ML SYSTEMS'!AC30</f>
        <v>0</v>
      </c>
    </row>
    <row r="31" hidden="1" customHeight="1" spans="1:30">
      <c r="A31" s="325" t="str">
        <f>'ALL ML SYSTEMS'!A31</f>
        <v>Statement Curriculum Learning</v>
      </c>
      <c r="B31" s="325" t="str">
        <f>'ALL ML SYSTEMS'!B31</f>
        <v>Language</v>
      </c>
      <c r="C31" s="325" t="str">
        <f>'ALL ML SYSTEMS'!C31</f>
        <v>Automated theorem proving</v>
      </c>
      <c r="D31" s="325" t="str">
        <f>'ALL ML SYSTEMS'!D31</f>
        <v>OpenAI</v>
      </c>
      <c r="E31" s="325" t="str">
        <f>'ALL ML SYSTEMS'!E31</f>
        <v>Industry</v>
      </c>
      <c r="F31" s="325" t="str">
        <f>'ALL ML SYSTEMS'!F31</f>
        <v>Stanislas Polu, Jesse Michael Han, Kunhao Zheng, Mantas Baksys, Igor Babuschkin, Ilya Sutskever </v>
      </c>
      <c r="G31" s="326">
        <f>'ALL ML SYSTEMS'!G31</f>
        <v>44622</v>
      </c>
      <c r="H31" s="327">
        <f>'ALL ML SYSTEMS'!H31</f>
        <v>4622</v>
      </c>
      <c r="I31" s="325" t="str">
        <f>'ALL ML SYSTEMS'!I31</f>
        <v>Formal Mathematics Statement Curriculum Learning</v>
      </c>
      <c r="J31" s="337" t="str">
        <f>'ALL ML SYSTEMS'!J31</f>
        <v>https://arxiv.org/abs/2202.01344</v>
      </c>
      <c r="K31" s="338">
        <f>'ALL ML SYSTEMS'!K31</f>
        <v>0</v>
      </c>
      <c r="L31" s="325">
        <f>'ALL ML SYSTEMS'!L31</f>
        <v>0</v>
      </c>
      <c r="M31" s="338" t="str">
        <f>'ALL ML SYSTEMS'!M31</f>
        <v>No</v>
      </c>
      <c r="N31" s="338">
        <f>'ALL ML SYSTEMS'!N31</f>
        <v>0</v>
      </c>
      <c r="O31" s="338">
        <f>'ALL ML SYSTEMS'!O31</f>
        <v>0</v>
      </c>
      <c r="P31" s="339">
        <f>'ALL ML SYSTEMS'!P31</f>
        <v>0</v>
      </c>
      <c r="Q31" s="338">
        <f>'ALL ML SYSTEMS'!Q31</f>
        <v>0</v>
      </c>
      <c r="R31" s="325">
        <f>'ALL ML SYSTEMS'!R31</f>
        <v>0</v>
      </c>
      <c r="S31" s="338">
        <f>'ALL ML SYSTEMS'!S31</f>
        <v>0</v>
      </c>
      <c r="T31" s="325">
        <f>'ALL ML SYSTEMS'!T31</f>
        <v>0</v>
      </c>
      <c r="U31" s="325">
        <f>'ALL ML SYSTEMS'!U31</f>
        <v>0</v>
      </c>
      <c r="V31" s="325">
        <f>'ALL ML SYSTEMS'!V31</f>
        <v>0</v>
      </c>
      <c r="W31" s="325">
        <f>'ALL ML SYSTEMS'!W31</f>
        <v>0</v>
      </c>
      <c r="X31" s="325">
        <f>'ALL ML SYSTEMS'!X31</f>
        <v>0</v>
      </c>
      <c r="Y31" s="325">
        <f>'ALL ML SYSTEMS'!Y31</f>
        <v>0</v>
      </c>
      <c r="Z31" s="325">
        <f>'ALL ML SYSTEMS'!Z31</f>
        <v>0</v>
      </c>
      <c r="AA31" s="341" t="str">
        <f>'ALL ML SYSTEMS'!AA31</f>
        <v/>
      </c>
      <c r="AB31" s="325"/>
      <c r="AC31" s="325">
        <f>'ALL ML SYSTEMS'!AB31</f>
        <v>0</v>
      </c>
      <c r="AD31" s="325">
        <f>'ALL ML SYSTEMS'!AC31</f>
        <v>0</v>
      </c>
    </row>
    <row r="32" hidden="1" customHeight="1" spans="1:30">
      <c r="A32" s="323" t="str">
        <f>'ALL ML SYSTEMS'!A32</f>
        <v>BaGuaLu</v>
      </c>
      <c r="B32" s="323">
        <f>'ALL ML SYSTEMS'!B32</f>
        <v>0</v>
      </c>
      <c r="C32" s="323">
        <f>'ALL ML SYSTEMS'!C32</f>
        <v>0</v>
      </c>
      <c r="D32" s="323" t="str">
        <f>'ALL ML SYSTEMS'!D32</f>
        <v>Tsinghua University</v>
      </c>
      <c r="E32" s="323" t="str">
        <f>'ALL ML SYSTEMS'!E32</f>
        <v>Academia</v>
      </c>
      <c r="F32" s="323" t="str">
        <f>'ALL ML SYSTEMS'!F32</f>
        <v>Zixuan Ma, Jiaao He, Jiezhong Qiu, Huanqi Cao, Yunawei Wang</v>
      </c>
      <c r="G32" s="324">
        <f>'ALL ML SYSTEMS'!G32</f>
        <v>44648</v>
      </c>
      <c r="H32" s="329">
        <f>'ALL ML SYSTEMS'!H32</f>
        <v>2022</v>
      </c>
      <c r="I32" s="323" t="str">
        <f>'ALL ML SYSTEMS'!I32</f>
        <v>BaGuaLu: Targeting Brain Scale Pretrained Models with over 37 Million Cores</v>
      </c>
      <c r="J32" s="334" t="str">
        <f>'ALL ML SYSTEMS'!J32</f>
        <v>https://dl.acm.org/doi/abs/10.1145/3503221.3508417</v>
      </c>
      <c r="K32" s="335">
        <f>'ALL ML SYSTEMS'!K32</f>
        <v>12</v>
      </c>
      <c r="L32" s="323">
        <f>'ALL ML SYSTEMS'!L32</f>
        <v>0</v>
      </c>
      <c r="M32" s="335" t="str">
        <f>'ALL ML SYSTEMS'!M32</f>
        <v>No</v>
      </c>
      <c r="N32" s="335">
        <f>'ALL ML SYSTEMS'!N32</f>
        <v>14500000000000</v>
      </c>
      <c r="O32" s="335">
        <f>'ALL ML SYSTEMS'!O32</f>
        <v>0</v>
      </c>
      <c r="P32" s="336">
        <f>'ALL ML SYSTEMS'!P32</f>
        <v>0</v>
      </c>
      <c r="Q32" s="335">
        <f>'ALL ML SYSTEMS'!Q32</f>
        <v>0</v>
      </c>
      <c r="R32" s="323">
        <f>'ALL ML SYSTEMS'!R32</f>
        <v>0</v>
      </c>
      <c r="S32" s="335">
        <f>'ALL ML SYSTEMS'!S32</f>
        <v>0</v>
      </c>
      <c r="T32" s="323">
        <f>'ALL ML SYSTEMS'!T32</f>
        <v>0</v>
      </c>
      <c r="U32" s="323">
        <f>'ALL ML SYSTEMS'!U32</f>
        <v>0</v>
      </c>
      <c r="V32" s="323">
        <f>'ALL ML SYSTEMS'!V32</f>
        <v>0</v>
      </c>
      <c r="W32" s="323">
        <f>'ALL ML SYSTEMS'!W32</f>
        <v>0</v>
      </c>
      <c r="X32" s="323">
        <f>'ALL ML SYSTEMS'!X32</f>
        <v>0</v>
      </c>
      <c r="Y32" s="323">
        <f>'ALL ML SYSTEMS'!Y32</f>
        <v>0</v>
      </c>
      <c r="Z32" s="323">
        <f>'ALL ML SYSTEMS'!Z32</f>
        <v>0</v>
      </c>
      <c r="AA32" s="340" t="str">
        <f>'ALL ML SYSTEMS'!AA32</f>
        <v/>
      </c>
      <c r="AB32" s="323"/>
      <c r="AC32" s="323" t="str">
        <f>'ALL ML SYSTEMS'!AB32</f>
        <v>Yes</v>
      </c>
      <c r="AD32" s="323">
        <f>'ALL ML SYSTEMS'!AC32</f>
        <v>0</v>
      </c>
    </row>
    <row r="33" customHeight="1" spans="1:30">
      <c r="A33" s="325" t="str">
        <f>'ALL ML SYSTEMS'!A33</f>
        <v>DALL·E 2</v>
      </c>
      <c r="B33" s="325" t="str">
        <f>'ALL ML SYSTEMS'!B33</f>
        <v>Drawing</v>
      </c>
      <c r="C33" s="325">
        <f>'ALL ML SYSTEMS'!C33</f>
        <v>0</v>
      </c>
      <c r="D33" s="325" t="str">
        <f>'ALL ML SYSTEMS'!D33</f>
        <v>OpenAI</v>
      </c>
      <c r="E33" s="325" t="str">
        <f>'ALL ML SYSTEMS'!E33</f>
        <v>Industry</v>
      </c>
      <c r="F33" s="325" t="str">
        <f>'ALL ML SYSTEMS'!F33</f>
        <v>Aditya Ramesh, Prafulla Dhariwal, Alex Nichol, Casey Chu, Mark Chen</v>
      </c>
      <c r="G33" s="326">
        <f>'ALL ML SYSTEMS'!G33</f>
        <v>44657</v>
      </c>
      <c r="H33" s="327">
        <f>'ALL ML SYSTEMS'!H33</f>
        <v>2022</v>
      </c>
      <c r="I33" s="325" t="str">
        <f>'ALL ML SYSTEMS'!I33</f>
        <v>Hierarchical Text-Conditional Image Generation with CLIP Latents</v>
      </c>
      <c r="J33" s="337" t="str">
        <f>'ALL ML SYSTEMS'!J33</f>
        <v>https://cdn.openai.com/papers/dall-e-2.pdf</v>
      </c>
      <c r="K33" s="338">
        <f>'ALL ML SYSTEMS'!K33</f>
        <v>0</v>
      </c>
      <c r="L33" s="325" t="str">
        <f>'ALL ML SYSTEMS'!L33</f>
        <v>SOTA Improvement</v>
      </c>
      <c r="M33" s="338" t="str">
        <f>'ALL ML SYSTEMS'!M33</f>
        <v>Yes</v>
      </c>
      <c r="N33" s="338">
        <f>'ALL ML SYSTEMS'!N33</f>
        <v>3500000000</v>
      </c>
      <c r="O33" s="338">
        <f>'ALL ML SYSTEMS'!O33</f>
        <v>0</v>
      </c>
      <c r="P33" s="339" t="str">
        <f>'ALL ML SYSTEMS'!P33</f>
        <v>CLIP, DALL-E</v>
      </c>
      <c r="Q33" s="338">
        <f>'ALL ML SYSTEMS'!Q33</f>
        <v>650000000</v>
      </c>
      <c r="R33" s="325">
        <f>'ALL ML SYSTEMS'!R33</f>
        <v>0</v>
      </c>
      <c r="S33" s="338">
        <f>'ALL ML SYSTEMS'!S33</f>
        <v>0</v>
      </c>
      <c r="T33" s="325">
        <f>'ALL ML SYSTEMS'!T33</f>
        <v>0</v>
      </c>
      <c r="U33" s="325">
        <f>'ALL ML SYSTEMS'!U33</f>
        <v>0</v>
      </c>
      <c r="V33" s="325">
        <f>'ALL ML SYSTEMS'!V33</f>
        <v>0</v>
      </c>
      <c r="W33" s="325">
        <f>'ALL ML SYSTEMS'!W33</f>
        <v>0</v>
      </c>
      <c r="X33" s="325">
        <f>'ALL ML SYSTEMS'!X33</f>
        <v>0</v>
      </c>
      <c r="Y33" s="325">
        <f>'ALL ML SYSTEMS'!Y33</f>
        <v>0</v>
      </c>
      <c r="Z33" s="325">
        <f>'ALL ML SYSTEMS'!Z33</f>
        <v>0</v>
      </c>
      <c r="AA33" s="341" t="str">
        <f>'ALL ML SYSTEMS'!AA33</f>
        <v/>
      </c>
      <c r="AB33" s="325" t="str">
        <f>'ALL ML SYSTEMS'!AB33</f>
        <v>Yes</v>
      </c>
      <c r="AC33" s="325">
        <f>'ALL ML SYSTEMS'!AC33</f>
        <v>0</v>
      </c>
      <c r="AD33" s="325" t="str">
        <f>'ALL ML SYSTEMS'!AD33</f>
        <v>Industry</v>
      </c>
    </row>
    <row r="34" customHeight="1" spans="1:30">
      <c r="A34" s="323" t="str">
        <f>'ALL ML SYSTEMS'!A34</f>
        <v>Flamingo</v>
      </c>
      <c r="B34" s="323" t="str">
        <f>'ALL ML SYSTEMS'!B34</f>
        <v>Multimodal</v>
      </c>
      <c r="C34" s="323">
        <f>'ALL ML SYSTEMS'!C34</f>
        <v>0</v>
      </c>
      <c r="D34" s="323" t="str">
        <f>'ALL ML SYSTEMS'!D34</f>
        <v>DeepMind</v>
      </c>
      <c r="E34" s="323" t="str">
        <f>'ALL ML SYSTEMS'!E34</f>
        <v>Industry</v>
      </c>
      <c r="F34" s="323" t="str">
        <f>'ALL ML SYSTEMS'!F34</f>
        <v>Jean-Baptiste Alayrac, Jeff Donahue, Pauline Luc, Antoine Miech, Iain Barr, Yana Hasson, Karel Lenc, Arthur Mensch, Katie Millican, Malcolm Reynolds, Roman Ring, Eliza Rutherford, Serkan Cabi, Tengda Han, Zhitao Gong, Sina Samangooei, Marianne Monteiro, Jacob Menick, Sebastian Borgeaud, Andrew Brock, Aida Nematzadeh, Sahand Sharifzadeh, Mikolaj Binkowski, Ricardo Barreira, Oriol Vinyals, Andrew Zisserman, Karen Simonyan</v>
      </c>
      <c r="G34" s="324">
        <f>'ALL ML SYSTEMS'!G34</f>
        <v>44680</v>
      </c>
      <c r="H34" s="329">
        <f>'ALL ML SYSTEMS'!H34</f>
        <v>2022</v>
      </c>
      <c r="I34" s="323" t="str">
        <f>'ALL ML SYSTEMS'!I34</f>
        <v>Flamingo: a Visual Language Model for Few-Shot Learning</v>
      </c>
      <c r="J34" s="334" t="str">
        <f>'ALL ML SYSTEMS'!J34</f>
        <v>https://arxiv.org/abs/2204.14198</v>
      </c>
      <c r="K34" s="335">
        <f>'ALL ML SYSTEMS'!K34</f>
        <v>0</v>
      </c>
      <c r="L34" s="323" t="str">
        <f>'ALL ML SYSTEMS'!L34</f>
        <v>SOTA Improvement</v>
      </c>
      <c r="M34" s="335" t="str">
        <f>'ALL ML SYSTEMS'!M34</f>
        <v>Yes</v>
      </c>
      <c r="N34" s="335">
        <f>'ALL ML SYSTEMS'!N34</f>
        <v>80000000000</v>
      </c>
      <c r="O34" s="335">
        <f>'ALL ML SYSTEMS'!O34</f>
        <v>0</v>
      </c>
      <c r="P34" s="336">
        <f>'ALL ML SYSTEMS'!P34</f>
        <v>0</v>
      </c>
      <c r="Q34" s="335">
        <f>'ALL ML SYSTEMS'!Q34</f>
        <v>0</v>
      </c>
      <c r="R34" s="323">
        <f>'ALL ML SYSTEMS'!R34</f>
        <v>0</v>
      </c>
      <c r="S34" s="335">
        <f>'ALL ML SYSTEMS'!S34</f>
        <v>0</v>
      </c>
      <c r="T34" s="323">
        <f>'ALL ML SYSTEMS'!T34</f>
        <v>0</v>
      </c>
      <c r="U34" s="323">
        <f>'ALL ML SYSTEMS'!U34</f>
        <v>0</v>
      </c>
      <c r="V34" s="323">
        <f>'ALL ML SYSTEMS'!V34</f>
        <v>0</v>
      </c>
      <c r="W34" s="323">
        <f>'ALL ML SYSTEMS'!W34</f>
        <v>0</v>
      </c>
      <c r="X34" s="323">
        <f>'ALL ML SYSTEMS'!X34</f>
        <v>0</v>
      </c>
      <c r="Y34" s="323">
        <f>'ALL ML SYSTEMS'!Y34</f>
        <v>0</v>
      </c>
      <c r="Z34" s="323">
        <f>'ALL ML SYSTEMS'!Z34</f>
        <v>0</v>
      </c>
      <c r="AA34" s="340" t="str">
        <f>'ALL ML SYSTEMS'!AA34</f>
        <v/>
      </c>
      <c r="AB34" s="323">
        <f>'ALL ML SYSTEMS'!AB34</f>
        <v>0</v>
      </c>
      <c r="AC34" s="323">
        <f>'ALL ML SYSTEMS'!AC34</f>
        <v>0</v>
      </c>
      <c r="AD34" s="323" t="str">
        <f>'ALL ML SYSTEMS'!AD34</f>
        <v>Industry</v>
      </c>
    </row>
    <row r="35" hidden="1" customHeight="1" spans="1:30">
      <c r="A35" s="325" t="str">
        <f>'ALL ML SYSTEMS'!A35</f>
        <v>Jurassic-X</v>
      </c>
      <c r="B35" s="325" t="str">
        <f>'ALL ML SYSTEMS'!B35</f>
        <v>Language</v>
      </c>
      <c r="C35" s="325">
        <f>'ALL ML SYSTEMS'!C35</f>
        <v>0</v>
      </c>
      <c r="D35" s="325" t="str">
        <f>'ALL ML SYSTEMS'!D35</f>
        <v>AI21labs</v>
      </c>
      <c r="E35" s="325" t="str">
        <f>'ALL ML SYSTEMS'!E35</f>
        <v>Industry</v>
      </c>
      <c r="F35" s="325" t="str">
        <f>'ALL ML SYSTEMS'!F35</f>
        <v>Ehud Karpas, Omri Abend, Yonatan Belinkov, Barak Lenz, Opher Lieber, Nir Ratner, Yoav Shoham, Hofit Bata, Yoav Levine, Kevin Leyton-Brown, Dor Muhlgay, Noam Rozen, Erez Schwartz, Gal Shachaf, Shai Shalev-Shwartz, Amnon Shashua, Moshe Tenenholtz</v>
      </c>
      <c r="G35" s="326">
        <f>'ALL ML SYSTEMS'!G35</f>
        <v>44684</v>
      </c>
      <c r="H35" s="325">
        <f>'ALL ML SYSTEMS'!H35</f>
        <v>2022</v>
      </c>
      <c r="I35" s="325" t="str">
        <f>'ALL ML SYSTEMS'!I35</f>
        <v>MRKL Systems A modular, neuro-symbolic architecture that combines large language models, external knowledge sources and discrete reasoning</v>
      </c>
      <c r="J35" s="337" t="str">
        <f>'ALL ML SYSTEMS'!J35</f>
        <v>https://www.ai21.com/blog/jurassic-x-crossing-the-neuro-symbolic-chasm-with-the-mrkl-system</v>
      </c>
      <c r="K35" s="338">
        <f>'ALL ML SYSTEMS'!K35</f>
        <v>0</v>
      </c>
      <c r="L35" s="325">
        <f>'ALL ML SYSTEMS'!L35</f>
        <v>0</v>
      </c>
      <c r="M35" s="338" t="str">
        <f>'ALL ML SYSTEMS'!M35</f>
        <v>No</v>
      </c>
      <c r="N35" s="338">
        <f>'ALL ML SYSTEMS'!N35</f>
        <v>7000000000</v>
      </c>
      <c r="O35" s="338">
        <f>'ALL ML SYSTEMS'!O35</f>
        <v>0</v>
      </c>
      <c r="P35" s="339">
        <f>'ALL ML SYSTEMS'!P35</f>
        <v>0</v>
      </c>
      <c r="Q35" s="338">
        <f>'ALL ML SYSTEMS'!Q35</f>
        <v>0</v>
      </c>
      <c r="R35" s="325">
        <f>'ALL ML SYSTEMS'!R35</f>
        <v>0</v>
      </c>
      <c r="S35" s="325">
        <f>'ALL ML SYSTEMS'!S35</f>
        <v>0</v>
      </c>
      <c r="T35" s="325">
        <f>'ALL ML SYSTEMS'!T35</f>
        <v>0</v>
      </c>
      <c r="U35" s="325">
        <f>'ALL ML SYSTEMS'!U35</f>
        <v>0</v>
      </c>
      <c r="V35" s="325">
        <f>'ALL ML SYSTEMS'!V35</f>
        <v>0</v>
      </c>
      <c r="W35" s="325">
        <f>'ALL ML SYSTEMS'!W35</f>
        <v>0</v>
      </c>
      <c r="X35" s="325">
        <f>'ALL ML SYSTEMS'!X35</f>
        <v>0</v>
      </c>
      <c r="Y35" s="325">
        <f>'ALL ML SYSTEMS'!Y35</f>
        <v>0</v>
      </c>
      <c r="Z35" s="325">
        <f>'ALL ML SYSTEMS'!Z35</f>
        <v>0</v>
      </c>
      <c r="AA35" s="341" t="str">
        <f>'ALL ML SYSTEMS'!AA35</f>
        <v/>
      </c>
      <c r="AB35" s="325"/>
      <c r="AC35" s="325">
        <f>'ALL ML SYSTEMS'!AB35</f>
        <v>0</v>
      </c>
      <c r="AD35" s="325">
        <f>'ALL ML SYSTEMS'!AC35</f>
        <v>0</v>
      </c>
    </row>
    <row r="36" customHeight="1" spans="1:30">
      <c r="A36" s="323" t="str">
        <f>'ALL ML SYSTEMS'!A36</f>
        <v>UL2</v>
      </c>
      <c r="B36" s="323" t="str">
        <f>'ALL ML SYSTEMS'!B36</f>
        <v>Language</v>
      </c>
      <c r="C36" s="323">
        <f>'ALL ML SYSTEMS'!C36</f>
        <v>0</v>
      </c>
      <c r="D36" s="323" t="str">
        <f>'ALL ML SYSTEMS'!D36</f>
        <v>Google Research</v>
      </c>
      <c r="E36" s="323" t="str">
        <f>'ALL ML SYSTEMS'!E36</f>
        <v>Industry</v>
      </c>
      <c r="F36" s="323" t="str">
        <f>'ALL ML SYSTEMS'!F36</f>
        <v>Yi Tay, Mostafa Dehghani, Vinh Q. Tran, Xavier Garcia, Dara Bahri, Tal Schuster, Huaixiu Steven Zheng, Neil Houlsby, Donald Metzler</v>
      </c>
      <c r="G36" s="324">
        <f>'ALL ML SYSTEMS'!G36</f>
        <v>44691</v>
      </c>
      <c r="H36" s="323">
        <f>'ALL ML SYSTEMS'!H36</f>
        <v>2022</v>
      </c>
      <c r="I36" s="323" t="str">
        <f>'ALL ML SYSTEMS'!I36</f>
        <v>Unifying Language Learning Paradigms</v>
      </c>
      <c r="J36" s="334" t="str">
        <f>'ALL ML SYSTEMS'!J36</f>
        <v>https://arxiv.org/abs/2205.05131v1</v>
      </c>
      <c r="K36" s="335">
        <f>'ALL ML SYSTEMS'!K36</f>
        <v>19</v>
      </c>
      <c r="L36" s="323" t="str">
        <f>'ALL ML SYSTEMS'!L36</f>
        <v>SOTA Improvement</v>
      </c>
      <c r="M36" s="335" t="str">
        <f>'ALL ML SYSTEMS'!M36</f>
        <v>Yes</v>
      </c>
      <c r="N36" s="335">
        <f>'ALL ML SYSTEMS'!N36</f>
        <v>20000000000</v>
      </c>
      <c r="O36" s="335">
        <f>'ALL ML SYSTEMS'!O36</f>
        <v>0</v>
      </c>
      <c r="P36" s="336">
        <f>'ALL ML SYSTEMS'!P36</f>
        <v>0</v>
      </c>
      <c r="Q36" s="335">
        <f>'ALL ML SYSTEMS'!Q36</f>
        <v>0</v>
      </c>
      <c r="R36" s="323">
        <f>'ALL ML SYSTEMS'!R36</f>
        <v>0</v>
      </c>
      <c r="S36" s="323">
        <f>'ALL ML SYSTEMS'!S36</f>
        <v>0</v>
      </c>
      <c r="T36" s="323">
        <f>'ALL ML SYSTEMS'!T36</f>
        <v>0</v>
      </c>
      <c r="U36" s="323">
        <f>'ALL ML SYSTEMS'!U36</f>
        <v>0</v>
      </c>
      <c r="V36" s="323">
        <f>'ALL ML SYSTEMS'!V36</f>
        <v>0</v>
      </c>
      <c r="W36" s="323">
        <f>'ALL ML SYSTEMS'!W36</f>
        <v>0</v>
      </c>
      <c r="X36" s="323">
        <f>'ALL ML SYSTEMS'!X36</f>
        <v>0</v>
      </c>
      <c r="Y36" s="323">
        <f>'ALL ML SYSTEMS'!Y36</f>
        <v>0</v>
      </c>
      <c r="Z36" s="323">
        <f>'ALL ML SYSTEMS'!Z36</f>
        <v>0</v>
      </c>
      <c r="AA36" s="340" t="str">
        <f>'ALL ML SYSTEMS'!AA36</f>
        <v/>
      </c>
      <c r="AB36" s="323">
        <f>'ALL ML SYSTEMS'!AB36</f>
        <v>0</v>
      </c>
      <c r="AC36" s="323">
        <f>'ALL ML SYSTEMS'!AC36</f>
        <v>0</v>
      </c>
      <c r="AD36" s="323" t="str">
        <f>'ALL ML SYSTEMS'!AD36</f>
        <v>Industry</v>
      </c>
    </row>
    <row r="37" hidden="1" customHeight="1" spans="1:30">
      <c r="A37" s="325" t="str">
        <f>'ALL ML SYSTEMS'!A37</f>
        <v>Imagen</v>
      </c>
      <c r="B37" s="325" t="str">
        <f>'ALL ML SYSTEMS'!B37</f>
        <v>Vision</v>
      </c>
      <c r="C37" s="325">
        <f>'ALL ML SYSTEMS'!C37</f>
        <v>0</v>
      </c>
      <c r="D37" s="325" t="str">
        <f>'ALL ML SYSTEMS'!D37</f>
        <v>Google Research</v>
      </c>
      <c r="E37" s="325" t="str">
        <f>'ALL ML SYSTEMS'!E37</f>
        <v>Industry</v>
      </c>
      <c r="F37" s="325" t="str">
        <f>'ALL ML SYSTEMS'!F37</f>
        <v>Chitwan Saharia, William Chan, Saurabh Saxena, Lala Li</v>
      </c>
      <c r="G37" s="326">
        <f>'ALL ML SYSTEMS'!G37</f>
        <v>44704</v>
      </c>
      <c r="H37" s="325">
        <f>'ALL ML SYSTEMS'!H37</f>
        <v>2022</v>
      </c>
      <c r="I37" s="325" t="str">
        <f>'ALL ML SYSTEMS'!I37</f>
        <v>Photorealistic Text-to-Image Diffusion Models with Deep Language Understanding</v>
      </c>
      <c r="J37" s="337" t="str">
        <f>'ALL ML SYSTEMS'!J37</f>
        <v>https://imagen.research.google/</v>
      </c>
      <c r="K37" s="338">
        <f>'ALL ML SYSTEMS'!K37</f>
        <v>0</v>
      </c>
      <c r="L37" s="325">
        <f>'ALL ML SYSTEMS'!L37</f>
        <v>0</v>
      </c>
      <c r="M37" s="338" t="str">
        <f>'ALL ML SYSTEMS'!M37</f>
        <v>No</v>
      </c>
      <c r="N37" s="325">
        <f>'ALL ML SYSTEMS'!N37</f>
        <v>0</v>
      </c>
      <c r="O37" s="338">
        <f>'ALL ML SYSTEMS'!O37</f>
        <v>0</v>
      </c>
      <c r="P37" s="339">
        <f>'ALL ML SYSTEMS'!P37</f>
        <v>0</v>
      </c>
      <c r="Q37" s="338">
        <f>'ALL ML SYSTEMS'!Q37</f>
        <v>0</v>
      </c>
      <c r="R37" s="325">
        <f>'ALL ML SYSTEMS'!R37</f>
        <v>0</v>
      </c>
      <c r="S37" s="325">
        <f>'ALL ML SYSTEMS'!S37</f>
        <v>0</v>
      </c>
      <c r="T37" s="325">
        <f>'ALL ML SYSTEMS'!T37</f>
        <v>0</v>
      </c>
      <c r="U37" s="325">
        <f>'ALL ML SYSTEMS'!U37</f>
        <v>0</v>
      </c>
      <c r="V37" s="325">
        <f>'ALL ML SYSTEMS'!V37</f>
        <v>0</v>
      </c>
      <c r="W37" s="325">
        <f>'ALL ML SYSTEMS'!W37</f>
        <v>0</v>
      </c>
      <c r="X37" s="325">
        <f>'ALL ML SYSTEMS'!X37</f>
        <v>0</v>
      </c>
      <c r="Y37" s="325">
        <f>'ALL ML SYSTEMS'!Y37</f>
        <v>0</v>
      </c>
      <c r="Z37" s="325">
        <f>'ALL ML SYSTEMS'!Z37</f>
        <v>0</v>
      </c>
      <c r="AA37" s="341" t="str">
        <f>'ALL ML SYSTEMS'!AA37</f>
        <v/>
      </c>
      <c r="AB37" s="325"/>
      <c r="AC37" s="325" t="str">
        <f>'ALL ML SYSTEMS'!AB37</f>
        <v>Yes</v>
      </c>
      <c r="AD37" s="325">
        <f>'ALL ML SYSTEMS'!AC37</f>
        <v>0</v>
      </c>
    </row>
    <row r="38" customHeight="1" spans="1:30">
      <c r="A38" s="323" t="str">
        <f>'ALL ML SYSTEMS'!A38</f>
        <v>MetaLM</v>
      </c>
      <c r="B38" s="323" t="str">
        <f>'ALL ML SYSTEMS'!B38</f>
        <v>Multimodal</v>
      </c>
      <c r="C38" s="323">
        <f>'ALL ML SYSTEMS'!C38</f>
        <v>0</v>
      </c>
      <c r="D38" s="323" t="str">
        <f>'ALL ML SYSTEMS'!D38</f>
        <v>Microsoft Research</v>
      </c>
      <c r="E38" s="323" t="str">
        <f>'ALL ML SYSTEMS'!E38</f>
        <v>Industry</v>
      </c>
      <c r="F38" s="323" t="str">
        <f>'ALL ML SYSTEMS'!F38</f>
        <v>Yaru Hao, Haoyu Song, Li Dong, Shaohan Huang, Zewen Chi, Wenhui Wang, Shuming Ma, Furu Wei</v>
      </c>
      <c r="G38" s="324">
        <f>'ALL ML SYSTEMS'!G38</f>
        <v>44725</v>
      </c>
      <c r="H38" s="323">
        <f>'ALL ML SYSTEMS'!H38</f>
        <v>2022</v>
      </c>
      <c r="I38" s="323" t="str">
        <f>'ALL ML SYSTEMS'!I38</f>
        <v>Language Models are General-Purpose Interfaces</v>
      </c>
      <c r="J38" s="334" t="str">
        <f>'ALL ML SYSTEMS'!J38</f>
        <v>https://arxiv.org/abs/2206.06336v1</v>
      </c>
      <c r="K38" s="335">
        <f>'ALL ML SYSTEMS'!K38</f>
        <v>0</v>
      </c>
      <c r="L38" s="323" t="str">
        <f>'ALL ML SYSTEMS'!L38</f>
        <v>SOTA Improvement</v>
      </c>
      <c r="M38" s="335" t="str">
        <f>'ALL ML SYSTEMS'!M38</f>
        <v>Yes</v>
      </c>
      <c r="N38" s="323">
        <f>'ALL ML SYSTEMS'!N38</f>
        <v>0</v>
      </c>
      <c r="O38" s="335">
        <f>'ALL ML SYSTEMS'!O38</f>
        <v>0</v>
      </c>
      <c r="P38" s="336">
        <f>'ALL ML SYSTEMS'!P38</f>
        <v>0</v>
      </c>
      <c r="Q38" s="335">
        <f>'ALL ML SYSTEMS'!Q38</f>
        <v>0</v>
      </c>
      <c r="R38" s="323">
        <f>'ALL ML SYSTEMS'!R38</f>
        <v>0</v>
      </c>
      <c r="S38" s="323">
        <f>'ALL ML SYSTEMS'!S38</f>
        <v>0</v>
      </c>
      <c r="T38" s="323">
        <f>'ALL ML SYSTEMS'!T38</f>
        <v>0</v>
      </c>
      <c r="U38" s="323">
        <f>'ALL ML SYSTEMS'!U38</f>
        <v>0</v>
      </c>
      <c r="V38" s="323">
        <f>'ALL ML SYSTEMS'!V38</f>
        <v>0</v>
      </c>
      <c r="W38" s="323">
        <f>'ALL ML SYSTEMS'!W38</f>
        <v>0</v>
      </c>
      <c r="X38" s="323">
        <f>'ALL ML SYSTEMS'!X38</f>
        <v>0</v>
      </c>
      <c r="Y38" s="323">
        <f>'ALL ML SYSTEMS'!Y38</f>
        <v>0</v>
      </c>
      <c r="Z38" s="323">
        <f>'ALL ML SYSTEMS'!Z38</f>
        <v>0</v>
      </c>
      <c r="AA38" s="340" t="str">
        <f>'ALL ML SYSTEMS'!AA38</f>
        <v/>
      </c>
      <c r="AB38" s="323" t="str">
        <f>'ALL ML SYSTEMS'!AB38</f>
        <v>Yes</v>
      </c>
      <c r="AC38" s="323">
        <f>'ALL ML SYSTEMS'!AC38</f>
        <v>0</v>
      </c>
      <c r="AD38" s="323" t="str">
        <f>'ALL ML SYSTEMS'!AD38</f>
        <v>Industry</v>
      </c>
    </row>
    <row r="39" customHeight="1" spans="1:30">
      <c r="A39" s="325" t="str">
        <f>'ALL ML SYSTEMS'!A39</f>
        <v>Make-A-Video</v>
      </c>
      <c r="B39" s="325" t="str">
        <f>'ALL ML SYSTEMS'!B39</f>
        <v>Text-to-Video</v>
      </c>
      <c r="C39" s="325">
        <f>'ALL ML SYSTEMS'!C39</f>
        <v>0</v>
      </c>
      <c r="D39" s="325" t="str">
        <f>'ALL ML SYSTEMS'!D39</f>
        <v>Meta AI</v>
      </c>
      <c r="E39" s="325" t="str">
        <f>'ALL ML SYSTEMS'!E39</f>
        <v>Industry</v>
      </c>
      <c r="F39" s="325" t="str">
        <f>'ALL ML SYSTEMS'!F39</f>
        <v>Uriel Singer, Adam Polyak, Thomas Hayes, Xi Yin, Jie An, Songyang Zhang, Qiyuan Hu, Harry Yang, Oron Ashual, Oran Gafni, Devi Parikh, Sonal Gupta, Yaniv Taigman</v>
      </c>
      <c r="G39" s="326">
        <f>'ALL ML SYSTEMS'!G39</f>
        <v>44833</v>
      </c>
      <c r="H39" s="325">
        <f>'ALL ML SYSTEMS'!H39</f>
        <v>2022</v>
      </c>
      <c r="I39" s="325" t="str">
        <f>'ALL ML SYSTEMS'!I39</f>
        <v>Make-A-Video: Text-to-Video Generation without Text-Video Data</v>
      </c>
      <c r="J39" s="337" t="str">
        <f>'ALL ML SYSTEMS'!J39</f>
        <v>https://arxiv.org/abs/2209.14792</v>
      </c>
      <c r="K39" s="338">
        <f>'ALL ML SYSTEMS'!K39</f>
        <v>0</v>
      </c>
      <c r="L39" s="325" t="str">
        <f>'ALL ML SYSTEMS'!L39</f>
        <v>SOTA Improvement</v>
      </c>
      <c r="M39" s="338" t="str">
        <f>'ALL ML SYSTEMS'!M39</f>
        <v>Yes</v>
      </c>
      <c r="N39" s="325">
        <f>'ALL ML SYSTEMS'!N39</f>
        <v>0</v>
      </c>
      <c r="O39" s="338">
        <f>'ALL ML SYSTEMS'!O39</f>
        <v>0</v>
      </c>
      <c r="P39" s="339">
        <f>'ALL ML SYSTEMS'!P39</f>
        <v>0</v>
      </c>
      <c r="Q39" s="338">
        <f>'ALL ML SYSTEMS'!Q39</f>
        <v>0</v>
      </c>
      <c r="R39" s="325">
        <f>'ALL ML SYSTEMS'!R39</f>
        <v>0</v>
      </c>
      <c r="S39" s="325">
        <f>'ALL ML SYSTEMS'!S39</f>
        <v>0</v>
      </c>
      <c r="T39" s="325">
        <f>'ALL ML SYSTEMS'!T39</f>
        <v>0</v>
      </c>
      <c r="U39" s="325">
        <f>'ALL ML SYSTEMS'!U39</f>
        <v>0</v>
      </c>
      <c r="V39" s="325">
        <f>'ALL ML SYSTEMS'!V39</f>
        <v>0</v>
      </c>
      <c r="W39" s="325">
        <f>'ALL ML SYSTEMS'!W39</f>
        <v>0</v>
      </c>
      <c r="X39" s="325">
        <f>'ALL ML SYSTEMS'!X39</f>
        <v>0</v>
      </c>
      <c r="Y39" s="325">
        <f>'ALL ML SYSTEMS'!Y39</f>
        <v>0</v>
      </c>
      <c r="Z39" s="325">
        <f>'ALL ML SYSTEMS'!Z39</f>
        <v>0</v>
      </c>
      <c r="AA39" s="341" t="str">
        <f>'ALL ML SYSTEMS'!AA39</f>
        <v/>
      </c>
      <c r="AB39" s="325" t="str">
        <f>'ALL ML SYSTEMS'!AB39</f>
        <v>Yes</v>
      </c>
      <c r="AC39" s="325">
        <f>'ALL ML SYSTEMS'!AC39</f>
        <v>0</v>
      </c>
      <c r="AD39" s="325">
        <f>'ALL ML SYSTEMS'!AD39</f>
        <v>0</v>
      </c>
    </row>
    <row r="40" hidden="1" customHeight="1" spans="1:30">
      <c r="A40" s="323" t="str">
        <f>'ALL ML SYSTEMS'!A40</f>
        <v>Galactica</v>
      </c>
      <c r="B40" s="323" t="str">
        <f>'ALL ML SYSTEMS'!B40</f>
        <v>Language</v>
      </c>
      <c r="C40" s="323" t="str">
        <f>'ALL ML SYSTEMS'!C40</f>
        <v>Language modelling</v>
      </c>
      <c r="D40" s="323" t="str">
        <f>'ALL ML SYSTEMS'!D40</f>
        <v>Meta AI</v>
      </c>
      <c r="E40" s="323" t="str">
        <f>'ALL ML SYSTEMS'!E40</f>
        <v>Industry</v>
      </c>
      <c r="F40" s="323" t="str">
        <f>'ALL ML SYSTEMS'!F40</f>
        <v>Ross Taylor, Marcin Kardas, Guillem Cucurull, Thomas Scialom, Anthony Hartshorn, Elvis Saravia, Andrew Poulton, Viktor Kerkez, Robert Stojnic</v>
      </c>
      <c r="G40" s="324">
        <f>'ALL ML SYSTEMS'!G40</f>
        <v>44880</v>
      </c>
      <c r="H40" s="323">
        <f>'ALL ML SYSTEMS'!H40</f>
        <v>2022</v>
      </c>
      <c r="I40" s="323" t="str">
        <f>'ALL ML SYSTEMS'!I40</f>
        <v>Galactica: A Large Language Model for Science</v>
      </c>
      <c r="J40" s="334" t="str">
        <f>'ALL ML SYSTEMS'!J40</f>
        <v>https://galactica.org/static/paper.pdf</v>
      </c>
      <c r="K40" s="335">
        <f>'ALL ML SYSTEMS'!K40</f>
        <v>0</v>
      </c>
      <c r="L40" s="323">
        <f>'ALL ML SYSTEMS'!L40</f>
        <v>0</v>
      </c>
      <c r="M40" s="335" t="str">
        <f>'ALL ML SYSTEMS'!M40</f>
        <v>No</v>
      </c>
      <c r="N40" s="335">
        <f>'ALL ML SYSTEMS'!N40</f>
        <v>120000000000</v>
      </c>
      <c r="O40" s="335">
        <f>'ALL ML SYSTEMS'!O40</f>
        <v>0</v>
      </c>
      <c r="P40" s="336" t="str">
        <f>'ALL ML SYSTEMS'!P40</f>
        <v>Galactica Corpus</v>
      </c>
      <c r="Q40" s="335">
        <f>'ALL ML SYSTEMS'!Q40</f>
        <v>0</v>
      </c>
      <c r="R40" s="323">
        <f>'ALL ML SYSTEMS'!R40</f>
        <v>0</v>
      </c>
      <c r="S40" s="323">
        <f>'ALL ML SYSTEMS'!S40</f>
        <v>0</v>
      </c>
      <c r="T40" s="323">
        <f>'ALL ML SYSTEMS'!T40</f>
        <v>0</v>
      </c>
      <c r="U40" s="323">
        <f>'ALL ML SYSTEMS'!U40</f>
        <v>0</v>
      </c>
      <c r="V40" s="323">
        <f>'ALL ML SYSTEMS'!V40</f>
        <v>0</v>
      </c>
      <c r="W40" s="323">
        <f>'ALL ML SYSTEMS'!W40</f>
        <v>0</v>
      </c>
      <c r="X40" s="323">
        <f>'ALL ML SYSTEMS'!X40</f>
        <v>0</v>
      </c>
      <c r="Y40" s="323">
        <f>'ALL ML SYSTEMS'!Y40</f>
        <v>0</v>
      </c>
      <c r="Z40" s="323">
        <f>'ALL ML SYSTEMS'!Z40</f>
        <v>0</v>
      </c>
      <c r="AA40" s="340" t="str">
        <f>'ALL ML SYSTEMS'!AA40</f>
        <v/>
      </c>
      <c r="AB40" s="323"/>
      <c r="AC40" s="323" t="str">
        <f>'ALL ML SYSTEMS'!AB40</f>
        <v>Yes</v>
      </c>
      <c r="AD40" s="323">
        <f>'ALL ML SYSTEMS'!AC40</f>
        <v>0</v>
      </c>
    </row>
    <row r="41" hidden="1" customHeight="1" spans="1:30">
      <c r="A41" s="325" t="str">
        <f>'ALL ML SYSTEMS'!A41</f>
        <v>CICERO</v>
      </c>
      <c r="B41" s="325" t="str">
        <f>'ALL ML SYSTEMS'!B41</f>
        <v>Games</v>
      </c>
      <c r="C41" s="325" t="str">
        <f>'ALL ML SYSTEMS'!C41</f>
        <v>Diplomacy</v>
      </c>
      <c r="D41" s="325" t="str">
        <f>'ALL ML SYSTEMS'!D41</f>
        <v>Meta AI</v>
      </c>
      <c r="E41" s="325" t="str">
        <f>'ALL ML SYSTEMS'!E41</f>
        <v>Industry</v>
      </c>
      <c r="F41" s="325">
        <f>'ALL ML SYSTEMS'!F41</f>
        <v>0</v>
      </c>
      <c r="G41" s="326">
        <f>'ALL ML SYSTEMS'!G41</f>
        <v>44887</v>
      </c>
      <c r="H41" s="325">
        <f>'ALL ML SYSTEMS'!H41</f>
        <v>2022</v>
      </c>
      <c r="I41" s="325" t="str">
        <f>'ALL ML SYSTEMS'!I41</f>
        <v>Human-level play in the game of Diplomacy by combining language models with strategic reasoning</v>
      </c>
      <c r="J41" s="337" t="str">
        <f>'ALL ML SYSTEMS'!J41</f>
        <v>https://www.science.org/doi/10.1126/science.ade9097</v>
      </c>
      <c r="K41" s="338">
        <f>'ALL ML SYSTEMS'!K41</f>
        <v>0</v>
      </c>
      <c r="L41" s="325">
        <f>'ALL ML SYSTEMS'!L41</f>
        <v>0</v>
      </c>
      <c r="M41" s="338" t="str">
        <f>'ALL ML SYSTEMS'!M41</f>
        <v>No</v>
      </c>
      <c r="N41" s="338">
        <f>'ALL ML SYSTEMS'!N41</f>
        <v>0</v>
      </c>
      <c r="O41" s="338">
        <f>'ALL ML SYSTEMS'!O41</f>
        <v>0</v>
      </c>
      <c r="P41" s="339" t="str">
        <f>'ALL ML SYSTEMS'!P41</f>
        <v>WebDiplomacy</v>
      </c>
      <c r="Q41" s="338">
        <f>'ALL ML SYSTEMS'!Q41</f>
        <v>0</v>
      </c>
      <c r="R41" s="325">
        <f>'ALL ML SYSTEMS'!R41</f>
        <v>0</v>
      </c>
      <c r="S41" s="325">
        <f>'ALL ML SYSTEMS'!S41</f>
        <v>0</v>
      </c>
      <c r="T41" s="325">
        <f>'ALL ML SYSTEMS'!T41</f>
        <v>0</v>
      </c>
      <c r="U41" s="325">
        <f>'ALL ML SYSTEMS'!U41</f>
        <v>0</v>
      </c>
      <c r="V41" s="325">
        <f>'ALL ML SYSTEMS'!V41</f>
        <v>0</v>
      </c>
      <c r="W41" s="325">
        <f>'ALL ML SYSTEMS'!W41</f>
        <v>0</v>
      </c>
      <c r="X41" s="325">
        <f>'ALL ML SYSTEMS'!X41</f>
        <v>0</v>
      </c>
      <c r="Y41" s="325">
        <f>'ALL ML SYSTEMS'!Y41</f>
        <v>0</v>
      </c>
      <c r="Z41" s="325">
        <f>'ALL ML SYSTEMS'!Z41</f>
        <v>0</v>
      </c>
      <c r="AA41" s="341" t="str">
        <f>'ALL ML SYSTEMS'!AA41</f>
        <v/>
      </c>
      <c r="AB41" s="325"/>
      <c r="AC41" s="325">
        <f>'ALL ML SYSTEMS'!AB41</f>
        <v>0</v>
      </c>
      <c r="AD41" s="325">
        <f>'ALL ML SYSTEMS'!AC41</f>
        <v>0</v>
      </c>
    </row>
    <row r="42" hidden="1" customHeight="1" spans="1:30">
      <c r="A42" s="323" t="str">
        <f>'ALL ML SYSTEMS'!A42</f>
        <v>Imagen Video</v>
      </c>
      <c r="B42" s="323" t="str">
        <f>'ALL ML SYSTEMS'!B42</f>
        <v>Vision</v>
      </c>
      <c r="C42" s="323" t="str">
        <f>'ALL ML SYSTEMS'!C42</f>
        <v>Video generation</v>
      </c>
      <c r="D42" s="323" t="str">
        <f>'ALL ML SYSTEMS'!D42</f>
        <v>Google Brain</v>
      </c>
      <c r="E42" s="323" t="str">
        <f>'ALL ML SYSTEMS'!E42</f>
        <v>Industry</v>
      </c>
      <c r="F42" s="323" t="str">
        <f>'ALL ML SYSTEMS'!F42</f>
        <v>Jonathan Ho, William Chan, Chitwan Saharia, Jay Whang, Ruiqi Gao, Alexey Gritsenko, Diederik P. Kingma, Ben Poole, Mohammad Norouzi, David J. Fleet, Tim Salimans</v>
      </c>
      <c r="G42" s="324">
        <f>'ALL ML SYSTEMS'!G42</f>
        <v>44839</v>
      </c>
      <c r="H42" s="329">
        <f>'ALL ML SYSTEMS'!H42</f>
        <v>2022</v>
      </c>
      <c r="I42" s="323" t="str">
        <f>'ALL ML SYSTEMS'!I42</f>
        <v>Imagen Video: High Definition Video Generation with Diffusion Models</v>
      </c>
      <c r="J42" s="334" t="str">
        <f>'ALL ML SYSTEMS'!J42</f>
        <v>https://arxiv.org/abs/2210.02303</v>
      </c>
      <c r="K42" s="335">
        <f>'ALL ML SYSTEMS'!K42</f>
        <v>0</v>
      </c>
      <c r="L42" s="323">
        <f>'ALL ML SYSTEMS'!L42</f>
        <v>0</v>
      </c>
      <c r="M42" s="335" t="str">
        <f>'ALL ML SYSTEMS'!M42</f>
        <v>No</v>
      </c>
      <c r="N42" s="335">
        <f>'ALL ML SYSTEMS'!N42</f>
        <v>11600000000</v>
      </c>
      <c r="O42" s="335">
        <f>'ALL ML SYSTEMS'!O42</f>
        <v>0</v>
      </c>
      <c r="P42" s="336">
        <f>'ALL ML SYSTEMS'!P42</f>
        <v>0</v>
      </c>
      <c r="Q42" s="335">
        <f>'ALL ML SYSTEMS'!Q42</f>
        <v>0</v>
      </c>
      <c r="R42" s="323">
        <f>'ALL ML SYSTEMS'!R42</f>
        <v>0</v>
      </c>
      <c r="S42" s="335">
        <f>'ALL ML SYSTEMS'!S42</f>
        <v>0</v>
      </c>
      <c r="T42" s="323">
        <f>'ALL ML SYSTEMS'!T42</f>
        <v>0</v>
      </c>
      <c r="U42" s="323">
        <f>'ALL ML SYSTEMS'!U42</f>
        <v>0</v>
      </c>
      <c r="V42" s="323">
        <f>'ALL ML SYSTEMS'!V42</f>
        <v>0</v>
      </c>
      <c r="W42" s="323">
        <f>'ALL ML SYSTEMS'!W42</f>
        <v>0</v>
      </c>
      <c r="X42" s="323">
        <f>'ALL ML SYSTEMS'!X42</f>
        <v>0</v>
      </c>
      <c r="Y42" s="323">
        <f>'ALL ML SYSTEMS'!Y42</f>
        <v>0</v>
      </c>
      <c r="Z42" s="323">
        <f>'ALL ML SYSTEMS'!Z42</f>
        <v>0</v>
      </c>
      <c r="AA42" s="340" t="str">
        <f>'ALL ML SYSTEMS'!AA42</f>
        <v/>
      </c>
      <c r="AB42" s="323"/>
      <c r="AC42" s="323">
        <f>'ALL ML SYSTEMS'!AB42</f>
        <v>0</v>
      </c>
      <c r="AD42" s="323">
        <f>'ALL ML SYSTEMS'!AC42</f>
        <v>0</v>
      </c>
    </row>
    <row r="43" hidden="1" customHeight="1" spans="1:30">
      <c r="A43" s="325" t="str">
        <f>'ALL ML SYSTEMS'!A43</f>
        <v>Megatron-LM (1T)</v>
      </c>
      <c r="B43" s="325" t="str">
        <f>'ALL ML SYSTEMS'!B43</f>
        <v>Language</v>
      </c>
      <c r="C43" s="325" t="str">
        <f>'ALL ML SYSTEMS'!C43</f>
        <v>Text autocompletion</v>
      </c>
      <c r="D43" s="325" t="str">
        <f>'ALL ML SYSTEMS'!D43</f>
        <v>Stanford, Microsoft Research, NVIDIA</v>
      </c>
      <c r="E43" s="325" t="str">
        <f>'ALL ML SYSTEMS'!E43</f>
        <v>Industry - Academia Collaboration (Industry leaning)</v>
      </c>
      <c r="F43" s="325" t="str">
        <f>'ALL ML SYSTEMS'!F43</f>
        <v>Deepak Narayanan, Mohammad Shoeybi, Jared Casper, Patrick LeGresley, Mostofa Patwary, Vijay Korthikanti, Dmitri Vainbrand, Prethvi Kashinkunti, Julie Bernauer, Bryan Catanzaro, Amar Phanishayee, Matei Zaharia</v>
      </c>
      <c r="G43" s="326">
        <f>'ALL ML SYSTEMS'!G43</f>
        <v>44295</v>
      </c>
      <c r="H43" s="327">
        <f>'ALL ML SYSTEMS'!H43</f>
        <v>4295</v>
      </c>
      <c r="I43" s="325" t="str">
        <f>'ALL ML SYSTEMS'!I43</f>
        <v>Efficient Large-Scale Language Model Training on GPU Clusters</v>
      </c>
      <c r="J43" s="337" t="str">
        <f>'ALL ML SYSTEMS'!J43</f>
        <v>https://arxiv.org/abs/2104.04473</v>
      </c>
      <c r="K43" s="338">
        <f>'ALL ML SYSTEMS'!K43</f>
        <v>108</v>
      </c>
      <c r="L43" s="325">
        <f>'ALL ML SYSTEMS'!L43</f>
        <v>0</v>
      </c>
      <c r="M43" s="338" t="str">
        <f>'ALL ML SYSTEMS'!M43</f>
        <v>No</v>
      </c>
      <c r="N43" s="338">
        <f>'ALL ML SYSTEMS'!N43</f>
        <v>1000000000000</v>
      </c>
      <c r="O43" s="338">
        <f>'ALL ML SYSTEMS'!O43</f>
        <v>0</v>
      </c>
      <c r="P43" s="339">
        <f>'ALL ML SYSTEMS'!P43</f>
        <v>0</v>
      </c>
      <c r="Q43" s="338">
        <f>'ALL ML SYSTEMS'!Q43</f>
        <v>0</v>
      </c>
      <c r="R43" s="325">
        <f>'ALL ML SYSTEMS'!R43</f>
        <v>0</v>
      </c>
      <c r="S43" s="338">
        <f>'ALL ML SYSTEMS'!S43</f>
        <v>0</v>
      </c>
      <c r="T43" s="325">
        <f>'ALL ML SYSTEMS'!T43</f>
        <v>0</v>
      </c>
      <c r="U43" s="325">
        <f>'ALL ML SYSTEMS'!U43</f>
        <v>0</v>
      </c>
      <c r="V43" s="325">
        <f>'ALL ML SYSTEMS'!V43</f>
        <v>0</v>
      </c>
      <c r="W43" s="325">
        <f>'ALL ML SYSTEMS'!W43</f>
        <v>0</v>
      </c>
      <c r="X43" s="325">
        <f>'ALL ML SYSTEMS'!X43</f>
        <v>0</v>
      </c>
      <c r="Y43" s="325">
        <f>'ALL ML SYSTEMS'!Y43</f>
        <v>0</v>
      </c>
      <c r="Z43" s="325">
        <f>'ALL ML SYSTEMS'!Z43</f>
        <v>0</v>
      </c>
      <c r="AA43" s="341" t="str">
        <f>'ALL ML SYSTEMS'!AA43</f>
        <v/>
      </c>
      <c r="AB43" s="325"/>
      <c r="AC43" s="325" t="str">
        <f>'ALL ML SYSTEMS'!AB43</f>
        <v>Yes</v>
      </c>
      <c r="AD43" s="325">
        <f>'ALL ML SYSTEMS'!AC43</f>
        <v>0</v>
      </c>
    </row>
    <row r="44" hidden="1" customHeight="1" spans="1:30">
      <c r="A44" s="323" t="str">
        <f>'ALL ML SYSTEMS'!A44</f>
        <v>Megatron-Turing NLG 530B</v>
      </c>
      <c r="B44" s="323" t="str">
        <f>'ALL ML SYSTEMS'!B44</f>
        <v>Language</v>
      </c>
      <c r="C44" s="323">
        <f>'ALL ML SYSTEMS'!C44</f>
        <v>0</v>
      </c>
      <c r="D44" s="323" t="str">
        <f>'ALL ML SYSTEMS'!D44</f>
        <v>Microsoft, NVIDIA</v>
      </c>
      <c r="E44" s="323" t="str">
        <f>'ALL ML SYSTEMS'!E44</f>
        <v>Industry</v>
      </c>
      <c r="F44" s="323" t="str">
        <f>'ALL ML SYSTEMS'!F44</f>
        <v>Ali Alvi, Paresh Kharya</v>
      </c>
      <c r="G44" s="324">
        <f>'ALL ML SYSTEMS'!G44</f>
        <v>44480</v>
      </c>
      <c r="H44" s="329">
        <f>'ALL ML SYSTEMS'!H44</f>
        <v>4480</v>
      </c>
      <c r="I44" s="323" t="str">
        <f>'ALL ML SYSTEMS'!I44</f>
        <v>Using DeepSpeed and Megatron to Train Megatron-Turing NLG 530B, the World’s Largest and Most Powerful Generative Language Model</v>
      </c>
      <c r="J44" s="334" t="str">
        <f>'ALL ML SYSTEMS'!J44</f>
        <v>https://www.microsoft.com/en-us/research/blog/using-deepspeed-and-megatron-to-train-megatron-turing-nlg-530b-the-worlds-largest-and-most-powerful-generative-language-model/</v>
      </c>
      <c r="K44" s="335">
        <f>'ALL ML SYSTEMS'!K44</f>
        <v>114</v>
      </c>
      <c r="L44" s="323">
        <f>'ALL ML SYSTEMS'!L44</f>
        <v>0</v>
      </c>
      <c r="M44" s="335" t="str">
        <f>'ALL ML SYSTEMS'!M44</f>
        <v>No</v>
      </c>
      <c r="N44" s="335">
        <f>'ALL ML SYSTEMS'!N44</f>
        <v>530000000000</v>
      </c>
      <c r="O44" s="335">
        <f>'ALL ML SYSTEMS'!O44</f>
        <v>1.3542e+24</v>
      </c>
      <c r="P44" s="336">
        <f>'ALL ML SYSTEMS'!P44</f>
        <v>0</v>
      </c>
      <c r="Q44" s="335">
        <f>'ALL ML SYSTEMS'!Q44</f>
        <v>202500000000</v>
      </c>
      <c r="R44" s="323">
        <f>'ALL ML SYSTEMS'!R44</f>
        <v>0</v>
      </c>
      <c r="S44" s="335">
        <f>'ALL ML SYSTEMS'!S44</f>
        <v>0</v>
      </c>
      <c r="T44" s="323">
        <f>'ALL ML SYSTEMS'!T44</f>
        <v>0</v>
      </c>
      <c r="U44" s="323">
        <f>'ALL ML SYSTEMS'!U44</f>
        <v>0</v>
      </c>
      <c r="V44" s="323">
        <f>'ALL ML SYSTEMS'!V44</f>
        <v>0</v>
      </c>
      <c r="W44" s="323">
        <f>'ALL ML SYSTEMS'!W44</f>
        <v>0</v>
      </c>
      <c r="X44" s="323">
        <f>'ALL ML SYSTEMS'!X44</f>
        <v>0</v>
      </c>
      <c r="Y44" s="323">
        <f>'ALL ML SYSTEMS'!Y44</f>
        <v>0</v>
      </c>
      <c r="Z44" s="323">
        <f>'ALL ML SYSTEMS'!Z44</f>
        <v>0</v>
      </c>
      <c r="AA44" s="340">
        <f>'ALL ML SYSTEMS'!AA44</f>
        <v>3046994.0871934</v>
      </c>
      <c r="AB44" s="323"/>
      <c r="AC44" s="323" t="str">
        <f>'ALL ML SYSTEMS'!AB44</f>
        <v>Yes</v>
      </c>
      <c r="AD44" s="323">
        <f>'ALL ML SYSTEMS'!AC44</f>
        <v>0</v>
      </c>
    </row>
    <row r="45" hidden="1" customHeight="1" spans="1:30">
      <c r="A45" s="325" t="str">
        <f>'ALL ML SYSTEMS'!A45</f>
        <v>Gopher</v>
      </c>
      <c r="B45" s="325" t="str">
        <f>'ALL ML SYSTEMS'!B45</f>
        <v>Language</v>
      </c>
      <c r="C45" s="325" t="str">
        <f>'ALL ML SYSTEMS'!C45</f>
        <v>Language modelling</v>
      </c>
      <c r="D45" s="325" t="str">
        <f>'ALL ML SYSTEMS'!D45</f>
        <v>DeepMind</v>
      </c>
      <c r="E45" s="325" t="str">
        <f>'ALL ML SYSTEMS'!E45</f>
        <v>Industry</v>
      </c>
      <c r="F45" s="325" t="str">
        <f>'ALL ML SYSTEMS'!F45</f>
        <v>Jack W. Rae, Sebastian Borgeaud, Trevor Cai, Katie Millican, Jordan Hoffmann, Francis Song, John Aslanides, Sarah Henderson, Roman Ring, Susannah Young, Eliza Rutherford, Tom Hennigan, Jacob Menick, Albin Cassirer, Richard Powell, George van den Driessche, Lisa Anne Hendricks, Maribeth Rauh, Po-Sen Huang, Amelia Glaese, Johannes Welbl, Sumanth Dathathri, Saffron Huang, Jonathan Uesato, John Mellor, Irina Higgins, Antonia Creswell, Nat McAleese, Amy Wu, Erich Elsen, Siddhant Jayakumar, Elena Buchatskaya, David Budden, Esme Sutherland, Karen Simonyan, Michela Paganini, Laurent Sifre, Lena Martens, Xiang Lorraine Li, Adhiguna Kuncoro, Aida Nematzadeh, Elena Gribovskaya, Domenic Donato, Angeliki Lazaridou, Arthur Mensch, Jean-Baptiste Lespiau, Maria Tsimpoukelli, Nikolai Grigorev, Doug Fritz, Thibault Sottiaux, Mantas Pajarskas, Toby Pohlen, Zhitao Gong, Daniel Toyama, Cyprien de Masson d’Autume, Yujia Li, Tayfun Terzi, Vladimir Mikulik, Igor Babuschkin, Aidan Clark, Diego de Las Casas, Aurelia Guy, Chris Jones, James Bradbury, Matthew Johnson, Blake Hechtman, Laura Weidinger, Iason Gabriel, William Isaac, Ed Lockhart, Simon Osindero, Laura Rimell, Chris Dyer, Oriol Vinyals, Kareem Ayoub, Jeff Stanway, Lorrayne Bennett, Demis Hassabis, Koray Kavukcuoglu and Geoffrey Irving</v>
      </c>
      <c r="G45" s="326">
        <f>'ALL ML SYSTEMS'!G45</f>
        <v>44538</v>
      </c>
      <c r="H45" s="327">
        <f>'ALL ML SYSTEMS'!H45</f>
        <v>4538</v>
      </c>
      <c r="I45" s="325" t="str">
        <f>'ALL ML SYSTEMS'!I45</f>
        <v>Scaling Language Models: Methods, Analysis &amp; Insights from Training Gopher</v>
      </c>
      <c r="J45" s="337" t="str">
        <f>'ALL ML SYSTEMS'!J45</f>
        <v>https://deepmind.com/blog/article/language-modelling-at-scale</v>
      </c>
      <c r="K45" s="338">
        <f>'ALL ML SYSTEMS'!K45</f>
        <v>176</v>
      </c>
      <c r="L45" s="325">
        <f>'ALL ML SYSTEMS'!L45</f>
        <v>0</v>
      </c>
      <c r="M45" s="338" t="str">
        <f>'ALL ML SYSTEMS'!M45</f>
        <v>No</v>
      </c>
      <c r="N45" s="338">
        <f>'ALL ML SYSTEMS'!N45</f>
        <v>280000000000</v>
      </c>
      <c r="O45" s="338">
        <f>'ALL ML SYSTEMS'!O45</f>
        <v>6.31e+23</v>
      </c>
      <c r="P45" s="339">
        <f>'ALL ML SYSTEMS'!P45</f>
        <v>0</v>
      </c>
      <c r="Q45" s="338">
        <f>'ALL ML SYSTEMS'!Q45</f>
        <v>225000000000</v>
      </c>
      <c r="R45" s="325">
        <f>'ALL ML SYSTEMS'!R45</f>
        <v>0</v>
      </c>
      <c r="S45" s="338">
        <f>'ALL ML SYSTEMS'!S45</f>
        <v>0</v>
      </c>
      <c r="T45" s="325">
        <f>'ALL ML SYSTEMS'!T45</f>
        <v>0</v>
      </c>
      <c r="U45" s="325">
        <f>'ALL ML SYSTEMS'!U45</f>
        <v>0</v>
      </c>
      <c r="V45" s="325">
        <f>'ALL ML SYSTEMS'!V45</f>
        <v>0</v>
      </c>
      <c r="W45" s="325">
        <f>'ALL ML SYSTEMS'!W45</f>
        <v>0</v>
      </c>
      <c r="X45" s="325">
        <f>'ALL ML SYSTEMS'!X45</f>
        <v>0</v>
      </c>
      <c r="Y45" s="325">
        <f>'ALL ML SYSTEMS'!Y45</f>
        <v>0</v>
      </c>
      <c r="Z45" s="325">
        <f>'ALL ML SYSTEMS'!Z45</f>
        <v>0</v>
      </c>
      <c r="AA45" s="341">
        <f>'ALL ML SYSTEMS'!AA45</f>
        <v>891638.804314709</v>
      </c>
      <c r="AB45" s="325"/>
      <c r="AC45" s="325" t="str">
        <f>'ALL ML SYSTEMS'!AB45</f>
        <v>Yes</v>
      </c>
      <c r="AD45" s="325">
        <f>'ALL ML SYSTEMS'!AC45</f>
        <v>0</v>
      </c>
    </row>
    <row r="46" hidden="1" customHeight="1" spans="1:30">
      <c r="A46" s="323" t="str">
        <f>'ALL ML SYSTEMS'!A46</f>
        <v>Yuan 1.0</v>
      </c>
      <c r="B46" s="323" t="str">
        <f>'ALL ML SYSTEMS'!B46</f>
        <v>Language</v>
      </c>
      <c r="C46" s="323">
        <f>'ALL ML SYSTEMS'!C46</f>
        <v>0</v>
      </c>
      <c r="D46" s="323" t="str">
        <f>'ALL ML SYSTEMS'!D46</f>
        <v>Inspur</v>
      </c>
      <c r="E46" s="323" t="str">
        <f>'ALL ML SYSTEMS'!E46</f>
        <v>Industry</v>
      </c>
      <c r="F46" s="323" t="str">
        <f>'ALL ML SYSTEMS'!F46</f>
        <v>Shaohua Wu, Xudong Zhao, Tong Yu, Rongguo Zhang, Chong Shen, Hongli Liu, Feng Li, Hong Zhu, Jiangang Luo, Liang Xu, Xuanwei Zhang, Jun Liu</v>
      </c>
      <c r="G46" s="324">
        <f>'ALL ML SYSTEMS'!G46</f>
        <v>44481</v>
      </c>
      <c r="H46" s="329">
        <f>'ALL ML SYSTEMS'!H46</f>
        <v>4481</v>
      </c>
      <c r="I46" s="323" t="str">
        <f>'ALL ML SYSTEMS'!I46</f>
        <v>Yuan 1.0: Large-Scale Pre-trained Language Model in Zero-Shot and Few-Shot Learning</v>
      </c>
      <c r="J46" s="334" t="str">
        <f>'ALL ML SYSTEMS'!J46</f>
        <v>https://arxiv.org/abs/2110.04725</v>
      </c>
      <c r="K46" s="335">
        <f>'ALL ML SYSTEMS'!K46</f>
        <v>12</v>
      </c>
      <c r="L46" s="323">
        <f>'ALL ML SYSTEMS'!L46</f>
        <v>0</v>
      </c>
      <c r="M46" s="335" t="str">
        <f>'ALL ML SYSTEMS'!M46</f>
        <v>No</v>
      </c>
      <c r="N46" s="335">
        <f>'ALL ML SYSTEMS'!N46</f>
        <v>245000000000</v>
      </c>
      <c r="O46" s="335">
        <f>'ALL ML SYSTEMS'!O46</f>
        <v>4.097e+23</v>
      </c>
      <c r="P46" s="336">
        <f>'ALL ML SYSTEMS'!P46</f>
        <v>0</v>
      </c>
      <c r="Q46" s="335">
        <f>'ALL ML SYSTEMS'!Q46</f>
        <v>835000000000</v>
      </c>
      <c r="R46" s="323">
        <f>'ALL ML SYSTEMS'!R46</f>
        <v>0</v>
      </c>
      <c r="S46" s="335">
        <f>'ALL ML SYSTEMS'!S46</f>
        <v>0</v>
      </c>
      <c r="T46" s="323">
        <f>'ALL ML SYSTEMS'!T46</f>
        <v>0</v>
      </c>
      <c r="U46" s="323">
        <f>'ALL ML SYSTEMS'!U46</f>
        <v>0</v>
      </c>
      <c r="V46" s="323">
        <f>'ALL ML SYSTEMS'!V46</f>
        <v>0</v>
      </c>
      <c r="W46" s="323">
        <f>'ALL ML SYSTEMS'!W46</f>
        <v>0</v>
      </c>
      <c r="X46" s="323">
        <f>'ALL ML SYSTEMS'!X46</f>
        <v>0</v>
      </c>
      <c r="Y46" s="323">
        <f>'ALL ML SYSTEMS'!Y46</f>
        <v>0</v>
      </c>
      <c r="Z46" s="323">
        <f>'ALL ML SYSTEMS'!Z46</f>
        <v>0</v>
      </c>
      <c r="AA46" s="340">
        <f>'ALL ML SYSTEMS'!AA46</f>
        <v>606364.74789733</v>
      </c>
      <c r="AB46" s="323"/>
      <c r="AC46" s="323" t="str">
        <f>'ALL ML SYSTEMS'!AB46</f>
        <v>Yes</v>
      </c>
      <c r="AD46" s="323">
        <f>'ALL ML SYSTEMS'!AC46</f>
        <v>0</v>
      </c>
    </row>
    <row r="47" hidden="1" customHeight="1" spans="1:30">
      <c r="A47" s="325" t="str">
        <f>'ALL ML SYSTEMS'!A47</f>
        <v>Jurassic-1-Jumbo</v>
      </c>
      <c r="B47" s="325" t="str">
        <f>'ALL ML SYSTEMS'!B47</f>
        <v>Language</v>
      </c>
      <c r="C47" s="325">
        <f>'ALL ML SYSTEMS'!C47</f>
        <v>0</v>
      </c>
      <c r="D47" s="325" t="str">
        <f>'ALL ML SYSTEMS'!D47</f>
        <v>AI21 Labs</v>
      </c>
      <c r="E47" s="325" t="str">
        <f>'ALL ML SYSTEMS'!E47</f>
        <v>Industry</v>
      </c>
      <c r="F47" s="325" t="str">
        <f>'ALL ML SYSTEMS'!F47</f>
        <v>Opher Lieber, Or Sharir, Barak Lenz, Yoav Shoham</v>
      </c>
      <c r="G47" s="326">
        <f>'ALL ML SYSTEMS'!G47</f>
        <v>44419</v>
      </c>
      <c r="H47" s="327">
        <f>'ALL ML SYSTEMS'!H47</f>
        <v>4419</v>
      </c>
      <c r="I47" s="325" t="str">
        <f>'ALL ML SYSTEMS'!I47</f>
        <v>Jurassic-1: Technical Details and Evaluation</v>
      </c>
      <c r="J47" s="337" t="str">
        <f>'ALL ML SYSTEMS'!J47</f>
        <v>https://uploads-ssl.webflow.com/60fd4503684b466578c0d307/61138924626a6981ee09caf6_jurassic_tech_paper.pdf</v>
      </c>
      <c r="K47" s="338">
        <f>'ALL ML SYSTEMS'!K47</f>
        <v>55</v>
      </c>
      <c r="L47" s="325">
        <f>'ALL ML SYSTEMS'!L47</f>
        <v>0</v>
      </c>
      <c r="M47" s="338" t="str">
        <f>'ALL ML SYSTEMS'!M47</f>
        <v>No</v>
      </c>
      <c r="N47" s="338">
        <f>'ALL ML SYSTEMS'!N47</f>
        <v>178000000000</v>
      </c>
      <c r="O47" s="338">
        <f>'ALL ML SYSTEMS'!O47</f>
        <v>3.7e+23</v>
      </c>
      <c r="P47" s="339">
        <f>'ALL ML SYSTEMS'!P47</f>
        <v>0</v>
      </c>
      <c r="Q47" s="338">
        <f>'ALL ML SYSTEMS'!Q47</f>
        <v>225000000000</v>
      </c>
      <c r="R47" s="325">
        <f>'ALL ML SYSTEMS'!R47</f>
        <v>0</v>
      </c>
      <c r="S47" s="338">
        <f>'ALL ML SYSTEMS'!S47</f>
        <v>0</v>
      </c>
      <c r="T47" s="325">
        <f>'ALL ML SYSTEMS'!T47</f>
        <v>0</v>
      </c>
      <c r="U47" s="325">
        <f>'ALL ML SYSTEMS'!U47</f>
        <v>0</v>
      </c>
      <c r="V47" s="325">
        <f>'ALL ML SYSTEMS'!V47</f>
        <v>0</v>
      </c>
      <c r="W47" s="325">
        <f>'ALL ML SYSTEMS'!W47</f>
        <v>0</v>
      </c>
      <c r="X47" s="325">
        <f>'ALL ML SYSTEMS'!X47</f>
        <v>0</v>
      </c>
      <c r="Y47" s="325">
        <f>'ALL ML SYSTEMS'!Y47</f>
        <v>0</v>
      </c>
      <c r="Z47" s="325">
        <f>'ALL ML SYSTEMS'!Z47</f>
        <v>0</v>
      </c>
      <c r="AA47" s="341">
        <f>'ALL ML SYSTEMS'!AA47</f>
        <v>805277.008758257</v>
      </c>
      <c r="AB47" s="325"/>
      <c r="AC47" s="325" t="str">
        <f>'ALL ML SYSTEMS'!AB47</f>
        <v>Yes</v>
      </c>
      <c r="AD47" s="325">
        <f>'ALL ML SYSTEMS'!AC47</f>
        <v>0</v>
      </c>
    </row>
    <row r="48" hidden="1" customHeight="1" spans="1:30">
      <c r="A48" s="323" t="str">
        <f>'ALL ML SYSTEMS'!A48</f>
        <v>Source 1.0</v>
      </c>
      <c r="B48" s="323" t="str">
        <f>'ALL ML SYSTEMS'!B48</f>
        <v>Language</v>
      </c>
      <c r="C48" s="323" t="str">
        <f>'ALL ML SYSTEMS'!C48</f>
        <v>Language modelling</v>
      </c>
      <c r="D48" s="323" t="str">
        <f>'ALL ML SYSTEMS'!D48</f>
        <v>Inspur</v>
      </c>
      <c r="E48" s="323" t="str">
        <f>'ALL ML SYSTEMS'!E48</f>
        <v>Industry</v>
      </c>
      <c r="F48" s="323">
        <f>'ALL ML SYSTEMS'!F48</f>
        <v>0</v>
      </c>
      <c r="G48" s="328">
        <f>'ALL ML SYSTEMS'!G48</f>
        <v>44510</v>
      </c>
      <c r="H48" s="323">
        <f>'ALL ML SYSTEMS'!H48</f>
        <v>2021</v>
      </c>
      <c r="I48" s="323">
        <f>'ALL ML SYSTEMS'!I48</f>
        <v>0</v>
      </c>
      <c r="J48" s="334" t="str">
        <f>'ALL ML SYSTEMS'!J48</f>
        <v>https://www.gwern.net/docs/ai/scaling/2021-10-11-xinzhiyuan-inspursource10gpt245b.html</v>
      </c>
      <c r="K48" s="335">
        <f>'ALL ML SYSTEMS'!K48</f>
        <v>0</v>
      </c>
      <c r="L48" s="323">
        <f>'ALL ML SYSTEMS'!L48</f>
        <v>0</v>
      </c>
      <c r="M48" s="335" t="str">
        <f>'ALL ML SYSTEMS'!M48</f>
        <v>No</v>
      </c>
      <c r="N48" s="335">
        <f>'ALL ML SYSTEMS'!N48</f>
        <v>245700000000</v>
      </c>
      <c r="O48" s="335">
        <f>'ALL ML SYSTEMS'!O48</f>
        <v>3.53808e+23</v>
      </c>
      <c r="P48" s="336">
        <f>'ALL ML SYSTEMS'!P48</f>
        <v>0</v>
      </c>
      <c r="Q48" s="335">
        <f>'ALL ML SYSTEMS'!Q48</f>
        <v>0</v>
      </c>
      <c r="R48" s="323">
        <f>'ALL ML SYSTEMS'!R48</f>
        <v>0</v>
      </c>
      <c r="S48" s="323">
        <f>'ALL ML SYSTEMS'!S48</f>
        <v>0</v>
      </c>
      <c r="T48" s="323">
        <f>'ALL ML SYSTEMS'!T48</f>
        <v>0</v>
      </c>
      <c r="U48" s="323">
        <f>'ALL ML SYSTEMS'!U48</f>
        <v>0</v>
      </c>
      <c r="V48" s="323">
        <f>'ALL ML SYSTEMS'!V48</f>
        <v>0</v>
      </c>
      <c r="W48" s="323">
        <f>'ALL ML SYSTEMS'!W48</f>
        <v>0</v>
      </c>
      <c r="X48" s="323">
        <f>'ALL ML SYSTEMS'!X48</f>
        <v>0</v>
      </c>
      <c r="Y48" s="323">
        <f>'ALL ML SYSTEMS'!Y48</f>
        <v>0</v>
      </c>
      <c r="Z48" s="323">
        <f>'ALL ML SYSTEMS'!Z48</f>
        <v>0</v>
      </c>
      <c r="AA48" s="340" t="str">
        <f>'ALL ML SYSTEMS'!AA48</f>
        <v/>
      </c>
      <c r="AB48" s="323"/>
      <c r="AC48" s="323">
        <f>'ALL ML SYSTEMS'!AB48</f>
        <v>0</v>
      </c>
      <c r="AD48" s="323">
        <f>'ALL ML SYSTEMS'!AC48</f>
        <v>0</v>
      </c>
    </row>
    <row r="49" hidden="1" customHeight="1" spans="1:30">
      <c r="A49" s="325" t="str">
        <f>'ALL ML SYSTEMS'!A49</f>
        <v>ALIGN</v>
      </c>
      <c r="B49" s="325" t="str">
        <f>'ALL ML SYSTEMS'!B49</f>
        <v>Multimodal</v>
      </c>
      <c r="C49" s="325" t="str">
        <f>'ALL ML SYSTEMS'!C49</f>
        <v>Representation Learning</v>
      </c>
      <c r="D49" s="325" t="str">
        <f>'ALL ML SYSTEMS'!D49</f>
        <v>Google AI</v>
      </c>
      <c r="E49" s="325" t="str">
        <f>'ALL ML SYSTEMS'!E49</f>
        <v>Industry</v>
      </c>
      <c r="F49" s="325" t="str">
        <f>'ALL ML SYSTEMS'!F49</f>
        <v>ChaoJia,YinfeiYang,YeXia,Yi-TingChen,ZaranaParekh,HieuPham,QuocV.Le,YunhsuanSung, Zhen Li, and Tom Duerig</v>
      </c>
      <c r="G49" s="326">
        <f>'ALL ML SYSTEMS'!G49</f>
        <v>44358</v>
      </c>
      <c r="H49" s="327">
        <f>'ALL ML SYSTEMS'!H49</f>
        <v>4358</v>
      </c>
      <c r="I49" s="325" t="str">
        <f>'ALL ML SYSTEMS'!I49</f>
        <v>Scaling up visual and vision-language representation learning with noisy text supervision</v>
      </c>
      <c r="J49" s="337" t="str">
        <f>'ALL ML SYSTEMS'!J49</f>
        <v>https://arxiv.org/abs/2102.05918</v>
      </c>
      <c r="K49" s="338">
        <f>'ALL ML SYSTEMS'!K49</f>
        <v>641</v>
      </c>
      <c r="L49" s="325">
        <f>'ALL ML SYSTEMS'!L49</f>
        <v>0</v>
      </c>
      <c r="M49" s="338" t="str">
        <f>'ALL ML SYSTEMS'!M49</f>
        <v>No</v>
      </c>
      <c r="N49" s="338">
        <f>'ALL ML SYSTEMS'!N49</f>
        <v>820000000</v>
      </c>
      <c r="O49" s="338">
        <f>'ALL ML SYSTEMS'!O49</f>
        <v>2.15e+23</v>
      </c>
      <c r="P49" s="339">
        <f>'ALL ML SYSTEMS'!P49</f>
        <v>0</v>
      </c>
      <c r="Q49" s="338">
        <f>'ALL ML SYSTEMS'!Q49</f>
        <v>1600000000</v>
      </c>
      <c r="R49" s="325">
        <f>'ALL ML SYSTEMS'!R49</f>
        <v>0</v>
      </c>
      <c r="S49" s="338">
        <f>'ALL ML SYSTEMS'!S49</f>
        <v>0</v>
      </c>
      <c r="T49" s="325">
        <f>'ALL ML SYSTEMS'!T49</f>
        <v>0</v>
      </c>
      <c r="U49" s="325">
        <f>'ALL ML SYSTEMS'!U49</f>
        <v>0</v>
      </c>
      <c r="V49" s="325">
        <f>'ALL ML SYSTEMS'!V49</f>
        <v>0</v>
      </c>
      <c r="W49" s="325">
        <f>'ALL ML SYSTEMS'!W49</f>
        <v>0</v>
      </c>
      <c r="X49" s="325">
        <f>'ALL ML SYSTEMS'!X49</f>
        <v>0</v>
      </c>
      <c r="Y49" s="325">
        <f>'ALL ML SYSTEMS'!Y49</f>
        <v>0</v>
      </c>
      <c r="Z49" s="325">
        <f>'ALL ML SYSTEMS'!Z49</f>
        <v>0</v>
      </c>
      <c r="AA49" s="341">
        <f>'ALL ML SYSTEMS'!AA49</f>
        <v>357760.32532239</v>
      </c>
      <c r="AB49" s="325"/>
      <c r="AC49" s="325" t="str">
        <f>'ALL ML SYSTEMS'!AB49</f>
        <v>Yes</v>
      </c>
      <c r="AD49" s="325">
        <f>'ALL ML SYSTEMS'!AC49</f>
        <v>0</v>
      </c>
    </row>
    <row r="50" customHeight="1" spans="1:30">
      <c r="A50" s="323" t="str">
        <f>'ALL ML SYSTEMS'!A50</f>
        <v>Meta Pseudo Labels</v>
      </c>
      <c r="B50" s="323" t="str">
        <f>'ALL ML SYSTEMS'!B50</f>
        <v>Vision</v>
      </c>
      <c r="C50" s="323" t="str">
        <f>'ALL ML SYSTEMS'!C50</f>
        <v>Image Classification</v>
      </c>
      <c r="D50" s="323" t="str">
        <f>'ALL ML SYSTEMS'!D50</f>
        <v>Google AI, Brain team</v>
      </c>
      <c r="E50" s="323" t="str">
        <f>'ALL ML SYSTEMS'!E50</f>
        <v>Industry</v>
      </c>
      <c r="F50" s="323" t="str">
        <f>'ALL ML SYSTEMS'!F50</f>
        <v>Hieu Pham, Zihang Dai, Qizhe Xie, Minh-Thang Luong, and Quoc V. Le</v>
      </c>
      <c r="G50" s="324">
        <f>'ALL ML SYSTEMS'!G50</f>
        <v>44256</v>
      </c>
      <c r="H50" s="329">
        <f>'ALL ML SYSTEMS'!H50</f>
        <v>4256</v>
      </c>
      <c r="I50" s="323" t="str">
        <f>'ALL ML SYSTEMS'!I50</f>
        <v>Meta pseudo labels</v>
      </c>
      <c r="J50" s="334" t="str">
        <f>'ALL ML SYSTEMS'!J50</f>
        <v>https://arxiv.org/abs/2003.10580</v>
      </c>
      <c r="K50" s="335">
        <f>'ALL ML SYSTEMS'!K50</f>
        <v>393</v>
      </c>
      <c r="L50" s="323" t="str">
        <f>'ALL ML SYSTEMS'!L50</f>
        <v>SOTA Improvement</v>
      </c>
      <c r="M50" s="335" t="str">
        <f>'ALL ML SYSTEMS'!M50</f>
        <v>Yes</v>
      </c>
      <c r="N50" s="335">
        <f>'ALL ML SYSTEMS'!N50</f>
        <v>480000000</v>
      </c>
      <c r="O50" s="335">
        <f>'ALL ML SYSTEMS'!O50</f>
        <v>2.12e+23</v>
      </c>
      <c r="P50" s="336" t="str">
        <f>'ALL ML SYSTEMS'!P50</f>
        <v>ImageNet</v>
      </c>
      <c r="Q50" s="335">
        <f>'ALL ML SYSTEMS'!Q50</f>
        <v>130000000</v>
      </c>
      <c r="R50" s="323">
        <f>'ALL ML SYSTEMS'!R50</f>
        <v>0</v>
      </c>
      <c r="S50" s="335">
        <f>'ALL ML SYSTEMS'!S50</f>
        <v>0</v>
      </c>
      <c r="T50" s="323">
        <f>'ALL ML SYSTEMS'!T50</f>
        <v>0</v>
      </c>
      <c r="U50" s="323">
        <f>'ALL ML SYSTEMS'!U50</f>
        <v>0</v>
      </c>
      <c r="V50" s="323">
        <f>'ALL ML SYSTEMS'!V50</f>
        <v>0</v>
      </c>
      <c r="W50" s="323">
        <f>'ALL ML SYSTEMS'!W50</f>
        <v>0</v>
      </c>
      <c r="X50" s="323">
        <f>'ALL ML SYSTEMS'!X50</f>
        <v>0</v>
      </c>
      <c r="Y50" s="323">
        <f>'ALL ML SYSTEMS'!Y50</f>
        <v>0</v>
      </c>
      <c r="Z50" s="323">
        <f>'ALL ML SYSTEMS'!Z50</f>
        <v>0</v>
      </c>
      <c r="AA50" s="340">
        <f>'ALL ML SYSTEMS'!AA50</f>
        <v>369462.818207485</v>
      </c>
      <c r="AB50" s="323" t="str">
        <f>'ALL ML SYSTEMS'!AB50</f>
        <v>Yes</v>
      </c>
      <c r="AC50" s="323">
        <f>'ALL ML SYSTEMS'!AC50</f>
        <v>0</v>
      </c>
      <c r="AD50" s="323" t="str">
        <f>'ALL ML SYSTEMS'!AD50</f>
        <v>Industry</v>
      </c>
    </row>
    <row r="51" hidden="1" customHeight="1" spans="1:30">
      <c r="A51" s="325" t="str">
        <f>'ALL ML SYSTEMS'!A51</f>
        <v>Switch</v>
      </c>
      <c r="B51" s="325" t="str">
        <f>'ALL ML SYSTEMS'!B51</f>
        <v>Language</v>
      </c>
      <c r="C51" s="325" t="str">
        <f>'ALL ML SYSTEMS'!C51</f>
        <v>Text autocompletion</v>
      </c>
      <c r="D51" s="325" t="str">
        <f>'ALL ML SYSTEMS'!D51</f>
        <v>Google Brain</v>
      </c>
      <c r="E51" s="325" t="str">
        <f>'ALL ML SYSTEMS'!E51</f>
        <v>Industry</v>
      </c>
      <c r="F51" s="325" t="str">
        <f>'ALL ML SYSTEMS'!F51</f>
        <v>William Fedus, Barret Zoph, Noam Shazeer</v>
      </c>
      <c r="G51" s="326">
        <f>'ALL ML SYSTEMS'!G51</f>
        <v>44207</v>
      </c>
      <c r="H51" s="327">
        <f>'ALL ML SYSTEMS'!H51</f>
        <v>4207</v>
      </c>
      <c r="I51" s="325" t="str">
        <f>'ALL ML SYSTEMS'!I51</f>
        <v>Switch Transformers: Scaling to Trillion Parameter Models with Simple and Efficient Sparsity</v>
      </c>
      <c r="J51" s="337" t="str">
        <f>'ALL ML SYSTEMS'!J51</f>
        <v>https://arxiv.org/abs/2101.03961</v>
      </c>
      <c r="K51" s="338">
        <f>'ALL ML SYSTEMS'!K51</f>
        <v>511</v>
      </c>
      <c r="L51" s="325">
        <f>'ALL ML SYSTEMS'!L51</f>
        <v>0</v>
      </c>
      <c r="M51" s="338" t="str">
        <f>'ALL ML SYSTEMS'!M51</f>
        <v>No</v>
      </c>
      <c r="N51" s="338">
        <f>'ALL ML SYSTEMS'!N51</f>
        <v>1600000000000</v>
      </c>
      <c r="O51" s="338">
        <f>'ALL ML SYSTEMS'!O51</f>
        <v>8.22e+22</v>
      </c>
      <c r="P51" s="339">
        <f>'ALL ML SYSTEMS'!P51</f>
        <v>0</v>
      </c>
      <c r="Q51" s="338">
        <f>'ALL ML SYSTEMS'!Q51</f>
        <v>432000000000</v>
      </c>
      <c r="R51" s="325">
        <f>'ALL ML SYSTEMS'!R51</f>
        <v>0</v>
      </c>
      <c r="S51" s="338">
        <f>'ALL ML SYSTEMS'!S51</f>
        <v>0</v>
      </c>
      <c r="T51" s="325">
        <f>'ALL ML SYSTEMS'!T51</f>
        <v>0</v>
      </c>
      <c r="U51" s="325">
        <f>'ALL ML SYSTEMS'!U51</f>
        <v>0</v>
      </c>
      <c r="V51" s="325">
        <f>'ALL ML SYSTEMS'!V51</f>
        <v>0</v>
      </c>
      <c r="W51" s="325">
        <f>'ALL ML SYSTEMS'!W51</f>
        <v>0</v>
      </c>
      <c r="X51" s="325">
        <f>'ALL ML SYSTEMS'!X51</f>
        <v>0</v>
      </c>
      <c r="Y51" s="325">
        <f>'ALL ML SYSTEMS'!Y51</f>
        <v>0</v>
      </c>
      <c r="Z51" s="325">
        <f>'ALL ML SYSTEMS'!Z51</f>
        <v>0</v>
      </c>
      <c r="AA51" s="341">
        <f>'ALL ML SYSTEMS'!AA51</f>
        <v>149825.603595328</v>
      </c>
      <c r="AB51" s="325"/>
      <c r="AC51" s="325" t="str">
        <f>'ALL ML SYSTEMS'!AB51</f>
        <v>Yes</v>
      </c>
      <c r="AD51" s="325" t="str">
        <f>'ALL ML SYSTEMS'!AC51</f>
        <v>Switch Transformer</v>
      </c>
    </row>
    <row r="52" hidden="1" customHeight="1" spans="1:30">
      <c r="A52" s="323" t="str">
        <f>'ALL ML SYSTEMS'!A52</f>
        <v>GOAT</v>
      </c>
      <c r="B52" s="323" t="str">
        <f>'ALL ML SYSTEMS'!B52</f>
        <v>Games</v>
      </c>
      <c r="C52" s="323" t="str">
        <f>'ALL ML SYSTEMS'!C52</f>
        <v>Open ended play</v>
      </c>
      <c r="D52" s="323" t="str">
        <f>'ALL ML SYSTEMS'!D52</f>
        <v>DeepMind</v>
      </c>
      <c r="E52" s="323" t="str">
        <f>'ALL ML SYSTEMS'!E52</f>
        <v>Industry</v>
      </c>
      <c r="F52" s="323" t="str">
        <f>'ALL ML SYSTEMS'!F52</f>
        <v>Open- Ended Learning Team</v>
      </c>
      <c r="G52" s="324">
        <f>'ALL ML SYSTEMS'!G52</f>
        <v>44404</v>
      </c>
      <c r="H52" s="329">
        <f>'ALL ML SYSTEMS'!H52</f>
        <v>4404</v>
      </c>
      <c r="I52" s="323" t="str">
        <f>'ALL ML SYSTEMS'!I52</f>
        <v>Open-Ended Learning Leads to Generally Capable Agents</v>
      </c>
      <c r="J52" s="334" t="str">
        <f>'ALL ML SYSTEMS'!J52</f>
        <v>https://deepmind.com/blog/article/generally-capable-agents-emerge-from-open-ended-play</v>
      </c>
      <c r="K52" s="335">
        <f>'ALL ML SYSTEMS'!K52</f>
        <v>64</v>
      </c>
      <c r="L52" s="323">
        <f>'ALL ML SYSTEMS'!L52</f>
        <v>0</v>
      </c>
      <c r="M52" s="335" t="str">
        <f>'ALL ML SYSTEMS'!M52</f>
        <v>No</v>
      </c>
      <c r="N52" s="335">
        <f>'ALL ML SYSTEMS'!N52</f>
        <v>3500000</v>
      </c>
      <c r="O52" s="335">
        <f>'ALL ML SYSTEMS'!O52</f>
        <v>7.8e+22</v>
      </c>
      <c r="P52" s="336" t="str">
        <f>'ALL ML SYSTEMS'!P52</f>
        <v>XLand</v>
      </c>
      <c r="Q52" s="335">
        <f>'ALL ML SYSTEMS'!Q52</f>
        <v>390000000000</v>
      </c>
      <c r="R52" s="323">
        <f>'ALL ML SYSTEMS'!R52</f>
        <v>0</v>
      </c>
      <c r="S52" s="335">
        <f>'ALL ML SYSTEMS'!S52</f>
        <v>0</v>
      </c>
      <c r="T52" s="323">
        <f>'ALL ML SYSTEMS'!T52</f>
        <v>0</v>
      </c>
      <c r="U52" s="323">
        <f>'ALL ML SYSTEMS'!U52</f>
        <v>0</v>
      </c>
      <c r="V52" s="323">
        <f>'ALL ML SYSTEMS'!V52</f>
        <v>0</v>
      </c>
      <c r="W52" s="323">
        <f>'ALL ML SYSTEMS'!W52</f>
        <v>0</v>
      </c>
      <c r="X52" s="323">
        <f>'ALL ML SYSTEMS'!X52</f>
        <v>0</v>
      </c>
      <c r="Y52" s="323">
        <f>'ALL ML SYSTEMS'!Y52</f>
        <v>0</v>
      </c>
      <c r="Z52" s="323">
        <f>'ALL ML SYSTEMS'!Z52</f>
        <v>0</v>
      </c>
      <c r="AA52" s="340">
        <f>'ALL ML SYSTEMS'!AA52</f>
        <v>122418.966962561</v>
      </c>
      <c r="AB52" s="323"/>
      <c r="AC52" s="323" t="str">
        <f>'ALL ML SYSTEMS'!AB52</f>
        <v>Yes</v>
      </c>
      <c r="AD52" s="323">
        <f>'ALL ML SYSTEMS'!AC52</f>
        <v>0</v>
      </c>
    </row>
    <row r="53" hidden="1" customHeight="1" spans="1:30">
      <c r="A53" s="325" t="str">
        <f>'ALL ML SYSTEMS'!A53</f>
        <v>ProtT5-XXL</v>
      </c>
      <c r="B53" s="325" t="str">
        <f>'ALL ML SYSTEMS'!B53</f>
        <v>Other</v>
      </c>
      <c r="C53" s="325" t="str">
        <f>'ALL ML SYSTEMS'!C53</f>
        <v>Proteins</v>
      </c>
      <c r="D53" s="325" t="str">
        <f>'ALL ML SYSTEMS'!D53</f>
        <v>Technical University of Munich, Med AI Technology, Google AI, NVIDIA, Oak Ridge National Laboratory</v>
      </c>
      <c r="E53" s="325" t="str">
        <f>'ALL ML SYSTEMS'!E53</f>
        <v>Industry - Academia Collaboration</v>
      </c>
      <c r="F53" s="325" t="str">
        <f>'ALL ML SYSTEMS'!F53</f>
        <v>A Elnaggar, M Heinzinger, C Dallago, G Rihawi</v>
      </c>
      <c r="G53" s="326">
        <f>'ALL ML SYSTEMS'!G53</f>
        <v>44320</v>
      </c>
      <c r="H53" s="327">
        <f>'ALL ML SYSTEMS'!H53</f>
        <v>4320</v>
      </c>
      <c r="I53" s="325" t="str">
        <f>'ALL ML SYSTEMS'!I53</f>
        <v>ProtTrans: Towards Cracking the Language of Life’s Code Through Self-Supervised Learning</v>
      </c>
      <c r="J53" s="337" t="str">
        <f>'ALL ML SYSTEMS'!J53</f>
        <v>https://www.biorxiv.org/content/10.1101/2020.07.12.199554v3</v>
      </c>
      <c r="K53" s="338">
        <f>'ALL ML SYSTEMS'!K53</f>
        <v>396</v>
      </c>
      <c r="L53" s="325">
        <f>'ALL ML SYSTEMS'!L53</f>
        <v>0</v>
      </c>
      <c r="M53" s="338" t="str">
        <f>'ALL ML SYSTEMS'!M53</f>
        <v>No</v>
      </c>
      <c r="N53" s="338">
        <f>'ALL ML SYSTEMS'!N53</f>
        <v>11000000000</v>
      </c>
      <c r="O53" s="338">
        <f>'ALL ML SYSTEMS'!O53</f>
        <v>7.37e+22</v>
      </c>
      <c r="P53" s="339" t="str">
        <f>'ALL ML SYSTEMS'!P53</f>
        <v>UniRef; BDF</v>
      </c>
      <c r="Q53" s="338">
        <f>'ALL ML SYSTEMS'!Q53</f>
        <v>393000000000</v>
      </c>
      <c r="R53" s="325">
        <f>'ALL ML SYSTEMS'!R53</f>
        <v>0</v>
      </c>
      <c r="S53" s="338">
        <f>'ALL ML SYSTEMS'!S53</f>
        <v>0</v>
      </c>
      <c r="T53" s="325">
        <f>'ALL ML SYSTEMS'!T53</f>
        <v>0</v>
      </c>
      <c r="U53" s="325">
        <f>'ALL ML SYSTEMS'!U53</f>
        <v>0</v>
      </c>
      <c r="V53" s="325">
        <f>'ALL ML SYSTEMS'!V53</f>
        <v>0</v>
      </c>
      <c r="W53" s="325">
        <f>'ALL ML SYSTEMS'!W53</f>
        <v>0</v>
      </c>
      <c r="X53" s="325">
        <f>'ALL ML SYSTEMS'!X53</f>
        <v>0</v>
      </c>
      <c r="Y53" s="325">
        <f>'ALL ML SYSTEMS'!Y53</f>
        <v>0</v>
      </c>
      <c r="Z53" s="325">
        <f>'ALL ML SYSTEMS'!Z53</f>
        <v>0</v>
      </c>
      <c r="AA53" s="341">
        <f>'ALL ML SYSTEMS'!AA53</f>
        <v>123918.362790999</v>
      </c>
      <c r="AB53" s="325"/>
      <c r="AC53" s="325" t="str">
        <f>'ALL ML SYSTEMS'!AB53</f>
        <v>Yes</v>
      </c>
      <c r="AD53" s="325">
        <f>'ALL ML SYSTEMS'!AC53</f>
        <v>0</v>
      </c>
    </row>
    <row r="54" hidden="1" customHeight="1" spans="1:30">
      <c r="A54" s="323" t="str">
        <f>'ALL ML SYSTEMS'!A54</f>
        <v>HyperClova</v>
      </c>
      <c r="B54" s="323" t="str">
        <f>'ALL ML SYSTEMS'!B54</f>
        <v>Language</v>
      </c>
      <c r="C54" s="323">
        <f>'ALL ML SYSTEMS'!C54</f>
        <v>0</v>
      </c>
      <c r="D54" s="323" t="str">
        <f>'ALL ML SYSTEMS'!D54</f>
        <v>Naver Corp</v>
      </c>
      <c r="E54" s="323" t="str">
        <f>'ALL ML SYSTEMS'!E54</f>
        <v>Industry</v>
      </c>
      <c r="F54" s="323">
        <f>'ALL ML SYSTEMS'!F54</f>
        <v>0</v>
      </c>
      <c r="G54" s="324">
        <f>'ALL ML SYSTEMS'!G54</f>
        <v>44341</v>
      </c>
      <c r="H54" s="329">
        <f>'ALL ML SYSTEMS'!H54</f>
        <v>4341</v>
      </c>
      <c r="I54" s="323" t="str">
        <f>'ALL ML SYSTEMS'!I54</f>
        <v>Hyperclova</v>
      </c>
      <c r="J54" s="334" t="str">
        <f>'ALL ML SYSTEMS'!J54</f>
        <v>https://www.navercorp.com/promotion/pressReleasesView/30546</v>
      </c>
      <c r="K54" s="335">
        <f>'ALL ML SYSTEMS'!K54</f>
        <v>0</v>
      </c>
      <c r="L54" s="323">
        <f>'ALL ML SYSTEMS'!L54</f>
        <v>0</v>
      </c>
      <c r="M54" s="335" t="str">
        <f>'ALL ML SYSTEMS'!M54</f>
        <v>No</v>
      </c>
      <c r="N54" s="335">
        <f>'ALL ML SYSTEMS'!N54</f>
        <v>204000000000</v>
      </c>
      <c r="O54" s="335">
        <f>'ALL ML SYSTEMS'!O54</f>
        <v>6.3e+22</v>
      </c>
      <c r="P54" s="336">
        <f>'ALL ML SYSTEMS'!P54</f>
        <v>0</v>
      </c>
      <c r="Q54" s="335">
        <f>'ALL ML SYSTEMS'!Q54</f>
        <v>560000000000</v>
      </c>
      <c r="R54" s="323">
        <f>'ALL ML SYSTEMS'!R54</f>
        <v>0</v>
      </c>
      <c r="S54" s="335">
        <f>'ALL ML SYSTEMS'!S54</f>
        <v>0</v>
      </c>
      <c r="T54" s="323">
        <f>'ALL ML SYSTEMS'!T54</f>
        <v>0</v>
      </c>
      <c r="U54" s="323">
        <f>'ALL ML SYSTEMS'!U54</f>
        <v>0</v>
      </c>
      <c r="V54" s="323">
        <f>'ALL ML SYSTEMS'!V54</f>
        <v>0</v>
      </c>
      <c r="W54" s="323">
        <f>'ALL ML SYSTEMS'!W54</f>
        <v>0</v>
      </c>
      <c r="X54" s="323">
        <f>'ALL ML SYSTEMS'!X54</f>
        <v>0</v>
      </c>
      <c r="Y54" s="323">
        <f>'ALL ML SYSTEMS'!Y54</f>
        <v>0</v>
      </c>
      <c r="Z54" s="323">
        <f>'ALL ML SYSTEMS'!Z54</f>
        <v>0</v>
      </c>
      <c r="AA54" s="340">
        <f>'ALL ML SYSTEMS'!AA54</f>
        <v>103802.314398667</v>
      </c>
      <c r="AB54" s="323"/>
      <c r="AC54" s="323" t="str">
        <f>'ALL ML SYSTEMS'!AB54</f>
        <v>Yes</v>
      </c>
      <c r="AD54" s="323">
        <f>'ALL ML SYSTEMS'!AC54</f>
        <v>0</v>
      </c>
    </row>
    <row r="55" hidden="1" customHeight="1" spans="1:30">
      <c r="A55" s="325" t="str">
        <f>'ALL ML SYSTEMS'!A55</f>
        <v>PanGu-α</v>
      </c>
      <c r="B55" s="325" t="str">
        <f>'ALL ML SYSTEMS'!B55</f>
        <v>Language</v>
      </c>
      <c r="C55" s="325">
        <f>'ALL ML SYSTEMS'!C55</f>
        <v>0</v>
      </c>
      <c r="D55" s="325" t="str">
        <f>'ALL ML SYSTEMS'!D55</f>
        <v>PanGu-α team</v>
      </c>
      <c r="E55" s="325" t="str">
        <f>'ALL ML SYSTEMS'!E55</f>
        <v>Industry</v>
      </c>
      <c r="F55" s="325" t="str">
        <f>'ALL ML SYSTEMS'!F55</f>
        <v>Wei Zeng, Xiaozhe Ren, Teng Su, Hui Wang, Yi LiaoZhiwei WangXin JiangZhenzhang YangKaisheng WangXiaoda ZhangChen LiZiyan GongYifan YaoXinjing HuangJun WangJianfeng YuQi GuoYue YuYan ZhangJin WangHengtao TaoDasen YanZexuan YiFang PengFangqing JiangHan ZhangLingfeng DengYehong ZhangZhe LinChao ZhangShaojie ZhangMingyue GuoShanzhi GuGaojun FanYaowei WangXuefeng JinQun LiuYonghong Tian</v>
      </c>
      <c r="G55" s="326">
        <f>'ALL ML SYSTEMS'!G55</f>
        <v>44311</v>
      </c>
      <c r="H55" s="327">
        <f>'ALL ML SYSTEMS'!H55</f>
        <v>4311</v>
      </c>
      <c r="I55" s="325" t="str">
        <f>'ALL ML SYSTEMS'!I55</f>
        <v>PanGu-α: Large-scale Autoregressive Pretrained Chinese Language Models with Auto-parallel Computation</v>
      </c>
      <c r="J55" s="337" t="str">
        <f>'ALL ML SYSTEMS'!J55</f>
        <v>https://arxiv.org/abs/2104.12369</v>
      </c>
      <c r="K55" s="338">
        <f>'ALL ML SYSTEMS'!K55</f>
        <v>65</v>
      </c>
      <c r="L55" s="325">
        <f>'ALL ML SYSTEMS'!L55</f>
        <v>0</v>
      </c>
      <c r="M55" s="338" t="str">
        <f>'ALL ML SYSTEMS'!M55</f>
        <v>No</v>
      </c>
      <c r="N55" s="338">
        <f>'ALL ML SYSTEMS'!N55</f>
        <v>207000000000</v>
      </c>
      <c r="O55" s="338">
        <f>'ALL ML SYSTEMS'!O55</f>
        <v>5.83e+22</v>
      </c>
      <c r="P55" s="339" t="str">
        <f>'ALL ML SYSTEMS'!P55</f>
        <v>Custom dataset</v>
      </c>
      <c r="Q55" s="338">
        <f>'ALL ML SYSTEMS'!Q55</f>
        <v>200000000000</v>
      </c>
      <c r="R55" s="325">
        <f>'ALL ML SYSTEMS'!R55</f>
        <v>0</v>
      </c>
      <c r="S55" s="338">
        <f>'ALL ML SYSTEMS'!S55</f>
        <v>0</v>
      </c>
      <c r="T55" s="325">
        <f>'ALL ML SYSTEMS'!T55</f>
        <v>0</v>
      </c>
      <c r="U55" s="325">
        <f>'ALL ML SYSTEMS'!U55</f>
        <v>0</v>
      </c>
      <c r="V55" s="325">
        <f>'ALL ML SYSTEMS'!V55</f>
        <v>0</v>
      </c>
      <c r="W55" s="325">
        <f>'ALL ML SYSTEMS'!W55</f>
        <v>0</v>
      </c>
      <c r="X55" s="325">
        <f>'ALL ML SYSTEMS'!X55</f>
        <v>0</v>
      </c>
      <c r="Y55" s="325">
        <f>'ALL ML SYSTEMS'!Y55</f>
        <v>0</v>
      </c>
      <c r="Z55" s="325">
        <f>'ALL ML SYSTEMS'!Z55</f>
        <v>0</v>
      </c>
      <c r="AA55" s="341">
        <f>'ALL ML SYSTEMS'!AA55</f>
        <v>97802.0583215743</v>
      </c>
      <c r="AB55" s="325"/>
      <c r="AC55" s="325" t="str">
        <f>'ALL ML SYSTEMS'!AB55</f>
        <v>Yes</v>
      </c>
      <c r="AD55" s="325" t="str">
        <f>'ALL ML SYSTEMS'!AC55</f>
        <v>unidirectional transformer decoder</v>
      </c>
    </row>
    <row r="56" hidden="1" customHeight="1" spans="1:30">
      <c r="A56" s="323" t="str">
        <f>'ALL ML SYSTEMS'!A56</f>
        <v>FLAN</v>
      </c>
      <c r="B56" s="323" t="str">
        <f>'ALL ML SYSTEMS'!B56</f>
        <v>Language</v>
      </c>
      <c r="C56" s="323" t="str">
        <f>'ALL ML SYSTEMS'!C56</f>
        <v>Language modelling</v>
      </c>
      <c r="D56" s="323" t="str">
        <f>'ALL ML SYSTEMS'!D56</f>
        <v>Google Research</v>
      </c>
      <c r="E56" s="323" t="str">
        <f>'ALL ML SYSTEMS'!E56</f>
        <v>Industry</v>
      </c>
      <c r="F56" s="323" t="str">
        <f>'ALL ML SYSTEMS'!F56</f>
        <v>Jason Wei, Maarten Bosma, Vincent Y. Zhao, Kelvin Guu, Adams Wei Yu, Brian Lester, Nan Du, Andrew M. Dai, and Quoc V. Le</v>
      </c>
      <c r="G56" s="330">
        <f>'ALL ML SYSTEMS'!G56</f>
        <v>44264</v>
      </c>
      <c r="H56" s="323">
        <f>'ALL ML SYSTEMS'!H56</f>
        <v>2021</v>
      </c>
      <c r="I56" s="323" t="str">
        <f>'ALL ML SYSTEMS'!I56</f>
        <v>FINETUNED LANGUAGE MODELS ARE ZERO-SHOT LEARNERS</v>
      </c>
      <c r="J56" s="334" t="str">
        <f>'ALL ML SYSTEMS'!J56</f>
        <v>https://arxiv.org/pdf/2109.01652.pdf</v>
      </c>
      <c r="K56" s="335">
        <f>'ALL ML SYSTEMS'!K56</f>
        <v>240</v>
      </c>
      <c r="L56" s="323">
        <f>'ALL ML SYSTEMS'!L56</f>
        <v>0</v>
      </c>
      <c r="M56" s="335" t="str">
        <f>'ALL ML SYSTEMS'!M56</f>
        <v>No</v>
      </c>
      <c r="N56" s="335">
        <f>'ALL ML SYSTEMS'!N56</f>
        <v>137000000000</v>
      </c>
      <c r="O56" s="335">
        <f>'ALL ML SYSTEMS'!O56</f>
        <v>4.896e+22</v>
      </c>
      <c r="P56" s="336">
        <f>'ALL ML SYSTEMS'!P56</f>
        <v>0</v>
      </c>
      <c r="Q56" s="335">
        <f>'ALL ML SYSTEMS'!Q56</f>
        <v>1870000000000</v>
      </c>
      <c r="R56" s="323">
        <f>'ALL ML SYSTEMS'!R56</f>
        <v>0</v>
      </c>
      <c r="S56" s="323">
        <f>'ALL ML SYSTEMS'!S56</f>
        <v>0</v>
      </c>
      <c r="T56" s="323">
        <f>'ALL ML SYSTEMS'!T56</f>
        <v>0</v>
      </c>
      <c r="U56" s="323">
        <f>'ALL ML SYSTEMS'!U56</f>
        <v>0</v>
      </c>
      <c r="V56" s="323">
        <f>'ALL ML SYSTEMS'!V56</f>
        <v>0</v>
      </c>
      <c r="W56" s="323">
        <f>'ALL ML SYSTEMS'!W56</f>
        <v>0</v>
      </c>
      <c r="X56" s="323">
        <f>'ALL ML SYSTEMS'!X56</f>
        <v>0</v>
      </c>
      <c r="Y56" s="323">
        <f>'ALL ML SYSTEMS'!Y56</f>
        <v>0</v>
      </c>
      <c r="Z56" s="323">
        <f>'ALL ML SYSTEMS'!Z56</f>
        <v>0</v>
      </c>
      <c r="AA56" s="340" t="str">
        <f>'ALL ML SYSTEMS'!AA56</f>
        <v/>
      </c>
      <c r="AB56" s="323"/>
      <c r="AC56" s="323">
        <f>'ALL ML SYSTEMS'!AB56</f>
        <v>0</v>
      </c>
      <c r="AD56" s="323">
        <f>'ALL ML SYSTEMS'!AC56</f>
        <v>0</v>
      </c>
    </row>
    <row r="57" customHeight="1" spans="1:30">
      <c r="A57" s="325" t="str">
        <f>'ALL ML SYSTEMS'!A57</f>
        <v>DALL-E</v>
      </c>
      <c r="B57" s="325" t="str">
        <f>'ALL ML SYSTEMS'!B57</f>
        <v>Drawing</v>
      </c>
      <c r="C57" s="325" t="str">
        <f>'ALL ML SYSTEMS'!C57</f>
        <v>Text-to-image</v>
      </c>
      <c r="D57" s="325" t="str">
        <f>'ALL ML SYSTEMS'!D57</f>
        <v>OpenAI</v>
      </c>
      <c r="E57" s="325" t="str">
        <f>'ALL ML SYSTEMS'!E57</f>
        <v>Industry</v>
      </c>
      <c r="F57" s="325" t="str">
        <f>'ALL ML SYSTEMS'!F57</f>
        <v>Aditya Ramesh, Mikhail Pavlov, Gabriel Goh, Scott Gray, Chelsea Voss, Alec Radford, Mark Chen, Ilya Sutskever</v>
      </c>
      <c r="G57" s="326">
        <f>'ALL ML SYSTEMS'!G57</f>
        <v>44201</v>
      </c>
      <c r="H57" s="327">
        <f>'ALL ML SYSTEMS'!H57</f>
        <v>4201</v>
      </c>
      <c r="I57" s="325" t="str">
        <f>'ALL ML SYSTEMS'!I57</f>
        <v>Zero-Shot Text-to-Image Generation</v>
      </c>
      <c r="J57" s="337" t="str">
        <f>'ALL ML SYSTEMS'!J57</f>
        <v>https://openai.com/blog/dall-e/</v>
      </c>
      <c r="K57" s="338">
        <f>'ALL ML SYSTEMS'!K57</f>
        <v>982</v>
      </c>
      <c r="L57" s="325" t="str">
        <f>'ALL ML SYSTEMS'!L57</f>
        <v>Significant use</v>
      </c>
      <c r="M57" s="338" t="str">
        <f>'ALL ML SYSTEMS'!M57</f>
        <v>Yes</v>
      </c>
      <c r="N57" s="338">
        <f>'ALL ML SYSTEMS'!N57</f>
        <v>12000000000</v>
      </c>
      <c r="O57" s="338">
        <f>'ALL ML SYSTEMS'!O57</f>
        <v>4.7e+22</v>
      </c>
      <c r="P57" s="339">
        <f>'ALL ML SYSTEMS'!P57</f>
        <v>0</v>
      </c>
      <c r="Q57" s="338">
        <f>'ALL ML SYSTEMS'!Q57</f>
        <v>250000000</v>
      </c>
      <c r="R57" s="325">
        <f>'ALL ML SYSTEMS'!R57</f>
        <v>0</v>
      </c>
      <c r="S57" s="338">
        <f>'ALL ML SYSTEMS'!S57</f>
        <v>0</v>
      </c>
      <c r="T57" s="325">
        <f>'ALL ML SYSTEMS'!T57</f>
        <v>0</v>
      </c>
      <c r="U57" s="325">
        <f>'ALL ML SYSTEMS'!U57</f>
        <v>0</v>
      </c>
      <c r="V57" s="325">
        <f>'ALL ML SYSTEMS'!V57</f>
        <v>0</v>
      </c>
      <c r="W57" s="325">
        <f>'ALL ML SYSTEMS'!W57</f>
        <v>0</v>
      </c>
      <c r="X57" s="325">
        <f>'ALL ML SYSTEMS'!X57</f>
        <v>0</v>
      </c>
      <c r="Y57" s="325">
        <f>'ALL ML SYSTEMS'!Y57</f>
        <v>0</v>
      </c>
      <c r="Z57" s="325">
        <f>'ALL ML SYSTEMS'!Z57</f>
        <v>0</v>
      </c>
      <c r="AA57" s="341">
        <f>'ALL ML SYSTEMS'!AA57</f>
        <v>171537.131679011</v>
      </c>
      <c r="AB57" s="325" t="str">
        <f>'ALL ML SYSTEMS'!AB57</f>
        <v>Yes</v>
      </c>
      <c r="AC57" s="325">
        <f>'ALL ML SYSTEMS'!AC57</f>
        <v>0</v>
      </c>
      <c r="AD57" s="325" t="str">
        <f>'ALL ML SYSTEMS'!AD57</f>
        <v>Industry</v>
      </c>
    </row>
    <row r="58" customHeight="1" spans="1:30">
      <c r="A58" s="323" t="str">
        <f>'ALL ML SYSTEMS'!A58</f>
        <v>PLUG</v>
      </c>
      <c r="B58" s="323" t="str">
        <f>'ALL ML SYSTEMS'!B58</f>
        <v>Language</v>
      </c>
      <c r="C58" s="323">
        <f>'ALL ML SYSTEMS'!C58</f>
        <v>0</v>
      </c>
      <c r="D58" s="323" t="str">
        <f>'ALL ML SYSTEMS'!D58</f>
        <v>Alibaba Group</v>
      </c>
      <c r="E58" s="323" t="str">
        <f>'ALL ML SYSTEMS'!E58</f>
        <v>Industry</v>
      </c>
      <c r="F58" s="323">
        <f>'ALL ML SYSTEMS'!F58</f>
        <v>0</v>
      </c>
      <c r="G58" s="324">
        <f>'ALL ML SYSTEMS'!G58</f>
        <v>44305</v>
      </c>
      <c r="H58" s="329">
        <f>'ALL ML SYSTEMS'!H58</f>
        <v>4305</v>
      </c>
      <c r="I58" s="323">
        <f>'ALL ML SYSTEMS'!I58</f>
        <v>0</v>
      </c>
      <c r="J58" s="334" t="str">
        <f>'ALL ML SYSTEMS'!J58</f>
        <v>https://mp.weixin.qq.com/s/DAQomIkDa52Sef-ruyH5qg</v>
      </c>
      <c r="K58" s="335">
        <f>'ALL ML SYSTEMS'!K58</f>
        <v>0</v>
      </c>
      <c r="L58" s="323" t="str">
        <f>'ALL ML SYSTEMS'!L58</f>
        <v>SOTA Improvement</v>
      </c>
      <c r="M58" s="335" t="str">
        <f>'ALL ML SYSTEMS'!M58</f>
        <v>Yes</v>
      </c>
      <c r="N58" s="335">
        <f>'ALL ML SYSTEMS'!N58</f>
        <v>27000000000</v>
      </c>
      <c r="O58" s="335">
        <f>'ALL ML SYSTEMS'!O58</f>
        <v>3.5997696e+22</v>
      </c>
      <c r="P58" s="336">
        <f>'ALL ML SYSTEMS'!P58</f>
        <v>0</v>
      </c>
      <c r="Q58" s="335">
        <f>'ALL ML SYSTEMS'!Q58</f>
        <v>0</v>
      </c>
      <c r="R58" s="323">
        <f>'ALL ML SYSTEMS'!R58</f>
        <v>0</v>
      </c>
      <c r="S58" s="335">
        <f>'ALL ML SYSTEMS'!S58</f>
        <v>0</v>
      </c>
      <c r="T58" s="323">
        <f>'ALL ML SYSTEMS'!T58</f>
        <v>0</v>
      </c>
      <c r="U58" s="323">
        <f>'ALL ML SYSTEMS'!U58</f>
        <v>0</v>
      </c>
      <c r="V58" s="323">
        <f>'ALL ML SYSTEMS'!V58</f>
        <v>0</v>
      </c>
      <c r="W58" s="323">
        <f>'ALL ML SYSTEMS'!W58</f>
        <v>0</v>
      </c>
      <c r="X58" s="323">
        <f>'ALL ML SYSTEMS'!X58</f>
        <v>0</v>
      </c>
      <c r="Y58" s="323">
        <f>'ALL ML SYSTEMS'!Y58</f>
        <v>0</v>
      </c>
      <c r="Z58" s="323">
        <f>'ALL ML SYSTEMS'!Z58</f>
        <v>0</v>
      </c>
      <c r="AA58" s="340" t="str">
        <f>'ALL ML SYSTEMS'!AA58</f>
        <v/>
      </c>
      <c r="AB58" s="323">
        <f>'ALL ML SYSTEMS'!AB58</f>
        <v>0</v>
      </c>
      <c r="AC58" s="323">
        <f>'ALL ML SYSTEMS'!AC58</f>
        <v>0</v>
      </c>
      <c r="AD58" s="323">
        <f>'ALL ML SYSTEMS'!AD58</f>
        <v>0</v>
      </c>
    </row>
    <row r="59" hidden="1" customHeight="1" spans="1:30">
      <c r="A59" s="325" t="str">
        <f>'ALL ML SYSTEMS'!A59</f>
        <v>CogView</v>
      </c>
      <c r="B59" s="325" t="str">
        <f>'ALL ML SYSTEMS'!B59</f>
        <v>Drawing</v>
      </c>
      <c r="C59" s="325" t="str">
        <f>'ALL ML SYSTEMS'!C59</f>
        <v>Text-to-image</v>
      </c>
      <c r="D59" s="325" t="str">
        <f>'ALL ML SYSTEMS'!D59</f>
        <v>Tsinghua University, DAMO academy Alibaba</v>
      </c>
      <c r="E59" s="325" t="str">
        <f>'ALL ML SYSTEMS'!E59</f>
        <v>Industry - Academia Collaboration (Academia leaning)</v>
      </c>
      <c r="F59" s="325" t="str">
        <f>'ALL ML SYSTEMS'!F59</f>
        <v>M Ding, Z Yang, W Hong, W Zheng, C Zhou</v>
      </c>
      <c r="G59" s="326">
        <f>'ALL ML SYSTEMS'!G59</f>
        <v>44342</v>
      </c>
      <c r="H59" s="327">
        <f>'ALL ML SYSTEMS'!H59</f>
        <v>4342</v>
      </c>
      <c r="I59" s="325" t="str">
        <f>'ALL ML SYSTEMS'!I59</f>
        <v>CogView: Mastering Text-to-Image Generation via Transformers</v>
      </c>
      <c r="J59" s="337" t="str">
        <f>'ALL ML SYSTEMS'!J59</f>
        <v>https://arxiv.org/abs/2105.13290</v>
      </c>
      <c r="K59" s="338">
        <f>'ALL ML SYSTEMS'!K59</f>
        <v>141</v>
      </c>
      <c r="L59" s="325">
        <f>'ALL ML SYSTEMS'!L59</f>
        <v>0</v>
      </c>
      <c r="M59" s="338" t="str">
        <f>'ALL ML SYSTEMS'!M59</f>
        <v>No</v>
      </c>
      <c r="N59" s="338">
        <f>'ALL ML SYSTEMS'!N59</f>
        <v>4000000000</v>
      </c>
      <c r="O59" s="338">
        <f>'ALL ML SYSTEMS'!O59</f>
        <v>2.68e+22</v>
      </c>
      <c r="P59" s="339">
        <f>'ALL ML SYSTEMS'!P59</f>
        <v>0</v>
      </c>
      <c r="Q59" s="338">
        <f>'ALL ML SYSTEMS'!Q59</f>
        <v>30000000</v>
      </c>
      <c r="R59" s="325">
        <f>'ALL ML SYSTEMS'!R59</f>
        <v>0</v>
      </c>
      <c r="S59" s="338">
        <f>'ALL ML SYSTEMS'!S59</f>
        <v>0</v>
      </c>
      <c r="T59" s="325">
        <f>'ALL ML SYSTEMS'!T59</f>
        <v>0</v>
      </c>
      <c r="U59" s="325">
        <f>'ALL ML SYSTEMS'!U59</f>
        <v>0</v>
      </c>
      <c r="V59" s="325">
        <f>'ALL ML SYSTEMS'!V59</f>
        <v>0</v>
      </c>
      <c r="W59" s="325">
        <f>'ALL ML SYSTEMS'!W59</f>
        <v>0</v>
      </c>
      <c r="X59" s="325">
        <f>'ALL ML SYSTEMS'!X59</f>
        <v>0</v>
      </c>
      <c r="Y59" s="325">
        <f>'ALL ML SYSTEMS'!Y59</f>
        <v>0</v>
      </c>
      <c r="Z59" s="325">
        <f>'ALL ML SYSTEMS'!Z59</f>
        <v>0</v>
      </c>
      <c r="AA59" s="341">
        <f>'ALL ML SYSTEMS'!AA59</f>
        <v>44452.3918799278</v>
      </c>
      <c r="AB59" s="325"/>
      <c r="AC59" s="325" t="str">
        <f>'ALL ML SYSTEMS'!AB59</f>
        <v>Yes</v>
      </c>
      <c r="AD59" s="325">
        <f>'ALL ML SYSTEMS'!AC59</f>
        <v>0</v>
      </c>
    </row>
    <row r="60" hidden="1" customHeight="1" spans="1:30">
      <c r="A60" s="323" t="str">
        <f>'ALL ML SYSTEMS'!A60</f>
        <v>T0-XXL</v>
      </c>
      <c r="B60" s="323" t="str">
        <f>'ALL ML SYSTEMS'!B60</f>
        <v>Language</v>
      </c>
      <c r="C60" s="323" t="str">
        <f>'ALL ML SYSTEMS'!C60</f>
        <v>Language modelling</v>
      </c>
      <c r="D60" s="323" t="str">
        <f>'ALL ML SYSTEMS'!D60</f>
        <v>Hugging Face, Brown University</v>
      </c>
      <c r="E60" s="323" t="str">
        <f>'ALL ML SYSTEMS'!E60</f>
        <v>Industry - Academia collaboration</v>
      </c>
      <c r="F60" s="323" t="str">
        <f>'ALL ML SYSTEMS'!F60</f>
        <v>Victor Sanh, Albert Webson, Colin Raffel, Stephen H. Bach, Lintang Sutawika, Zaid Alyafeai, Antoine Chaffin, Arnaud Stiegler, Teven Le Scao,  Arun Raja, Manan Dey, M Saiful Bari, Canwen Xu, Urmish Thakker, Shanya Sharma, Eliza Szczechla, Taewoon Kim, Gunjan Chhablani, Nihal V. Nayak, Debajyoti Datta, Jonathan Chang, Mike Tian-Jian Jiang, Han Wang, Matteo Manica, Sheng Shen, Zheng-Xin Yong, Harshit Pandey, Michael McKenna, Rachel Bawden, Thomas Wang, Trishala Neeraj, Jos Rozen, Abheesht Sharma, Andrea Santilli, Thibault Fevry, Jason Alan Fries, Ryan Teehan, Tali Bers, Stella Biderman, Leo Gao, Thomas Wolf, Alexander M. Rush</v>
      </c>
      <c r="G60" s="324" t="str">
        <f>'ALL ML SYSTEMS'!G60</f>
        <v>15/10/2021</v>
      </c>
      <c r="H60" s="323">
        <f>'ALL ML SYSTEMS'!H60</f>
        <v>2021</v>
      </c>
      <c r="I60" s="323">
        <f>'ALL ML SYSTEMS'!I60</f>
        <v>0</v>
      </c>
      <c r="J60" s="334" t="str">
        <f>'ALL ML SYSTEMS'!J60</f>
        <v>https://arxiv.org/abs/2110.08207</v>
      </c>
      <c r="K60" s="335">
        <f>'ALL ML SYSTEMS'!K60</f>
        <v>0</v>
      </c>
      <c r="L60" s="323">
        <f>'ALL ML SYSTEMS'!L60</f>
        <v>0</v>
      </c>
      <c r="M60" s="335" t="str">
        <f>'ALL ML SYSTEMS'!M60</f>
        <v>No</v>
      </c>
      <c r="N60" s="335">
        <f>'ALL ML SYSTEMS'!N60</f>
        <v>11000000000</v>
      </c>
      <c r="O60" s="335">
        <f>'ALL ML SYSTEMS'!O60</f>
        <v>1.792e+22</v>
      </c>
      <c r="P60" s="336">
        <f>'ALL ML SYSTEMS'!P60</f>
        <v>0</v>
      </c>
      <c r="Q60" s="335">
        <f>'ALL ML SYSTEMS'!Q60</f>
        <v>0</v>
      </c>
      <c r="R60" s="323">
        <f>'ALL ML SYSTEMS'!R60</f>
        <v>0</v>
      </c>
      <c r="S60" s="323">
        <f>'ALL ML SYSTEMS'!S60</f>
        <v>0</v>
      </c>
      <c r="T60" s="323">
        <f>'ALL ML SYSTEMS'!T60</f>
        <v>0</v>
      </c>
      <c r="U60" s="323">
        <f>'ALL ML SYSTEMS'!U60</f>
        <v>0</v>
      </c>
      <c r="V60" s="323">
        <f>'ALL ML SYSTEMS'!V60</f>
        <v>0</v>
      </c>
      <c r="W60" s="323">
        <f>'ALL ML SYSTEMS'!W60</f>
        <v>0</v>
      </c>
      <c r="X60" s="323">
        <f>'ALL ML SYSTEMS'!X60</f>
        <v>0</v>
      </c>
      <c r="Y60" s="323">
        <f>'ALL ML SYSTEMS'!Y60</f>
        <v>0</v>
      </c>
      <c r="Z60" s="323">
        <f>'ALL ML SYSTEMS'!Z60</f>
        <v>0</v>
      </c>
      <c r="AA60" s="340" t="str">
        <f>'ALL ML SYSTEMS'!AA60</f>
        <v/>
      </c>
      <c r="AB60" s="323"/>
      <c r="AC60" s="323">
        <f>'ALL ML SYSTEMS'!AB60</f>
        <v>0</v>
      </c>
      <c r="AD60" s="323">
        <f>'ALL ML SYSTEMS'!AC60</f>
        <v>0</v>
      </c>
    </row>
    <row r="61" hidden="1" customHeight="1" spans="1:30">
      <c r="A61" s="325" t="str">
        <f>'ALL ML SYSTEMS'!A61</f>
        <v>GPT-J-6B</v>
      </c>
      <c r="B61" s="325" t="str">
        <f>'ALL ML SYSTEMS'!B61</f>
        <v>Language</v>
      </c>
      <c r="C61" s="325">
        <f>'ALL ML SYSTEMS'!C61</f>
        <v>0</v>
      </c>
      <c r="D61" s="325">
        <f>'ALL ML SYSTEMS'!D61</f>
        <v>0</v>
      </c>
      <c r="E61" s="325" t="str">
        <f>'ALL ML SYSTEMS'!E61</f>
        <v>Research collective</v>
      </c>
      <c r="F61" s="325" t="str">
        <f>'ALL ML SYSTEMS'!F61</f>
        <v>Aran Komatsuzaki</v>
      </c>
      <c r="G61" s="326">
        <f>'ALL ML SYSTEMS'!G61</f>
        <v>44317</v>
      </c>
      <c r="H61" s="327">
        <f>'ALL ML SYSTEMS'!H61</f>
        <v>4317</v>
      </c>
      <c r="I61" s="325" t="str">
        <f>'ALL ML SYSTEMS'!I61</f>
        <v>GPT-J-6B: 6B JAX-Based Transformer</v>
      </c>
      <c r="J61" s="337" t="str">
        <f>'ALL ML SYSTEMS'!J61</f>
        <v>https://arankomatsuzaki.wordpress.com/2021/06/04/gpt-j/</v>
      </c>
      <c r="K61" s="338">
        <f>'ALL ML SYSTEMS'!K61</f>
        <v>0</v>
      </c>
      <c r="L61" s="325">
        <f>'ALL ML SYSTEMS'!L61</f>
        <v>0</v>
      </c>
      <c r="M61" s="338" t="str">
        <f>'ALL ML SYSTEMS'!M61</f>
        <v>No</v>
      </c>
      <c r="N61" s="338">
        <f>'ALL ML SYSTEMS'!N61</f>
        <v>6053381344</v>
      </c>
      <c r="O61" s="338">
        <f>'ALL ML SYSTEMS'!O61</f>
        <v>1.5e+22</v>
      </c>
      <c r="P61" s="339">
        <f>'ALL ML SYSTEMS'!P61</f>
        <v>0</v>
      </c>
      <c r="Q61" s="338">
        <f>'ALL ML SYSTEMS'!Q61</f>
        <v>160000000000</v>
      </c>
      <c r="R61" s="325">
        <f>'ALL ML SYSTEMS'!R61</f>
        <v>0</v>
      </c>
      <c r="S61" s="338">
        <f>'ALL ML SYSTEMS'!S61</f>
        <v>0</v>
      </c>
      <c r="T61" s="325">
        <f>'ALL ML SYSTEMS'!T61</f>
        <v>0</v>
      </c>
      <c r="U61" s="325">
        <f>'ALL ML SYSTEMS'!U61</f>
        <v>0</v>
      </c>
      <c r="V61" s="325">
        <f>'ALL ML SYSTEMS'!V61</f>
        <v>0</v>
      </c>
      <c r="W61" s="325">
        <f>'ALL ML SYSTEMS'!W61</f>
        <v>0</v>
      </c>
      <c r="X61" s="325">
        <f>'ALL ML SYSTEMS'!X61</f>
        <v>0</v>
      </c>
      <c r="Y61" s="325">
        <f>'ALL ML SYSTEMS'!Y61</f>
        <v>0</v>
      </c>
      <c r="Z61" s="325">
        <f>'ALL ML SYSTEMS'!Z61</f>
        <v>0</v>
      </c>
      <c r="AA61" s="341">
        <f>'ALL ML SYSTEMS'!AA61</f>
        <v>25176.8016041484</v>
      </c>
      <c r="AB61" s="325"/>
      <c r="AC61" s="325" t="str">
        <f>'ALL ML SYSTEMS'!AB61</f>
        <v>Yes</v>
      </c>
      <c r="AD61" s="325">
        <f>'ALL ML SYSTEMS'!AC61</f>
        <v>0</v>
      </c>
    </row>
    <row r="62" customHeight="1" spans="1:30">
      <c r="A62" s="323" t="str">
        <f>'ALL ML SYSTEMS'!A62</f>
        <v>CLIP (ViT L/14@336px)</v>
      </c>
      <c r="B62" s="323" t="str">
        <f>'ALL ML SYSTEMS'!B62</f>
        <v>Multimodal</v>
      </c>
      <c r="C62" s="323" t="str">
        <f>'ALL ML SYSTEMS'!C62</f>
        <v>Zero-shot image classification</v>
      </c>
      <c r="D62" s="323" t="str">
        <f>'ALL ML SYSTEMS'!D62</f>
        <v>Open AI</v>
      </c>
      <c r="E62" s="323" t="str">
        <f>'ALL ML SYSTEMS'!E62</f>
        <v>Industry</v>
      </c>
      <c r="F62" s="323" t="str">
        <f>'ALL ML SYSTEMS'!F62</f>
        <v>Alec Radford, Jong Wook Kim, Chris Hallacy, Aditya Ramesh, Gabriel Goh, Sandhini Agarwal, Girish Sastry, Amanda Askell, Pamela Mishkin, Jack Clark, Gretchen Krueger, Ilya Sutskever</v>
      </c>
      <c r="G62" s="324">
        <f>'ALL ML SYSTEMS'!G62</f>
        <v>44201</v>
      </c>
      <c r="H62" s="329">
        <f>'ALL ML SYSTEMS'!H62</f>
        <v>4201</v>
      </c>
      <c r="I62" s="323" t="str">
        <f>'ALL ML SYSTEMS'!I62</f>
        <v>Learning Transferable Visual Models From Natural Language Supervision</v>
      </c>
      <c r="J62" s="334" t="str">
        <f>'ALL ML SYSTEMS'!J62</f>
        <v>https://arxiv.org/abs/2103.00020</v>
      </c>
      <c r="K62" s="335">
        <f>'ALL ML SYSTEMS'!K62</f>
        <v>2924</v>
      </c>
      <c r="L62" s="323">
        <f>'ALL ML SYSTEMS'!L62</f>
        <v>0</v>
      </c>
      <c r="M62" s="335" t="str">
        <f>'ALL ML SYSTEMS'!M62</f>
        <v>Yes</v>
      </c>
      <c r="N62" s="335">
        <f>'ALL ML SYSTEMS'!N62</f>
        <v>370000000</v>
      </c>
      <c r="O62" s="335">
        <f>'ALL ML SYSTEMS'!O62</f>
        <v>1.05e+22</v>
      </c>
      <c r="P62" s="336" t="str">
        <f>'ALL ML SYSTEMS'!P62</f>
        <v>Custom image-text pairs from the internet</v>
      </c>
      <c r="Q62" s="335">
        <f>'ALL ML SYSTEMS'!Q62</f>
        <v>400000000</v>
      </c>
      <c r="R62" s="323">
        <f>'ALL ML SYSTEMS'!R62</f>
        <v>0</v>
      </c>
      <c r="S62" s="335">
        <f>'ALL ML SYSTEMS'!S62</f>
        <v>110000000</v>
      </c>
      <c r="T62" s="323">
        <f>'ALL ML SYSTEMS'!T62</f>
        <v>0</v>
      </c>
      <c r="U62" s="323">
        <f>'ALL ML SYSTEMS'!U62</f>
        <v>86016</v>
      </c>
      <c r="V62" s="323">
        <f>'ALL ML SYSTEMS'!V62</f>
        <v>0</v>
      </c>
      <c r="W62" s="323">
        <f>'ALL ML SYSTEMS'!W62</f>
        <v>0</v>
      </c>
      <c r="X62" s="323">
        <f>'ALL ML SYSTEMS'!X62</f>
        <v>0</v>
      </c>
      <c r="Y62" s="323">
        <f>'ALL ML SYSTEMS'!Y62</f>
        <v>0</v>
      </c>
      <c r="Z62" s="323">
        <f>'ALL ML SYSTEMS'!Z62</f>
        <v>0</v>
      </c>
      <c r="AA62" s="340">
        <f>'ALL ML SYSTEMS'!AA62</f>
        <v>40146.9882653005</v>
      </c>
      <c r="AB62" s="323" t="str">
        <f>'ALL ML SYSTEMS'!AB62</f>
        <v>Yes</v>
      </c>
      <c r="AC62" s="323">
        <f>'ALL ML SYSTEMS'!AC62</f>
        <v>0</v>
      </c>
      <c r="AD62" s="323" t="str">
        <f>'ALL ML SYSTEMS'!AD62</f>
        <v>Industry</v>
      </c>
    </row>
    <row r="63" hidden="1" customHeight="1" spans="1:30">
      <c r="A63" s="325" t="str">
        <f>'ALL ML SYSTEMS'!A63</f>
        <v>GPT-Neo</v>
      </c>
      <c r="B63" s="325" t="str">
        <f>'ALL ML SYSTEMS'!B63</f>
        <v>Language</v>
      </c>
      <c r="C63" s="325">
        <f>'ALL ML SYSTEMS'!C63</f>
        <v>0</v>
      </c>
      <c r="D63" s="325" t="str">
        <f>'ALL ML SYSTEMS'!D63</f>
        <v>EleutherAI</v>
      </c>
      <c r="E63" s="325" t="str">
        <f>'ALL ML SYSTEMS'!E63</f>
        <v>Research collective</v>
      </c>
      <c r="F63" s="325">
        <f>'ALL ML SYSTEMS'!F63</f>
        <v>0</v>
      </c>
      <c r="G63" s="326">
        <f>'ALL ML SYSTEMS'!G63</f>
        <v>44276</v>
      </c>
      <c r="H63" s="327">
        <f>'ALL ML SYSTEMS'!H63</f>
        <v>4276</v>
      </c>
      <c r="I63" s="325" t="str">
        <f>'ALL ML SYSTEMS'!I63</f>
        <v>GPT-Neo</v>
      </c>
      <c r="J63" s="337" t="str">
        <f>'ALL ML SYSTEMS'!J63</f>
        <v>https://www.eleuther.ai/projects/gpt-neo/</v>
      </c>
      <c r="K63" s="338">
        <f>'ALL ML SYSTEMS'!K63</f>
        <v>0</v>
      </c>
      <c r="L63" s="325">
        <f>'ALL ML SYSTEMS'!L63</f>
        <v>0</v>
      </c>
      <c r="M63" s="338" t="str">
        <f>'ALL ML SYSTEMS'!M63</f>
        <v>No</v>
      </c>
      <c r="N63" s="338">
        <f>'ALL ML SYSTEMS'!N63</f>
        <v>2700000000</v>
      </c>
      <c r="O63" s="338">
        <f>'ALL ML SYSTEMS'!O63</f>
        <v>7.9e+21</v>
      </c>
      <c r="P63" s="339" t="str">
        <f>'ALL ML SYSTEMS'!P63</f>
        <v>The Pile</v>
      </c>
      <c r="Q63" s="338">
        <f>'ALL ML SYSTEMS'!Q63</f>
        <v>885837004800</v>
      </c>
      <c r="R63" s="325">
        <f>'ALL ML SYSTEMS'!R63</f>
        <v>0</v>
      </c>
      <c r="S63" s="338">
        <f>'ALL ML SYSTEMS'!S63</f>
        <v>0</v>
      </c>
      <c r="T63" s="325">
        <f>'ALL ML SYSTEMS'!T63</f>
        <v>0</v>
      </c>
      <c r="U63" s="325">
        <f>'ALL ML SYSTEMS'!U63</f>
        <v>0</v>
      </c>
      <c r="V63" s="325">
        <f>'ALL ML SYSTEMS'!V63</f>
        <v>0</v>
      </c>
      <c r="W63" s="325">
        <f>'ALL ML SYSTEMS'!W63</f>
        <v>0</v>
      </c>
      <c r="X63" s="325">
        <f>'ALL ML SYSTEMS'!X63</f>
        <v>0</v>
      </c>
      <c r="Y63" s="325">
        <f>'ALL ML SYSTEMS'!Y63</f>
        <v>0</v>
      </c>
      <c r="Z63" s="325">
        <f>'ALL ML SYSTEMS'!Z63</f>
        <v>0</v>
      </c>
      <c r="AA63" s="341">
        <f>'ALL ML SYSTEMS'!AA63</f>
        <v>13685.989184888</v>
      </c>
      <c r="AB63" s="325"/>
      <c r="AC63" s="325" t="str">
        <f>'ALL ML SYSTEMS'!AB63</f>
        <v>Yes</v>
      </c>
      <c r="AD63" s="325">
        <f>'ALL ML SYSTEMS'!AC63</f>
        <v>0</v>
      </c>
    </row>
    <row r="64" hidden="1" customHeight="1" spans="1:30">
      <c r="A64" s="323" t="str">
        <f>'ALL ML SYSTEMS'!A64</f>
        <v>Wu Dao - Wen Lan</v>
      </c>
      <c r="B64" s="323" t="str">
        <f>'ALL ML SYSTEMS'!B64</f>
        <v>Multimodal</v>
      </c>
      <c r="C64" s="323">
        <f>'ALL ML SYSTEMS'!C64</f>
        <v>0</v>
      </c>
      <c r="D64" s="323" t="str">
        <f>'ALL ML SYSTEMS'!D64</f>
        <v>BAAI</v>
      </c>
      <c r="E64" s="323" t="str">
        <f>'ALL ML SYSTEMS'!E64</f>
        <v>Non-profit</v>
      </c>
      <c r="F64" s="323">
        <f>'ALL ML SYSTEMS'!F64</f>
        <v>0</v>
      </c>
      <c r="G64" s="324">
        <f>'ALL ML SYSTEMS'!G64</f>
        <v>44256</v>
      </c>
      <c r="H64" s="329">
        <f>'ALL ML SYSTEMS'!H64</f>
        <v>4256</v>
      </c>
      <c r="I64" s="323" t="str">
        <f>'ALL ML SYSTEMS'!I64</f>
        <v>China's GPT-3? BAAI Introduces Superscale Intelligence Model 'Wu Dao 1.0'</v>
      </c>
      <c r="J64" s="334" t="str">
        <f>'ALL ML SYSTEMS'!J64</f>
        <v>https://medium.com/syncedreview/chinas-gpt-3-baai-introduces-superscale-intelligence-model-wu-dao-1-0-98a573fc4d70</v>
      </c>
      <c r="K64" s="335">
        <f>'ALL ML SYSTEMS'!K64</f>
        <v>0</v>
      </c>
      <c r="L64" s="323">
        <f>'ALL ML SYSTEMS'!L64</f>
        <v>0</v>
      </c>
      <c r="M64" s="335" t="str">
        <f>'ALL ML SYSTEMS'!M64</f>
        <v>No</v>
      </c>
      <c r="N64" s="335">
        <f>'ALL ML SYSTEMS'!N64</f>
        <v>1000000000</v>
      </c>
      <c r="O64" s="335">
        <f>'ALL ML SYSTEMS'!O64</f>
        <v>7.1995392e+21</v>
      </c>
      <c r="P64" s="336">
        <f>'ALL ML SYSTEMS'!P64</f>
        <v>0</v>
      </c>
      <c r="Q64" s="335">
        <f>'ALL ML SYSTEMS'!Q64</f>
        <v>0</v>
      </c>
      <c r="R64" s="323">
        <f>'ALL ML SYSTEMS'!R64</f>
        <v>0</v>
      </c>
      <c r="S64" s="335">
        <f>'ALL ML SYSTEMS'!S64</f>
        <v>0</v>
      </c>
      <c r="T64" s="323">
        <f>'ALL ML SYSTEMS'!T64</f>
        <v>0</v>
      </c>
      <c r="U64" s="323">
        <f>'ALL ML SYSTEMS'!U64</f>
        <v>0</v>
      </c>
      <c r="V64" s="323">
        <f>'ALL ML SYSTEMS'!V64</f>
        <v>0</v>
      </c>
      <c r="W64" s="323">
        <f>'ALL ML SYSTEMS'!W64</f>
        <v>0</v>
      </c>
      <c r="X64" s="323">
        <f>'ALL ML SYSTEMS'!X64</f>
        <v>0</v>
      </c>
      <c r="Y64" s="323">
        <f>'ALL ML SYSTEMS'!Y64</f>
        <v>0</v>
      </c>
      <c r="Z64" s="323">
        <f>'ALL ML SYSTEMS'!Z64</f>
        <v>0</v>
      </c>
      <c r="AA64" s="340" t="str">
        <f>'ALL ML SYSTEMS'!AA64</f>
        <v/>
      </c>
      <c r="AB64" s="323"/>
      <c r="AC64" s="323" t="str">
        <f>'ALL ML SYSTEMS'!AB64</f>
        <v>Yes</v>
      </c>
      <c r="AD64" s="323">
        <f>'ALL ML SYSTEMS'!AC64</f>
        <v>0</v>
      </c>
    </row>
    <row r="65" hidden="1" customHeight="1" spans="1:30">
      <c r="A65" s="325" t="str">
        <f>'ALL ML SYSTEMS'!A65</f>
        <v>DeBERTa</v>
      </c>
      <c r="B65" s="325" t="str">
        <f>'ALL ML SYSTEMS'!B65</f>
        <v>Language</v>
      </c>
      <c r="C65" s="325">
        <f>'ALL ML SYSTEMS'!C65</f>
        <v>0</v>
      </c>
      <c r="D65" s="325" t="str">
        <f>'ALL ML SYSTEMS'!D65</f>
        <v>Microsoft</v>
      </c>
      <c r="E65" s="325" t="str">
        <f>'ALL ML SYSTEMS'!E65</f>
        <v>Industry</v>
      </c>
      <c r="F65" s="325" t="str">
        <f>'ALL ML SYSTEMS'!F65</f>
        <v>Pengcheng He, Xiaodong Liu, Jianfeng Gao, Weizhu Chen</v>
      </c>
      <c r="G65" s="326">
        <f>'ALL ML SYSTEMS'!G65</f>
        <v>44357</v>
      </c>
      <c r="H65" s="327">
        <f>'ALL ML SYSTEMS'!H65</f>
        <v>4357</v>
      </c>
      <c r="I65" s="325" t="str">
        <f>'ALL ML SYSTEMS'!I65</f>
        <v>DeBERTa: Decoding-enhanced BERT with Disentangled Attention</v>
      </c>
      <c r="J65" s="337" t="str">
        <f>'ALL ML SYSTEMS'!J65</f>
        <v>https://arxiv.org/abs/2006.03654</v>
      </c>
      <c r="K65" s="338">
        <f>'ALL ML SYSTEMS'!K65</f>
        <v>661</v>
      </c>
      <c r="L65" s="325">
        <f>'ALL ML SYSTEMS'!L65</f>
        <v>0</v>
      </c>
      <c r="M65" s="338" t="str">
        <f>'ALL ML SYSTEMS'!M65</f>
        <v>No</v>
      </c>
      <c r="N65" s="338">
        <f>'ALL ML SYSTEMS'!N65</f>
        <v>1500000000</v>
      </c>
      <c r="O65" s="338">
        <f>'ALL ML SYSTEMS'!O65</f>
        <v>6e+21</v>
      </c>
      <c r="P65" s="339">
        <f>'ALL ML SYSTEMS'!P65</f>
        <v>0</v>
      </c>
      <c r="Q65" s="338">
        <f>'ALL ML SYSTEMS'!Q65</f>
        <v>15600000000</v>
      </c>
      <c r="R65" s="325">
        <f>'ALL ML SYSTEMS'!R65</f>
        <v>0</v>
      </c>
      <c r="S65" s="338">
        <f>'ALL ML SYSTEMS'!S65</f>
        <v>0</v>
      </c>
      <c r="T65" s="325">
        <f>'ALL ML SYSTEMS'!T65</f>
        <v>0</v>
      </c>
      <c r="U65" s="325">
        <f>'ALL ML SYSTEMS'!U65</f>
        <v>0</v>
      </c>
      <c r="V65" s="325">
        <f>'ALL ML SYSTEMS'!V65</f>
        <v>0</v>
      </c>
      <c r="W65" s="325" t="str">
        <f>'ALL ML SYSTEMS'!W65</f>
        <v>160 (pretraining), </v>
      </c>
      <c r="X65" s="325">
        <f>'ALL ML SYSTEMS'!X65</f>
        <v>0</v>
      </c>
      <c r="Y65" s="325">
        <f>'ALL ML SYSTEMS'!Y65</f>
        <v>0</v>
      </c>
      <c r="Z65" s="325">
        <f>'ALL ML SYSTEMS'!Z65</f>
        <v>0</v>
      </c>
      <c r="AA65" s="341" t="str">
        <f>'ALL ML SYSTEMS'!AA65</f>
        <v/>
      </c>
      <c r="AB65" s="325"/>
      <c r="AC65" s="325" t="str">
        <f>'ALL ML SYSTEMS'!AB65</f>
        <v>Yes</v>
      </c>
      <c r="AD65" s="325">
        <f>'ALL ML SYSTEMS'!AC65</f>
        <v>0</v>
      </c>
    </row>
    <row r="66" customHeight="1" spans="1:30">
      <c r="A66" s="323" t="str">
        <f>'ALL ML SYSTEMS'!A66</f>
        <v>HuBERT</v>
      </c>
      <c r="B66" s="323" t="str">
        <f>'ALL ML SYSTEMS'!B66</f>
        <v>Language</v>
      </c>
      <c r="C66" s="323">
        <f>'ALL ML SYSTEMS'!C66</f>
        <v>0</v>
      </c>
      <c r="D66" s="323" t="str">
        <f>'ALL ML SYSTEMS'!D66</f>
        <v>Facebook AI Research</v>
      </c>
      <c r="E66" s="323" t="str">
        <f>'ALL ML SYSTEMS'!E66</f>
        <v>Industry</v>
      </c>
      <c r="F66" s="323" t="str">
        <f>'ALL ML SYSTEMS'!F66</f>
        <v>Wei-Ning Hsu, Benjamin Bolte, Yao-Hung Hubert Tsai, Kushal Lakhotia, Ruslan Salakhutdinov, Abdelrahman Mohamed</v>
      </c>
      <c r="G66" s="324">
        <f>'ALL ML SYSTEMS'!G66</f>
        <v>44404</v>
      </c>
      <c r="H66" s="329">
        <f>'ALL ML SYSTEMS'!H66</f>
        <v>4404</v>
      </c>
      <c r="I66" s="323" t="str">
        <f>'ALL ML SYSTEMS'!I66</f>
        <v>HuBERT: Self-Supervised Speech Representation Learning by Masked Prediction of Hidden Units</v>
      </c>
      <c r="J66" s="334" t="str">
        <f>'ALL ML SYSTEMS'!J66</f>
        <v>https://arxiv.org/abs/2106.07447</v>
      </c>
      <c r="K66" s="335">
        <f>'ALL ML SYSTEMS'!K66</f>
        <v>458</v>
      </c>
      <c r="L66" s="323" t="str">
        <f>'ALL ML SYSTEMS'!L66</f>
        <v>SOTA Improvement</v>
      </c>
      <c r="M66" s="335" t="str">
        <f>'ALL ML SYSTEMS'!M66</f>
        <v>Yes</v>
      </c>
      <c r="N66" s="335">
        <f>'ALL ML SYSTEMS'!N66</f>
        <v>1000000000</v>
      </c>
      <c r="O66" s="335">
        <f>'ALL ML SYSTEMS'!O66</f>
        <v>5.54e+21</v>
      </c>
      <c r="P66" s="336" t="str">
        <f>'ALL ML SYSTEMS'!P66</f>
        <v>LibriSpeech</v>
      </c>
      <c r="Q66" s="335">
        <f>'ALL ML SYSTEMS'!Q66</f>
        <v>820800000</v>
      </c>
      <c r="R66" s="323">
        <f>'ALL ML SYSTEMS'!R66</f>
        <v>0</v>
      </c>
      <c r="S66" s="335">
        <f>'ALL ML SYSTEMS'!S66</f>
        <v>0</v>
      </c>
      <c r="T66" s="323">
        <f>'ALL ML SYSTEMS'!T66</f>
        <v>0</v>
      </c>
      <c r="U66" s="323">
        <f>'ALL ML SYSTEMS'!U66</f>
        <v>0</v>
      </c>
      <c r="V66" s="323">
        <f>'ALL ML SYSTEMS'!V66</f>
        <v>0</v>
      </c>
      <c r="W66" s="323">
        <f>'ALL ML SYSTEMS'!W66</f>
        <v>0</v>
      </c>
      <c r="X66" s="323">
        <f>'ALL ML SYSTEMS'!X66</f>
        <v>0</v>
      </c>
      <c r="Y66" s="323">
        <f>'ALL ML SYSTEMS'!Y66</f>
        <v>0</v>
      </c>
      <c r="Z66" s="323">
        <f>'ALL ML SYSTEMS'!Z66</f>
        <v>0</v>
      </c>
      <c r="AA66" s="340">
        <f>'ALL ML SYSTEMS'!AA66</f>
        <v>8632.10664479602</v>
      </c>
      <c r="AB66" s="323" t="str">
        <f>'ALL ML SYSTEMS'!AB66</f>
        <v>Yes</v>
      </c>
      <c r="AC66" s="323">
        <f>'ALL ML SYSTEMS'!AC66</f>
        <v>0</v>
      </c>
      <c r="AD66" s="323" t="str">
        <f>'ALL ML SYSTEMS'!AD66</f>
        <v>Industry</v>
      </c>
    </row>
    <row r="67" hidden="1" customHeight="1" spans="1:30">
      <c r="A67" s="325" t="str">
        <f>'ALL ML SYSTEMS'!A67</f>
        <v>M6-10T</v>
      </c>
      <c r="B67" s="325" t="str">
        <f>'ALL ML SYSTEMS'!B67</f>
        <v>Multimodal</v>
      </c>
      <c r="C67" s="325">
        <f>'ALL ML SYSTEMS'!C67</f>
        <v>0</v>
      </c>
      <c r="D67" s="325" t="str">
        <f>'ALL ML SYSTEMS'!D67</f>
        <v>Alibaba</v>
      </c>
      <c r="E67" s="325" t="str">
        <f>'ALL ML SYSTEMS'!E67</f>
        <v>Industry</v>
      </c>
      <c r="F67" s="325" t="str">
        <f>'ALL ML SYSTEMS'!F67</f>
        <v>Junyang Lin, An Yang, Jinze Bai, Chang Zhou, Le Jiang, Xianyan Jia, Ang Wang, Jie Zhang, Yong Li, Wei Lin, Jingren Zhou, Hongxia Yang</v>
      </c>
      <c r="G67" s="326">
        <f>'ALL ML SYSTEMS'!G67</f>
        <v>44477</v>
      </c>
      <c r="H67" s="327">
        <f>'ALL ML SYSTEMS'!H67</f>
        <v>4477</v>
      </c>
      <c r="I67" s="325" t="str">
        <f>'ALL ML SYSTEMS'!I67</f>
        <v>M6-10T: A Sharing-Delinking Paradigm for Efficient Multi-Trillion Parameter Pretraining</v>
      </c>
      <c r="J67" s="337" t="str">
        <f>'ALL ML SYSTEMS'!J67</f>
        <v>https://arxiv.org/abs/2110.03888</v>
      </c>
      <c r="K67" s="338">
        <f>'ALL ML SYSTEMS'!K67</f>
        <v>17</v>
      </c>
      <c r="L67" s="325">
        <f>'ALL ML SYSTEMS'!L67</f>
        <v>0</v>
      </c>
      <c r="M67" s="338" t="str">
        <f>'ALL ML SYSTEMS'!M67</f>
        <v>No</v>
      </c>
      <c r="N67" s="338">
        <f>'ALL ML SYSTEMS'!N67</f>
        <v>10000000000000</v>
      </c>
      <c r="O67" s="338">
        <f>'ALL ML SYSTEMS'!O67</f>
        <v>5.53e+21</v>
      </c>
      <c r="P67" s="339" t="str">
        <f>'ALL ML SYSTEMS'!P67</f>
        <v>BookCorpus; English Wikipedia</v>
      </c>
      <c r="Q67" s="338">
        <f>'ALL ML SYSTEMS'!Q67</f>
        <v>8000000000</v>
      </c>
      <c r="R67" s="325">
        <f>'ALL ML SYSTEMS'!R67</f>
        <v>0</v>
      </c>
      <c r="S67" s="338">
        <f>'ALL ML SYSTEMS'!S67</f>
        <v>0</v>
      </c>
      <c r="T67" s="325">
        <f>'ALL ML SYSTEMS'!T67</f>
        <v>0</v>
      </c>
      <c r="U67" s="325">
        <f>'ALL ML SYSTEMS'!U67</f>
        <v>122880</v>
      </c>
      <c r="V67" s="325">
        <f>'ALL ML SYSTEMS'!V67</f>
        <v>0</v>
      </c>
      <c r="W67" s="325">
        <f>'ALL ML SYSTEMS'!W67</f>
        <v>0</v>
      </c>
      <c r="X67" s="325">
        <f>'ALL ML SYSTEMS'!X67</f>
        <v>0</v>
      </c>
      <c r="Y67" s="325">
        <f>'ALL ML SYSTEMS'!Y67</f>
        <v>0</v>
      </c>
      <c r="Z67" s="325">
        <f>'ALL ML SYSTEMS'!Z67</f>
        <v>0</v>
      </c>
      <c r="AA67" s="341">
        <f>'ALL ML SYSTEMS'!AA67</f>
        <v>20073.4941326502</v>
      </c>
      <c r="AB67" s="325"/>
      <c r="AC67" s="325" t="str">
        <f>'ALL ML SYSTEMS'!AB67</f>
        <v>Yes</v>
      </c>
      <c r="AD67" s="325">
        <f>'ALL ML SYSTEMS'!AC67</f>
        <v>0</v>
      </c>
    </row>
    <row r="68" customHeight="1" spans="1:30">
      <c r="A68" s="323" t="str">
        <f>'ALL ML SYSTEMS'!A68</f>
        <v>NÜWA</v>
      </c>
      <c r="B68" s="323" t="str">
        <f>'ALL ML SYSTEMS'!B68</f>
        <v>Multimodal</v>
      </c>
      <c r="C68" s="323">
        <f>'ALL ML SYSTEMS'!C68</f>
        <v>0</v>
      </c>
      <c r="D68" s="323" t="str">
        <f>'ALL ML SYSTEMS'!D68</f>
        <v>Microsoft Research, Peking University</v>
      </c>
      <c r="E68" s="323" t="str">
        <f>'ALL ML SYSTEMS'!E68</f>
        <v>Industry</v>
      </c>
      <c r="F68" s="323" t="str">
        <f>'ALL ML SYSTEMS'!F68</f>
        <v>Chenfei Wu, Jian Liang, Lei Ji, Fan Yang, Yuejian Fang, Daxin Jiang, Nan Duan</v>
      </c>
      <c r="G68" s="324">
        <f>'ALL ML SYSTEMS'!G68</f>
        <v>44524</v>
      </c>
      <c r="H68" s="329">
        <f>'ALL ML SYSTEMS'!H68</f>
        <v>2021</v>
      </c>
      <c r="I68" s="323" t="str">
        <f>'ALL ML SYSTEMS'!I68</f>
        <v>NÜWA: Visual Synthesis Pre-training for Neural visUal World creAtion</v>
      </c>
      <c r="J68" s="334" t="str">
        <f>'ALL ML SYSTEMS'!J68</f>
        <v>https://arxiv.org/abs/2111.12417</v>
      </c>
      <c r="K68" s="335">
        <f>'ALL ML SYSTEMS'!K68</f>
        <v>36</v>
      </c>
      <c r="L68" s="323" t="str">
        <f>'ALL ML SYSTEMS'!L68</f>
        <v>SOTA Improvement</v>
      </c>
      <c r="M68" s="335" t="str">
        <f>'ALL ML SYSTEMS'!M68</f>
        <v>Yes</v>
      </c>
      <c r="N68" s="335">
        <f>'ALL ML SYSTEMS'!N68</f>
        <v>870000000</v>
      </c>
      <c r="O68" s="335">
        <f>'ALL ML SYSTEMS'!O68</f>
        <v>4.8384e+21</v>
      </c>
      <c r="P68" s="336" t="str">
        <f>'ALL ML SYSTEMS'!P68</f>
        <v>Conceptual Captions, Moments in Time, VATEX</v>
      </c>
      <c r="Q68" s="335">
        <f>'ALL ML SYSTEMS'!Q68</f>
        <v>0</v>
      </c>
      <c r="R68" s="323">
        <f>'ALL ML SYSTEMS'!R68</f>
        <v>0</v>
      </c>
      <c r="S68" s="335">
        <f>'ALL ML SYSTEMS'!S68</f>
        <v>0</v>
      </c>
      <c r="T68" s="323">
        <f>'ALL ML SYSTEMS'!T68</f>
        <v>0</v>
      </c>
      <c r="U68" s="323">
        <f>'ALL ML SYSTEMS'!U68</f>
        <v>0</v>
      </c>
      <c r="V68" s="323">
        <f>'ALL ML SYSTEMS'!V68</f>
        <v>0</v>
      </c>
      <c r="W68" s="323">
        <f>'ALL ML SYSTEMS'!W68</f>
        <v>0</v>
      </c>
      <c r="X68" s="323">
        <f>'ALL ML SYSTEMS'!X68</f>
        <v>0</v>
      </c>
      <c r="Y68" s="323">
        <f>'ALL ML SYSTEMS'!Y68</f>
        <v>0</v>
      </c>
      <c r="Z68" s="323">
        <f>'ALL ML SYSTEMS'!Z68</f>
        <v>0</v>
      </c>
      <c r="AA68" s="340">
        <f>'ALL ML SYSTEMS'!AA68</f>
        <v>10446.8368703773</v>
      </c>
      <c r="AB68" s="323" t="str">
        <f>'ALL ML SYSTEMS'!AB68</f>
        <v>Yes</v>
      </c>
      <c r="AC68" s="323">
        <f>'ALL ML SYSTEMS'!AC68</f>
        <v>0</v>
      </c>
      <c r="AD68" s="323" t="str">
        <f>'ALL ML SYSTEMS'!AD68</f>
        <v>Industry</v>
      </c>
    </row>
    <row r="69" hidden="1" customHeight="1" spans="1:30">
      <c r="A69" s="325" t="str">
        <f>'ALL ML SYSTEMS'!A69</f>
        <v>SEER</v>
      </c>
      <c r="B69" s="325" t="str">
        <f>'ALL ML SYSTEMS'!B69</f>
        <v>Vision</v>
      </c>
      <c r="C69" s="325">
        <f>'ALL ML SYSTEMS'!C69</f>
        <v>0</v>
      </c>
      <c r="D69" s="325" t="str">
        <f>'ALL ML SYSTEMS'!D69</f>
        <v>Facebook AI Research, Inria</v>
      </c>
      <c r="E69" s="325" t="str">
        <f>'ALL ML SYSTEMS'!E69</f>
        <v>Industry - Academia Collaboration (Industry leaning)</v>
      </c>
      <c r="F69" s="325" t="str">
        <f>'ALL ML SYSTEMS'!F69</f>
        <v>Priya Goyal, Mathilde Caron, Benjamin Lefaudeux, Min Xu, Pengchao Wang, Vivek Pai, Mannat Singh, Vitaliy Liptchinsky, Ishan Misra, Armand Joulin, Piotr Bojanowski</v>
      </c>
      <c r="G69" s="326">
        <f>'ALL ML SYSTEMS'!G69</f>
        <v>44406</v>
      </c>
      <c r="H69" s="327">
        <f>'ALL ML SYSTEMS'!H69</f>
        <v>4406</v>
      </c>
      <c r="I69" s="325" t="str">
        <f>'ALL ML SYSTEMS'!I69</f>
        <v>Self-supervised Pretraining of Visual Features in the Wild</v>
      </c>
      <c r="J69" s="337" t="str">
        <f>'ALL ML SYSTEMS'!J69</f>
        <v>https://arxiv.org/abs/2103.01988</v>
      </c>
      <c r="K69" s="338">
        <f>'ALL ML SYSTEMS'!K69</f>
        <v>138</v>
      </c>
      <c r="L69" s="325">
        <f>'ALL ML SYSTEMS'!L69</f>
        <v>0</v>
      </c>
      <c r="M69" s="338" t="str">
        <f>'ALL ML SYSTEMS'!M69</f>
        <v>No</v>
      </c>
      <c r="N69" s="338">
        <f>'ALL ML SYSTEMS'!N69</f>
        <v>1300000000</v>
      </c>
      <c r="O69" s="338">
        <f>'ALL ML SYSTEMS'!O69</f>
        <v>4.42e+21</v>
      </c>
      <c r="P69" s="339">
        <f>'ALL ML SYSTEMS'!P69</f>
        <v>0</v>
      </c>
      <c r="Q69" s="338">
        <f>'ALL ML SYSTEMS'!Q69</f>
        <v>1000000000</v>
      </c>
      <c r="R69" s="325">
        <f>'ALL ML SYSTEMS'!R69</f>
        <v>0</v>
      </c>
      <c r="S69" s="338">
        <f>'ALL ML SYSTEMS'!S69</f>
        <v>0</v>
      </c>
      <c r="T69" s="325">
        <f>'ALL ML SYSTEMS'!T69</f>
        <v>0</v>
      </c>
      <c r="U69" s="325">
        <f>'ALL ML SYSTEMS'!U69</f>
        <v>0</v>
      </c>
      <c r="V69" s="325">
        <f>'ALL ML SYSTEMS'!V69</f>
        <v>0</v>
      </c>
      <c r="W69" s="325">
        <f>'ALL ML SYSTEMS'!W69</f>
        <v>0</v>
      </c>
      <c r="X69" s="325">
        <f>'ALL ML SYSTEMS'!X69</f>
        <v>0</v>
      </c>
      <c r="Y69" s="325">
        <f>'ALL ML SYSTEMS'!Y69</f>
        <v>0</v>
      </c>
      <c r="Z69" s="325">
        <f>'ALL ML SYSTEMS'!Z69</f>
        <v>0</v>
      </c>
      <c r="AA69" s="341">
        <f>'ALL ML SYSTEMS'!AA69</f>
        <v>16058.7953061202</v>
      </c>
      <c r="AB69" s="325"/>
      <c r="AC69" s="325" t="str">
        <f>'ALL ML SYSTEMS'!AB69</f>
        <v>Yes</v>
      </c>
      <c r="AD69" s="325">
        <f>'ALL ML SYSTEMS'!AC69</f>
        <v>0</v>
      </c>
    </row>
    <row r="70" hidden="1" customHeight="1" spans="1:30">
      <c r="A70" s="323" t="str">
        <f>'ALL ML SYSTEMS'!A70</f>
        <v>ViT-G/14</v>
      </c>
      <c r="B70" s="323" t="str">
        <f>'ALL ML SYSTEMS'!B70</f>
        <v>Vision</v>
      </c>
      <c r="C70" s="323">
        <f>'ALL ML SYSTEMS'!C70</f>
        <v>0</v>
      </c>
      <c r="D70" s="323" t="str">
        <f>'ALL ML SYSTEMS'!D70</f>
        <v>Google Research, Brain Team</v>
      </c>
      <c r="E70" s="323" t="str">
        <f>'ALL ML SYSTEMS'!E70</f>
        <v>Industry</v>
      </c>
      <c r="F70" s="323" t="str">
        <f>'ALL ML SYSTEMS'!F70</f>
        <v>X Zhai, A Kolesnikov, N Houlsby, L Beyer</v>
      </c>
      <c r="G70" s="324">
        <f>'ALL ML SYSTEMS'!G70</f>
        <v>44355</v>
      </c>
      <c r="H70" s="329">
        <f>'ALL ML SYSTEMS'!H70</f>
        <v>4355</v>
      </c>
      <c r="I70" s="323" t="str">
        <f>'ALL ML SYSTEMS'!I70</f>
        <v>Scaling Vision Transformers</v>
      </c>
      <c r="J70" s="334" t="str">
        <f>'ALL ML SYSTEMS'!J70</f>
        <v>https://arxiv.org/abs/2106.04560</v>
      </c>
      <c r="K70" s="335">
        <f>'ALL ML SYSTEMS'!K70</f>
        <v>302</v>
      </c>
      <c r="L70" s="323">
        <f>'ALL ML SYSTEMS'!L70</f>
        <v>0</v>
      </c>
      <c r="M70" s="335" t="str">
        <f>'ALL ML SYSTEMS'!M70</f>
        <v>No</v>
      </c>
      <c r="N70" s="335">
        <f>'ALL ML SYSTEMS'!N70</f>
        <v>1800000000</v>
      </c>
      <c r="O70" s="335">
        <f>'ALL ML SYSTEMS'!O70</f>
        <v>3.4e+21</v>
      </c>
      <c r="P70" s="336" t="str">
        <f>'ALL ML SYSTEMS'!P70</f>
        <v>JFT-3B</v>
      </c>
      <c r="Q70" s="335">
        <f>'ALL ML SYSTEMS'!Q70</f>
        <v>3000000000</v>
      </c>
      <c r="R70" s="323">
        <f>'ALL ML SYSTEMS'!R70</f>
        <v>0</v>
      </c>
      <c r="S70" s="335">
        <f>'ALL ML SYSTEMS'!S70</f>
        <v>0</v>
      </c>
      <c r="T70" s="323">
        <f>'ALL ML SYSTEMS'!T70</f>
        <v>0</v>
      </c>
      <c r="U70" s="323">
        <f>'ALL ML SYSTEMS'!U70</f>
        <v>0</v>
      </c>
      <c r="V70" s="323">
        <f>'ALL ML SYSTEMS'!V70</f>
        <v>0</v>
      </c>
      <c r="W70" s="323">
        <f>'ALL ML SYSTEMS'!W70</f>
        <v>0</v>
      </c>
      <c r="X70" s="323">
        <f>'ALL ML SYSTEMS'!X70</f>
        <v>0</v>
      </c>
      <c r="Y70" s="323">
        <f>'ALL ML SYSTEMS'!Y70</f>
        <v>0</v>
      </c>
      <c r="Z70" s="323">
        <f>'ALL ML SYSTEMS'!Z70</f>
        <v>0</v>
      </c>
      <c r="AA70" s="340">
        <f>'ALL ML SYSTEMS'!AA70</f>
        <v>5541.83721088954</v>
      </c>
      <c r="AB70" s="323"/>
      <c r="AC70" s="323" t="str">
        <f>'ALL ML SYSTEMS'!AB70</f>
        <v>Yes?</v>
      </c>
      <c r="AD70" s="323">
        <f>'ALL ML SYSTEMS'!AC70</f>
        <v>0</v>
      </c>
    </row>
    <row r="71" hidden="1" customHeight="1" spans="1:30">
      <c r="A71" s="325" t="str">
        <f>'ALL ML SYSTEMS'!A71</f>
        <v>NEO (DL:RM-2022)</v>
      </c>
      <c r="B71" s="325" t="str">
        <f>'ALL ML SYSTEMS'!B71</f>
        <v>Recommendation</v>
      </c>
      <c r="C71" s="325">
        <f>'ALL ML SYSTEMS'!C71</f>
        <v>0</v>
      </c>
      <c r="D71" s="325" t="str">
        <f>'ALL ML SYSTEMS'!D71</f>
        <v>Facebook</v>
      </c>
      <c r="E71" s="325" t="str">
        <f>'ALL ML SYSTEMS'!E71</f>
        <v>Industry</v>
      </c>
      <c r="F71" s="325" t="str">
        <f>'ALL ML SYSTEMS'!F71</f>
        <v>D Mudigere, Y Hao, J Huang, A Tulloch</v>
      </c>
      <c r="G71" s="326">
        <f>'ALL ML SYSTEMS'!G71</f>
        <v>44454</v>
      </c>
      <c r="H71" s="327">
        <f>'ALL ML SYSTEMS'!H71</f>
        <v>4454</v>
      </c>
      <c r="I71" s="325" t="str">
        <f>'ALL ML SYSTEMS'!I71</f>
        <v>Software-Hardware Co-design for Fast and Scalable Training of Deep Learning Recommendation Models</v>
      </c>
      <c r="J71" s="337" t="str">
        <f>'ALL ML SYSTEMS'!J71</f>
        <v>https://arxiv.org/abs/2104.05158</v>
      </c>
      <c r="K71" s="338">
        <f>'ALL ML SYSTEMS'!K71</f>
        <v>10</v>
      </c>
      <c r="L71" s="325">
        <f>'ALL ML SYSTEMS'!L71</f>
        <v>0</v>
      </c>
      <c r="M71" s="338" t="str">
        <f>'ALL ML SYSTEMS'!M71</f>
        <v>No</v>
      </c>
      <c r="N71" s="338">
        <f>'ALL ML SYSTEMS'!N71</f>
        <v>3000000000000</v>
      </c>
      <c r="O71" s="338">
        <f>'ALL ML SYSTEMS'!O71</f>
        <v>1.1e+21</v>
      </c>
      <c r="P71" s="339">
        <f>'ALL ML SYSTEMS'!P71</f>
        <v>0</v>
      </c>
      <c r="Q71" s="338">
        <f>'ALL ML SYSTEMS'!Q71</f>
        <v>0</v>
      </c>
      <c r="R71" s="325">
        <f>'ALL ML SYSTEMS'!R71</f>
        <v>0</v>
      </c>
      <c r="S71" s="338">
        <f>'ALL ML SYSTEMS'!S71</f>
        <v>0</v>
      </c>
      <c r="T71" s="325">
        <f>'ALL ML SYSTEMS'!T71</f>
        <v>0</v>
      </c>
      <c r="U71" s="325">
        <f>'ALL ML SYSTEMS'!U71</f>
        <v>0</v>
      </c>
      <c r="V71" s="325">
        <f>'ALL ML SYSTEMS'!V71</f>
        <v>0</v>
      </c>
      <c r="W71" s="325">
        <f>'ALL ML SYSTEMS'!W71</f>
        <v>0</v>
      </c>
      <c r="X71" s="325">
        <f>'ALL ML SYSTEMS'!X71</f>
        <v>0</v>
      </c>
      <c r="Y71" s="325">
        <f>'ALL ML SYSTEMS'!Y71</f>
        <v>0</v>
      </c>
      <c r="Z71" s="325">
        <f>'ALL ML SYSTEMS'!Z71</f>
        <v>0</v>
      </c>
      <c r="AA71" s="341">
        <f>'ALL ML SYSTEMS'!AA71</f>
        <v>2394.06678279481</v>
      </c>
      <c r="AB71" s="325"/>
      <c r="AC71" s="325">
        <f>'ALL ML SYSTEMS'!AB71</f>
        <v>0</v>
      </c>
      <c r="AD71" s="325">
        <f>'ALL ML SYSTEMS'!AC71</f>
        <v>0</v>
      </c>
    </row>
    <row r="72" hidden="1" customHeight="1" spans="1:30">
      <c r="A72" s="323" t="str">
        <f>'ALL ML SYSTEMS'!A72</f>
        <v>Wu Dao - Wen Yuan</v>
      </c>
      <c r="B72" s="323" t="str">
        <f>'ALL ML SYSTEMS'!B72</f>
        <v>Language</v>
      </c>
      <c r="C72" s="323">
        <f>'ALL ML SYSTEMS'!C72</f>
        <v>0</v>
      </c>
      <c r="D72" s="323" t="str">
        <f>'ALL ML SYSTEMS'!D72</f>
        <v>BAAI</v>
      </c>
      <c r="E72" s="323" t="str">
        <f>'ALL ML SYSTEMS'!E72</f>
        <v>Non-profit</v>
      </c>
      <c r="F72" s="323">
        <f>'ALL ML SYSTEMS'!F72</f>
        <v>0</v>
      </c>
      <c r="G72" s="324">
        <f>'ALL ML SYSTEMS'!G72</f>
        <v>44256</v>
      </c>
      <c r="H72" s="329">
        <f>'ALL ML SYSTEMS'!H72</f>
        <v>4256</v>
      </c>
      <c r="I72" s="323" t="str">
        <f>'ALL ML SYSTEMS'!I72</f>
        <v>China's GPT-3? BAAI Introduces Superscale Intelligence Model 'Wu Dao 1.0'</v>
      </c>
      <c r="J72" s="334" t="str">
        <f>'ALL ML SYSTEMS'!J72</f>
        <v>https://medium.com/syncedreview/chinas-gpt-3-baai-introduces-superscale-intelligence-model-wu-dao-1-0-98a573fc4d70</v>
      </c>
      <c r="K72" s="335">
        <f>'ALL ML SYSTEMS'!K72</f>
        <v>0</v>
      </c>
      <c r="L72" s="323">
        <f>'ALL ML SYSTEMS'!L72</f>
        <v>0</v>
      </c>
      <c r="M72" s="335" t="str">
        <f>'ALL ML SYSTEMS'!M72</f>
        <v>No</v>
      </c>
      <c r="N72" s="335">
        <f>'ALL ML SYSTEMS'!N72</f>
        <v>2600000000</v>
      </c>
      <c r="O72" s="335">
        <f>'ALL ML SYSTEMS'!O72</f>
        <v>6.5028096e+20</v>
      </c>
      <c r="P72" s="336">
        <f>'ALL ML SYSTEMS'!P72</f>
        <v>0</v>
      </c>
      <c r="Q72" s="335">
        <f>'ALL ML SYSTEMS'!Q72</f>
        <v>0</v>
      </c>
      <c r="R72" s="323">
        <f>'ALL ML SYSTEMS'!R72</f>
        <v>0</v>
      </c>
      <c r="S72" s="335">
        <f>'ALL ML SYSTEMS'!S72</f>
        <v>0</v>
      </c>
      <c r="T72" s="323">
        <f>'ALL ML SYSTEMS'!T72</f>
        <v>0</v>
      </c>
      <c r="U72" s="323">
        <f>'ALL ML SYSTEMS'!U72</f>
        <v>0</v>
      </c>
      <c r="V72" s="323">
        <f>'ALL ML SYSTEMS'!V72</f>
        <v>0</v>
      </c>
      <c r="W72" s="323">
        <f>'ALL ML SYSTEMS'!W72</f>
        <v>0</v>
      </c>
      <c r="X72" s="323">
        <f>'ALL ML SYSTEMS'!X72</f>
        <v>0</v>
      </c>
      <c r="Y72" s="323">
        <f>'ALL ML SYSTEMS'!Y72</f>
        <v>0</v>
      </c>
      <c r="Z72" s="323">
        <f>'ALL ML SYSTEMS'!Z72</f>
        <v>0</v>
      </c>
      <c r="AA72" s="340" t="str">
        <f>'ALL ML SYSTEMS'!AA72</f>
        <v/>
      </c>
      <c r="AB72" s="323"/>
      <c r="AC72" s="323" t="str">
        <f>'ALL ML SYSTEMS'!AB72</f>
        <v>Yes</v>
      </c>
      <c r="AD72" s="323">
        <f>'ALL ML SYSTEMS'!AC72</f>
        <v>0</v>
      </c>
    </row>
    <row r="73" hidden="1" customHeight="1" spans="1:30">
      <c r="A73" s="325" t="str">
        <f>'ALL ML SYSTEMS'!A73</f>
        <v>PAGnol-XL</v>
      </c>
      <c r="B73" s="325" t="str">
        <f>'ALL ML SYSTEMS'!B73</f>
        <v>Language</v>
      </c>
      <c r="C73" s="325" t="str">
        <f>'ALL ML SYSTEMS'!C73</f>
        <v>Language modelling</v>
      </c>
      <c r="D73" s="325" t="str">
        <f>'ALL ML SYSTEMS'!D73</f>
        <v>LightOn, LPENS</v>
      </c>
      <c r="E73" s="325" t="str">
        <f>'ALL ML SYSTEMS'!E73</f>
        <v>Industry - Academia Collaboration</v>
      </c>
      <c r="F73" s="325" t="str">
        <f>'ALL ML SYSTEMS'!F73</f>
        <v>Julien Launay, E.L. Tommasone, Baptiste Pannier, François Boniface, Amélie Chatelain, Alessandro Cappelli, Iacopo Poli, Djamé Seddah</v>
      </c>
      <c r="G73" s="326" t="str">
        <f>'ALL ML SYSTEMS'!G73</f>
        <v>16/10/2021</v>
      </c>
      <c r="H73" s="325">
        <f>'ALL ML SYSTEMS'!H73</f>
        <v>2021</v>
      </c>
      <c r="I73" s="325">
        <f>'ALL ML SYSTEMS'!I73</f>
        <v>0</v>
      </c>
      <c r="J73" s="337" t="str">
        <f>'ALL ML SYSTEMS'!J73</f>
        <v>https://arxiv.org/pdf/2110.08554.pdf</v>
      </c>
      <c r="K73" s="338">
        <f>'ALL ML SYSTEMS'!K73</f>
        <v>0</v>
      </c>
      <c r="L73" s="325">
        <f>'ALL ML SYSTEMS'!L73</f>
        <v>0</v>
      </c>
      <c r="M73" s="338" t="str">
        <f>'ALL ML SYSTEMS'!M73</f>
        <v>No</v>
      </c>
      <c r="N73" s="338">
        <f>'ALL ML SYSTEMS'!N73</f>
        <v>1500000000</v>
      </c>
      <c r="O73" s="338">
        <f>'ALL ML SYSTEMS'!O73</f>
        <v>2.592e+20</v>
      </c>
      <c r="P73" s="339">
        <f>'ALL ML SYSTEMS'!P73</f>
        <v>0</v>
      </c>
      <c r="Q73" s="338">
        <f>'ALL ML SYSTEMS'!Q73</f>
        <v>0</v>
      </c>
      <c r="R73" s="325">
        <f>'ALL ML SYSTEMS'!R73</f>
        <v>0</v>
      </c>
      <c r="S73" s="325">
        <f>'ALL ML SYSTEMS'!S73</f>
        <v>0</v>
      </c>
      <c r="T73" s="325">
        <f>'ALL ML SYSTEMS'!T73</f>
        <v>0</v>
      </c>
      <c r="U73" s="325">
        <f>'ALL ML SYSTEMS'!U73</f>
        <v>0</v>
      </c>
      <c r="V73" s="325">
        <f>'ALL ML SYSTEMS'!V73</f>
        <v>0</v>
      </c>
      <c r="W73" s="325">
        <f>'ALL ML SYSTEMS'!W73</f>
        <v>0</v>
      </c>
      <c r="X73" s="325">
        <f>'ALL ML SYSTEMS'!X73</f>
        <v>0</v>
      </c>
      <c r="Y73" s="325">
        <f>'ALL ML SYSTEMS'!Y73</f>
        <v>0</v>
      </c>
      <c r="Z73" s="325">
        <f>'ALL ML SYSTEMS'!Z73</f>
        <v>0</v>
      </c>
      <c r="AA73" s="341" t="str">
        <f>'ALL ML SYSTEMS'!AA73</f>
        <v/>
      </c>
      <c r="AB73" s="325"/>
      <c r="AC73" s="325" t="str">
        <f>'ALL ML SYSTEMS'!AB73</f>
        <v>Yes</v>
      </c>
      <c r="AD73" s="325">
        <f>'ALL ML SYSTEMS'!AC73</f>
        <v>0</v>
      </c>
    </row>
    <row r="74" hidden="1" customHeight="1" spans="1:30">
      <c r="A74" s="323" t="str">
        <f>'ALL ML SYSTEMS'!A74</f>
        <v>Wu Dao - Wen Hui</v>
      </c>
      <c r="B74" s="323" t="str">
        <f>'ALL ML SYSTEMS'!B74</f>
        <v>Multimodal</v>
      </c>
      <c r="C74" s="323">
        <f>'ALL ML SYSTEMS'!C74</f>
        <v>0</v>
      </c>
      <c r="D74" s="323" t="str">
        <f>'ALL ML SYSTEMS'!D74</f>
        <v>BAAI</v>
      </c>
      <c r="E74" s="323" t="str">
        <f>'ALL ML SYSTEMS'!E74</f>
        <v>Non-profit</v>
      </c>
      <c r="F74" s="323">
        <f>'ALL ML SYSTEMS'!F74</f>
        <v>0</v>
      </c>
      <c r="G74" s="324">
        <f>'ALL ML SYSTEMS'!G74</f>
        <v>44256</v>
      </c>
      <c r="H74" s="329">
        <f>'ALL ML SYSTEMS'!H74</f>
        <v>4256</v>
      </c>
      <c r="I74" s="323" t="str">
        <f>'ALL ML SYSTEMS'!I74</f>
        <v>China's GPT-3? BAAI Introduces Superscale Intelligence Model 'Wu Dao 1.0'</v>
      </c>
      <c r="J74" s="334" t="str">
        <f>'ALL ML SYSTEMS'!J74</f>
        <v>https://medium.com/syncedreview/chinas-gpt-3-baai-introduces-superscale-intelligence-model-wu-dao-1-0-98a573fc4d70</v>
      </c>
      <c r="K74" s="335">
        <f>'ALL ML SYSTEMS'!K74</f>
        <v>0</v>
      </c>
      <c r="L74" s="323">
        <f>'ALL ML SYSTEMS'!L74</f>
        <v>0</v>
      </c>
      <c r="M74" s="335" t="str">
        <f>'ALL ML SYSTEMS'!M74</f>
        <v>No</v>
      </c>
      <c r="N74" s="335">
        <f>'ALL ML SYSTEMS'!N74</f>
        <v>11300000000</v>
      </c>
      <c r="O74" s="335">
        <f>'ALL ML SYSTEMS'!O74</f>
        <v>1.161216e+20</v>
      </c>
      <c r="P74" s="336">
        <f>'ALL ML SYSTEMS'!P74</f>
        <v>0</v>
      </c>
      <c r="Q74" s="335">
        <f>'ALL ML SYSTEMS'!Q74</f>
        <v>0</v>
      </c>
      <c r="R74" s="323">
        <f>'ALL ML SYSTEMS'!R74</f>
        <v>0</v>
      </c>
      <c r="S74" s="335">
        <f>'ALL ML SYSTEMS'!S74</f>
        <v>0</v>
      </c>
      <c r="T74" s="323">
        <f>'ALL ML SYSTEMS'!T74</f>
        <v>0</v>
      </c>
      <c r="U74" s="323">
        <f>'ALL ML SYSTEMS'!U74</f>
        <v>0</v>
      </c>
      <c r="V74" s="323">
        <f>'ALL ML SYSTEMS'!V74</f>
        <v>0</v>
      </c>
      <c r="W74" s="323">
        <f>'ALL ML SYSTEMS'!W74</f>
        <v>0</v>
      </c>
      <c r="X74" s="323">
        <f>'ALL ML SYSTEMS'!X74</f>
        <v>0</v>
      </c>
      <c r="Y74" s="323">
        <f>'ALL ML SYSTEMS'!Y74</f>
        <v>0</v>
      </c>
      <c r="Z74" s="323">
        <f>'ALL ML SYSTEMS'!Z74</f>
        <v>0</v>
      </c>
      <c r="AA74" s="340" t="str">
        <f>'ALL ML SYSTEMS'!AA74</f>
        <v/>
      </c>
      <c r="AB74" s="323"/>
      <c r="AC74" s="323" t="str">
        <f>'ALL ML SYSTEMS'!AB74</f>
        <v>Yes</v>
      </c>
      <c r="AD74" s="323">
        <f>'ALL ML SYSTEMS'!AC74</f>
        <v>0</v>
      </c>
    </row>
    <row r="75" customHeight="1" spans="1:30">
      <c r="A75" s="325" t="str">
        <f>'ALL ML SYSTEMS'!A75</f>
        <v>Transformer local-attention (NesT-B)</v>
      </c>
      <c r="B75" s="325" t="str">
        <f>'ALL ML SYSTEMS'!B75</f>
        <v>Vision</v>
      </c>
      <c r="C75" s="325">
        <f>'ALL ML SYSTEMS'!C75</f>
        <v>0</v>
      </c>
      <c r="D75" s="325" t="str">
        <f>'ALL ML SYSTEMS'!D75</f>
        <v>Google cloud AI, Google research, Rutgers University</v>
      </c>
      <c r="E75" s="325" t="str">
        <f>'ALL ML SYSTEMS'!E75</f>
        <v>Industry - Academia Collaboration (Industry Leaning)</v>
      </c>
      <c r="F75" s="325" t="str">
        <f>'ALL ML SYSTEMS'!F75</f>
        <v>Zizhao Zhang, Han Zhang, Long Zhao, Ting Chen, Tomas Pfister</v>
      </c>
      <c r="G75" s="326">
        <f>'ALL ML SYSTEMS'!G75</f>
        <v>44342</v>
      </c>
      <c r="H75" s="327">
        <f>'ALL ML SYSTEMS'!H75</f>
        <v>4342</v>
      </c>
      <c r="I75" s="325" t="str">
        <f>'ALL ML SYSTEMS'!I75</f>
        <v>Nested Hierarchical Transformer: Towards Accurate, Data-Efficient and Interpretable Visual Understanding</v>
      </c>
      <c r="J75" s="337" t="str">
        <f>'ALL ML SYSTEMS'!J75</f>
        <v>https://arxiv.org/abs/2105.12723v4</v>
      </c>
      <c r="K75" s="338">
        <f>'ALL ML SYSTEMS'!K75</f>
        <v>5734</v>
      </c>
      <c r="L75" s="325" t="str">
        <f>'ALL ML SYSTEMS'!L75</f>
        <v>Highly cited</v>
      </c>
      <c r="M75" s="338" t="str">
        <f>'ALL ML SYSTEMS'!M75</f>
        <v>Yes</v>
      </c>
      <c r="N75" s="338">
        <f>'ALL ML SYSTEMS'!N75</f>
        <v>0</v>
      </c>
      <c r="O75" s="338">
        <f>'ALL ML SYSTEMS'!O75</f>
        <v>2.40576e+19</v>
      </c>
      <c r="P75" s="339" t="str">
        <f>'ALL ML SYSTEMS'!P75</f>
        <v>Imagenet-1k</v>
      </c>
      <c r="Q75" s="338">
        <f>'ALL ML SYSTEMS'!Q75</f>
        <v>1280000</v>
      </c>
      <c r="R75" s="325">
        <f>'ALL ML SYSTEMS'!R75</f>
        <v>0</v>
      </c>
      <c r="S75" s="338">
        <f>'ALL ML SYSTEMS'!S75</f>
        <v>0</v>
      </c>
      <c r="T75" s="325">
        <f>'ALL ML SYSTEMS'!T75</f>
        <v>0</v>
      </c>
      <c r="U75" s="325">
        <f>'ALL ML SYSTEMS'!U75</f>
        <v>0</v>
      </c>
      <c r="V75" s="325">
        <f>'ALL ML SYSTEMS'!V75</f>
        <v>0</v>
      </c>
      <c r="W75" s="325">
        <f>'ALL ML SYSTEMS'!W75</f>
        <v>0</v>
      </c>
      <c r="X75" s="325">
        <f>'ALL ML SYSTEMS'!X75</f>
        <v>0</v>
      </c>
      <c r="Y75" s="325">
        <f>'ALL ML SYSTEMS'!Y75</f>
        <v>0</v>
      </c>
      <c r="Z75" s="325">
        <f>'ALL ML SYSTEMS'!Z75</f>
        <v>0</v>
      </c>
      <c r="AA75" s="341">
        <f>'ALL ML SYSTEMS'!AA75</f>
        <v>39.5132372266025</v>
      </c>
      <c r="AB75" s="325" t="str">
        <f>'ALL ML SYSTEMS'!AB75</f>
        <v>Yes</v>
      </c>
      <c r="AC75" s="325">
        <f>'ALL ML SYSTEMS'!AC75</f>
        <v>0</v>
      </c>
      <c r="AD75" s="325" t="str">
        <f>'ALL ML SYSTEMS'!AD75</f>
        <v>Industry</v>
      </c>
    </row>
    <row r="76" hidden="1" customHeight="1" spans="1:30">
      <c r="A76" s="323" t="str">
        <f>'ALL ML SYSTEMS'!A76</f>
        <v>ERNIE 3.0</v>
      </c>
      <c r="B76" s="323" t="str">
        <f>'ALL ML SYSTEMS'!B76</f>
        <v>Language</v>
      </c>
      <c r="C76" s="323">
        <f>'ALL ML SYSTEMS'!C76</f>
        <v>0</v>
      </c>
      <c r="D76" s="323" t="str">
        <f>'ALL ML SYSTEMS'!D76</f>
        <v>Baidu Inc. </v>
      </c>
      <c r="E76" s="323" t="str">
        <f>'ALL ML SYSTEMS'!E76</f>
        <v>Industry</v>
      </c>
      <c r="F76" s="323" t="str">
        <f>'ALL ML SYSTEMS'!F76</f>
        <v>Y Sun, S Wang, S Feng, S Ding, C Pang</v>
      </c>
      <c r="G76" s="324">
        <f>'ALL ML SYSTEMS'!G76</f>
        <v>44382</v>
      </c>
      <c r="H76" s="329">
        <f>'ALL ML SYSTEMS'!H76</f>
        <v>4382</v>
      </c>
      <c r="I76" s="323" t="str">
        <f>'ALL ML SYSTEMS'!I76</f>
        <v>ERNIE 3.0: Large-scale Knowledge Enhanced Pre-training for Language Understanding and Generation</v>
      </c>
      <c r="J76" s="334" t="str">
        <f>'ALL ML SYSTEMS'!J76</f>
        <v>http://research.baidu.com/Blog/index-view?id=160</v>
      </c>
      <c r="K76" s="335">
        <f>'ALL ML SYSTEMS'!K76</f>
        <v>100</v>
      </c>
      <c r="L76" s="323">
        <f>'ALL ML SYSTEMS'!L76</f>
        <v>0</v>
      </c>
      <c r="M76" s="335" t="str">
        <f>'ALL ML SYSTEMS'!M76</f>
        <v>No</v>
      </c>
      <c r="N76" s="335">
        <f>'ALL ML SYSTEMS'!N76</f>
        <v>10000000000</v>
      </c>
      <c r="O76" s="335">
        <f>'ALL ML SYSTEMS'!O76</f>
        <v>2.35008e+18</v>
      </c>
      <c r="P76" s="336">
        <f>'ALL ML SYSTEMS'!P76</f>
        <v>0</v>
      </c>
      <c r="Q76" s="335">
        <f>'ALL ML SYSTEMS'!Q76</f>
        <v>668000000000</v>
      </c>
      <c r="R76" s="323">
        <f>'ALL ML SYSTEMS'!R76</f>
        <v>0</v>
      </c>
      <c r="S76" s="335">
        <f>'ALL ML SYSTEMS'!S76</f>
        <v>0</v>
      </c>
      <c r="T76" s="323">
        <f>'ALL ML SYSTEMS'!T76</f>
        <v>0</v>
      </c>
      <c r="U76" s="323">
        <f>'ALL ML SYSTEMS'!U76</f>
        <v>0</v>
      </c>
      <c r="V76" s="323">
        <f>'ALL ML SYSTEMS'!V76</f>
        <v>0</v>
      </c>
      <c r="W76" s="323">
        <f>'ALL ML SYSTEMS'!W76</f>
        <v>0</v>
      </c>
      <c r="X76" s="323">
        <f>'ALL ML SYSTEMS'!X76</f>
        <v>0</v>
      </c>
      <c r="Y76" s="323">
        <f>'ALL ML SYSTEMS'!Y76</f>
        <v>0</v>
      </c>
      <c r="Z76" s="323">
        <f>'ALL ML SYSTEMS'!Z76</f>
        <v>0</v>
      </c>
      <c r="AA76" s="340">
        <f>'ALL ML SYSTEMS'!AA76</f>
        <v>3.83122736808708</v>
      </c>
      <c r="AB76" s="323"/>
      <c r="AC76" s="323" t="str">
        <f>'ALL ML SYSTEMS'!AB76</f>
        <v>Yes</v>
      </c>
      <c r="AD76" s="323" t="str">
        <f>'ALL ML SYSTEMS'!AC76</f>
        <v>Transformer-XL: Transformer with auxilary recurrence memory module</v>
      </c>
    </row>
    <row r="77" customHeight="1" spans="1:30">
      <c r="A77" s="325" t="str">
        <f>'ALL ML SYSTEMS'!A77</f>
        <v>Denoising Diffusion Probabilistic Models (LSUN Bedroom)</v>
      </c>
      <c r="B77" s="325" t="str">
        <f>'ALL ML SYSTEMS'!B77</f>
        <v>Drawing</v>
      </c>
      <c r="C77" s="325">
        <f>'ALL ML SYSTEMS'!C77</f>
        <v>0</v>
      </c>
      <c r="D77" s="325" t="str">
        <f>'ALL ML SYSTEMS'!D77</f>
        <v>UC Berkeley</v>
      </c>
      <c r="E77" s="325" t="str">
        <f>'ALL ML SYSTEMS'!E77</f>
        <v>Academia</v>
      </c>
      <c r="F77" s="325" t="str">
        <f>'ALL ML SYSTEMS'!F77</f>
        <v>Jonathan Ho, Ajay Jain, Pieter Abbeel</v>
      </c>
      <c r="G77" s="326">
        <f>'ALL ML SYSTEMS'!G77</f>
        <v>44358</v>
      </c>
      <c r="H77" s="327">
        <f>'ALL ML SYSTEMS'!H77</f>
        <v>4358</v>
      </c>
      <c r="I77" s="325" t="str">
        <f>'ALL ML SYSTEMS'!I77</f>
        <v>Denoising Diffusion Probabilistic Models</v>
      </c>
      <c r="J77" s="337" t="str">
        <f>'ALL ML SYSTEMS'!J77</f>
        <v>https://arxiv.org/abs/2006.11239</v>
      </c>
      <c r="K77" s="338">
        <f>'ALL ML SYSTEMS'!K77</f>
        <v>918</v>
      </c>
      <c r="L77" s="325" t="str">
        <f>'ALL ML SYSTEMS'!L77</f>
        <v>SOTA Improvement</v>
      </c>
      <c r="M77" s="338" t="str">
        <f>'ALL ML SYSTEMS'!M77</f>
        <v>Yes</v>
      </c>
      <c r="N77" s="338">
        <f>'ALL ML SYSTEMS'!N77</f>
        <v>256000000</v>
      </c>
      <c r="O77" s="338">
        <f>'ALL ML SYSTEMS'!O77</f>
        <v>1.6e+18</v>
      </c>
      <c r="P77" s="339">
        <f>'ALL ML SYSTEMS'!P77</f>
        <v>0</v>
      </c>
      <c r="Q77" s="338">
        <f>'ALL ML SYSTEMS'!Q77</f>
        <v>3033042</v>
      </c>
      <c r="R77" s="325">
        <f>'ALL ML SYSTEMS'!R77</f>
        <v>0</v>
      </c>
      <c r="S77" s="338">
        <f>'ALL ML SYSTEMS'!S77</f>
        <v>0</v>
      </c>
      <c r="T77" s="325">
        <f>'ALL ML SYSTEMS'!T77</f>
        <v>0</v>
      </c>
      <c r="U77" s="325">
        <f>'ALL ML SYSTEMS'!U77</f>
        <v>0</v>
      </c>
      <c r="V77" s="325">
        <f>'ALL ML SYSTEMS'!V77</f>
        <v>0</v>
      </c>
      <c r="W77" s="325">
        <f>'ALL ML SYSTEMS'!W77</f>
        <v>0</v>
      </c>
      <c r="X77" s="325">
        <f>'ALL ML SYSTEMS'!X77</f>
        <v>0</v>
      </c>
      <c r="Y77" s="325">
        <f>'ALL ML SYSTEMS'!Y77</f>
        <v>0</v>
      </c>
      <c r="Z77" s="325">
        <f>'ALL ML SYSTEMS'!Z77</f>
        <v>0</v>
      </c>
      <c r="AA77" s="341">
        <f>'ALL ML SYSTEMS'!AA77</f>
        <v>2.60189327507192</v>
      </c>
      <c r="AB77" s="325">
        <f>'ALL ML SYSTEMS'!AB77</f>
        <v>0</v>
      </c>
      <c r="AC77" s="325">
        <f>'ALL ML SYSTEMS'!AC77</f>
        <v>0</v>
      </c>
      <c r="AD77" s="325" t="str">
        <f>'ALL ML SYSTEMS'!AD77</f>
        <v>Academia</v>
      </c>
    </row>
    <row r="78" hidden="1" customHeight="1" spans="1:30">
      <c r="A78" s="323" t="str">
        <f>'ALL ML SYSTEMS'!A78</f>
        <v>PCL-BAIDU Wenxin (ERNIE 3.0 Titan)</v>
      </c>
      <c r="B78" s="323" t="str">
        <f>'ALL ML SYSTEMS'!B78</f>
        <v>Language</v>
      </c>
      <c r="C78" s="323">
        <f>'ALL ML SYSTEMS'!C78</f>
        <v>0</v>
      </c>
      <c r="D78" s="323" t="str">
        <f>'ALL ML SYSTEMS'!D78</f>
        <v>Baidu</v>
      </c>
      <c r="E78" s="323" t="str">
        <f>'ALL ML SYSTEMS'!E78</f>
        <v>Industry</v>
      </c>
      <c r="F78" s="323" t="str">
        <f>'ALL ML SYSTEMS'!F78</f>
        <v>Shuohuan Wang, Yu Sun, Yang Xiang, Zhihua Wu, Siyu Ding, Weibao Gong, Shikun Feng</v>
      </c>
      <c r="G78" s="324">
        <f>'ALL ML SYSTEMS'!G78</f>
        <v>44553</v>
      </c>
      <c r="H78" s="329">
        <f>'ALL ML SYSTEMS'!H78</f>
        <v>4553</v>
      </c>
      <c r="I78" s="323" t="str">
        <f>'ALL ML SYSTEMS'!I78</f>
        <v>ERNIE 3.0 Titan: Exploring Larger-scale Knowledge Enhanced Pre-training for Language Understanding and Generation</v>
      </c>
      <c r="J78" s="334" t="str">
        <f>'ALL ML SYSTEMS'!J78</f>
        <v>https://arxiv.org/abs/2112.12731</v>
      </c>
      <c r="K78" s="335">
        <f>'ALL ML SYSTEMS'!K78</f>
        <v>11</v>
      </c>
      <c r="L78" s="323">
        <f>'ALL ML SYSTEMS'!L78</f>
        <v>0</v>
      </c>
      <c r="M78" s="335" t="str">
        <f>'ALL ML SYSTEMS'!M78</f>
        <v>No</v>
      </c>
      <c r="N78" s="335">
        <f>'ALL ML SYSTEMS'!N78</f>
        <v>260000000000</v>
      </c>
      <c r="O78" s="335">
        <f>'ALL ML SYSTEMS'!O78</f>
        <v>314000000000</v>
      </c>
      <c r="P78" s="336" t="str">
        <f>'ALL ML SYSTEMS'!P78</f>
        <v> ERNIE 3.0 Corpus</v>
      </c>
      <c r="Q78" s="335">
        <f>'ALL ML SYSTEMS'!Q78</f>
        <v>668000000000</v>
      </c>
      <c r="R78" s="323">
        <f>'ALL ML SYSTEMS'!R78</f>
        <v>0</v>
      </c>
      <c r="S78" s="335">
        <f>'ALL ML SYSTEMS'!S78</f>
        <v>0</v>
      </c>
      <c r="T78" s="323">
        <f>'ALL ML SYSTEMS'!T78</f>
        <v>0</v>
      </c>
      <c r="U78" s="323">
        <f>'ALL ML SYSTEMS'!U78</f>
        <v>0</v>
      </c>
      <c r="V78" s="323">
        <f>'ALL ML SYSTEMS'!V78</f>
        <v>0</v>
      </c>
      <c r="W78" s="323">
        <f>'ALL ML SYSTEMS'!W78</f>
        <v>0</v>
      </c>
      <c r="X78" s="323">
        <f>'ALL ML SYSTEMS'!X78</f>
        <v>0</v>
      </c>
      <c r="Y78" s="323">
        <f>'ALL ML SYSTEMS'!Y78</f>
        <v>0</v>
      </c>
      <c r="Z78" s="323">
        <f>'ALL ML SYSTEMS'!Z78</f>
        <v>0</v>
      </c>
      <c r="AA78" s="340" t="str">
        <f>'ALL ML SYSTEMS'!AA78</f>
        <v/>
      </c>
      <c r="AB78" s="323"/>
      <c r="AC78" s="323">
        <f>'ALL ML SYSTEMS'!AB78</f>
        <v>0</v>
      </c>
      <c r="AD78" s="323">
        <f>'ALL ML SYSTEMS'!AC78</f>
        <v>0</v>
      </c>
    </row>
    <row r="79" customHeight="1" spans="1:30">
      <c r="A79" s="325" t="str">
        <f>'ALL ML SYSTEMS'!A79</f>
        <v>CLIP (ResNet-50)</v>
      </c>
      <c r="B79" s="325" t="str">
        <f>'ALL ML SYSTEMS'!B79</f>
        <v>Multimodal</v>
      </c>
      <c r="C79" s="325" t="str">
        <f>'ALL ML SYSTEMS'!C79</f>
        <v>Zero-shot image classification</v>
      </c>
      <c r="D79" s="325" t="str">
        <f>'ALL ML SYSTEMS'!D79</f>
        <v>Open AI</v>
      </c>
      <c r="E79" s="325" t="str">
        <f>'ALL ML SYSTEMS'!E79</f>
        <v>Industry</v>
      </c>
      <c r="F79" s="325" t="str">
        <f>'ALL ML SYSTEMS'!F79</f>
        <v>Alec Radford, Jong Wook Kim, Chris Hallacy, Aditya Ramesh, Gabriel Goh, Sandhini Agarwal, Girish Sastry, Amanda Askell, Pamela Mishkin, Jack Clark, Gretchen Krueger, Ilya Sutskever</v>
      </c>
      <c r="G79" s="326">
        <f>'ALL ML SYSTEMS'!G79</f>
        <v>44201</v>
      </c>
      <c r="H79" s="327">
        <f>'ALL ML SYSTEMS'!H79</f>
        <v>4201</v>
      </c>
      <c r="I79" s="325" t="str">
        <f>'ALL ML SYSTEMS'!I79</f>
        <v>Learning Transferable Visual Models From Natural Language Supervision</v>
      </c>
      <c r="J79" s="337" t="str">
        <f>'ALL ML SYSTEMS'!J79</f>
        <v>https://arxiv.org/abs/2103.00020</v>
      </c>
      <c r="K79" s="338">
        <f>'ALL ML SYSTEMS'!K79</f>
        <v>2924</v>
      </c>
      <c r="L79" s="325">
        <f>'ALL ML SYSTEMS'!L79</f>
        <v>0</v>
      </c>
      <c r="M79" s="338" t="str">
        <f>'ALL ML SYSTEMS'!M79</f>
        <v>Yes</v>
      </c>
      <c r="N79" s="338">
        <f>'ALL ML SYSTEMS'!N79</f>
        <v>88600000</v>
      </c>
      <c r="O79" s="338">
        <f>'ALL ML SYSTEMS'!O79</f>
        <v>0</v>
      </c>
      <c r="P79" s="339" t="str">
        <f>'ALL ML SYSTEMS'!P79</f>
        <v>Custom image-text pairs from the internet</v>
      </c>
      <c r="Q79" s="338">
        <f>'ALL ML SYSTEMS'!Q79</f>
        <v>400000000</v>
      </c>
      <c r="R79" s="325">
        <f>'ALL ML SYSTEMS'!R79</f>
        <v>0</v>
      </c>
      <c r="S79" s="338">
        <f>'ALL ML SYSTEMS'!S79</f>
        <v>7000000</v>
      </c>
      <c r="T79" s="325">
        <f>'ALL ML SYSTEMS'!T79</f>
        <v>0</v>
      </c>
      <c r="U79" s="325">
        <f>'ALL ML SYSTEMS'!U79</f>
        <v>0</v>
      </c>
      <c r="V79" s="325">
        <f>'ALL ML SYSTEMS'!V79</f>
        <v>0</v>
      </c>
      <c r="W79" s="325">
        <f>'ALL ML SYSTEMS'!W79</f>
        <v>0</v>
      </c>
      <c r="X79" s="325">
        <f>'ALL ML SYSTEMS'!X79</f>
        <v>0</v>
      </c>
      <c r="Y79" s="325">
        <f>'ALL ML SYSTEMS'!Y79</f>
        <v>0</v>
      </c>
      <c r="Z79" s="325">
        <f>'ALL ML SYSTEMS'!Z79</f>
        <v>0</v>
      </c>
      <c r="AA79" s="341" t="str">
        <f>'ALL ML SYSTEMS'!AA79</f>
        <v/>
      </c>
      <c r="AB79" s="325">
        <f>'ALL ML SYSTEMS'!AB79</f>
        <v>0</v>
      </c>
      <c r="AC79" s="325">
        <f>'ALL ML SYSTEMS'!AC79</f>
        <v>0</v>
      </c>
      <c r="AD79" s="325" t="str">
        <f>'ALL ML SYSTEMS'!AD79</f>
        <v>Industry</v>
      </c>
    </row>
    <row r="80" hidden="1" customHeight="1" spans="1:30">
      <c r="A80" s="323" t="str">
        <f>'ALL ML SYSTEMS'!A80</f>
        <v>BigSSL</v>
      </c>
      <c r="B80" s="323" t="str">
        <f>'ALL ML SYSTEMS'!B80</f>
        <v>Speech</v>
      </c>
      <c r="C80" s="323" t="str">
        <f>'ALL ML SYSTEMS'!C80</f>
        <v>Audio speech recognition</v>
      </c>
      <c r="D80" s="323" t="str">
        <f>'ALL ML SYSTEMS'!D80</f>
        <v>Google, Apple</v>
      </c>
      <c r="E80" s="323" t="str">
        <f>'ALL ML SYSTEMS'!E80</f>
        <v>Industry</v>
      </c>
      <c r="F80" s="323" t="str">
        <f>'ALL ML SYSTEMS'!F80</f>
        <v>Yu Zhang,  Daniel S. Park, Wei Han,James Qin, Anmol Gulati, Joel Shor, Aren Jansen, Yuanzhong Xu, Yanping Huang, Shibo Wang, Zongwei Zhou, Bo Li, Min Ma, William Chan, Jiahui Yu, Yongqiang Wang, Liangliang Cao, Khe Chai Sim, Bhuvana Ramabhadran, Tara N. Sainath, Françoise Beaufays, Zhifeng Chen, Quoc V. Le, Chung-Cheng Chiu, Ruoming Pang and Yonghui Wu</v>
      </c>
      <c r="G80" s="324">
        <f>'ALL ML SYSTEMS'!G80</f>
        <v>44206</v>
      </c>
      <c r="H80" s="329">
        <f>'ALL ML SYSTEMS'!H80</f>
        <v>4206</v>
      </c>
      <c r="I80" s="323" t="str">
        <f>'ALL ML SYSTEMS'!I80</f>
        <v>BigSSL: Exploring the Frontier of Large-Scale Semi-Supervised Learning for Automatic Speech Recognition</v>
      </c>
      <c r="J80" s="334" t="str">
        <f>'ALL ML SYSTEMS'!J80</f>
        <v>https://arxiv.org/abs/2109.13226</v>
      </c>
      <c r="K80" s="335">
        <f>'ALL ML SYSTEMS'!K80</f>
        <v>41</v>
      </c>
      <c r="L80" s="323">
        <f>'ALL ML SYSTEMS'!L80</f>
        <v>0</v>
      </c>
      <c r="M80" s="335" t="str">
        <f>'ALL ML SYSTEMS'!M80</f>
        <v>No</v>
      </c>
      <c r="N80" s="335">
        <f>'ALL ML SYSTEMS'!N80</f>
        <v>8000000000</v>
      </c>
      <c r="O80" s="335">
        <f>'ALL ML SYSTEMS'!O80</f>
        <v>0</v>
      </c>
      <c r="P80" s="336">
        <f>'ALL ML SYSTEMS'!P80</f>
        <v>0</v>
      </c>
      <c r="Q80" s="335">
        <f>'ALL ML SYSTEMS'!Q80</f>
        <v>42626880000</v>
      </c>
      <c r="R80" s="323">
        <f>'ALL ML SYSTEMS'!R80</f>
        <v>0</v>
      </c>
      <c r="S80" s="335">
        <f>'ALL ML SYSTEMS'!S80</f>
        <v>0</v>
      </c>
      <c r="T80" s="323">
        <f>'ALL ML SYSTEMS'!T80</f>
        <v>0</v>
      </c>
      <c r="U80" s="323">
        <f>'ALL ML SYSTEMS'!U80</f>
        <v>0</v>
      </c>
      <c r="V80" s="323">
        <f>'ALL ML SYSTEMS'!V80</f>
        <v>0</v>
      </c>
      <c r="W80" s="323">
        <f>'ALL ML SYSTEMS'!W80</f>
        <v>0</v>
      </c>
      <c r="X80" s="323">
        <f>'ALL ML SYSTEMS'!X80</f>
        <v>0</v>
      </c>
      <c r="Y80" s="323">
        <f>'ALL ML SYSTEMS'!Y80</f>
        <v>0</v>
      </c>
      <c r="Z80" s="323">
        <f>'ALL ML SYSTEMS'!Z80</f>
        <v>0</v>
      </c>
      <c r="AA80" s="340" t="str">
        <f>'ALL ML SYSTEMS'!AA80</f>
        <v/>
      </c>
      <c r="AB80" s="323"/>
      <c r="AC80" s="323">
        <f>'ALL ML SYSTEMS'!AB80</f>
        <v>0</v>
      </c>
      <c r="AD80" s="323">
        <f>'ALL ML SYSTEMS'!AC80</f>
        <v>0</v>
      </c>
    </row>
    <row r="81" customHeight="1" spans="1:30">
      <c r="A81" s="325" t="str">
        <f>'ALL ML SYSTEMS'!A81</f>
        <v>Rational DQN Average</v>
      </c>
      <c r="B81" s="325" t="str">
        <f>'ALL ML SYSTEMS'!B81</f>
        <v>Games</v>
      </c>
      <c r="C81" s="325" t="str">
        <f>'ALL ML SYSTEMS'!C81</f>
        <v>Atari Games</v>
      </c>
      <c r="D81" s="325" t="str">
        <f>'ALL ML SYSTEMS'!D81</f>
        <v>TU Darmstadt</v>
      </c>
      <c r="E81" s="325" t="str">
        <f>'ALL ML SYSTEMS'!E81</f>
        <v>Academia</v>
      </c>
      <c r="F81" s="325" t="str">
        <f>'ALL ML SYSTEMS'!F81</f>
        <v>Q Delfosse, P Schramowski, A Molina</v>
      </c>
      <c r="G81" s="326">
        <f>'ALL ML SYSTEMS'!G81</f>
        <v>44245</v>
      </c>
      <c r="H81" s="327">
        <f>'ALL ML SYSTEMS'!H81</f>
        <v>4245</v>
      </c>
      <c r="I81" s="325" t="str">
        <f>'ALL ML SYSTEMS'!I81</f>
        <v>Recurrent Rational Networks</v>
      </c>
      <c r="J81" s="337" t="str">
        <f>'ALL ML SYSTEMS'!J81</f>
        <v>https://openreview.net/forum?id=gnRmI8TatHV</v>
      </c>
      <c r="K81" s="338">
        <f>'ALL ML SYSTEMS'!K81</f>
        <v>3</v>
      </c>
      <c r="L81" s="325" t="str">
        <f>'ALL ML SYSTEMS'!L81</f>
        <v>SOTA improvement</v>
      </c>
      <c r="M81" s="338" t="str">
        <f>'ALL ML SYSTEMS'!M81</f>
        <v>Yes</v>
      </c>
      <c r="N81" s="338">
        <f>'ALL ML SYSTEMS'!N81</f>
        <v>1683456</v>
      </c>
      <c r="O81" s="338">
        <f>'ALL ML SYSTEMS'!O81</f>
        <v>0</v>
      </c>
      <c r="P81" s="339">
        <f>'ALL ML SYSTEMS'!P81</f>
        <v>0</v>
      </c>
      <c r="Q81" s="338">
        <f>'ALL ML SYSTEMS'!Q81</f>
        <v>0</v>
      </c>
      <c r="R81" s="325">
        <f>'ALL ML SYSTEMS'!R81</f>
        <v>0</v>
      </c>
      <c r="S81" s="338">
        <f>'ALL ML SYSTEMS'!S81</f>
        <v>0</v>
      </c>
      <c r="T81" s="325">
        <f>'ALL ML SYSTEMS'!T81</f>
        <v>0</v>
      </c>
      <c r="U81" s="325">
        <f>'ALL ML SYSTEMS'!U81</f>
        <v>0</v>
      </c>
      <c r="V81" s="325">
        <f>'ALL ML SYSTEMS'!V81</f>
        <v>0</v>
      </c>
      <c r="W81" s="325">
        <f>'ALL ML SYSTEMS'!W81</f>
        <v>0</v>
      </c>
      <c r="X81" s="325">
        <f>'ALL ML SYSTEMS'!X81</f>
        <v>0</v>
      </c>
      <c r="Y81" s="325">
        <f>'ALL ML SYSTEMS'!Y81</f>
        <v>0</v>
      </c>
      <c r="Z81" s="325">
        <f>'ALL ML SYSTEMS'!Z81</f>
        <v>0</v>
      </c>
      <c r="AA81" s="341" t="str">
        <f>'ALL ML SYSTEMS'!AA81</f>
        <v/>
      </c>
      <c r="AB81" s="325">
        <f>'ALL ML SYSTEMS'!AB81</f>
        <v>0</v>
      </c>
      <c r="AC81" s="325">
        <f>'ALL ML SYSTEMS'!AC81</f>
        <v>0</v>
      </c>
      <c r="AD81" s="325" t="str">
        <f>'ALL ML SYSTEMS'!AD81</f>
        <v>Academia</v>
      </c>
    </row>
    <row r="82" hidden="1" customHeight="1" spans="1:30">
      <c r="A82" s="323" t="str">
        <f>'ALL ML SYSTEMS'!A82</f>
        <v>M6-10B</v>
      </c>
      <c r="B82" s="323" t="str">
        <f>'ALL ML SYSTEMS'!B82</f>
        <v>Multimodal</v>
      </c>
      <c r="C82" s="323">
        <f>'ALL ML SYSTEMS'!C82</f>
        <v>0</v>
      </c>
      <c r="D82" s="323" t="str">
        <f>'ALL ML SYSTEMS'!D82</f>
        <v>Tsinghua University, Alibaba Group</v>
      </c>
      <c r="E82" s="323" t="str">
        <f>'ALL ML SYSTEMS'!E82</f>
        <v>Industry - Academia Collaboration (Industry leaning)</v>
      </c>
      <c r="F82" s="323" t="str">
        <f>'ALL ML SYSTEMS'!F82</f>
        <v>J Lin, R Men, A Yang, C Zhou, M Ding, Y Zhang</v>
      </c>
      <c r="G82" s="324">
        <f>'ALL ML SYSTEMS'!G82</f>
        <v>44256</v>
      </c>
      <c r="H82" s="329">
        <f>'ALL ML SYSTEMS'!H82</f>
        <v>4256</v>
      </c>
      <c r="I82" s="323" t="str">
        <f>'ALL ML SYSTEMS'!I82</f>
        <v>M6: A Chinese Multimodal Pretrainer</v>
      </c>
      <c r="J82" s="334" t="str">
        <f>'ALL ML SYSTEMS'!J82</f>
        <v>https://arxiv.org/abs/2103.00823</v>
      </c>
      <c r="K82" s="335">
        <f>'ALL ML SYSTEMS'!K82</f>
        <v>76</v>
      </c>
      <c r="L82" s="323">
        <f>'ALL ML SYSTEMS'!L82</f>
        <v>0</v>
      </c>
      <c r="M82" s="335" t="str">
        <f>'ALL ML SYSTEMS'!M82</f>
        <v>No</v>
      </c>
      <c r="N82" s="335">
        <f>'ALL ML SYSTEMS'!N82</f>
        <v>10000000000</v>
      </c>
      <c r="O82" s="335">
        <f>'ALL ML SYSTEMS'!O82</f>
        <v>0</v>
      </c>
      <c r="P82" s="336">
        <f>'ALL ML SYSTEMS'!P82</f>
        <v>0</v>
      </c>
      <c r="Q82" s="335">
        <f>'ALL ML SYSTEMS'!Q82</f>
        <v>1900000000000</v>
      </c>
      <c r="R82" s="323">
        <f>'ALL ML SYSTEMS'!R82</f>
        <v>0</v>
      </c>
      <c r="S82" s="335">
        <f>'ALL ML SYSTEMS'!S82</f>
        <v>0</v>
      </c>
      <c r="T82" s="323">
        <f>'ALL ML SYSTEMS'!T82</f>
        <v>0</v>
      </c>
      <c r="U82" s="323">
        <f>'ALL ML SYSTEMS'!U82</f>
        <v>0</v>
      </c>
      <c r="V82" s="323">
        <f>'ALL ML SYSTEMS'!V82</f>
        <v>0</v>
      </c>
      <c r="W82" s="323">
        <f>'ALL ML SYSTEMS'!W82</f>
        <v>0</v>
      </c>
      <c r="X82" s="323">
        <f>'ALL ML SYSTEMS'!X82</f>
        <v>0</v>
      </c>
      <c r="Y82" s="323">
        <f>'ALL ML SYSTEMS'!Y82</f>
        <v>0</v>
      </c>
      <c r="Z82" s="323">
        <f>'ALL ML SYSTEMS'!Z82</f>
        <v>0</v>
      </c>
      <c r="AA82" s="340" t="str">
        <f>'ALL ML SYSTEMS'!AA82</f>
        <v/>
      </c>
      <c r="AB82" s="323"/>
      <c r="AC82" s="323">
        <f>'ALL ML SYSTEMS'!AB82</f>
        <v>0</v>
      </c>
      <c r="AD82" s="323">
        <f>'ALL ML SYSTEMS'!AC82</f>
        <v>0</v>
      </c>
    </row>
    <row r="83" hidden="1" customHeight="1" spans="1:30">
      <c r="A83" s="325" t="str">
        <f>'ALL ML SYSTEMS'!A83</f>
        <v>M6-100B</v>
      </c>
      <c r="B83" s="325" t="str">
        <f>'ALL ML SYSTEMS'!B83</f>
        <v>Multimodal</v>
      </c>
      <c r="C83" s="325">
        <f>'ALL ML SYSTEMS'!C83</f>
        <v>0</v>
      </c>
      <c r="D83" s="325" t="str">
        <f>'ALL ML SYSTEMS'!D83</f>
        <v>Tsinghua University, Alibaba Group</v>
      </c>
      <c r="E83" s="325" t="str">
        <f>'ALL ML SYSTEMS'!E83</f>
        <v>Industry - Academia Collaboration (Industry leaning)</v>
      </c>
      <c r="F83" s="325" t="str">
        <f>'ALL ML SYSTEMS'!F83</f>
        <v>J Lin, R Men, A Yang, C Zhou, M Ding, Y Zhang</v>
      </c>
      <c r="G83" s="326">
        <f>'ALL ML SYSTEMS'!G83</f>
        <v>44256</v>
      </c>
      <c r="H83" s="327">
        <f>'ALL ML SYSTEMS'!H83</f>
        <v>4256</v>
      </c>
      <c r="I83" s="325" t="str">
        <f>'ALL ML SYSTEMS'!I83</f>
        <v>M6: A Chinese Multimodal Pretrainer</v>
      </c>
      <c r="J83" s="337" t="str">
        <f>'ALL ML SYSTEMS'!J83</f>
        <v>https://arxiv.org/abs/2103.00823</v>
      </c>
      <c r="K83" s="338">
        <f>'ALL ML SYSTEMS'!K83</f>
        <v>76</v>
      </c>
      <c r="L83" s="325">
        <f>'ALL ML SYSTEMS'!L83</f>
        <v>0</v>
      </c>
      <c r="M83" s="338" t="str">
        <f>'ALL ML SYSTEMS'!M83</f>
        <v>No</v>
      </c>
      <c r="N83" s="338">
        <f>'ALL ML SYSTEMS'!N83</f>
        <v>100000000000</v>
      </c>
      <c r="O83" s="338">
        <f>'ALL ML SYSTEMS'!O83</f>
        <v>0</v>
      </c>
      <c r="P83" s="339">
        <f>'ALL ML SYSTEMS'!P83</f>
        <v>0</v>
      </c>
      <c r="Q83" s="338">
        <f>'ALL ML SYSTEMS'!Q83</f>
        <v>1900000000000</v>
      </c>
      <c r="R83" s="325">
        <f>'ALL ML SYSTEMS'!R83</f>
        <v>0</v>
      </c>
      <c r="S83" s="338">
        <f>'ALL ML SYSTEMS'!S83</f>
        <v>0</v>
      </c>
      <c r="T83" s="325">
        <f>'ALL ML SYSTEMS'!T83</f>
        <v>0</v>
      </c>
      <c r="U83" s="325">
        <f>'ALL ML SYSTEMS'!U83</f>
        <v>0</v>
      </c>
      <c r="V83" s="325">
        <f>'ALL ML SYSTEMS'!V83</f>
        <v>0</v>
      </c>
      <c r="W83" s="325">
        <f>'ALL ML SYSTEMS'!W83</f>
        <v>0</v>
      </c>
      <c r="X83" s="325">
        <f>'ALL ML SYSTEMS'!X83</f>
        <v>0</v>
      </c>
      <c r="Y83" s="325">
        <f>'ALL ML SYSTEMS'!Y83</f>
        <v>0</v>
      </c>
      <c r="Z83" s="325">
        <f>'ALL ML SYSTEMS'!Z83</f>
        <v>0</v>
      </c>
      <c r="AA83" s="341" t="str">
        <f>'ALL ML SYSTEMS'!AA83</f>
        <v/>
      </c>
      <c r="AB83" s="325"/>
      <c r="AC83" s="325">
        <f>'ALL ML SYSTEMS'!AB83</f>
        <v>0</v>
      </c>
      <c r="AD83" s="325">
        <f>'ALL ML SYSTEMS'!AC83</f>
        <v>0</v>
      </c>
    </row>
    <row r="84" hidden="1" customHeight="1" spans="1:30">
      <c r="A84" s="323" t="str">
        <f>'ALL ML SYSTEMS'!A84</f>
        <v>Wu Dao - Wen Su</v>
      </c>
      <c r="B84" s="323" t="str">
        <f>'ALL ML SYSTEMS'!B84</f>
        <v>Other</v>
      </c>
      <c r="C84" s="323" t="str">
        <f>'ALL ML SYSTEMS'!C84</f>
        <v>Proteins</v>
      </c>
      <c r="D84" s="323" t="str">
        <f>'ALL ML SYSTEMS'!D84</f>
        <v>BAAI</v>
      </c>
      <c r="E84" s="323" t="str">
        <f>'ALL ML SYSTEMS'!E84</f>
        <v>Non-profit</v>
      </c>
      <c r="F84" s="323">
        <f>'ALL ML SYSTEMS'!F84</f>
        <v>0</v>
      </c>
      <c r="G84" s="324">
        <f>'ALL ML SYSTEMS'!G84</f>
        <v>44256</v>
      </c>
      <c r="H84" s="329">
        <f>'ALL ML SYSTEMS'!H84</f>
        <v>4256</v>
      </c>
      <c r="I84" s="323" t="str">
        <f>'ALL ML SYSTEMS'!I84</f>
        <v>China's GPT-3? BAAI Introduces Superscale Intelligence Model 'Wu Dao 1.0'</v>
      </c>
      <c r="J84" s="334" t="str">
        <f>'ALL ML SYSTEMS'!J84</f>
        <v>https://medium.com/syncedreview/chinas-gpt-3-baai-introduces-superscale-intelligence-model-wu-dao-1-0-98a573fc4d70</v>
      </c>
      <c r="K84" s="335">
        <f>'ALL ML SYSTEMS'!K84</f>
        <v>0</v>
      </c>
      <c r="L84" s="323">
        <f>'ALL ML SYSTEMS'!L84</f>
        <v>0</v>
      </c>
      <c r="M84" s="335" t="str">
        <f>'ALL ML SYSTEMS'!M84</f>
        <v>No</v>
      </c>
      <c r="N84" s="335">
        <f>'ALL ML SYSTEMS'!N84</f>
        <v>0</v>
      </c>
      <c r="O84" s="335">
        <f>'ALL ML SYSTEMS'!O84</f>
        <v>0</v>
      </c>
      <c r="P84" s="336">
        <f>'ALL ML SYSTEMS'!P84</f>
        <v>0</v>
      </c>
      <c r="Q84" s="335">
        <f>'ALL ML SYSTEMS'!Q84</f>
        <v>0</v>
      </c>
      <c r="R84" s="323">
        <f>'ALL ML SYSTEMS'!R84</f>
        <v>0</v>
      </c>
      <c r="S84" s="335">
        <f>'ALL ML SYSTEMS'!S84</f>
        <v>0</v>
      </c>
      <c r="T84" s="323">
        <f>'ALL ML SYSTEMS'!T84</f>
        <v>0</v>
      </c>
      <c r="U84" s="323">
        <f>'ALL ML SYSTEMS'!U84</f>
        <v>0</v>
      </c>
      <c r="V84" s="323">
        <f>'ALL ML SYSTEMS'!V84</f>
        <v>0</v>
      </c>
      <c r="W84" s="323">
        <f>'ALL ML SYSTEMS'!W84</f>
        <v>0</v>
      </c>
      <c r="X84" s="323">
        <f>'ALL ML SYSTEMS'!X84</f>
        <v>0</v>
      </c>
      <c r="Y84" s="323">
        <f>'ALL ML SYSTEMS'!Y84</f>
        <v>0</v>
      </c>
      <c r="Z84" s="323">
        <f>'ALL ML SYSTEMS'!Z84</f>
        <v>0</v>
      </c>
      <c r="AA84" s="340" t="str">
        <f>'ALL ML SYSTEMS'!AA84</f>
        <v/>
      </c>
      <c r="AB84" s="323"/>
      <c r="AC84" s="323" t="str">
        <f>'ALL ML SYSTEMS'!AB84</f>
        <v>Yes</v>
      </c>
      <c r="AD84" s="323">
        <f>'ALL ML SYSTEMS'!AC84</f>
        <v>0</v>
      </c>
    </row>
    <row r="85" customHeight="1" spans="1:30">
      <c r="A85" s="325" t="str">
        <f>'ALL ML SYSTEMS'!A85</f>
        <v>Generative BST</v>
      </c>
      <c r="B85" s="325" t="str">
        <f>'ALL ML SYSTEMS'!B85</f>
        <v>Language</v>
      </c>
      <c r="C85" s="325">
        <f>'ALL ML SYSTEMS'!C85</f>
        <v>0</v>
      </c>
      <c r="D85" s="325" t="str">
        <f>'ALL ML SYSTEMS'!D85</f>
        <v>Facebook AI Research</v>
      </c>
      <c r="E85" s="325" t="str">
        <f>'ALL ML SYSTEMS'!E85</f>
        <v>Industry</v>
      </c>
      <c r="F85" s="325" t="str">
        <f>'ALL ML SYSTEMS'!F85</f>
        <v>Stephen Roller, Emily Dinan, Naman Goyal, Da Ju, Mary Williamson, Yinhan Liu, Jing Xu, Myle Ott, Kurt Shuster, Eric M. Smith, Y-Lan Boureau, Jason Weston</v>
      </c>
      <c r="G85" s="326">
        <f>'ALL ML SYSTEMS'!G85</f>
        <v>44260</v>
      </c>
      <c r="H85" s="327">
        <f>'ALL ML SYSTEMS'!H85</f>
        <v>4260</v>
      </c>
      <c r="I85" s="325" t="str">
        <f>'ALL ML SYSTEMS'!I85</f>
        <v>Recipes for building an open-domain chatbot</v>
      </c>
      <c r="J85" s="337" t="str">
        <f>'ALL ML SYSTEMS'!J85</f>
        <v>https://arxiv.org/abs/2004.13637</v>
      </c>
      <c r="K85" s="338">
        <f>'ALL ML SYSTEMS'!K85</f>
        <v>503</v>
      </c>
      <c r="L85" s="325" t="str">
        <f>'ALL ML SYSTEMS'!L85</f>
        <v>SOTA Improvement</v>
      </c>
      <c r="M85" s="338" t="str">
        <f>'ALL ML SYSTEMS'!M85</f>
        <v>Yes</v>
      </c>
      <c r="N85" s="338">
        <f>'ALL ML SYSTEMS'!N85</f>
        <v>9400000000</v>
      </c>
      <c r="O85" s="338">
        <f>'ALL ML SYSTEMS'!O85</f>
        <v>0</v>
      </c>
      <c r="P85" s="339">
        <f>'ALL ML SYSTEMS'!P85</f>
        <v>0</v>
      </c>
      <c r="Q85" s="338">
        <f>'ALL ML SYSTEMS'!Q85</f>
        <v>0</v>
      </c>
      <c r="R85" s="325">
        <f>'ALL ML SYSTEMS'!R85</f>
        <v>0</v>
      </c>
      <c r="S85" s="338">
        <f>'ALL ML SYSTEMS'!S85</f>
        <v>0</v>
      </c>
      <c r="T85" s="325">
        <f>'ALL ML SYSTEMS'!T85</f>
        <v>0</v>
      </c>
      <c r="U85" s="325">
        <f>'ALL ML SYSTEMS'!U85</f>
        <v>0</v>
      </c>
      <c r="V85" s="325">
        <f>'ALL ML SYSTEMS'!V85</f>
        <v>0</v>
      </c>
      <c r="W85" s="325">
        <f>'ALL ML SYSTEMS'!W85</f>
        <v>0</v>
      </c>
      <c r="X85" s="325">
        <f>'ALL ML SYSTEMS'!X85</f>
        <v>0</v>
      </c>
      <c r="Y85" s="325">
        <f>'ALL ML SYSTEMS'!Y85</f>
        <v>0</v>
      </c>
      <c r="Z85" s="325">
        <f>'ALL ML SYSTEMS'!Z85</f>
        <v>0</v>
      </c>
      <c r="AA85" s="341" t="str">
        <f>'ALL ML SYSTEMS'!AA85</f>
        <v/>
      </c>
      <c r="AB85" s="325">
        <f>'ALL ML SYSTEMS'!AB85</f>
        <v>0</v>
      </c>
      <c r="AC85" s="325">
        <f>'ALL ML SYSTEMS'!AC85</f>
        <v>0</v>
      </c>
      <c r="AD85" s="325" t="str">
        <f>'ALL ML SYSTEMS'!AD85</f>
        <v>Industry</v>
      </c>
    </row>
    <row r="86" customHeight="1" spans="1:30">
      <c r="A86" s="323" t="str">
        <f>'ALL ML SYSTEMS'!A86</f>
        <v>M6-T</v>
      </c>
      <c r="B86" s="323" t="str">
        <f>'ALL ML SYSTEMS'!B86</f>
        <v>Multimodal</v>
      </c>
      <c r="C86" s="323">
        <f>'ALL ML SYSTEMS'!C86</f>
        <v>0</v>
      </c>
      <c r="D86" s="323" t="str">
        <f>'ALL ML SYSTEMS'!D86</f>
        <v>Alibaba Group</v>
      </c>
      <c r="E86" s="323" t="str">
        <f>'ALL ML SYSTEMS'!E86</f>
        <v>Industry</v>
      </c>
      <c r="F86" s="323" t="str">
        <f>'ALL ML SYSTEMS'!F86</f>
        <v>An Yang, Junyang Lin, Rui Men, Chang Zhou, Le Jiang, Xianyan Jia, Ang Wang, Jie Zhang, Jiamang Wang, Yong Li, Di Zhang, Wei Lin, Lin Qu, Jingren Zhou, Hongxia Yang</v>
      </c>
      <c r="G86" s="324">
        <f>'ALL ML SYSTEMS'!G86</f>
        <v>44260</v>
      </c>
      <c r="H86" s="329">
        <f>'ALL ML SYSTEMS'!H86</f>
        <v>4260</v>
      </c>
      <c r="I86" s="323" t="str">
        <f>'ALL ML SYSTEMS'!I86</f>
        <v>M6-T: Exploring Sparse Expert Models and Beyond</v>
      </c>
      <c r="J86" s="334" t="str">
        <f>'ALL ML SYSTEMS'!J86</f>
        <v>https://arxiv.org/abs/2105.15082</v>
      </c>
      <c r="K86" s="335">
        <f>'ALL ML SYSTEMS'!K86</f>
        <v>76</v>
      </c>
      <c r="L86" s="323" t="str">
        <f>'ALL ML SYSTEMS'!L86</f>
        <v>SOTA Improvement</v>
      </c>
      <c r="M86" s="335" t="str">
        <f>'ALL ML SYSTEMS'!M86</f>
        <v>Yes</v>
      </c>
      <c r="N86" s="335">
        <f>'ALL ML SYSTEMS'!N86</f>
        <v>1000000000000</v>
      </c>
      <c r="O86" s="335">
        <f>'ALL ML SYSTEMS'!O86</f>
        <v>0</v>
      </c>
      <c r="P86" s="336" t="str">
        <f>'ALL ML SYSTEMS'!P86</f>
        <v>M6-Corpus</v>
      </c>
      <c r="Q86" s="335">
        <f>'ALL ML SYSTEMS'!Q86</f>
        <v>1900000000000</v>
      </c>
      <c r="R86" s="323">
        <f>'ALL ML SYSTEMS'!R86</f>
        <v>0</v>
      </c>
      <c r="S86" s="335">
        <f>'ALL ML SYSTEMS'!S86</f>
        <v>0</v>
      </c>
      <c r="T86" s="323">
        <f>'ALL ML SYSTEMS'!T86</f>
        <v>0</v>
      </c>
      <c r="U86" s="323">
        <f>'ALL ML SYSTEMS'!U86</f>
        <v>0</v>
      </c>
      <c r="V86" s="323">
        <f>'ALL ML SYSTEMS'!V86</f>
        <v>0</v>
      </c>
      <c r="W86" s="323">
        <f>'ALL ML SYSTEMS'!W86</f>
        <v>0</v>
      </c>
      <c r="X86" s="323">
        <f>'ALL ML SYSTEMS'!X86</f>
        <v>0</v>
      </c>
      <c r="Y86" s="323">
        <f>'ALL ML SYSTEMS'!Y86</f>
        <v>0</v>
      </c>
      <c r="Z86" s="323">
        <f>'ALL ML SYSTEMS'!Z86</f>
        <v>0</v>
      </c>
      <c r="AA86" s="340" t="str">
        <f>'ALL ML SYSTEMS'!AA86</f>
        <v/>
      </c>
      <c r="AB86" s="323" t="str">
        <f>'ALL ML SYSTEMS'!AB86</f>
        <v>Yes</v>
      </c>
      <c r="AC86" s="323">
        <f>'ALL ML SYSTEMS'!AC86</f>
        <v>0</v>
      </c>
      <c r="AD86" s="323" t="str">
        <f>'ALL ML SYSTEMS'!AD86</f>
        <v>Industry</v>
      </c>
    </row>
    <row r="87" hidden="1" customHeight="1" spans="1:30">
      <c r="A87" s="325" t="str">
        <f>'ALL ML SYSTEMS'!A87</f>
        <v>DLRM-12T</v>
      </c>
      <c r="B87" s="325" t="str">
        <f>'ALL ML SYSTEMS'!B87</f>
        <v>Recommendation</v>
      </c>
      <c r="C87" s="325">
        <f>'ALL ML SYSTEMS'!C87</f>
        <v>0</v>
      </c>
      <c r="D87" s="325" t="str">
        <f>'ALL ML SYSTEMS'!D87</f>
        <v>Facebook AI</v>
      </c>
      <c r="E87" s="325" t="str">
        <f>'ALL ML SYSTEMS'!E87</f>
        <v>Industry</v>
      </c>
      <c r="F87" s="325" t="str">
        <f>'ALL ML SYSTEMS'!F87</f>
        <v>Dheevatsa Mudigere, Yuchen Hao, Jianyu Huang, Andrew Tulloch, Srinivas Sridharan, Xing Liu, Mustafa Ozdal, Jade Nie, Jongsoo Park, Liang Luo, Jie Amy Yang, Leon Gao, Dmytro Ivchenko, Aarti Basant, Yuxi Hu, Jiyan Yang, Ehsan K. Ardestani, Xiaodong Wang, Rakesh Komuravelli, Ching-Hsiang Chu, Serhat Yilmaz, Huayu Li, Jiyuan Qian, Zhuobo Feng, Yinbin Ma, Junjie Yang, Ellie Wen, Hong Li, Lin Yang, Chonglin Sun, Whitney Zhao, Dimitry Melts, Krishna Dhulipala, KR Kishore, Tyler Graf, Assaf Eisenman, Kiran Kumar Matam, Adi Gangidi, Guoqiang Jerry Chen, Manoj Krishnan, Avinash Nayak, Krishnakumar Nair, Bharath Muthiah, Mahmoud khorashadi, Pallab Bhattacharya, Petr Lapukhov, Maxim Naumov, Lin Qiao, Mikhail Smelyanskiy, Bill Jia, Vijay Rao</v>
      </c>
      <c r="G87" s="326">
        <f>'ALL ML SYSTEMS'!G87</f>
        <v>44298</v>
      </c>
      <c r="H87" s="327">
        <f>'ALL ML SYSTEMS'!H87</f>
        <v>4298</v>
      </c>
      <c r="I87" s="325" t="str">
        <f>'ALL ML SYSTEMS'!I87</f>
        <v>Software-Hardware Co-design for Fast and Scalable Training of Deep Learning Recommendation Models</v>
      </c>
      <c r="J87" s="337" t="str">
        <f>'ALL ML SYSTEMS'!J87</f>
        <v>https://arxiv.org/abs/2104.05158</v>
      </c>
      <c r="K87" s="338">
        <f>'ALL ML SYSTEMS'!K87</f>
        <v>10</v>
      </c>
      <c r="L87" s="325">
        <f>'ALL ML SYSTEMS'!L87</f>
        <v>0</v>
      </c>
      <c r="M87" s="338" t="str">
        <f>'ALL ML SYSTEMS'!M87</f>
        <v>No</v>
      </c>
      <c r="N87" s="338">
        <f>'ALL ML SYSTEMS'!N87</f>
        <v>12000000000000</v>
      </c>
      <c r="O87" s="338">
        <f>'ALL ML SYSTEMS'!O87</f>
        <v>0</v>
      </c>
      <c r="P87" s="339">
        <f>'ALL ML SYSTEMS'!P87</f>
        <v>0</v>
      </c>
      <c r="Q87" s="338">
        <f>'ALL ML SYSTEMS'!Q87</f>
        <v>0</v>
      </c>
      <c r="R87" s="325">
        <f>'ALL ML SYSTEMS'!R87</f>
        <v>0</v>
      </c>
      <c r="S87" s="338">
        <f>'ALL ML SYSTEMS'!S87</f>
        <v>0</v>
      </c>
      <c r="T87" s="325">
        <f>'ALL ML SYSTEMS'!T87</f>
        <v>0</v>
      </c>
      <c r="U87" s="325">
        <f>'ALL ML SYSTEMS'!U87</f>
        <v>0</v>
      </c>
      <c r="V87" s="325">
        <f>'ALL ML SYSTEMS'!V87</f>
        <v>0</v>
      </c>
      <c r="W87" s="325">
        <f>'ALL ML SYSTEMS'!W87</f>
        <v>0</v>
      </c>
      <c r="X87" s="325">
        <f>'ALL ML SYSTEMS'!X87</f>
        <v>0</v>
      </c>
      <c r="Y87" s="325">
        <f>'ALL ML SYSTEMS'!Y87</f>
        <v>0</v>
      </c>
      <c r="Z87" s="325">
        <f>'ALL ML SYSTEMS'!Z87</f>
        <v>0</v>
      </c>
      <c r="AA87" s="341" t="str">
        <f>'ALL ML SYSTEMS'!AA87</f>
        <v/>
      </c>
      <c r="AB87" s="325"/>
      <c r="AC87" s="325">
        <f>'ALL ML SYSTEMS'!AB87</f>
        <v>0</v>
      </c>
      <c r="AD87" s="325">
        <f>'ALL ML SYSTEMS'!AC87</f>
        <v>0</v>
      </c>
    </row>
    <row r="88" hidden="1" customHeight="1" spans="1:30">
      <c r="A88" s="323" t="str">
        <f>'ALL ML SYSTEMS'!A88</f>
        <v>Wu Dao 2.0</v>
      </c>
      <c r="B88" s="323" t="str">
        <f>'ALL ML SYSTEMS'!B88</f>
        <v>Multimodal</v>
      </c>
      <c r="C88" s="323">
        <f>'ALL ML SYSTEMS'!C88</f>
        <v>0</v>
      </c>
      <c r="D88" s="323" t="str">
        <f>'ALL ML SYSTEMS'!D88</f>
        <v>BAAI</v>
      </c>
      <c r="E88" s="323" t="str">
        <f>'ALL ML SYSTEMS'!E88</f>
        <v>Non-profit</v>
      </c>
      <c r="F88" s="323" t="str">
        <f>'ALL ML SYSTEMS'!F88</f>
        <v>A Tarantola</v>
      </c>
      <c r="G88" s="324">
        <f>'ALL ML SYSTEMS'!G88</f>
        <v>44348</v>
      </c>
      <c r="H88" s="329">
        <f>'ALL ML SYSTEMS'!H88</f>
        <v>4348</v>
      </c>
      <c r="I88" s="323" t="str">
        <f>'ALL ML SYSTEMS'!I88</f>
        <v>China's gigantic multi-modal AI is no one-trick pony</v>
      </c>
      <c r="J88" s="334" t="str">
        <f>'ALL ML SYSTEMS'!J88</f>
        <v>https://www.engadget.com/chinas-gigantic-multi-modal-ai-is-no-one-trick-pony-211414388.html</v>
      </c>
      <c r="K88" s="335">
        <f>'ALL ML SYSTEMS'!K88</f>
        <v>0</v>
      </c>
      <c r="L88" s="323">
        <f>'ALL ML SYSTEMS'!L88</f>
        <v>0</v>
      </c>
      <c r="M88" s="335" t="str">
        <f>'ALL ML SYSTEMS'!M88</f>
        <v>No</v>
      </c>
      <c r="N88" s="335">
        <f>'ALL ML SYSTEMS'!N88</f>
        <v>1750000000000</v>
      </c>
      <c r="O88" s="335">
        <f>'ALL ML SYSTEMS'!O88</f>
        <v>0</v>
      </c>
      <c r="P88" s="336">
        <f>'ALL ML SYSTEMS'!P88</f>
        <v>0</v>
      </c>
      <c r="Q88" s="335">
        <f>'ALL ML SYSTEMS'!Q88</f>
        <v>0</v>
      </c>
      <c r="R88" s="323">
        <f>'ALL ML SYSTEMS'!R88</f>
        <v>0</v>
      </c>
      <c r="S88" s="335">
        <f>'ALL ML SYSTEMS'!S88</f>
        <v>0</v>
      </c>
      <c r="T88" s="323">
        <f>'ALL ML SYSTEMS'!T88</f>
        <v>0</v>
      </c>
      <c r="U88" s="323">
        <f>'ALL ML SYSTEMS'!U88</f>
        <v>0</v>
      </c>
      <c r="V88" s="323">
        <f>'ALL ML SYSTEMS'!V88</f>
        <v>0</v>
      </c>
      <c r="W88" s="323">
        <f>'ALL ML SYSTEMS'!W88</f>
        <v>0</v>
      </c>
      <c r="X88" s="323">
        <f>'ALL ML SYSTEMS'!X88</f>
        <v>0</v>
      </c>
      <c r="Y88" s="323">
        <f>'ALL ML SYSTEMS'!Y88</f>
        <v>0</v>
      </c>
      <c r="Z88" s="323">
        <f>'ALL ML SYSTEMS'!Z88</f>
        <v>0</v>
      </c>
      <c r="AA88" s="340" t="str">
        <f>'ALL ML SYSTEMS'!AA88</f>
        <v/>
      </c>
      <c r="AB88" s="323"/>
      <c r="AC88" s="323">
        <f>'ALL ML SYSTEMS'!AB88</f>
        <v>0</v>
      </c>
      <c r="AD88" s="323">
        <f>'ALL ML SYSTEMS'!AC88</f>
        <v>0</v>
      </c>
    </row>
    <row r="89" customHeight="1" spans="1:30">
      <c r="A89" s="325" t="str">
        <f>'ALL ML SYSTEMS'!A89</f>
        <v>Codex</v>
      </c>
      <c r="B89" s="325" t="str">
        <f>'ALL ML SYSTEMS'!B89</f>
        <v>Language</v>
      </c>
      <c r="C89" s="325" t="str">
        <f>'ALL ML SYSTEMS'!C89</f>
        <v>Code autocompletion</v>
      </c>
      <c r="D89" s="325" t="str">
        <f>'ALL ML SYSTEMS'!D89</f>
        <v>Open AI</v>
      </c>
      <c r="E89" s="325" t="str">
        <f>'ALL ML SYSTEMS'!E89</f>
        <v>Industry</v>
      </c>
      <c r="F89" s="325" t="str">
        <f>'ALL ML SYSTEMS'!F89</f>
        <v>Mark Chen , Jerry Tworek, Heewoo Jun, Qiming Yuan, Henrique Ponde de Oliveira Pinto, Jared Kaplan, Harri Edwards, Yuri Burda, Nicholas Joseph, Greg Brockman, Alex Ray, Raul Puri, Gretchen Krueger,  Michael Petrov, Heidy Khlaaf, Girish Sastry, Pamela Mishkin, Brooke Chan, Scott Gray, Nick Ryder, Mikhail Pavlov, Alethea Power, Lukasz Kaiser, Clemens Winter, Philippe Tillet, Felipe Petroski Such, Dave Cummings, Fotios Chantzis, Elizabeth Barnes, Ariel Herbert-Voss, William Hebgen Guss, Nikolas Tezak, Jie Tang, Igor Babuschkin, Suchir Balaji,  Shantanu Jain, William Saunders, Christopher Hesse, Andrew N. Carr, Jan Leike, Josh Achiam, Vedant Misra, Evan Morikawa, Alec Radford, Matthew Knight, Miles Brundage, Mira Murati, Katie Mayer, Peter Welinder, Bob McGrew, Dario Amodei, Sam McCandlish, Ilya Sutskever, Wojciech Zaremba </v>
      </c>
      <c r="G89" s="326">
        <f>'ALL ML SYSTEMS'!G89</f>
        <v>44384</v>
      </c>
      <c r="H89" s="327">
        <f>'ALL ML SYSTEMS'!H89</f>
        <v>4384</v>
      </c>
      <c r="I89" s="325" t="str">
        <f>'ALL ML SYSTEMS'!I89</f>
        <v>Evaluating Large Language Models Trained on Code</v>
      </c>
      <c r="J89" s="337" t="str">
        <f>'ALL ML SYSTEMS'!J89</f>
        <v>https://openai.com/blog/openai-codex/</v>
      </c>
      <c r="K89" s="338">
        <f>'ALL ML SYSTEMS'!K89</f>
        <v>301</v>
      </c>
      <c r="L89" s="325" t="str">
        <f>'ALL ML SYSTEMS'!L89</f>
        <v>Significant use</v>
      </c>
      <c r="M89" s="338" t="str">
        <f>'ALL ML SYSTEMS'!M89</f>
        <v>Yes</v>
      </c>
      <c r="N89" s="338">
        <f>'ALL ML SYSTEMS'!N89</f>
        <v>12000000000</v>
      </c>
      <c r="O89" s="338">
        <f>'ALL ML SYSTEMS'!O89</f>
        <v>0</v>
      </c>
      <c r="P89" s="339">
        <f>'ALL ML SYSTEMS'!P89</f>
        <v>0</v>
      </c>
      <c r="Q89" s="338">
        <f>'ALL ML SYSTEMS'!Q89</f>
        <v>31800000000</v>
      </c>
      <c r="R89" s="325">
        <f>'ALL ML SYSTEMS'!R89</f>
        <v>0</v>
      </c>
      <c r="S89" s="338">
        <f>'ALL ML SYSTEMS'!S89</f>
        <v>0</v>
      </c>
      <c r="T89" s="325">
        <f>'ALL ML SYSTEMS'!T89</f>
        <v>0</v>
      </c>
      <c r="U89" s="325">
        <f>'ALL ML SYSTEMS'!U89</f>
        <v>0</v>
      </c>
      <c r="V89" s="325">
        <f>'ALL ML SYSTEMS'!V89</f>
        <v>0</v>
      </c>
      <c r="W89" s="325">
        <f>'ALL ML SYSTEMS'!W89</f>
        <v>0</v>
      </c>
      <c r="X89" s="325">
        <f>'ALL ML SYSTEMS'!X89</f>
        <v>0</v>
      </c>
      <c r="Y89" s="325">
        <f>'ALL ML SYSTEMS'!Y89</f>
        <v>0</v>
      </c>
      <c r="Z89" s="325">
        <f>'ALL ML SYSTEMS'!Z89</f>
        <v>0</v>
      </c>
      <c r="AA89" s="341" t="str">
        <f>'ALL ML SYSTEMS'!AA89</f>
        <v/>
      </c>
      <c r="AB89" s="325" t="str">
        <f>'ALL ML SYSTEMS'!AB89</f>
        <v>Yes</v>
      </c>
      <c r="AC89" s="325">
        <f>'ALL ML SYSTEMS'!AC89</f>
        <v>0</v>
      </c>
      <c r="AD89" s="325" t="str">
        <f>'ALL ML SYSTEMS'!AD89</f>
        <v>Industry</v>
      </c>
    </row>
    <row r="90" customHeight="1" spans="1:30">
      <c r="A90" s="323" t="str">
        <f>'ALL ML SYSTEMS'!A90</f>
        <v>XLMR-XXL</v>
      </c>
      <c r="B90" s="323" t="str">
        <f>'ALL ML SYSTEMS'!B90</f>
        <v>Language</v>
      </c>
      <c r="C90" s="323">
        <f>'ALL ML SYSTEMS'!C90</f>
        <v>0</v>
      </c>
      <c r="D90" s="323" t="str">
        <f>'ALL ML SYSTEMS'!D90</f>
        <v>Facebook AI Research</v>
      </c>
      <c r="E90" s="323" t="str">
        <f>'ALL ML SYSTEMS'!E90</f>
        <v>Industry</v>
      </c>
      <c r="F90" s="323" t="str">
        <f>'ALL ML SYSTEMS'!F90</f>
        <v>Naman Goyal, Jingfei Du, Myle Ott, Giri Anantharaman, Alexis Conneau</v>
      </c>
      <c r="G90" s="324">
        <f>'ALL ML SYSTEMS'!G90</f>
        <v>44425</v>
      </c>
      <c r="H90" s="329">
        <f>'ALL ML SYSTEMS'!H90</f>
        <v>4425</v>
      </c>
      <c r="I90" s="323" t="str">
        <f>'ALL ML SYSTEMS'!I90</f>
        <v>Larger-Scale Transformers for Multilingual Masked Language Modeling</v>
      </c>
      <c r="J90" s="334" t="str">
        <f>'ALL ML SYSTEMS'!J90</f>
        <v>https://arxiv.org/abs/2105.00572</v>
      </c>
      <c r="K90" s="335">
        <f>'ALL ML SYSTEMS'!K90</f>
        <v>18</v>
      </c>
      <c r="L90" s="323" t="str">
        <f>'ALL ML SYSTEMS'!L90</f>
        <v>SOTA Improvement</v>
      </c>
      <c r="M90" s="335" t="str">
        <f>'ALL ML SYSTEMS'!M90</f>
        <v>Yes</v>
      </c>
      <c r="N90" s="335">
        <f>'ALL ML SYSTEMS'!N90</f>
        <v>10700000000</v>
      </c>
      <c r="O90" s="335">
        <f>'ALL ML SYSTEMS'!O90</f>
        <v>0</v>
      </c>
      <c r="P90" s="336" t="str">
        <f>'ALL ML SYSTEMS'!P90</f>
        <v>CC100</v>
      </c>
      <c r="Q90" s="335">
        <f>'ALL ML SYSTEMS'!Q90</f>
        <v>125250000000</v>
      </c>
      <c r="R90" s="323">
        <f>'ALL ML SYSTEMS'!R90</f>
        <v>0</v>
      </c>
      <c r="S90" s="335">
        <f>'ALL ML SYSTEMS'!S90</f>
        <v>0</v>
      </c>
      <c r="T90" s="323">
        <f>'ALL ML SYSTEMS'!T90</f>
        <v>0</v>
      </c>
      <c r="U90" s="323">
        <f>'ALL ML SYSTEMS'!U90</f>
        <v>0</v>
      </c>
      <c r="V90" s="323">
        <f>'ALL ML SYSTEMS'!V90</f>
        <v>0</v>
      </c>
      <c r="W90" s="323">
        <f>'ALL ML SYSTEMS'!W90</f>
        <v>0</v>
      </c>
      <c r="X90" s="323">
        <f>'ALL ML SYSTEMS'!X90</f>
        <v>0</v>
      </c>
      <c r="Y90" s="323">
        <f>'ALL ML SYSTEMS'!Y90</f>
        <v>0</v>
      </c>
      <c r="Z90" s="323">
        <f>'ALL ML SYSTEMS'!Z90</f>
        <v>0</v>
      </c>
      <c r="AA90" s="340" t="str">
        <f>'ALL ML SYSTEMS'!AA90</f>
        <v/>
      </c>
      <c r="AB90" s="323">
        <f>'ALL ML SYSTEMS'!AB90</f>
        <v>0</v>
      </c>
      <c r="AC90" s="323">
        <f>'ALL ML SYSTEMS'!AC90</f>
        <v>0</v>
      </c>
      <c r="AD90" s="323" t="str">
        <f>'ALL ML SYSTEMS'!AD90</f>
        <v>Industry</v>
      </c>
    </row>
    <row r="91" customHeight="1" spans="1:30">
      <c r="A91" s="325" t="str">
        <f>'ALL ML SYSTEMS'!A91</f>
        <v>FLAN</v>
      </c>
      <c r="B91" s="325" t="str">
        <f>'ALL ML SYSTEMS'!B91</f>
        <v>Language</v>
      </c>
      <c r="C91" s="325">
        <f>'ALL ML SYSTEMS'!C91</f>
        <v>0</v>
      </c>
      <c r="D91" s="325" t="str">
        <f>'ALL ML SYSTEMS'!D91</f>
        <v>Google Research</v>
      </c>
      <c r="E91" s="325" t="str">
        <f>'ALL ML SYSTEMS'!E91</f>
        <v>Industry</v>
      </c>
      <c r="F91" s="325" t="str">
        <f>'ALL ML SYSTEMS'!F91</f>
        <v>Jason Wei, Maarten Bosma, Vincent Y. Zhao, Kelvin Guu, Adams Wei Yu, Brian Lester, Nan Du, Andrew M. Dai, Quoc V. Le</v>
      </c>
      <c r="G91" s="326">
        <f>'ALL ML SYSTEMS'!G91</f>
        <v>44442</v>
      </c>
      <c r="H91" s="327">
        <f>'ALL ML SYSTEMS'!H91</f>
        <v>4442</v>
      </c>
      <c r="I91" s="325" t="str">
        <f>'ALL ML SYSTEMS'!I91</f>
        <v>Finetuned Language Models Are Zero-Shot Learners</v>
      </c>
      <c r="J91" s="337" t="str">
        <f>'ALL ML SYSTEMS'!J91</f>
        <v>https://arxiv.org/abs/2109.01652</v>
      </c>
      <c r="K91" s="338">
        <f>'ALL ML SYSTEMS'!K91</f>
        <v>240</v>
      </c>
      <c r="L91" s="325" t="str">
        <f>'ALL ML SYSTEMS'!L91</f>
        <v>SOTA Improvement</v>
      </c>
      <c r="M91" s="338" t="str">
        <f>'ALL ML SYSTEMS'!M91</f>
        <v>Yes</v>
      </c>
      <c r="N91" s="338">
        <f>'ALL ML SYSTEMS'!N91</f>
        <v>137000000000</v>
      </c>
      <c r="O91" s="338">
        <f>'ALL ML SYSTEMS'!O91</f>
        <v>0</v>
      </c>
      <c r="P91" s="339">
        <f>'ALL ML SYSTEMS'!P91</f>
        <v>0</v>
      </c>
      <c r="Q91" s="338">
        <f>'ALL ML SYSTEMS'!Q91</f>
        <v>1867500000000</v>
      </c>
      <c r="R91" s="325">
        <f>'ALL ML SYSTEMS'!R91</f>
        <v>0</v>
      </c>
      <c r="S91" s="338">
        <f>'ALL ML SYSTEMS'!S91</f>
        <v>0</v>
      </c>
      <c r="T91" s="325">
        <f>'ALL ML SYSTEMS'!T91</f>
        <v>0</v>
      </c>
      <c r="U91" s="325">
        <f>'ALL ML SYSTEMS'!U91</f>
        <v>0</v>
      </c>
      <c r="V91" s="325">
        <f>'ALL ML SYSTEMS'!V91</f>
        <v>0</v>
      </c>
      <c r="W91" s="325">
        <f>'ALL ML SYSTEMS'!W91</f>
        <v>0</v>
      </c>
      <c r="X91" s="325">
        <f>'ALL ML SYSTEMS'!X91</f>
        <v>0</v>
      </c>
      <c r="Y91" s="325">
        <f>'ALL ML SYSTEMS'!Y91</f>
        <v>0</v>
      </c>
      <c r="Z91" s="325">
        <f>'ALL ML SYSTEMS'!Z91</f>
        <v>0</v>
      </c>
      <c r="AA91" s="341" t="str">
        <f>'ALL ML SYSTEMS'!AA91</f>
        <v/>
      </c>
      <c r="AB91" s="325" t="str">
        <f>'ALL ML SYSTEMS'!AB91</f>
        <v>Yes</v>
      </c>
      <c r="AC91" s="325">
        <f>'ALL ML SYSTEMS'!AC91</f>
        <v>0</v>
      </c>
      <c r="AD91" s="325" t="str">
        <f>'ALL ML SYSTEMS'!AD91</f>
        <v>Industry</v>
      </c>
    </row>
    <row r="92" customHeight="1" spans="1:30">
      <c r="A92" s="323" t="str">
        <f>'ALL ML SYSTEMS'!A92</f>
        <v>MEB</v>
      </c>
      <c r="B92" s="323" t="str">
        <f>'ALL ML SYSTEMS'!B92</f>
        <v>Search</v>
      </c>
      <c r="C92" s="323">
        <f>'ALL ML SYSTEMS'!C92</f>
        <v>0</v>
      </c>
      <c r="D92" s="323" t="str">
        <f>'ALL ML SYSTEMS'!D92</f>
        <v>Microsoft Bing</v>
      </c>
      <c r="E92" s="323" t="str">
        <f>'ALL ML SYSTEMS'!E92</f>
        <v>Industry</v>
      </c>
      <c r="F92" s="323" t="str">
        <f>'ALL ML SYSTEMS'!F92</f>
        <v>W Liu, Z Wang, X Liu, N Zeng, Y Liu, FE Alsaadi</v>
      </c>
      <c r="G92" s="324">
        <f>'ALL ML SYSTEMS'!G92</f>
        <v>44443</v>
      </c>
      <c r="H92" s="329">
        <f>'ALL ML SYSTEMS'!H92</f>
        <v>4443</v>
      </c>
      <c r="I92" s="323" t="str">
        <f>'ALL ML SYSTEMS'!I92</f>
        <v>Make Every feature Binary: A 135B parameter sparse neural network for massively improved search relevance</v>
      </c>
      <c r="J92" s="334" t="str">
        <f>'ALL ML SYSTEMS'!J92</f>
        <v>https://www.microsoft.com/en-us/research/blog/make-every-feature-binary-a-135b-parameter-sparse-neural-network-for-massively-improved-search-relevance/</v>
      </c>
      <c r="K92" s="335">
        <f>'ALL ML SYSTEMS'!K92</f>
        <v>26</v>
      </c>
      <c r="L92" s="323" t="str">
        <f>'ALL ML SYSTEMS'!L92</f>
        <v>Significant use</v>
      </c>
      <c r="M92" s="335" t="str">
        <f>'ALL ML SYSTEMS'!M92</f>
        <v>Yes</v>
      </c>
      <c r="N92" s="335">
        <f>'ALL ML SYSTEMS'!N92</f>
        <v>135000000000</v>
      </c>
      <c r="O92" s="335">
        <f>'ALL ML SYSTEMS'!O92</f>
        <v>0</v>
      </c>
      <c r="P92" s="336">
        <f>'ALL ML SYSTEMS'!P92</f>
        <v>0</v>
      </c>
      <c r="Q92" s="335">
        <f>'ALL ML SYSTEMS'!Q92</f>
        <v>0</v>
      </c>
      <c r="R92" s="323">
        <f>'ALL ML SYSTEMS'!R92</f>
        <v>0</v>
      </c>
      <c r="S92" s="335">
        <f>'ALL ML SYSTEMS'!S92</f>
        <v>0</v>
      </c>
      <c r="T92" s="323">
        <f>'ALL ML SYSTEMS'!T92</f>
        <v>0</v>
      </c>
      <c r="U92" s="323">
        <f>'ALL ML SYSTEMS'!U92</f>
        <v>0</v>
      </c>
      <c r="V92" s="323">
        <f>'ALL ML SYSTEMS'!V92</f>
        <v>0</v>
      </c>
      <c r="W92" s="323">
        <f>'ALL ML SYSTEMS'!W92</f>
        <v>0</v>
      </c>
      <c r="X92" s="323">
        <f>'ALL ML SYSTEMS'!X92</f>
        <v>0</v>
      </c>
      <c r="Y92" s="323">
        <f>'ALL ML SYSTEMS'!Y92</f>
        <v>0</v>
      </c>
      <c r="Z92" s="323">
        <f>'ALL ML SYSTEMS'!Z92</f>
        <v>0</v>
      </c>
      <c r="AA92" s="340" t="str">
        <f>'ALL ML SYSTEMS'!AA92</f>
        <v/>
      </c>
      <c r="AB92" s="323">
        <f>'ALL ML SYSTEMS'!AB92</f>
        <v>0</v>
      </c>
      <c r="AC92" s="323">
        <f>'ALL ML SYSTEMS'!AC92</f>
        <v>0</v>
      </c>
      <c r="AD92" s="323" t="str">
        <f>'ALL ML SYSTEMS'!AD92</f>
        <v>Industry</v>
      </c>
    </row>
    <row r="93" hidden="1" customHeight="1" spans="1:30">
      <c r="A93" s="325" t="str">
        <f>'ALL ML SYSTEMS'!A93</f>
        <v>T0-XXL</v>
      </c>
      <c r="B93" s="325" t="str">
        <f>'ALL ML SYSTEMS'!B93</f>
        <v>Language</v>
      </c>
      <c r="C93" s="325">
        <f>'ALL ML SYSTEMS'!C93</f>
        <v>0</v>
      </c>
      <c r="D93" s="325" t="str">
        <f>'ALL ML SYSTEMS'!D93</f>
        <v>Hugging Face, Brown University, BigScience</v>
      </c>
      <c r="E93" s="325" t="str">
        <f>'ALL ML SYSTEMS'!E93</f>
        <v>Industry - Academia Collaboration (Industry leaning)</v>
      </c>
      <c r="F93" s="325" t="str">
        <f>'ALL ML SYSTEMS'!F93</f>
        <v>Victor Sanh, Albert Webson, Colin Raffel, Stephen H. Bach, Lintang Sutawika, Zaid Alyafeai, Antoine Chaffin, Arnaud Stiegler, Teven Le Scao, Arun Raja, Manan Dey, M Saiful Bari, Canwen Xu, Urmish Thakker, Shanya Sharma Sharma, Eliza Szczechla, Taewoon Kim, Gunjan Chhablani, Nihal Nayak, Debajyoti Datta, Jonathan Chang, Mike Tian-Jian Jiang, Han Wang, Matteo Manica, Sheng Shen, Zheng Xin Yong, Harshit Pandey, Rachel Bawden, Thomas Wang, Trishala Neeraj, Jos Rozen, Abheesht Sharma, Andrea Santilli, Thibault Fevry, Jason Alan Fries, Ryan Teehan, Stella Biderman, Leo Gao, Tali Bers, Thomas Wolf, Alexander M. Rush</v>
      </c>
      <c r="G93" s="326">
        <f>'ALL ML SYSTEMS'!G93</f>
        <v>44484</v>
      </c>
      <c r="H93" s="327">
        <f>'ALL ML SYSTEMS'!H93</f>
        <v>4484</v>
      </c>
      <c r="I93" s="325" t="str">
        <f>'ALL ML SYSTEMS'!I93</f>
        <v>Multitask Prompted Training Enables Zero-Shot Task Generalization</v>
      </c>
      <c r="J93" s="337" t="str">
        <f>'ALL ML SYSTEMS'!J93</f>
        <v>https://arxiv.org/abs/2110.08207</v>
      </c>
      <c r="K93" s="338">
        <f>'ALL ML SYSTEMS'!K93</f>
        <v>243</v>
      </c>
      <c r="L93" s="325">
        <f>'ALL ML SYSTEMS'!L93</f>
        <v>0</v>
      </c>
      <c r="M93" s="338" t="str">
        <f>'ALL ML SYSTEMS'!M93</f>
        <v>No</v>
      </c>
      <c r="N93" s="338">
        <f>'ALL ML SYSTEMS'!N93</f>
        <v>11000000000</v>
      </c>
      <c r="O93" s="338">
        <f>'ALL ML SYSTEMS'!O93</f>
        <v>0</v>
      </c>
      <c r="P93" s="339">
        <f>'ALL ML SYSTEMS'!P93</f>
        <v>0</v>
      </c>
      <c r="Q93" s="338">
        <f>'ALL ML SYSTEMS'!Q93</f>
        <v>0</v>
      </c>
      <c r="R93" s="325">
        <f>'ALL ML SYSTEMS'!R93</f>
        <v>0</v>
      </c>
      <c r="S93" s="338">
        <f>'ALL ML SYSTEMS'!S93</f>
        <v>0</v>
      </c>
      <c r="T93" s="325">
        <f>'ALL ML SYSTEMS'!T93</f>
        <v>0</v>
      </c>
      <c r="U93" s="325">
        <f>'ALL ML SYSTEMS'!U93</f>
        <v>0</v>
      </c>
      <c r="V93" s="325">
        <f>'ALL ML SYSTEMS'!V93</f>
        <v>0</v>
      </c>
      <c r="W93" s="325">
        <f>'ALL ML SYSTEMS'!W93</f>
        <v>0</v>
      </c>
      <c r="X93" s="325">
        <f>'ALL ML SYSTEMS'!X93</f>
        <v>0</v>
      </c>
      <c r="Y93" s="325">
        <f>'ALL ML SYSTEMS'!Y93</f>
        <v>0</v>
      </c>
      <c r="Z93" s="325">
        <f>'ALL ML SYSTEMS'!Z93</f>
        <v>0</v>
      </c>
      <c r="AA93" s="341" t="str">
        <f>'ALL ML SYSTEMS'!AA93</f>
        <v/>
      </c>
      <c r="AB93" s="325"/>
      <c r="AC93" s="325">
        <f>'ALL ML SYSTEMS'!AB93</f>
        <v>0</v>
      </c>
      <c r="AD93" s="325">
        <f>'ALL ML SYSTEMS'!AC93</f>
        <v>0</v>
      </c>
    </row>
    <row r="94" hidden="1" customHeight="1" spans="1:30">
      <c r="A94" s="323" t="str">
        <f>'ALL ML SYSTEMS'!A94</f>
        <v>Cloob</v>
      </c>
      <c r="B94" s="323" t="str">
        <f>'ALL ML SYSTEMS'!B94</f>
        <v>Multimodal</v>
      </c>
      <c r="C94" s="323">
        <f>'ALL ML SYSTEMS'!C94</f>
        <v>0</v>
      </c>
      <c r="D94" s="323" t="str">
        <f>'ALL ML SYSTEMS'!D94</f>
        <v>Ellis Unit Linz and LIT AI Lab, Johannes Kepler University, IARIA Vienna, HERE Technologies</v>
      </c>
      <c r="E94" s="323" t="str">
        <f>'ALL ML SYSTEMS'!E94</f>
        <v>Industry - Academia Collaboration (Academia Leaning)</v>
      </c>
      <c r="F94" s="323" t="str">
        <f>'ALL ML SYSTEMS'!F94</f>
        <v>Andreas Fürst ∗Elisabeth Rumetshofer ∗Johannes Lehner,Viet Tran,Fei Tang, Hubert Ramsauer, David Kreil, Michael Kopp, Günter Klambauer, Angela Bitto-Nemling, Sepp Hochreiter</v>
      </c>
      <c r="G94" s="324">
        <f>'ALL ML SYSTEMS'!G94</f>
        <v>44490</v>
      </c>
      <c r="H94" s="329">
        <f>'ALL ML SYSTEMS'!H94</f>
        <v>4490</v>
      </c>
      <c r="I94" s="323" t="str">
        <f>'ALL ML SYSTEMS'!I94</f>
        <v>CLOOB: Modern Hopfield Networks with InfoLOOB Outperform CLIP</v>
      </c>
      <c r="J94" s="334" t="str">
        <f>'ALL ML SYSTEMS'!J94</f>
        <v>https://arxiv.org/abs/2110.11316</v>
      </c>
      <c r="K94" s="335">
        <f>'ALL ML SYSTEMS'!K94</f>
        <v>20</v>
      </c>
      <c r="L94" s="323">
        <f>'ALL ML SYSTEMS'!L94</f>
        <v>0</v>
      </c>
      <c r="M94" s="335" t="str">
        <f>'ALL ML SYSTEMS'!M94</f>
        <v>No</v>
      </c>
      <c r="N94" s="335">
        <f>'ALL ML SYSTEMS'!N94</f>
        <v>0</v>
      </c>
      <c r="O94" s="335">
        <f>'ALL ML SYSTEMS'!O94</f>
        <v>0</v>
      </c>
      <c r="P94" s="336">
        <f>'ALL ML SYSTEMS'!P94</f>
        <v>0</v>
      </c>
      <c r="Q94" s="335">
        <f>'ALL ML SYSTEMS'!Q94</f>
        <v>15000000</v>
      </c>
      <c r="R94" s="323">
        <f>'ALL ML SYSTEMS'!R94</f>
        <v>0</v>
      </c>
      <c r="S94" s="335">
        <f>'ALL ML SYSTEMS'!S94</f>
        <v>0</v>
      </c>
      <c r="T94" s="323">
        <f>'ALL ML SYSTEMS'!T94</f>
        <v>0</v>
      </c>
      <c r="U94" s="323">
        <f>'ALL ML SYSTEMS'!U94</f>
        <v>0</v>
      </c>
      <c r="V94" s="323">
        <f>'ALL ML SYSTEMS'!V94</f>
        <v>0</v>
      </c>
      <c r="W94" s="323">
        <f>'ALL ML SYSTEMS'!W94</f>
        <v>0</v>
      </c>
      <c r="X94" s="323">
        <f>'ALL ML SYSTEMS'!X94</f>
        <v>0</v>
      </c>
      <c r="Y94" s="323">
        <f>'ALL ML SYSTEMS'!Y94</f>
        <v>0</v>
      </c>
      <c r="Z94" s="323">
        <f>'ALL ML SYSTEMS'!Z94</f>
        <v>0</v>
      </c>
      <c r="AA94" s="340" t="str">
        <f>'ALL ML SYSTEMS'!AA94</f>
        <v/>
      </c>
      <c r="AB94" s="323"/>
      <c r="AC94" s="323">
        <f>'ALL ML SYSTEMS'!AB94</f>
        <v>0</v>
      </c>
      <c r="AD94" s="323">
        <f>'ALL ML SYSTEMS'!AC94</f>
        <v>0</v>
      </c>
    </row>
    <row r="95" hidden="1" customHeight="1" spans="1:30">
      <c r="A95" s="325" t="str">
        <f>'ALL ML SYSTEMS'!A95</f>
        <v>EfficientZero</v>
      </c>
      <c r="B95" s="325" t="str">
        <f>'ALL ML SYSTEMS'!B95</f>
        <v>Games</v>
      </c>
      <c r="C95" s="325">
        <f>'ALL ML SYSTEMS'!C95</f>
        <v>0</v>
      </c>
      <c r="D95" s="325" t="str">
        <f>'ALL ML SYSTEMS'!D95</f>
        <v>Tsinghua University, UC Berkeley, Shanghai Qi Zhi institute</v>
      </c>
      <c r="E95" s="325" t="str">
        <f>'ALL ML SYSTEMS'!E95</f>
        <v>Academia</v>
      </c>
      <c r="F95" s="325" t="str">
        <f>'ALL ML SYSTEMS'!F95</f>
        <v>Weirui Ye, Shaohuai Liu, Thanard Kurutach, Pieter Abbeel, Yang Gao</v>
      </c>
      <c r="G95" s="326">
        <f>'ALL ML SYSTEMS'!G95</f>
        <v>44499</v>
      </c>
      <c r="H95" s="327">
        <f>'ALL ML SYSTEMS'!H95</f>
        <v>4499</v>
      </c>
      <c r="I95" s="325" t="str">
        <f>'ALL ML SYSTEMS'!I95</f>
        <v>Mastering Atari Games with Limited Data</v>
      </c>
      <c r="J95" s="337" t="str">
        <f>'ALL ML SYSTEMS'!J95</f>
        <v>https://arxiv.org/abs/2111.00210</v>
      </c>
      <c r="K95" s="338">
        <f>'ALL ML SYSTEMS'!K95</f>
        <v>40</v>
      </c>
      <c r="L95" s="325">
        <f>'ALL ML SYSTEMS'!L95</f>
        <v>0</v>
      </c>
      <c r="M95" s="338" t="str">
        <f>'ALL ML SYSTEMS'!M95</f>
        <v>No</v>
      </c>
      <c r="N95" s="338">
        <f>'ALL ML SYSTEMS'!N95</f>
        <v>0</v>
      </c>
      <c r="O95" s="338">
        <f>'ALL ML SYSTEMS'!O95</f>
        <v>0</v>
      </c>
      <c r="P95" s="339">
        <f>'ALL ML SYSTEMS'!P95</f>
        <v>0</v>
      </c>
      <c r="Q95" s="338">
        <f>'ALL ML SYSTEMS'!Q95</f>
        <v>0</v>
      </c>
      <c r="R95" s="325">
        <f>'ALL ML SYSTEMS'!R95</f>
        <v>0</v>
      </c>
      <c r="S95" s="338">
        <f>'ALL ML SYSTEMS'!S95</f>
        <v>0</v>
      </c>
      <c r="T95" s="325">
        <f>'ALL ML SYSTEMS'!T95</f>
        <v>0</v>
      </c>
      <c r="U95" s="325">
        <f>'ALL ML SYSTEMS'!U95</f>
        <v>0</v>
      </c>
      <c r="V95" s="325">
        <f>'ALL ML SYSTEMS'!V95</f>
        <v>0</v>
      </c>
      <c r="W95" s="325">
        <f>'ALL ML SYSTEMS'!W95</f>
        <v>0</v>
      </c>
      <c r="X95" s="325">
        <f>'ALL ML SYSTEMS'!X95</f>
        <v>0</v>
      </c>
      <c r="Y95" s="325">
        <f>'ALL ML SYSTEMS'!Y95</f>
        <v>0</v>
      </c>
      <c r="Z95" s="325">
        <f>'ALL ML SYSTEMS'!Z95</f>
        <v>0</v>
      </c>
      <c r="AA95" s="341" t="str">
        <f>'ALL ML SYSTEMS'!AA95</f>
        <v/>
      </c>
      <c r="AB95" s="325"/>
      <c r="AC95" s="325">
        <f>'ALL ML SYSTEMS'!AB95</f>
        <v>0</v>
      </c>
      <c r="AD95" s="325">
        <f>'ALL ML SYSTEMS'!AC95</f>
        <v>0</v>
      </c>
    </row>
    <row r="96" hidden="1" customHeight="1" spans="1:30">
      <c r="A96" s="323" t="str">
        <f>'ALL ML SYSTEMS'!A96</f>
        <v>Japanese dialog transformers</v>
      </c>
      <c r="B96" s="323" t="str">
        <f>'ALL ML SYSTEMS'!B96</f>
        <v>Language</v>
      </c>
      <c r="C96" s="323">
        <f>'ALL ML SYSTEMS'!C96</f>
        <v>0</v>
      </c>
      <c r="D96" s="323" t="str">
        <f>'ALL ML SYSTEMS'!D96</f>
        <v>NTT Communication Science Laboratories</v>
      </c>
      <c r="E96" s="323" t="str">
        <f>'ALL ML SYSTEMS'!E96</f>
        <v>Industry</v>
      </c>
      <c r="F96" s="323" t="str">
        <f>'ALL ML SYSTEMS'!F96</f>
        <v>Hiroaki Sugiyama, Masahiro Mizukami, Tsunehiro Arimoto, Hiromi Narimatsu, Yuya Chiba, Hideharu Nakajima, Toyomi Meguro</v>
      </c>
      <c r="G96" s="324">
        <f>'ALL ML SYSTEMS'!G96</f>
        <v>44509</v>
      </c>
      <c r="H96" s="329">
        <f>'ALL ML SYSTEMS'!H96</f>
        <v>4509</v>
      </c>
      <c r="I96" s="323" t="str">
        <f>'ALL ML SYSTEMS'!I96</f>
        <v>Empirical Analysis of Training Strategies of Transformer-based Japanese Chit-chat Systems</v>
      </c>
      <c r="J96" s="334" t="str">
        <f>'ALL ML SYSTEMS'!J96</f>
        <v>https://arxiv.org/abs/2109.05217</v>
      </c>
      <c r="K96" s="335">
        <f>'ALL ML SYSTEMS'!K96</f>
        <v>31</v>
      </c>
      <c r="L96" s="323">
        <f>'ALL ML SYSTEMS'!L96</f>
        <v>0</v>
      </c>
      <c r="M96" s="335" t="str">
        <f>'ALL ML SYSTEMS'!M96</f>
        <v>No</v>
      </c>
      <c r="N96" s="335">
        <f>'ALL ML SYSTEMS'!N96</f>
        <v>1600000000</v>
      </c>
      <c r="O96" s="335">
        <f>'ALL ML SYSTEMS'!O96</f>
        <v>0</v>
      </c>
      <c r="P96" s="336">
        <f>'ALL ML SYSTEMS'!P96</f>
        <v>0</v>
      </c>
      <c r="Q96" s="335">
        <f>'ALL ML SYSTEMS'!Q96</f>
        <v>2100000000</v>
      </c>
      <c r="R96" s="323">
        <f>'ALL ML SYSTEMS'!R96</f>
        <v>0</v>
      </c>
      <c r="S96" s="335">
        <f>'ALL ML SYSTEMS'!S96</f>
        <v>0</v>
      </c>
      <c r="T96" s="323">
        <f>'ALL ML SYSTEMS'!T96</f>
        <v>0</v>
      </c>
      <c r="U96" s="323">
        <f>'ALL ML SYSTEMS'!U96</f>
        <v>0</v>
      </c>
      <c r="V96" s="323">
        <f>'ALL ML SYSTEMS'!V96</f>
        <v>0</v>
      </c>
      <c r="W96" s="323">
        <f>'ALL ML SYSTEMS'!W96</f>
        <v>0</v>
      </c>
      <c r="X96" s="323">
        <f>'ALL ML SYSTEMS'!X96</f>
        <v>0</v>
      </c>
      <c r="Y96" s="323">
        <f>'ALL ML SYSTEMS'!Y96</f>
        <v>0</v>
      </c>
      <c r="Z96" s="323">
        <f>'ALL ML SYSTEMS'!Z96</f>
        <v>0</v>
      </c>
      <c r="AA96" s="340" t="str">
        <f>'ALL ML SYSTEMS'!AA96</f>
        <v/>
      </c>
      <c r="AB96" s="323"/>
      <c r="AC96" s="323">
        <f>'ALL ML SYSTEMS'!AB96</f>
        <v>0</v>
      </c>
      <c r="AD96" s="323">
        <f>'ALL ML SYSTEMS'!AC96</f>
        <v>0</v>
      </c>
    </row>
    <row r="97" customHeight="1" spans="1:30">
      <c r="A97" s="325" t="str">
        <f>'ALL ML SYSTEMS'!A97</f>
        <v>Player of Games</v>
      </c>
      <c r="B97" s="325" t="str">
        <f>'ALL ML SYSTEMS'!B97</f>
        <v>Games</v>
      </c>
      <c r="C97" s="325">
        <f>'ALL ML SYSTEMS'!C97</f>
        <v>0</v>
      </c>
      <c r="D97" s="325" t="str">
        <f>'ALL ML SYSTEMS'!D97</f>
        <v>DeepMind</v>
      </c>
      <c r="E97" s="325" t="str">
        <f>'ALL ML SYSTEMS'!E97</f>
        <v>Industry</v>
      </c>
      <c r="F97" s="325" t="str">
        <f>'ALL ML SYSTEMS'!F97</f>
        <v>Martin Schmid, Matej Moravcik, Neil Burch, Rudolf Kadlec, Josh Davidson, Kevin Waugh, Nolan Bard, Finbarr Timbers, Marc Lanctot, Zach Holland, Elnaz Davoodi, Alden Christianson, Michael Bowling</v>
      </c>
      <c r="G97" s="326">
        <f>'ALL ML SYSTEMS'!G97</f>
        <v>44536</v>
      </c>
      <c r="H97" s="327">
        <f>'ALL ML SYSTEMS'!H97</f>
        <v>2021</v>
      </c>
      <c r="I97" s="325" t="str">
        <f>'ALL ML SYSTEMS'!I97</f>
        <v>Player of Games</v>
      </c>
      <c r="J97" s="337" t="str">
        <f>'ALL ML SYSTEMS'!J97</f>
        <v>https://arxiv.org/abs/2112.03178</v>
      </c>
      <c r="K97" s="338">
        <f>'ALL ML SYSTEMS'!K97</f>
        <v>9</v>
      </c>
      <c r="L97" s="325" t="str">
        <f>'ALL ML SYSTEMS'!L97</f>
        <v>SOTA Improvement</v>
      </c>
      <c r="M97" s="338" t="str">
        <f>'ALL ML SYSTEMS'!M97</f>
        <v>Yes</v>
      </c>
      <c r="N97" s="338">
        <f>'ALL ML SYSTEMS'!N97</f>
        <v>0</v>
      </c>
      <c r="O97" s="338">
        <f>'ALL ML SYSTEMS'!O97</f>
        <v>0</v>
      </c>
      <c r="P97" s="339">
        <f>'ALL ML SYSTEMS'!P97</f>
        <v>0</v>
      </c>
      <c r="Q97" s="338">
        <f>'ALL ML SYSTEMS'!Q97</f>
        <v>0</v>
      </c>
      <c r="R97" s="325">
        <f>'ALL ML SYSTEMS'!R97</f>
        <v>0</v>
      </c>
      <c r="S97" s="338">
        <f>'ALL ML SYSTEMS'!S97</f>
        <v>0</v>
      </c>
      <c r="T97" s="325">
        <f>'ALL ML SYSTEMS'!T97</f>
        <v>0</v>
      </c>
      <c r="U97" s="325">
        <f>'ALL ML SYSTEMS'!U97</f>
        <v>0</v>
      </c>
      <c r="V97" s="325">
        <f>'ALL ML SYSTEMS'!V97</f>
        <v>0</v>
      </c>
      <c r="W97" s="325">
        <f>'ALL ML SYSTEMS'!W97</f>
        <v>0</v>
      </c>
      <c r="X97" s="325">
        <f>'ALL ML SYSTEMS'!X97</f>
        <v>0</v>
      </c>
      <c r="Y97" s="325">
        <f>'ALL ML SYSTEMS'!Y97</f>
        <v>0</v>
      </c>
      <c r="Z97" s="325">
        <f>'ALL ML SYSTEMS'!Z97</f>
        <v>0</v>
      </c>
      <c r="AA97" s="341" t="str">
        <f>'ALL ML SYSTEMS'!AA97</f>
        <v/>
      </c>
      <c r="AB97" s="325">
        <f>'ALL ML SYSTEMS'!AB97</f>
        <v>0</v>
      </c>
      <c r="AC97" s="325">
        <f>'ALL ML SYSTEMS'!AC97</f>
        <v>0</v>
      </c>
      <c r="AD97" s="325" t="str">
        <f>'ALL ML SYSTEMS'!AD97</f>
        <v>Industry</v>
      </c>
    </row>
    <row r="98" hidden="1" customHeight="1" spans="1:30">
      <c r="A98" s="323" t="str">
        <f>'ALL ML SYSTEMS'!A98</f>
        <v>GLIDE</v>
      </c>
      <c r="B98" s="323" t="str">
        <f>'ALL ML SYSTEMS'!B98</f>
        <v>Drawing</v>
      </c>
      <c r="C98" s="323">
        <f>'ALL ML SYSTEMS'!C98</f>
        <v>0</v>
      </c>
      <c r="D98" s="323" t="str">
        <f>'ALL ML SYSTEMS'!D98</f>
        <v>OpenAI</v>
      </c>
      <c r="E98" s="323" t="str">
        <f>'ALL ML SYSTEMS'!E98</f>
        <v>Industry</v>
      </c>
      <c r="F98" s="323" t="str">
        <f>'ALL ML SYSTEMS'!F98</f>
        <v>Alex Nichol, Prafulla Dhariwal, Aditya Ramesh, Pranav Shyam Pamela Mishkin Bob McGrew IlyaSutskever MarkChen</v>
      </c>
      <c r="G98" s="324">
        <f>'ALL ML SYSTEMS'!G98</f>
        <v>44550</v>
      </c>
      <c r="H98" s="329">
        <f>'ALL ML SYSTEMS'!H98</f>
        <v>4550</v>
      </c>
      <c r="I98" s="323" t="str">
        <f>'ALL ML SYSTEMS'!I98</f>
        <v>GLIDE: Towards Photorealistic Image Generation and Editing with Text-Guided Diffusion Models</v>
      </c>
      <c r="J98" s="334" t="str">
        <f>'ALL ML SYSTEMS'!J98</f>
        <v>https://arxiv.org/abs/2112.10741</v>
      </c>
      <c r="K98" s="335">
        <f>'ALL ML SYSTEMS'!K98</f>
        <v>238</v>
      </c>
      <c r="L98" s="323">
        <f>'ALL ML SYSTEMS'!L98</f>
        <v>0</v>
      </c>
      <c r="M98" s="335" t="str">
        <f>'ALL ML SYSTEMS'!M98</f>
        <v>No</v>
      </c>
      <c r="N98" s="335">
        <f>'ALL ML SYSTEMS'!N98</f>
        <v>3500000000</v>
      </c>
      <c r="O98" s="335">
        <f>'ALL ML SYSTEMS'!O98</f>
        <v>0</v>
      </c>
      <c r="P98" s="336">
        <f>'ALL ML SYSTEMS'!P98</f>
        <v>0</v>
      </c>
      <c r="Q98" s="335">
        <f>'ALL ML SYSTEMS'!Q98</f>
        <v>250000000</v>
      </c>
      <c r="R98" s="323">
        <f>'ALL ML SYSTEMS'!R98</f>
        <v>0</v>
      </c>
      <c r="S98" s="335">
        <f>'ALL ML SYSTEMS'!S98</f>
        <v>0</v>
      </c>
      <c r="T98" s="323">
        <f>'ALL ML SYSTEMS'!T98</f>
        <v>0</v>
      </c>
      <c r="U98" s="323">
        <f>'ALL ML SYSTEMS'!U98</f>
        <v>0</v>
      </c>
      <c r="V98" s="323">
        <f>'ALL ML SYSTEMS'!V98</f>
        <v>0</v>
      </c>
      <c r="W98" s="323">
        <f>'ALL ML SYSTEMS'!W98</f>
        <v>0</v>
      </c>
      <c r="X98" s="323">
        <f>'ALL ML SYSTEMS'!X98</f>
        <v>0</v>
      </c>
      <c r="Y98" s="323">
        <f>'ALL ML SYSTEMS'!Y98</f>
        <v>0</v>
      </c>
      <c r="Z98" s="323">
        <f>'ALL ML SYSTEMS'!Z98</f>
        <v>0</v>
      </c>
      <c r="AA98" s="340" t="str">
        <f>'ALL ML SYSTEMS'!AA98</f>
        <v/>
      </c>
      <c r="AB98" s="323"/>
      <c r="AC98" s="323">
        <f>'ALL ML SYSTEMS'!AB98</f>
        <v>0</v>
      </c>
      <c r="AD98" s="323">
        <f>'ALL ML SYSTEMS'!AC98</f>
        <v>0</v>
      </c>
    </row>
    <row r="99" customHeight="1" spans="1:30">
      <c r="A99" s="325" t="str">
        <f>'ALL ML SYSTEMS'!A99</f>
        <v>XGLM</v>
      </c>
      <c r="B99" s="325" t="str">
        <f>'ALL ML SYSTEMS'!B99</f>
        <v>Language</v>
      </c>
      <c r="C99" s="325">
        <f>'ALL ML SYSTEMS'!C99</f>
        <v>0</v>
      </c>
      <c r="D99" s="325" t="str">
        <f>'ALL ML SYSTEMS'!D99</f>
        <v>Meta AI</v>
      </c>
      <c r="E99" s="325" t="str">
        <f>'ALL ML SYSTEMS'!E99</f>
        <v>Industry</v>
      </c>
      <c r="F99" s="325" t="str">
        <f>'ALL ML SYSTEMS'!F99</f>
        <v>Xi Victoria Lin, Todor Mihaylov, Mikel Artetxe, Tianlu Wang, Shuohui Chen, Daniel Simig, Myle Ott, Naman Goyal, Shruti Bhosale, Jingfei Du, Ramakanth Pasunuru, Sam Shleifer, Punit Singh Koura, Vishrav Chaudhary, Brian O’Horo, Jeff Wang, Luke Zettlemoyer, Zornitsa Kozareva, Mona Diab, Veselin Stoyanov, Xian Li</v>
      </c>
      <c r="G99" s="326">
        <f>'ALL ML SYSTEMS'!G99</f>
        <v>44550</v>
      </c>
      <c r="H99" s="325">
        <f>'ALL ML SYSTEMS'!H99</f>
        <v>2021</v>
      </c>
      <c r="I99" s="325" t="str">
        <f>'ALL ML SYSTEMS'!I99</f>
        <v>Few-shot Learning with Multilingual Language Models</v>
      </c>
      <c r="J99" s="337" t="str">
        <f>'ALL ML SYSTEMS'!J99</f>
        <v>https://arxiv.org/pdf/2112.10668.pdf</v>
      </c>
      <c r="K99" s="338">
        <f>'ALL ML SYSTEMS'!K99</f>
        <v>12</v>
      </c>
      <c r="L99" s="325" t="str">
        <f>'ALL ML SYSTEMS'!L99</f>
        <v>SOTA improvement</v>
      </c>
      <c r="M99" s="338" t="str">
        <f>'ALL ML SYSTEMS'!M99</f>
        <v>Yes</v>
      </c>
      <c r="N99" s="338">
        <f>'ALL ML SYSTEMS'!N99</f>
        <v>7500000000</v>
      </c>
      <c r="O99" s="338">
        <f>'ALL ML SYSTEMS'!O99</f>
        <v>0</v>
      </c>
      <c r="P99" s="339" t="str">
        <f>'ALL ML SYSTEMS'!P99</f>
        <v>Subset of CC100-XL</v>
      </c>
      <c r="Q99" s="338">
        <f>'ALL ML SYSTEMS'!Q99</f>
        <v>1740000000</v>
      </c>
      <c r="R99" s="325">
        <f>'ALL ML SYSTEMS'!R99</f>
        <v>0</v>
      </c>
      <c r="S99" s="325">
        <f>'ALL ML SYSTEMS'!S99</f>
        <v>0</v>
      </c>
      <c r="T99" s="325">
        <f>'ALL ML SYSTEMS'!T99</f>
        <v>0</v>
      </c>
      <c r="U99" s="325">
        <f>'ALL ML SYSTEMS'!U99</f>
        <v>0</v>
      </c>
      <c r="V99" s="325">
        <f>'ALL ML SYSTEMS'!V99</f>
        <v>0</v>
      </c>
      <c r="W99" s="325">
        <f>'ALL ML SYSTEMS'!W99</f>
        <v>0</v>
      </c>
      <c r="X99" s="325">
        <f>'ALL ML SYSTEMS'!X99</f>
        <v>0</v>
      </c>
      <c r="Y99" s="325">
        <f>'ALL ML SYSTEMS'!Y99</f>
        <v>0</v>
      </c>
      <c r="Z99" s="325">
        <f>'ALL ML SYSTEMS'!Z99</f>
        <v>0</v>
      </c>
      <c r="AA99" s="341" t="str">
        <f>'ALL ML SYSTEMS'!AA99</f>
        <v/>
      </c>
      <c r="AB99" s="325" t="str">
        <f>'ALL ML SYSTEMS'!AB99</f>
        <v>Yes</v>
      </c>
      <c r="AC99" s="325">
        <f>'ALL ML SYSTEMS'!AC99</f>
        <v>0</v>
      </c>
      <c r="AD99" s="325" t="str">
        <f>'ALL ML SYSTEMS'!AD99</f>
        <v>Industry</v>
      </c>
    </row>
    <row r="100" hidden="1" customHeight="1" spans="1:30">
      <c r="A100" s="323" t="str">
        <f>'ALL ML SYSTEMS'!A100</f>
        <v>ERNIE-ViLG</v>
      </c>
      <c r="B100" s="323" t="str">
        <f>'ALL ML SYSTEMS'!B100</f>
        <v>Multimodal</v>
      </c>
      <c r="C100" s="323" t="str">
        <f>'ALL ML SYSTEMS'!C100</f>
        <v>Vision-language generation</v>
      </c>
      <c r="D100" s="323" t="str">
        <f>'ALL ML SYSTEMS'!D100</f>
        <v>Baidu</v>
      </c>
      <c r="E100" s="323" t="str">
        <f>'ALL ML SYSTEMS'!E100</f>
        <v>Industry</v>
      </c>
      <c r="F100" s="323" t="str">
        <f>'ALL ML SYSTEMS'!F100</f>
        <v>Han Zhang, Weichong Yin, Yewei Fang, Lanxin Li, Boqiang Duan, Zhihua Wu, Yu Sun, Hao Tian, Hua Wu, Haifeng Wang</v>
      </c>
      <c r="G100" s="324">
        <f>'ALL ML SYSTEMS'!G100</f>
        <v>44561</v>
      </c>
      <c r="H100" s="323">
        <f>'ALL ML SYSTEMS'!H100</f>
        <v>2021</v>
      </c>
      <c r="I100" s="323" t="str">
        <f>'ALL ML SYSTEMS'!I100</f>
        <v>ERNIE-ViLG: Unified Generative Pre-training for Bidirectional Vision-Language Generation</v>
      </c>
      <c r="J100" s="334" t="str">
        <f>'ALL ML SYSTEMS'!J100</f>
        <v>https://arxiv.org/abs/2112.15283</v>
      </c>
      <c r="K100" s="335">
        <f>'ALL ML SYSTEMS'!K100</f>
        <v>12</v>
      </c>
      <c r="L100" s="323">
        <f>'ALL ML SYSTEMS'!L100</f>
        <v>0</v>
      </c>
      <c r="M100" s="335" t="str">
        <f>'ALL ML SYSTEMS'!M100</f>
        <v>No</v>
      </c>
      <c r="N100" s="335">
        <f>'ALL ML SYSTEMS'!N100</f>
        <v>10000000000</v>
      </c>
      <c r="O100" s="335">
        <f>'ALL ML SYSTEMS'!O100</f>
        <v>0</v>
      </c>
      <c r="P100" s="336">
        <f>'ALL ML SYSTEMS'!P100</f>
        <v>0</v>
      </c>
      <c r="Q100" s="335">
        <f>'ALL ML SYSTEMS'!Q100</f>
        <v>145000000</v>
      </c>
      <c r="R100" s="323">
        <f>'ALL ML SYSTEMS'!R100</f>
        <v>0</v>
      </c>
      <c r="S100" s="323">
        <f>'ALL ML SYSTEMS'!S100</f>
        <v>0</v>
      </c>
      <c r="T100" s="323">
        <f>'ALL ML SYSTEMS'!T100</f>
        <v>0</v>
      </c>
      <c r="U100" s="323">
        <f>'ALL ML SYSTEMS'!U100</f>
        <v>0</v>
      </c>
      <c r="V100" s="323">
        <f>'ALL ML SYSTEMS'!V100</f>
        <v>0</v>
      </c>
      <c r="W100" s="323">
        <f>'ALL ML SYSTEMS'!W100</f>
        <v>0</v>
      </c>
      <c r="X100" s="323">
        <f>'ALL ML SYSTEMS'!X100</f>
        <v>0</v>
      </c>
      <c r="Y100" s="323">
        <f>'ALL ML SYSTEMS'!Y100</f>
        <v>0</v>
      </c>
      <c r="Z100" s="323">
        <f>'ALL ML SYSTEMS'!Z100</f>
        <v>0</v>
      </c>
      <c r="AA100" s="340" t="str">
        <f>'ALL ML SYSTEMS'!AA100</f>
        <v/>
      </c>
      <c r="AB100" s="323"/>
      <c r="AC100" s="323" t="str">
        <f>'ALL ML SYSTEMS'!AB100</f>
        <v>Yes</v>
      </c>
      <c r="AD100" s="323">
        <f>'ALL ML SYSTEMS'!AC100</f>
        <v>0</v>
      </c>
    </row>
    <row r="101" customHeight="1" spans="1:30">
      <c r="A101" s="325" t="str">
        <f>'ALL ML SYSTEMS'!A101</f>
        <v>GPT-3 175B (davinci)</v>
      </c>
      <c r="B101" s="325" t="str">
        <f>'ALL ML SYSTEMS'!B101</f>
        <v>Language</v>
      </c>
      <c r="C101" s="325" t="str">
        <f>'ALL ML SYSTEMS'!C101</f>
        <v>Text autocompletion</v>
      </c>
      <c r="D101" s="325" t="str">
        <f>'ALL ML SYSTEMS'!D101</f>
        <v>OpenAI</v>
      </c>
      <c r="E101" s="325" t="str">
        <f>'ALL ML SYSTEMS'!E101</f>
        <v>Industry</v>
      </c>
      <c r="F101" s="325" t="str">
        <f>'ALL ML SYSTEMS'!F101</f>
        <v>Tom B. Brown, Benjamin Mann, Nick Ryder, Melanie Subbiah, Jared Kaplan, Prafulla Dhariwal, Arvind Neelakantan, Pranav Shyam, Girish Sastry, Amanda Askell, Sandhini Agarwal, Ariel Herbert-Voss, Gretchen Krueger, Tom Henighan, Rewon Child, Aditya Ramesh, Daniel M. Ziegler, Jeffrey Wu, Clemens Winter, Christopher Hesse, Mark Chen, Eric Sigler, Mateusz Litwin, Scott Gray, Benjamin Chess, Jack Clark, Christopher Berner, Sam McCandlish, Alec Radford, Ilya Sutskever, Dario Amodei</v>
      </c>
      <c r="G101" s="326">
        <f>'ALL ML SYSTEMS'!G101</f>
        <v>43979</v>
      </c>
      <c r="H101" s="327">
        <f>'ALL ML SYSTEMS'!H101</f>
        <v>3979</v>
      </c>
      <c r="I101" s="325" t="str">
        <f>'ALL ML SYSTEMS'!I101</f>
        <v>Language models are Few- Shot Learners</v>
      </c>
      <c r="J101" s="337" t="str">
        <f>'ALL ML SYSTEMS'!J101</f>
        <v>https://arxiv.org/abs/2005.14165</v>
      </c>
      <c r="K101" s="338">
        <f>'ALL ML SYSTEMS'!K101</f>
        <v>1534</v>
      </c>
      <c r="L101" s="325" t="str">
        <f>'ALL ML SYSTEMS'!L101</f>
        <v>Highly cited</v>
      </c>
      <c r="M101" s="338" t="str">
        <f>'ALL ML SYSTEMS'!M101</f>
        <v>Yes</v>
      </c>
      <c r="N101" s="338">
        <f>'ALL ML SYSTEMS'!N101</f>
        <v>175000000000</v>
      </c>
      <c r="O101" s="338">
        <f>'ALL ML SYSTEMS'!O101</f>
        <v>3.14e+23</v>
      </c>
      <c r="P101" s="339" t="str">
        <f>'ALL ML SYSTEMS'!P101</f>
        <v>CommonCrawl; WebText2; Books1; Books2; Wikipedia</v>
      </c>
      <c r="Q101" s="338">
        <f>'ALL ML SYSTEMS'!Q101</f>
        <v>374000000000</v>
      </c>
      <c r="R101" s="325">
        <f>'ALL ML SYSTEMS'!R101</f>
        <v>0</v>
      </c>
      <c r="S101" s="338">
        <f>'ALL ML SYSTEMS'!S101</f>
        <v>740000000000000</v>
      </c>
      <c r="T101" s="325">
        <f>'ALL ML SYSTEMS'!T101</f>
        <v>0</v>
      </c>
      <c r="U101" s="325">
        <f>'ALL ML SYSTEMS'!U101</f>
        <v>0</v>
      </c>
      <c r="V101" s="325">
        <f>'ALL ML SYSTEMS'!V101</f>
        <v>0</v>
      </c>
      <c r="W101" s="325" t="str">
        <f>'ALL ML SYSTEMS'!W101</f>
        <v>45TB</v>
      </c>
      <c r="X101" s="325">
        <f>'ALL ML SYSTEMS'!X101</f>
        <v>0</v>
      </c>
      <c r="Y101" s="325">
        <f>'ALL ML SYSTEMS'!Y101</f>
        <v>0</v>
      </c>
      <c r="Z101" s="325">
        <f>'ALL ML SYSTEMS'!Z101</f>
        <v>0</v>
      </c>
      <c r="AA101" s="341">
        <f>'ALL ML SYSTEMS'!AA101</f>
        <v>1131415.12384028</v>
      </c>
      <c r="AB101" s="325" t="str">
        <f>'ALL ML SYSTEMS'!AB101</f>
        <v>Yes</v>
      </c>
      <c r="AC101" s="325">
        <f>'ALL ML SYSTEMS'!AC101</f>
        <v>0</v>
      </c>
      <c r="AD101" s="325" t="str">
        <f>'ALL ML SYSTEMS'!AD101</f>
        <v>Industry</v>
      </c>
    </row>
    <row r="102" hidden="1" customHeight="1" spans="1:30">
      <c r="A102" s="323" t="str">
        <f>'ALL ML SYSTEMS'!A102</f>
        <v>Meena</v>
      </c>
      <c r="B102" s="323" t="str">
        <f>'ALL ML SYSTEMS'!B102</f>
        <v>Language</v>
      </c>
      <c r="C102" s="323" t="str">
        <f>'ALL ML SYSTEMS'!C102</f>
        <v>Text autocompletion</v>
      </c>
      <c r="D102" s="323" t="str">
        <f>'ALL ML SYSTEMS'!D102</f>
        <v>Google AI</v>
      </c>
      <c r="E102" s="323" t="str">
        <f>'ALL ML SYSTEMS'!E102</f>
        <v>Industry</v>
      </c>
      <c r="F102" s="323" t="str">
        <f>'ALL ML SYSTEMS'!F102</f>
        <v>Dongling Xiao, Han Zhang, Yukun Li, Yu Sun, Hao Tian, Hua Wu, Haifeng Wang</v>
      </c>
      <c r="G102" s="324">
        <f>'ALL ML SYSTEMS'!G102</f>
        <v>43858</v>
      </c>
      <c r="H102" s="329">
        <f>'ALL ML SYSTEMS'!H102</f>
        <v>3858</v>
      </c>
      <c r="I102" s="323" t="str">
        <f>'ALL ML SYSTEMS'!I102</f>
        <v>Towards a Human-like Open-Domain Chatbot</v>
      </c>
      <c r="J102" s="334" t="str">
        <f>'ALL ML SYSTEMS'!J102</f>
        <v>https://arxiv.org/abs/2001.09977</v>
      </c>
      <c r="K102" s="335">
        <f>'ALL ML SYSTEMS'!K102</f>
        <v>615</v>
      </c>
      <c r="L102" s="323">
        <f>'ALL ML SYSTEMS'!L102</f>
        <v>0</v>
      </c>
      <c r="M102" s="335" t="str">
        <f>'ALL ML SYSTEMS'!M102</f>
        <v>No</v>
      </c>
      <c r="N102" s="335">
        <f>'ALL ML SYSTEMS'!N102</f>
        <v>2600000000</v>
      </c>
      <c r="O102" s="335">
        <f>'ALL ML SYSTEMS'!O102</f>
        <v>1.12e+23</v>
      </c>
      <c r="P102" s="336">
        <f>'ALL ML SYSTEMS'!P102</f>
        <v>0</v>
      </c>
      <c r="Q102" s="335">
        <f>'ALL ML SYSTEMS'!Q102</f>
        <v>40000000000</v>
      </c>
      <c r="R102" s="323">
        <f>'ALL ML SYSTEMS'!R102</f>
        <v>0</v>
      </c>
      <c r="S102" s="335">
        <f>'ALL ML SYSTEMS'!S102</f>
        <v>0</v>
      </c>
      <c r="T102" s="323">
        <f>'ALL ML SYSTEMS'!T102</f>
        <v>0</v>
      </c>
      <c r="U102" s="323">
        <f>'ALL ML SYSTEMS'!U102</f>
        <v>0</v>
      </c>
      <c r="V102" s="323">
        <f>'ALL ML SYSTEMS'!V102</f>
        <v>0</v>
      </c>
      <c r="W102" s="323">
        <f>'ALL ML SYSTEMS'!W102</f>
        <v>0</v>
      </c>
      <c r="X102" s="323">
        <f>'ALL ML SYSTEMS'!X102</f>
        <v>0</v>
      </c>
      <c r="Y102" s="323">
        <f>'ALL ML SYSTEMS'!Y102</f>
        <v>0</v>
      </c>
      <c r="Z102" s="323">
        <f>'ALL ML SYSTEMS'!Z102</f>
        <v>0</v>
      </c>
      <c r="AA102" s="340">
        <f>'ALL ML SYSTEMS'!AA102</f>
        <v>263099.940265426</v>
      </c>
      <c r="AB102" s="323"/>
      <c r="AC102" s="323" t="str">
        <f>'ALL ML SYSTEMS'!AB102</f>
        <v>Yes</v>
      </c>
      <c r="AD102" s="323" t="str">
        <f>'ALL ML SYSTEMS'!AC102</f>
        <v>Evolved Transformer seq2seq model</v>
      </c>
    </row>
    <row r="103" hidden="1" customHeight="1" spans="1:30">
      <c r="A103" s="325" t="str">
        <f>'ALL ML SYSTEMS'!A103</f>
        <v>iGPT-XL</v>
      </c>
      <c r="B103" s="325" t="str">
        <f>'ALL ML SYSTEMS'!B103</f>
        <v>Drawing</v>
      </c>
      <c r="C103" s="325" t="str">
        <f>'ALL ML SYSTEMS'!C103</f>
        <v>Image completion</v>
      </c>
      <c r="D103" s="325" t="str">
        <f>'ALL ML SYSTEMS'!D103</f>
        <v>Open AI</v>
      </c>
      <c r="E103" s="325" t="str">
        <f>'ALL ML SYSTEMS'!E103</f>
        <v>Industry</v>
      </c>
      <c r="F103" s="325" t="str">
        <f>'ALL ML SYSTEMS'!F103</f>
        <v>Mark Chen, Alec Radford, Rewon Child, Jeff Wu, Heewoo Jun, Prafulla Dhariwal, David Luan, Ilya Sutskever</v>
      </c>
      <c r="G103" s="326">
        <f>'ALL ML SYSTEMS'!G103</f>
        <v>43999</v>
      </c>
      <c r="H103" s="327">
        <f>'ALL ML SYSTEMS'!H103</f>
        <v>3999</v>
      </c>
      <c r="I103" s="325" t="str">
        <f>'ALL ML SYSTEMS'!I103</f>
        <v>Generative Pretraining from Pixels</v>
      </c>
      <c r="J103" s="337" t="str">
        <f>'ALL ML SYSTEMS'!J103</f>
        <v>https://openai.com/blog/image-gpt/</v>
      </c>
      <c r="K103" s="338">
        <f>'ALL ML SYSTEMS'!K103</f>
        <v>689</v>
      </c>
      <c r="L103" s="325">
        <f>'ALL ML SYSTEMS'!L103</f>
        <v>0</v>
      </c>
      <c r="M103" s="338" t="str">
        <f>'ALL ML SYSTEMS'!M103</f>
        <v>No</v>
      </c>
      <c r="N103" s="338">
        <f>'ALL ML SYSTEMS'!N103</f>
        <v>6801000000</v>
      </c>
      <c r="O103" s="338">
        <f>'ALL ML SYSTEMS'!O103</f>
        <v>3.3e+22</v>
      </c>
      <c r="P103" s="339" t="str">
        <f>'ALL ML SYSTEMS'!P103</f>
        <v>ILSVRC 2012</v>
      </c>
      <c r="Q103" s="338">
        <f>'ALL ML SYSTEMS'!Q103</f>
        <v>9600000</v>
      </c>
      <c r="R103" s="325">
        <f>'ALL ML SYSTEMS'!R103</f>
        <v>0</v>
      </c>
      <c r="S103" s="338">
        <f>'ALL ML SYSTEMS'!S103</f>
        <v>0</v>
      </c>
      <c r="T103" s="325">
        <f>'ALL ML SYSTEMS'!T103</f>
        <v>0</v>
      </c>
      <c r="U103" s="325">
        <f>'ALL ML SYSTEMS'!U103</f>
        <v>0</v>
      </c>
      <c r="V103" s="325">
        <f>'ALL ML SYSTEMS'!V103</f>
        <v>0</v>
      </c>
      <c r="W103" s="325">
        <f>'ALL ML SYSTEMS'!W103</f>
        <v>0</v>
      </c>
      <c r="X103" s="325">
        <f>'ALL ML SYSTEMS'!X103</f>
        <v>0</v>
      </c>
      <c r="Y103" s="325">
        <f>'ALL ML SYSTEMS'!Y103</f>
        <v>0</v>
      </c>
      <c r="Z103" s="325">
        <f>'ALL ML SYSTEMS'!Z103</f>
        <v>0</v>
      </c>
      <c r="AA103" s="341">
        <f>'ALL ML SYSTEMS'!AA103</f>
        <v>120440.964795901</v>
      </c>
      <c r="AB103" s="325"/>
      <c r="AC103" s="325" t="str">
        <f>'ALL ML SYSTEMS'!AB103</f>
        <v>Yes</v>
      </c>
      <c r="AD103" s="325">
        <f>'ALL ML SYSTEMS'!AC103</f>
        <v>0</v>
      </c>
    </row>
    <row r="104" hidden="1" customHeight="1" spans="1:30">
      <c r="A104" s="323" t="str">
        <f>'ALL ML SYSTEMS'!A104</f>
        <v>GShard (dense)</v>
      </c>
      <c r="B104" s="323" t="str">
        <f>'ALL ML SYSTEMS'!B104</f>
        <v>Language</v>
      </c>
      <c r="C104" s="323" t="str">
        <f>'ALL ML SYSTEMS'!C104</f>
        <v>Translation</v>
      </c>
      <c r="D104" s="323" t="str">
        <f>'ALL ML SYSTEMS'!D104</f>
        <v>Google Brain</v>
      </c>
      <c r="E104" s="323" t="str">
        <f>'ALL ML SYSTEMS'!E104</f>
        <v>Industry</v>
      </c>
      <c r="F104" s="323" t="str">
        <f>'ALL ML SYSTEMS'!F104</f>
        <v>Dmitry Lepikhin, HyoukJoong Lee, Yuanzhong Xu, Dehao Chen, Orhan Firat, Yanping Huang, Maxim Krikun, Noam Shazeer, Zhifeng Chen</v>
      </c>
      <c r="G104" s="324">
        <f>'ALL ML SYSTEMS'!G104</f>
        <v>44012</v>
      </c>
      <c r="H104" s="329">
        <f>'ALL ML SYSTEMS'!H104</f>
        <v>4012</v>
      </c>
      <c r="I104" s="323" t="str">
        <f>'ALL ML SYSTEMS'!I104</f>
        <v>GShard: Scaling Giant Models with Conditional Computation and Automatic Sharding</v>
      </c>
      <c r="J104" s="334" t="str">
        <f>'ALL ML SYSTEMS'!J104</f>
        <v>https://arxiv.org/abs/2006.16668</v>
      </c>
      <c r="K104" s="335">
        <f>'ALL ML SYSTEMS'!K104</f>
        <v>295</v>
      </c>
      <c r="L104" s="323">
        <f>'ALL ML SYSTEMS'!L104</f>
        <v>0</v>
      </c>
      <c r="M104" s="335" t="str">
        <f>'ALL ML SYSTEMS'!M104</f>
        <v>No</v>
      </c>
      <c r="N104" s="335">
        <f>'ALL ML SYSTEMS'!N104</f>
        <v>2300000000</v>
      </c>
      <c r="O104" s="335">
        <f>'ALL ML SYSTEMS'!O104</f>
        <v>2.6e+22</v>
      </c>
      <c r="P104" s="336">
        <f>'ALL ML SYSTEMS'!P104</f>
        <v>0</v>
      </c>
      <c r="Q104" s="335">
        <f>'ALL ML SYSTEMS'!Q104</f>
        <v>260000000000</v>
      </c>
      <c r="R104" s="323">
        <f>'ALL ML SYSTEMS'!R104</f>
        <v>0</v>
      </c>
      <c r="S104" s="335">
        <f>'ALL ML SYSTEMS'!S104</f>
        <v>0</v>
      </c>
      <c r="T104" s="323">
        <f>'ALL ML SYSTEMS'!T104</f>
        <v>0</v>
      </c>
      <c r="U104" s="323">
        <f>'ALL ML SYSTEMS'!U104</f>
        <v>0</v>
      </c>
      <c r="V104" s="323">
        <f>'ALL ML SYSTEMS'!V104</f>
        <v>0</v>
      </c>
      <c r="W104" s="323">
        <f>'ALL ML SYSTEMS'!W104</f>
        <v>0</v>
      </c>
      <c r="X104" s="323">
        <f>'ALL ML SYSTEMS'!X104</f>
        <v>0</v>
      </c>
      <c r="Y104" s="323">
        <f>'ALL ML SYSTEMS'!Y104</f>
        <v>0</v>
      </c>
      <c r="Z104" s="323">
        <f>'ALL ML SYSTEMS'!Z104</f>
        <v>0</v>
      </c>
      <c r="AA104" s="340">
        <f>'ALL ML SYSTEMS'!AA104</f>
        <v>55219.614859852</v>
      </c>
      <c r="AB104" s="323"/>
      <c r="AC104" s="323" t="str">
        <f>'ALL ML SYSTEMS'!AB104</f>
        <v>Yes</v>
      </c>
      <c r="AD104" s="323">
        <f>'ALL ML SYSTEMS'!AC104</f>
        <v>0</v>
      </c>
    </row>
    <row r="105" hidden="1" customHeight="1" spans="1:30">
      <c r="A105" s="325" t="str">
        <f>'ALL ML SYSTEMS'!A105</f>
        <v>Turing NLG</v>
      </c>
      <c r="B105" s="325" t="str">
        <f>'ALL ML SYSTEMS'!B105</f>
        <v>Language</v>
      </c>
      <c r="C105" s="325" t="str">
        <f>'ALL ML SYSTEMS'!C105</f>
        <v>Text autocompletion</v>
      </c>
      <c r="D105" s="325" t="str">
        <f>'ALL ML SYSTEMS'!D105</f>
        <v>Microsoft</v>
      </c>
      <c r="E105" s="325" t="str">
        <f>'ALL ML SYSTEMS'!E105</f>
        <v>Industry</v>
      </c>
      <c r="F105" s="325" t="str">
        <f>'ALL ML SYSTEMS'!F105</f>
        <v>C Rosset</v>
      </c>
      <c r="G105" s="326">
        <f>'ALL ML SYSTEMS'!G105</f>
        <v>43874</v>
      </c>
      <c r="H105" s="327">
        <f>'ALL ML SYSTEMS'!H105</f>
        <v>3874</v>
      </c>
      <c r="I105" s="325" t="str">
        <f>'ALL ML SYSTEMS'!I105</f>
        <v>Turing-NLG: A 17-billion-parameter language model by Microsoft</v>
      </c>
      <c r="J105" s="337" t="str">
        <f>'ALL ML SYSTEMS'!J105</f>
        <v>https://www.microsoft.com/en-us/research/blog/turing-nlg-a-17-billion-parameter-language-model-by-microsoft/</v>
      </c>
      <c r="K105" s="338">
        <f>'ALL ML SYSTEMS'!K105</f>
        <v>114</v>
      </c>
      <c r="L105" s="325">
        <f>'ALL ML SYSTEMS'!L105</f>
        <v>0</v>
      </c>
      <c r="M105" s="338" t="str">
        <f>'ALL ML SYSTEMS'!M105</f>
        <v>No</v>
      </c>
      <c r="N105" s="338">
        <f>'ALL ML SYSTEMS'!N105</f>
        <v>17000000000</v>
      </c>
      <c r="O105" s="338">
        <f>'ALL ML SYSTEMS'!O105</f>
        <v>1.57e+22</v>
      </c>
      <c r="P105" s="339">
        <f>'ALL ML SYSTEMS'!P105</f>
        <v>0</v>
      </c>
      <c r="Q105" s="338">
        <f>'ALL ML SYSTEMS'!Q105</f>
        <v>34800000000</v>
      </c>
      <c r="R105" s="325">
        <f>'ALL ML SYSTEMS'!R105</f>
        <v>0</v>
      </c>
      <c r="S105" s="338">
        <f>'ALL ML SYSTEMS'!S105</f>
        <v>36000000000000</v>
      </c>
      <c r="T105" s="325">
        <f>'ALL ML SYSTEMS'!T105</f>
        <v>0</v>
      </c>
      <c r="U105" s="325">
        <f>'ALL ML SYSTEMS'!U105</f>
        <v>0</v>
      </c>
      <c r="V105" s="325">
        <f>'ALL ML SYSTEMS'!V105</f>
        <v>0</v>
      </c>
      <c r="W105" s="325">
        <f>'ALL ML SYSTEMS'!W105</f>
        <v>0</v>
      </c>
      <c r="X105" s="325">
        <f>'ALL ML SYSTEMS'!X105</f>
        <v>0</v>
      </c>
      <c r="Y105" s="325">
        <f>'ALL ML SYSTEMS'!Y105</f>
        <v>0</v>
      </c>
      <c r="Z105" s="325" t="str">
        <f>'ALL ML SYSTEMS'!Z105</f>
        <v>Next token prediction</v>
      </c>
      <c r="AA105" s="341">
        <f>'ALL ML SYSTEMS'!AA105</f>
        <v>58395.6192949826</v>
      </c>
      <c r="AB105" s="325"/>
      <c r="AC105" s="325" t="str">
        <f>'ALL ML SYSTEMS'!AB105</f>
        <v>Yes</v>
      </c>
      <c r="AD105" s="325">
        <f>'ALL ML SYSTEMS'!AC105</f>
        <v>0</v>
      </c>
    </row>
    <row r="106" hidden="1" customHeight="1" spans="1:30">
      <c r="A106" s="323" t="str">
        <f>'ALL ML SYSTEMS'!A106</f>
        <v>GShard (600B)</v>
      </c>
      <c r="B106" s="323" t="str">
        <f>'ALL ML SYSTEMS'!B106</f>
        <v>Language</v>
      </c>
      <c r="C106" s="323" t="str">
        <f>'ALL ML SYSTEMS'!C106</f>
        <v>Translation</v>
      </c>
      <c r="D106" s="323" t="str">
        <f>'ALL ML SYSTEMS'!D106</f>
        <v>Google Brain</v>
      </c>
      <c r="E106" s="323" t="str">
        <f>'ALL ML SYSTEMS'!E106</f>
        <v>Industry</v>
      </c>
      <c r="F106" s="323" t="str">
        <f>'ALL ML SYSTEMS'!F106</f>
        <v>Dmitry Lepikhin, HyoukJoong Lee, Yuanzhong Xu, Dehao Chen, Orhan Firat, Yanping Huang, Maxim Krikun, Noam Shazeer, Zhifeng Chen</v>
      </c>
      <c r="G106" s="324">
        <f>'ALL ML SYSTEMS'!G106</f>
        <v>44012</v>
      </c>
      <c r="H106" s="329">
        <f>'ALL ML SYSTEMS'!H106</f>
        <v>4012</v>
      </c>
      <c r="I106" s="323" t="str">
        <f>'ALL ML SYSTEMS'!I106</f>
        <v>GShard: Scaling Giant Models with Conditional Computation and Automatic Sharding</v>
      </c>
      <c r="J106" s="334" t="str">
        <f>'ALL ML SYSTEMS'!J106</f>
        <v>https://arxiv.org/abs/2006.16668</v>
      </c>
      <c r="K106" s="335">
        <f>'ALL ML SYSTEMS'!K106</f>
        <v>295</v>
      </c>
      <c r="L106" s="323">
        <f>'ALL ML SYSTEMS'!L106</f>
        <v>0</v>
      </c>
      <c r="M106" s="335" t="str">
        <f>'ALL ML SYSTEMS'!M106</f>
        <v>No</v>
      </c>
      <c r="N106" s="335">
        <f>'ALL ML SYSTEMS'!N106</f>
        <v>600000000000</v>
      </c>
      <c r="O106" s="335">
        <f>'ALL ML SYSTEMS'!O106</f>
        <v>1.33e+22</v>
      </c>
      <c r="P106" s="336">
        <f>'ALL ML SYSTEMS'!P106</f>
        <v>0</v>
      </c>
      <c r="Q106" s="335">
        <f>'ALL ML SYSTEMS'!Q106</f>
        <v>260000000000</v>
      </c>
      <c r="R106" s="323">
        <f>'ALL ML SYSTEMS'!R106</f>
        <v>0</v>
      </c>
      <c r="S106" s="335">
        <f>'ALL ML SYSTEMS'!S106</f>
        <v>0</v>
      </c>
      <c r="T106" s="323">
        <f>'ALL ML SYSTEMS'!T106</f>
        <v>0</v>
      </c>
      <c r="U106" s="323">
        <f>'ALL ML SYSTEMS'!U106</f>
        <v>0</v>
      </c>
      <c r="V106" s="323">
        <f>'ALL ML SYSTEMS'!V106</f>
        <v>0</v>
      </c>
      <c r="W106" s="323">
        <f>'ALL ML SYSTEMS'!W106</f>
        <v>0</v>
      </c>
      <c r="X106" s="323">
        <f>'ALL ML SYSTEMS'!X106</f>
        <v>0</v>
      </c>
      <c r="Y106" s="323">
        <f>'ALL ML SYSTEMS'!Y106</f>
        <v>0</v>
      </c>
      <c r="Z106" s="323">
        <f>'ALL ML SYSTEMS'!Z106</f>
        <v>0</v>
      </c>
      <c r="AA106" s="340">
        <f>'ALL ML SYSTEMS'!AA106</f>
        <v>27609.807429926</v>
      </c>
      <c r="AB106" s="323"/>
      <c r="AC106" s="323" t="str">
        <f>'ALL ML SYSTEMS'!AB106</f>
        <v>Yes</v>
      </c>
      <c r="AD106" s="323">
        <f>'ALL ML SYSTEMS'!AC106</f>
        <v>0</v>
      </c>
    </row>
    <row r="107" customHeight="1" spans="1:30">
      <c r="A107" s="325" t="str">
        <f>'ALL ML SYSTEMS'!A107</f>
        <v>ViT-H/14</v>
      </c>
      <c r="B107" s="325" t="str">
        <f>'ALL ML SYSTEMS'!B107</f>
        <v>Vision</v>
      </c>
      <c r="C107" s="325" t="str">
        <f>'ALL ML SYSTEMS'!C107</f>
        <v>Image representation</v>
      </c>
      <c r="D107" s="325" t="str">
        <f>'ALL ML SYSTEMS'!D107</f>
        <v>Google Research, Brain Team</v>
      </c>
      <c r="E107" s="325" t="str">
        <f>'ALL ML SYSTEMS'!E107</f>
        <v>Industry</v>
      </c>
      <c r="F107" s="325" t="str">
        <f>'ALL ML SYSTEMS'!F107</f>
        <v>Alexey Dosovitskiy, Lucas Beyer, Alexander Kolesnikov, Dirk Weissenborn, Xiaohua Zhai, Thomas Unterthiner, Mostafa Dehghani, Matthias Minderer, Georg Heigold, Sylvain Gelly, Jakob Uszkoreit, Neil Houlsby</v>
      </c>
      <c r="G107" s="326">
        <f>'ALL ML SYSTEMS'!G107</f>
        <v>44102</v>
      </c>
      <c r="H107" s="327">
        <f>'ALL ML SYSTEMS'!H107</f>
        <v>4102</v>
      </c>
      <c r="I107" s="325" t="str">
        <f>'ALL ML SYSTEMS'!I107</f>
        <v>An Image is Worth 16x16 Words: Transformers for Image Recognition at Scale</v>
      </c>
      <c r="J107" s="337" t="str">
        <f>'ALL ML SYSTEMS'!J107</f>
        <v>https://openreview.net/forum?id=YicbFdNTTy</v>
      </c>
      <c r="K107" s="338">
        <f>'ALL ML SYSTEMS'!K107</f>
        <v>1906</v>
      </c>
      <c r="L107" s="325" t="str">
        <f>'ALL ML SYSTEMS'!L107</f>
        <v>Highly cited</v>
      </c>
      <c r="M107" s="338" t="str">
        <f>'ALL ML SYSTEMS'!M107</f>
        <v>Yes</v>
      </c>
      <c r="N107" s="338">
        <f>'ALL ML SYSTEMS'!N107</f>
        <v>0</v>
      </c>
      <c r="O107" s="338">
        <f>'ALL ML SYSTEMS'!O107</f>
        <v>1.2826e+22</v>
      </c>
      <c r="P107" s="339" t="str">
        <f>'ALL ML SYSTEMS'!P107</f>
        <v>Imagenet-1k</v>
      </c>
      <c r="Q107" s="338">
        <f>'ALL ML SYSTEMS'!Q107</f>
        <v>1280000</v>
      </c>
      <c r="R107" s="325">
        <f>'ALL ML SYSTEMS'!R107</f>
        <v>0</v>
      </c>
      <c r="S107" s="338">
        <f>'ALL ML SYSTEMS'!S107</f>
        <v>0</v>
      </c>
      <c r="T107" s="325">
        <f>'ALL ML SYSTEMS'!T107</f>
        <v>0</v>
      </c>
      <c r="U107" s="325">
        <f>'ALL ML SYSTEMS'!U107</f>
        <v>0</v>
      </c>
      <c r="V107" s="325">
        <f>'ALL ML SYSTEMS'!V107</f>
        <v>0</v>
      </c>
      <c r="W107" s="325">
        <f>'ALL ML SYSTEMS'!W107</f>
        <v>0</v>
      </c>
      <c r="X107" s="325">
        <f>'ALL ML SYSTEMS'!X107</f>
        <v>0</v>
      </c>
      <c r="Y107" s="325">
        <f>'ALL ML SYSTEMS'!Y107</f>
        <v>0</v>
      </c>
      <c r="Z107" s="325">
        <f>'ALL ML SYSTEMS'!Z107</f>
        <v>0</v>
      </c>
      <c r="AA107" s="341">
        <f>'ALL ML SYSTEMS'!AA107</f>
        <v>25757.4482100601</v>
      </c>
      <c r="AB107" s="325">
        <f>'ALL ML SYSTEMS'!AB107</f>
        <v>0</v>
      </c>
      <c r="AC107" s="325">
        <f>'ALL ML SYSTEMS'!AC107</f>
        <v>0</v>
      </c>
      <c r="AD107" s="325" t="str">
        <f>'ALL ML SYSTEMS'!AD107</f>
        <v>Industry</v>
      </c>
    </row>
    <row r="108" hidden="1" customHeight="1" spans="1:30">
      <c r="A108" s="323" t="str">
        <f>'ALL ML SYSTEMS'!A108</f>
        <v>iGPT-L</v>
      </c>
      <c r="B108" s="323" t="str">
        <f>'ALL ML SYSTEMS'!B108</f>
        <v>Drawing</v>
      </c>
      <c r="C108" s="323" t="str">
        <f>'ALL ML SYSTEMS'!C108</f>
        <v>Image completion</v>
      </c>
      <c r="D108" s="323" t="str">
        <f>'ALL ML SYSTEMS'!D108</f>
        <v>Open AI</v>
      </c>
      <c r="E108" s="323" t="str">
        <f>'ALL ML SYSTEMS'!E108</f>
        <v>Industry</v>
      </c>
      <c r="F108" s="323" t="str">
        <f>'ALL ML SYSTEMS'!F108</f>
        <v>Mark Chen, Alec Radford, Rewon Child, Jeff Wu, Heewoo Jun, Prafulla Dhariwal, David Luan, Ilya Sutskever</v>
      </c>
      <c r="G108" s="324">
        <f>'ALL ML SYSTEMS'!G108</f>
        <v>43999</v>
      </c>
      <c r="H108" s="329">
        <f>'ALL ML SYSTEMS'!H108</f>
        <v>3999</v>
      </c>
      <c r="I108" s="323" t="str">
        <f>'ALL ML SYSTEMS'!I108</f>
        <v>Generative Pretraining from Pixels</v>
      </c>
      <c r="J108" s="334" t="str">
        <f>'ALL ML SYSTEMS'!J108</f>
        <v>https://openai.com/blog/image-gpt/</v>
      </c>
      <c r="K108" s="335">
        <f>'ALL ML SYSTEMS'!K108</f>
        <v>689</v>
      </c>
      <c r="L108" s="323">
        <f>'ALL ML SYSTEMS'!L108</f>
        <v>0</v>
      </c>
      <c r="M108" s="335" t="str">
        <f>'ALL ML SYSTEMS'!M108</f>
        <v>No</v>
      </c>
      <c r="N108" s="335">
        <f>'ALL ML SYSTEMS'!N108</f>
        <v>1362000000</v>
      </c>
      <c r="O108" s="335">
        <f>'ALL ML SYSTEMS'!O108</f>
        <v>8.91e+21</v>
      </c>
      <c r="P108" s="336" t="str">
        <f>'ALL ML SYSTEMS'!P108</f>
        <v>ILSVRC 2012</v>
      </c>
      <c r="Q108" s="335">
        <f>'ALL ML SYSTEMS'!Q108</f>
        <v>9600000</v>
      </c>
      <c r="R108" s="323">
        <f>'ALL ML SYSTEMS'!R108</f>
        <v>0</v>
      </c>
      <c r="S108" s="335">
        <f>'ALL ML SYSTEMS'!S108</f>
        <v>0</v>
      </c>
      <c r="T108" s="323">
        <f>'ALL ML SYSTEMS'!T108</f>
        <v>0</v>
      </c>
      <c r="U108" s="323">
        <f>'ALL ML SYSTEMS'!U108</f>
        <v>0</v>
      </c>
      <c r="V108" s="323">
        <f>'ALL ML SYSTEMS'!V108</f>
        <v>0</v>
      </c>
      <c r="W108" s="323">
        <f>'ALL ML SYSTEMS'!W108</f>
        <v>0</v>
      </c>
      <c r="X108" s="323">
        <f>'ALL ML SYSTEMS'!X108</f>
        <v>0</v>
      </c>
      <c r="Y108" s="323">
        <f>'ALL ML SYSTEMS'!Y108</f>
        <v>0</v>
      </c>
      <c r="Z108" s="323">
        <f>'ALL ML SYSTEMS'!Z108</f>
        <v>0</v>
      </c>
      <c r="AA108" s="340">
        <f>'ALL ML SYSTEMS'!AA108</f>
        <v>32482.563232834</v>
      </c>
      <c r="AB108" s="323"/>
      <c r="AC108" s="323" t="str">
        <f>'ALL ML SYSTEMS'!AB108</f>
        <v>Yes</v>
      </c>
      <c r="AD108" s="323">
        <f>'ALL ML SYSTEMS'!AC108</f>
        <v>0</v>
      </c>
    </row>
    <row r="109" customHeight="1" spans="1:30">
      <c r="A109" s="325" t="str">
        <f>'ALL ML SYSTEMS'!A109</f>
        <v>ALBERT-xxlarge</v>
      </c>
      <c r="B109" s="325" t="str">
        <f>'ALL ML SYSTEMS'!B109</f>
        <v>Language</v>
      </c>
      <c r="C109" s="325">
        <f>'ALL ML SYSTEMS'!C109</f>
        <v>0</v>
      </c>
      <c r="D109" s="325" t="str">
        <f>'ALL ML SYSTEMS'!D109</f>
        <v>Google research, Toyota Technological Institute at Chicago</v>
      </c>
      <c r="E109" s="325" t="str">
        <f>'ALL ML SYSTEMS'!E109</f>
        <v>Industry - Academia Collaboration</v>
      </c>
      <c r="F109" s="325" t="str">
        <f>'ALL ML SYSTEMS'!F109</f>
        <v>Zhenzhong Lan, Mingda Chen, Sebastian Goodman, Kevin Gimpel, Piyush Sharma, and Radu Soricut</v>
      </c>
      <c r="G109" s="326">
        <f>'ALL ML SYSTEMS'!G109</f>
        <v>43870</v>
      </c>
      <c r="H109" s="327">
        <f>'ALL ML SYSTEMS'!H109</f>
        <v>3870</v>
      </c>
      <c r="I109" s="325" t="str">
        <f>'ALL ML SYSTEMS'!I109</f>
        <v>ALBERT: A Lite BERT for Self-supervised Learning of Language Representations.</v>
      </c>
      <c r="J109" s="337" t="str">
        <f>'ALL ML SYSTEMS'!J109</f>
        <v>https://arxiv.org/abs/1909.11942</v>
      </c>
      <c r="K109" s="338">
        <f>'ALL ML SYSTEMS'!K109</f>
        <v>2176</v>
      </c>
      <c r="L109" s="325" t="str">
        <f>'ALL ML SYSTEMS'!L109</f>
        <v>Highly cited</v>
      </c>
      <c r="M109" s="338" t="str">
        <f>'ALL ML SYSTEMS'!M109</f>
        <v>Yes</v>
      </c>
      <c r="N109" s="338">
        <f>'ALL ML SYSTEMS'!N109</f>
        <v>235000000</v>
      </c>
      <c r="O109" s="338">
        <f>'ALL ML SYSTEMS'!O109</f>
        <v>2.543726592e+21</v>
      </c>
      <c r="P109" s="339">
        <f>'ALL ML SYSTEMS'!P109</f>
        <v>0</v>
      </c>
      <c r="Q109" s="338">
        <f>'ALL ML SYSTEMS'!Q109</f>
        <v>3300000000</v>
      </c>
      <c r="R109" s="325">
        <f>'ALL ML SYSTEMS'!R109</f>
        <v>0</v>
      </c>
      <c r="S109" s="338">
        <f>'ALL ML SYSTEMS'!S109</f>
        <v>2500000000000</v>
      </c>
      <c r="T109" s="325">
        <f>'ALL ML SYSTEMS'!T109</f>
        <v>0</v>
      </c>
      <c r="U109" s="325">
        <f>'ALL ML SYSTEMS'!U109</f>
        <v>17408</v>
      </c>
      <c r="V109" s="325">
        <f>'ALL ML SYSTEMS'!V109</f>
        <v>0</v>
      </c>
      <c r="W109" s="325">
        <f>'ALL ML SYSTEMS'!W109</f>
        <v>0</v>
      </c>
      <c r="X109" s="325">
        <f>'ALL ML SYSTEMS'!X109</f>
        <v>0</v>
      </c>
      <c r="Y109" s="325">
        <f>'ALL ML SYSTEMS'!Y109</f>
        <v>0</v>
      </c>
      <c r="Z109" s="325">
        <f>'ALL ML SYSTEMS'!Z109</f>
        <v>0</v>
      </c>
      <c r="AA109" s="341">
        <f>'ALL ML SYSTEMS'!AA109</f>
        <v>5924.431294748</v>
      </c>
      <c r="AB109" s="325" t="str">
        <f>'ALL ML SYSTEMS'!AB109</f>
        <v>Yes</v>
      </c>
      <c r="AC109" s="325">
        <f>'ALL ML SYSTEMS'!AC109</f>
        <v>0</v>
      </c>
      <c r="AD109" s="325" t="str">
        <f>'ALL ML SYSTEMS'!AD109</f>
        <v>Industry</v>
      </c>
    </row>
    <row r="110" hidden="1" customHeight="1" spans="1:30">
      <c r="A110" s="323" t="str">
        <f>'ALL ML SYSTEMS'!A110</f>
        <v>AraGPT2-Mega</v>
      </c>
      <c r="B110" s="323" t="str">
        <f>'ALL ML SYSTEMS'!B110</f>
        <v>Language</v>
      </c>
      <c r="C110" s="323">
        <f>'ALL ML SYSTEMS'!C110</f>
        <v>0</v>
      </c>
      <c r="D110" s="323" t="str">
        <f>'ALL ML SYSTEMS'!D110</f>
        <v>American University of Beirut</v>
      </c>
      <c r="E110" s="323" t="str">
        <f>'ALL ML SYSTEMS'!E110</f>
        <v>Academia</v>
      </c>
      <c r="F110" s="323" t="str">
        <f>'ALL ML SYSTEMS'!F110</f>
        <v>W Antoun, F Baly, H Hajj</v>
      </c>
      <c r="G110" s="324">
        <f>'ALL ML SYSTEMS'!G110</f>
        <v>44196</v>
      </c>
      <c r="H110" s="329">
        <f>'ALL ML SYSTEMS'!H110</f>
        <v>4196</v>
      </c>
      <c r="I110" s="323" t="str">
        <f>'ALL ML SYSTEMS'!I110</f>
        <v>AraGPT2: Pre-Trained Transformer for Arabic Language Generation</v>
      </c>
      <c r="J110" s="334" t="str">
        <f>'ALL ML SYSTEMS'!J110</f>
        <v>https://arxiv.org/abs/2012.15520</v>
      </c>
      <c r="K110" s="335">
        <f>'ALL ML SYSTEMS'!K110</f>
        <v>24</v>
      </c>
      <c r="L110" s="323">
        <f>'ALL ML SYSTEMS'!L110</f>
        <v>0</v>
      </c>
      <c r="M110" s="335" t="str">
        <f>'ALL ML SYSTEMS'!M110</f>
        <v>No</v>
      </c>
      <c r="N110" s="335">
        <f>'ALL ML SYSTEMS'!N110</f>
        <v>1500000000</v>
      </c>
      <c r="O110" s="335">
        <f>'ALL ML SYSTEMS'!O110</f>
        <v>2e+21</v>
      </c>
      <c r="P110" s="336">
        <f>'ALL ML SYSTEMS'!P110</f>
        <v>0</v>
      </c>
      <c r="Q110" s="335">
        <f>'ALL ML SYSTEMS'!Q110</f>
        <v>8800000000</v>
      </c>
      <c r="R110" s="323">
        <f>'ALL ML SYSTEMS'!R110</f>
        <v>0</v>
      </c>
      <c r="S110" s="335">
        <f>'ALL ML SYSTEMS'!S110</f>
        <v>0</v>
      </c>
      <c r="T110" s="323">
        <f>'ALL ML SYSTEMS'!T110</f>
        <v>0</v>
      </c>
      <c r="U110" s="323">
        <f>'ALL ML SYSTEMS'!U110</f>
        <v>0</v>
      </c>
      <c r="V110" s="323">
        <f>'ALL ML SYSTEMS'!V110</f>
        <v>0</v>
      </c>
      <c r="W110" s="323">
        <f>'ALL ML SYSTEMS'!W110</f>
        <v>0</v>
      </c>
      <c r="X110" s="323">
        <f>'ALL ML SYSTEMS'!X110</f>
        <v>0</v>
      </c>
      <c r="Y110" s="323">
        <f>'ALL ML SYSTEMS'!Y110</f>
        <v>0</v>
      </c>
      <c r="Z110" s="323">
        <f>'ALL ML SYSTEMS'!Z110</f>
        <v>0</v>
      </c>
      <c r="AA110" s="340">
        <f>'ALL ML SYSTEMS'!AA110</f>
        <v>3685.43255453402</v>
      </c>
      <c r="AB110" s="323"/>
      <c r="AC110" s="323" t="str">
        <f>'ALL ML SYSTEMS'!AB110</f>
        <v>Yes</v>
      </c>
      <c r="AD110" s="323">
        <f>'ALL ML SYSTEMS'!AC110</f>
        <v>0</v>
      </c>
    </row>
    <row r="111" hidden="1" customHeight="1" spans="1:30">
      <c r="A111" s="325" t="str">
        <f>'ALL ML SYSTEMS'!A111</f>
        <v>CPM-Large</v>
      </c>
      <c r="B111" s="325" t="str">
        <f>'ALL ML SYSTEMS'!B111</f>
        <v>Language</v>
      </c>
      <c r="C111" s="325">
        <f>'ALL ML SYSTEMS'!C111</f>
        <v>0</v>
      </c>
      <c r="D111" s="325" t="str">
        <f>'ALL ML SYSTEMS'!D111</f>
        <v>Tsinghua University, BAAI</v>
      </c>
      <c r="E111" s="325" t="str">
        <f>'ALL ML SYSTEMS'!E111</f>
        <v>Academia</v>
      </c>
      <c r="F111" s="325" t="str">
        <f>'ALL ML SYSTEMS'!F111</f>
        <v>Z Zhang, X Han, H Zhou, P Ke, Y Gu, D Ye, Y Qin, Y Su</v>
      </c>
      <c r="G111" s="326">
        <f>'ALL ML SYSTEMS'!G111</f>
        <v>44166</v>
      </c>
      <c r="H111" s="327">
        <f>'ALL ML SYSTEMS'!H111</f>
        <v>4166</v>
      </c>
      <c r="I111" s="325" t="str">
        <f>'ALL ML SYSTEMS'!I111</f>
        <v>CPM: A Large-scale Generative Chinese Pre-trained Language Model</v>
      </c>
      <c r="J111" s="337" t="str">
        <f>'ALL ML SYSTEMS'!J111</f>
        <v>https://arxiv.org/abs/2012.00413</v>
      </c>
      <c r="K111" s="338">
        <f>'ALL ML SYSTEMS'!K111</f>
        <v>49</v>
      </c>
      <c r="L111" s="325">
        <f>'ALL ML SYSTEMS'!L111</f>
        <v>0</v>
      </c>
      <c r="M111" s="338" t="str">
        <f>'ALL ML SYSTEMS'!M111</f>
        <v>No</v>
      </c>
      <c r="N111" s="338">
        <f>'ALL ML SYSTEMS'!N111</f>
        <v>2600000000</v>
      </c>
      <c r="O111" s="338">
        <f>'ALL ML SYSTEMS'!O111</f>
        <v>1.8e+21</v>
      </c>
      <c r="P111" s="339">
        <f>'ALL ML SYSTEMS'!P111</f>
        <v>0</v>
      </c>
      <c r="Q111" s="338">
        <f>'ALL ML SYSTEMS'!Q111</f>
        <v>16700000000</v>
      </c>
      <c r="R111" s="325">
        <f>'ALL ML SYSTEMS'!R111</f>
        <v>0</v>
      </c>
      <c r="S111" s="338">
        <f>'ALL ML SYSTEMS'!S111</f>
        <v>0</v>
      </c>
      <c r="T111" s="325">
        <f>'ALL ML SYSTEMS'!T111</f>
        <v>0</v>
      </c>
      <c r="U111" s="325">
        <f>'ALL ML SYSTEMS'!U111</f>
        <v>0</v>
      </c>
      <c r="V111" s="325">
        <f>'ALL ML SYSTEMS'!V111</f>
        <v>0</v>
      </c>
      <c r="W111" s="325">
        <f>'ALL ML SYSTEMS'!W111</f>
        <v>0</v>
      </c>
      <c r="X111" s="325">
        <f>'ALL ML SYSTEMS'!X111</f>
        <v>0</v>
      </c>
      <c r="Y111" s="325">
        <f>'ALL ML SYSTEMS'!Y111</f>
        <v>0</v>
      </c>
      <c r="Z111" s="325">
        <f>'ALL ML SYSTEMS'!Z111</f>
        <v>0</v>
      </c>
      <c r="AA111" s="341">
        <f>'ALL ML SYSTEMS'!AA111</f>
        <v>6569.50717068554</v>
      </c>
      <c r="AB111" s="325"/>
      <c r="AC111" s="325" t="str">
        <f>'ALL ML SYSTEMS'!AB111</f>
        <v>Yes</v>
      </c>
      <c r="AD111" s="325" t="str">
        <f>'ALL ML SYSTEMS'!AC111</f>
        <v>Left-To-Right Transformer Decoder</v>
      </c>
    </row>
    <row r="112" hidden="1" customHeight="1" spans="1:30">
      <c r="A112" s="323" t="str">
        <f>'ALL ML SYSTEMS'!A112</f>
        <v>Once for All</v>
      </c>
      <c r="B112" s="323" t="str">
        <f>'ALL ML SYSTEMS'!B112</f>
        <v>Vision</v>
      </c>
      <c r="C112" s="323">
        <f>'ALL ML SYSTEMS'!C112</f>
        <v>0</v>
      </c>
      <c r="D112" s="323" t="str">
        <f>'ALL ML SYSTEMS'!D112</f>
        <v>MIT-IBM Watson AI Lab</v>
      </c>
      <c r="E112" s="323" t="str">
        <f>'ALL ML SYSTEMS'!E112</f>
        <v>Industry</v>
      </c>
      <c r="F112" s="323" t="str">
        <f>'ALL ML SYSTEMS'!F112</f>
        <v>Han Cai, Chuang Gan, Tianzhe Wang, Zhekai Zhang, and Song Han</v>
      </c>
      <c r="G112" s="324">
        <f>'ALL ML SYSTEMS'!G112</f>
        <v>43950</v>
      </c>
      <c r="H112" s="329">
        <f>'ALL ML SYSTEMS'!H112</f>
        <v>3950</v>
      </c>
      <c r="I112" s="323" t="str">
        <f>'ALL ML SYSTEMS'!I112</f>
        <v>Once for all: Train one network and specialize it for efficient deployment.</v>
      </c>
      <c r="J112" s="334" t="str">
        <f>'ALL ML SYSTEMS'!J112</f>
        <v>https://arxiv.org/abs/1908.09791</v>
      </c>
      <c r="K112" s="335">
        <f>'ALL ML SYSTEMS'!K112</f>
        <v>733</v>
      </c>
      <c r="L112" s="323">
        <f>'ALL ML SYSTEMS'!L112</f>
        <v>0</v>
      </c>
      <c r="M112" s="335" t="str">
        <f>'ALL ML SYSTEMS'!M112</f>
        <v>No</v>
      </c>
      <c r="N112" s="335">
        <f>'ALL ML SYSTEMS'!N112</f>
        <v>7700000</v>
      </c>
      <c r="O112" s="335">
        <f>'ALL ML SYSTEMS'!O112</f>
        <v>1.78428096e+21</v>
      </c>
      <c r="P112" s="336" t="str">
        <f>'ALL ML SYSTEMS'!P112</f>
        <v>Imagenet</v>
      </c>
      <c r="Q112" s="335">
        <f>'ALL ML SYSTEMS'!Q112</f>
        <v>0</v>
      </c>
      <c r="R112" s="323">
        <f>'ALL ML SYSTEMS'!R112</f>
        <v>0</v>
      </c>
      <c r="S112" s="335">
        <f>'ALL ML SYSTEMS'!S112</f>
        <v>0</v>
      </c>
      <c r="T112" s="323">
        <f>'ALL ML SYSTEMS'!T112</f>
        <v>0</v>
      </c>
      <c r="U112" s="323">
        <f>'ALL ML SYSTEMS'!U112</f>
        <v>0</v>
      </c>
      <c r="V112" s="323">
        <f>'ALL ML SYSTEMS'!V112</f>
        <v>0</v>
      </c>
      <c r="W112" s="323">
        <f>'ALL ML SYSTEMS'!W112</f>
        <v>0</v>
      </c>
      <c r="X112" s="323">
        <f>'ALL ML SYSTEMS'!X112</f>
        <v>0</v>
      </c>
      <c r="Y112" s="323">
        <f>'ALL ML SYSTEMS'!Y112</f>
        <v>0</v>
      </c>
      <c r="Z112" s="323">
        <f>'ALL ML SYSTEMS'!Z112</f>
        <v>0</v>
      </c>
      <c r="AA112" s="340">
        <f>'ALL ML SYSTEMS'!AA112</f>
        <v>6569.50717068554</v>
      </c>
      <c r="AB112" s="323"/>
      <c r="AC112" s="323">
        <f>'ALL ML SYSTEMS'!AB112</f>
        <v>0</v>
      </c>
      <c r="AD112" s="323">
        <f>'ALL ML SYSTEMS'!AC112</f>
        <v>0</v>
      </c>
    </row>
    <row r="113" customHeight="1" spans="1:30">
      <c r="A113" s="325" t="str">
        <f>'ALL ML SYSTEMS'!A113</f>
        <v>wave2vec 2.0 LARGE</v>
      </c>
      <c r="B113" s="325" t="str">
        <f>'ALL ML SYSTEMS'!B113</f>
        <v>Speech</v>
      </c>
      <c r="C113" s="325" t="str">
        <f>'ALL ML SYSTEMS'!C113</f>
        <v>Speech completion</v>
      </c>
      <c r="D113" s="325" t="str">
        <f>'ALL ML SYSTEMS'!D113</f>
        <v>Facebook</v>
      </c>
      <c r="E113" s="325" t="str">
        <f>'ALL ML SYSTEMS'!E113</f>
        <v>Industry</v>
      </c>
      <c r="F113" s="325" t="str">
        <f>'ALL ML SYSTEMS'!F113</f>
        <v>Alexei Baevski, Henry Zhou, Abdelrahman Mohamed, Michael Auli</v>
      </c>
      <c r="G113" s="326">
        <f>'ALL ML SYSTEMS'!G113</f>
        <v>44126</v>
      </c>
      <c r="H113" s="327">
        <f>'ALL ML SYSTEMS'!H113</f>
        <v>4126</v>
      </c>
      <c r="I113" s="325" t="str">
        <f>'ALL ML SYSTEMS'!I113</f>
        <v>wav2vec 2.0: A Framework for Self-Supervised Learning of Speech Representations</v>
      </c>
      <c r="J113" s="337" t="str">
        <f>'ALL ML SYSTEMS'!J113</f>
        <v>https://arxiv.org/abs/2006.11477</v>
      </c>
      <c r="K113" s="338">
        <f>'ALL ML SYSTEMS'!K113</f>
        <v>410</v>
      </c>
      <c r="L113" s="325" t="str">
        <f>'ALL ML SYSTEMS'!L113</f>
        <v>SOTA Improvement</v>
      </c>
      <c r="M113" s="338" t="str">
        <f>'ALL ML SYSTEMS'!M113</f>
        <v>Yes</v>
      </c>
      <c r="N113" s="338">
        <f>'ALL ML SYSTEMS'!N113</f>
        <v>317000000</v>
      </c>
      <c r="O113" s="338">
        <f>'ALL ML SYSTEMS'!O113</f>
        <v>4.34e+20</v>
      </c>
      <c r="P113" s="339" t="str">
        <f>'ALL ML SYSTEMS'!P113</f>
        <v>LibriSpeech</v>
      </c>
      <c r="Q113" s="338">
        <f>'ALL ML SYSTEMS'!Q113</f>
        <v>727776000</v>
      </c>
      <c r="R113" s="325">
        <f>'ALL ML SYSTEMS'!R113</f>
        <v>0</v>
      </c>
      <c r="S113" s="338">
        <f>'ALL ML SYSTEMS'!S113</f>
        <v>0</v>
      </c>
      <c r="T113" s="325">
        <f>'ALL ML SYSTEMS'!T113</f>
        <v>0</v>
      </c>
      <c r="U113" s="325">
        <f>'ALL ML SYSTEMS'!U113</f>
        <v>0</v>
      </c>
      <c r="V113" s="325">
        <f>'ALL ML SYSTEMS'!V113</f>
        <v>0</v>
      </c>
      <c r="W113" s="325">
        <f>'ALL ML SYSTEMS'!W113</f>
        <v>0</v>
      </c>
      <c r="X113" s="325">
        <f>'ALL ML SYSTEMS'!X113</f>
        <v>0</v>
      </c>
      <c r="Y113" s="325">
        <f>'ALL ML SYSTEMS'!Y113</f>
        <v>0</v>
      </c>
      <c r="Z113" s="325">
        <f>'ALL ML SYSTEMS'!Z113</f>
        <v>0</v>
      </c>
      <c r="AA113" s="341">
        <f>'ALL ML SYSTEMS'!AA113</f>
        <v>1569.38226855265</v>
      </c>
      <c r="AB113" s="325" t="str">
        <f>'ALL ML SYSTEMS'!AB113</f>
        <v>Yes</v>
      </c>
      <c r="AC113" s="325">
        <f>'ALL ML SYSTEMS'!AC113</f>
        <v>0</v>
      </c>
      <c r="AD113" s="325" t="str">
        <f>'ALL ML SYSTEMS'!AD113</f>
        <v>Industry</v>
      </c>
    </row>
    <row r="114" hidden="1" customHeight="1" spans="1:30">
      <c r="A114" s="323" t="str">
        <f>'ALL ML SYSTEMS'!A114</f>
        <v>DLRM-2021</v>
      </c>
      <c r="B114" s="323" t="str">
        <f>'ALL ML SYSTEMS'!B114</f>
        <v>Recommendation</v>
      </c>
      <c r="C114" s="323">
        <f>'ALL ML SYSTEMS'!C114</f>
        <v>0</v>
      </c>
      <c r="D114" s="323" t="str">
        <f>'ALL ML SYSTEMS'!D114</f>
        <v>Facebook AI </v>
      </c>
      <c r="E114" s="323" t="str">
        <f>'ALL ML SYSTEMS'!E114</f>
        <v>Industry</v>
      </c>
      <c r="F114" s="323" t="str">
        <f>'ALL ML SYSTEMS'!F114</f>
        <v>D Mudigere, Y Hao, J Huang, A Tulloch</v>
      </c>
      <c r="G114" s="324">
        <f>'ALL ML SYSTEMS'!G114</f>
        <v>44013</v>
      </c>
      <c r="H114" s="329">
        <f>'ALL ML SYSTEMS'!H114</f>
        <v>4013</v>
      </c>
      <c r="I114" s="323" t="str">
        <f>'ALL ML SYSTEMS'!I114</f>
        <v>High- performance, Distributed Training of Large scale Deep Learning Recommendation Models</v>
      </c>
      <c r="J114" s="334" t="str">
        <f>'ALL ML SYSTEMS'!J114</f>
        <v>https://www.arxiv-vanity.com/papers/2104.05158/</v>
      </c>
      <c r="K114" s="335">
        <f>'ALL ML SYSTEMS'!K114</f>
        <v>10</v>
      </c>
      <c r="L114" s="323">
        <f>'ALL ML SYSTEMS'!L114</f>
        <v>0</v>
      </c>
      <c r="M114" s="335" t="str">
        <f>'ALL ML SYSTEMS'!M114</f>
        <v>No</v>
      </c>
      <c r="N114" s="335">
        <f>'ALL ML SYSTEMS'!N114</f>
        <v>1000000000000</v>
      </c>
      <c r="O114" s="335">
        <f>'ALL ML SYSTEMS'!O114</f>
        <v>3e+20</v>
      </c>
      <c r="P114" s="336">
        <f>'ALL ML SYSTEMS'!P114</f>
        <v>0</v>
      </c>
      <c r="Q114" s="335">
        <f>'ALL ML SYSTEMS'!Q114</f>
        <v>0</v>
      </c>
      <c r="R114" s="323">
        <f>'ALL ML SYSTEMS'!R114</f>
        <v>0</v>
      </c>
      <c r="S114" s="335">
        <f>'ALL ML SYSTEMS'!S114</f>
        <v>0</v>
      </c>
      <c r="T114" s="323">
        <f>'ALL ML SYSTEMS'!T114</f>
        <v>0</v>
      </c>
      <c r="U114" s="323">
        <f>'ALL ML SYSTEMS'!U114</f>
        <v>0</v>
      </c>
      <c r="V114" s="323">
        <f>'ALL ML SYSTEMS'!V114</f>
        <v>0</v>
      </c>
      <c r="W114" s="323">
        <f>'ALL ML SYSTEMS'!W114</f>
        <v>0</v>
      </c>
      <c r="X114" s="323">
        <f>'ALL ML SYSTEMS'!X114</f>
        <v>0</v>
      </c>
      <c r="Y114" s="323">
        <f>'ALL ML SYSTEMS'!Y114</f>
        <v>0</v>
      </c>
      <c r="Z114" s="323">
        <f>'ALL ML SYSTEMS'!Z114</f>
        <v>0</v>
      </c>
      <c r="AA114" s="340">
        <f>'ALL ML SYSTEMS'!AA114</f>
        <v>1094.91786178092</v>
      </c>
      <c r="AB114" s="323"/>
      <c r="AC114" s="323">
        <f>'ALL ML SYSTEMS'!AB114</f>
        <v>0</v>
      </c>
      <c r="AD114" s="323">
        <f>'ALL ML SYSTEMS'!AC114</f>
        <v>0</v>
      </c>
    </row>
    <row r="115" hidden="1" customHeight="1" spans="1:30">
      <c r="A115" s="325" t="str">
        <f>'ALL ML SYSTEMS'!A115</f>
        <v>ProGen</v>
      </c>
      <c r="B115" s="325" t="str">
        <f>'ALL ML SYSTEMS'!B115</f>
        <v>Other</v>
      </c>
      <c r="C115" s="325" t="str">
        <f>'ALL ML SYSTEMS'!C115</f>
        <v>Protein generation</v>
      </c>
      <c r="D115" s="325" t="str">
        <f>'ALL ML SYSTEMS'!D115</f>
        <v>Salesforce research, Stanford</v>
      </c>
      <c r="E115" s="325" t="str">
        <f>'ALL ML SYSTEMS'!E115</f>
        <v>Industry - Academia Collaboration</v>
      </c>
      <c r="F115" s="325" t="str">
        <f>'ALL ML SYSTEMS'!F115</f>
        <v>A Madani, B McCann, N Naik, NS Keskar</v>
      </c>
      <c r="G115" s="326">
        <f>'ALL ML SYSTEMS'!G115</f>
        <v>43903</v>
      </c>
      <c r="H115" s="327">
        <f>'ALL ML SYSTEMS'!H115</f>
        <v>3903</v>
      </c>
      <c r="I115" s="325" t="str">
        <f>'ALL ML SYSTEMS'!I115</f>
        <v>ProGen: Language Modeling for Protein Generation</v>
      </c>
      <c r="J115" s="337" t="str">
        <f>'ALL ML SYSTEMS'!J115</f>
        <v>https://www.biorxiv.org/content/10.1101/2020.03.07.982272v2</v>
      </c>
      <c r="K115" s="338">
        <f>'ALL ML SYSTEMS'!K115</f>
        <v>131</v>
      </c>
      <c r="L115" s="325">
        <f>'ALL ML SYSTEMS'!L115</f>
        <v>0</v>
      </c>
      <c r="M115" s="338" t="str">
        <f>'ALL ML SYSTEMS'!M115</f>
        <v>No</v>
      </c>
      <c r="N115" s="338">
        <f>'ALL ML SYSTEMS'!N115</f>
        <v>1200000000</v>
      </c>
      <c r="O115" s="338">
        <f>'ALL ML SYSTEMS'!O115</f>
        <v>2.7e+20</v>
      </c>
      <c r="P115" s="339">
        <f>'ALL ML SYSTEMS'!P115</f>
        <v>0</v>
      </c>
      <c r="Q115" s="338">
        <f>'ALL ML SYSTEMS'!Q115</f>
        <v>0</v>
      </c>
      <c r="R115" s="325">
        <f>'ALL ML SYSTEMS'!R115</f>
        <v>0</v>
      </c>
      <c r="S115" s="338">
        <f>'ALL ML SYSTEMS'!S115</f>
        <v>0</v>
      </c>
      <c r="T115" s="325">
        <f>'ALL ML SYSTEMS'!T115</f>
        <v>0</v>
      </c>
      <c r="U115" s="325">
        <f>'ALL ML SYSTEMS'!U115</f>
        <v>0</v>
      </c>
      <c r="V115" s="325">
        <f>'ALL ML SYSTEMS'!V115</f>
        <v>0</v>
      </c>
      <c r="W115" s="325">
        <f>'ALL ML SYSTEMS'!W115</f>
        <v>0</v>
      </c>
      <c r="X115" s="325">
        <f>'ALL ML SYSTEMS'!X115</f>
        <v>0</v>
      </c>
      <c r="Y115" s="325">
        <f>'ALL ML SYSTEMS'!Y115</f>
        <v>0</v>
      </c>
      <c r="Z115" s="325">
        <f>'ALL ML SYSTEMS'!Z115</f>
        <v>0</v>
      </c>
      <c r="AA115" s="341">
        <f>'ALL ML SYSTEMS'!AA115</f>
        <v>623.75143437183</v>
      </c>
      <c r="AB115" s="325"/>
      <c r="AC115" s="325" t="str">
        <f>'ALL ML SYSTEMS'!AB115</f>
        <v>Yes</v>
      </c>
      <c r="AD115" s="325">
        <f>'ALL ML SYSTEMS'!AC115</f>
        <v>0</v>
      </c>
    </row>
    <row r="116" hidden="1" customHeight="1" spans="1:30">
      <c r="A116" s="323" t="str">
        <f>'ALL ML SYSTEMS'!A116</f>
        <v>ELECTRA</v>
      </c>
      <c r="B116" s="323" t="str">
        <f>'ALL ML SYSTEMS'!B116</f>
        <v>Language</v>
      </c>
      <c r="C116" s="323">
        <f>'ALL ML SYSTEMS'!C116</f>
        <v>0</v>
      </c>
      <c r="D116" s="323" t="str">
        <f>'ALL ML SYSTEMS'!D116</f>
        <v>Stanford University, Google Brain</v>
      </c>
      <c r="E116" s="323">
        <f>'ALL ML SYSTEMS'!E116</f>
        <v>0</v>
      </c>
      <c r="F116" s="323" t="str">
        <f>'ALL ML SYSTEMS'!F116</f>
        <v>Kevin Clark, Minh-Thang Luong, Quoc V. Le, Christopher D. Manning</v>
      </c>
      <c r="G116" s="324" t="str">
        <f>'ALL ML SYSTEMS'!G116</f>
        <v>23/03/2020</v>
      </c>
      <c r="H116" s="323">
        <f>'ALL ML SYSTEMS'!H116</f>
        <v>2020</v>
      </c>
      <c r="I116" s="323" t="str">
        <f>'ALL ML SYSTEMS'!I116</f>
        <v>ELECTRA: pre-training text encoders as discriminators rather than generators</v>
      </c>
      <c r="J116" s="334" t="str">
        <f>'ALL ML SYSTEMS'!J116</f>
        <v>https://arxiv.org/abs/2003.10555v1</v>
      </c>
      <c r="K116" s="335">
        <f>'ALL ML SYSTEMS'!K116</f>
        <v>0</v>
      </c>
      <c r="L116" s="323">
        <f>'ALL ML SYSTEMS'!L116</f>
        <v>0</v>
      </c>
      <c r="M116" s="335" t="str">
        <f>'ALL ML SYSTEMS'!M116</f>
        <v>No</v>
      </c>
      <c r="N116" s="323">
        <f>'ALL ML SYSTEMS'!N116</f>
        <v>0</v>
      </c>
      <c r="O116" s="335">
        <f>'ALL ML SYSTEMS'!O116</f>
        <v>2e+20</v>
      </c>
      <c r="P116" s="336">
        <f>'ALL ML SYSTEMS'!P116</f>
        <v>0</v>
      </c>
      <c r="Q116" s="335">
        <f>'ALL ML SYSTEMS'!Q116</f>
        <v>0</v>
      </c>
      <c r="R116" s="323">
        <f>'ALL ML SYSTEMS'!R116</f>
        <v>0</v>
      </c>
      <c r="S116" s="323">
        <f>'ALL ML SYSTEMS'!S116</f>
        <v>0</v>
      </c>
      <c r="T116" s="323">
        <f>'ALL ML SYSTEMS'!T116</f>
        <v>0</v>
      </c>
      <c r="U116" s="323">
        <f>'ALL ML SYSTEMS'!U116</f>
        <v>0</v>
      </c>
      <c r="V116" s="323">
        <f>'ALL ML SYSTEMS'!V116</f>
        <v>0</v>
      </c>
      <c r="W116" s="323">
        <f>'ALL ML SYSTEMS'!W116</f>
        <v>0</v>
      </c>
      <c r="X116" s="323">
        <f>'ALL ML SYSTEMS'!X116</f>
        <v>0</v>
      </c>
      <c r="Y116" s="323">
        <f>'ALL ML SYSTEMS'!Y116</f>
        <v>0</v>
      </c>
      <c r="Z116" s="323">
        <f>'ALL ML SYSTEMS'!Z116</f>
        <v>0</v>
      </c>
      <c r="AA116" s="340" t="str">
        <f>'ALL ML SYSTEMS'!AA116</f>
        <v/>
      </c>
      <c r="AB116" s="323"/>
      <c r="AC116" s="323" t="str">
        <f>'ALL ML SYSTEMS'!AB116</f>
        <v>Yes</v>
      </c>
      <c r="AD116" s="323">
        <f>'ALL ML SYSTEMS'!AC116</f>
        <v>0</v>
      </c>
    </row>
    <row r="117" hidden="1" customHeight="1" spans="1:30">
      <c r="A117" s="325" t="str">
        <f>'ALL ML SYSTEMS'!A117</f>
        <v>KEPLER</v>
      </c>
      <c r="B117" s="325" t="str">
        <f>'ALL ML SYSTEMS'!B117</f>
        <v>Language</v>
      </c>
      <c r="C117" s="325" t="str">
        <f>'ALL ML SYSTEMS'!C117</f>
        <v>Relation Extraction</v>
      </c>
      <c r="D117" s="325" t="str">
        <f>'ALL ML SYSTEMS'!D117</f>
        <v>Tsinghua University, Princeton, Mila- Quebec AI, University de Montreal, HEC, CIFAR</v>
      </c>
      <c r="E117" s="325" t="str">
        <f>'ALL ML SYSTEMS'!E117</f>
        <v>Academia</v>
      </c>
      <c r="F117" s="325" t="str">
        <f>'ALL ML SYSTEMS'!F117</f>
        <v>Xiaozhi Wang, Tianyu Gao, Zhaocheng Zhu, Zhiyuan Liu, Juanzi Li, and Jian Tang.</v>
      </c>
      <c r="G117" s="326">
        <f>'ALL ML SYSTEMS'!G117</f>
        <v>44158</v>
      </c>
      <c r="H117" s="327">
        <f>'ALL ML SYSTEMS'!H117</f>
        <v>4158</v>
      </c>
      <c r="I117" s="325" t="str">
        <f>'ALL ML SYSTEMS'!I117</f>
        <v>KEPLER: A Unified Model for Knowledge Embedding and Pre- trained Language Representation.</v>
      </c>
      <c r="J117" s="337" t="str">
        <f>'ALL ML SYSTEMS'!J117</f>
        <v>https://arxiv.org/abs/1911.06136</v>
      </c>
      <c r="K117" s="338">
        <f>'ALL ML SYSTEMS'!K117</f>
        <v>256</v>
      </c>
      <c r="L117" s="325">
        <f>'ALL ML SYSTEMS'!L117</f>
        <v>0</v>
      </c>
      <c r="M117" s="338" t="str">
        <f>'ALL ML SYSTEMS'!M117</f>
        <v>No</v>
      </c>
      <c r="N117" s="338">
        <f>'ALL ML SYSTEMS'!N117</f>
        <v>110000000</v>
      </c>
      <c r="O117" s="338">
        <f>'ALL ML SYSTEMS'!O117</f>
        <v>1.24e+20</v>
      </c>
      <c r="P117" s="339" t="str">
        <f>'ALL ML SYSTEMS'!P117</f>
        <v>Wikipedia+BookCorpus</v>
      </c>
      <c r="Q117" s="338">
        <f>'ALL ML SYSTEMS'!Q117</f>
        <v>3300000000</v>
      </c>
      <c r="R117" s="325">
        <f>'ALL ML SYSTEMS'!R117</f>
        <v>0</v>
      </c>
      <c r="S117" s="338">
        <f>'ALL ML SYSTEMS'!S117</f>
        <v>0</v>
      </c>
      <c r="T117" s="325">
        <f>'ALL ML SYSTEMS'!T117</f>
        <v>0</v>
      </c>
      <c r="U117" s="325">
        <f>'ALL ML SYSTEMS'!U117</f>
        <v>0</v>
      </c>
      <c r="V117" s="325">
        <f>'ALL ML SYSTEMS'!V117</f>
        <v>0</v>
      </c>
      <c r="W117" s="325">
        <f>'ALL ML SYSTEMS'!W117</f>
        <v>0</v>
      </c>
      <c r="X117" s="325">
        <f>'ALL ML SYSTEMS'!X117</f>
        <v>0</v>
      </c>
      <c r="Y117" s="325">
        <f>'ALL ML SYSTEMS'!Y117</f>
        <v>0</v>
      </c>
      <c r="Z117" s="325">
        <f>'ALL ML SYSTEMS'!Z117</f>
        <v>0</v>
      </c>
      <c r="AA117" s="341">
        <f>'ALL ML SYSTEMS'!AA117</f>
        <v>437.967144712369</v>
      </c>
      <c r="AB117" s="325"/>
      <c r="AC117" s="325" t="str">
        <f>'ALL ML SYSTEMS'!AB117</f>
        <v>Yes</v>
      </c>
      <c r="AD117" s="325">
        <f>'ALL ML SYSTEMS'!AC117</f>
        <v>0</v>
      </c>
    </row>
    <row r="118" customHeight="1" spans="1:30">
      <c r="A118" s="323" t="str">
        <f>'ALL ML SYSTEMS'!A118</f>
        <v>AlphaFold</v>
      </c>
      <c r="B118" s="323" t="str">
        <f>'ALL ML SYSTEMS'!B118</f>
        <v>Other</v>
      </c>
      <c r="C118" s="323" t="str">
        <f>'ALL ML SYSTEMS'!C118</f>
        <v>Protein folding prediction</v>
      </c>
      <c r="D118" s="323" t="str">
        <f>'ALL ML SYSTEMS'!D118</f>
        <v>DeepMind</v>
      </c>
      <c r="E118" s="323" t="str">
        <f>'ALL ML SYSTEMS'!E118</f>
        <v>Industry</v>
      </c>
      <c r="F118" s="323" t="str">
        <f>'ALL ML SYSTEMS'!F118</f>
        <v>Andrew W. Senior, Richard Evans, John Jumper, James Kirkpatrick, Laurent Sifre, Tim Green, Chongli Qin, Augustin Žídek, Alexander W. R. Nelson, Alex Bridgland, Hugo Penedones, Stig Petersen, Karen Simonyan, Steve Crossan, Pushmeet Kohli, David T. Jones, David Silver, Koray Kavukcuoglu &amp; Demis Hassabis</v>
      </c>
      <c r="G118" s="324">
        <f>'ALL ML SYSTEMS'!G118</f>
        <v>43845</v>
      </c>
      <c r="H118" s="329">
        <f>'ALL ML SYSTEMS'!H118</f>
        <v>3845</v>
      </c>
      <c r="I118" s="323" t="str">
        <f>'ALL ML SYSTEMS'!I118</f>
        <v>Improved protein structure prediction using potentials from deep learning</v>
      </c>
      <c r="J118" s="334" t="str">
        <f>'ALL ML SYSTEMS'!J118</f>
        <v>https://www.nature.com/articles/s41586-019-1923-7</v>
      </c>
      <c r="K118" s="335">
        <f>'ALL ML SYSTEMS'!K118</f>
        <v>840</v>
      </c>
      <c r="L118" s="323" t="str">
        <f>'ALL ML SYSTEMS'!L118</f>
        <v>SOTA improvement</v>
      </c>
      <c r="M118" s="335" t="str">
        <f>'ALL ML SYSTEMS'!M118</f>
        <v>Yes</v>
      </c>
      <c r="N118" s="335">
        <f>'ALL ML SYSTEMS'!N118</f>
        <v>69000000</v>
      </c>
      <c r="O118" s="335">
        <f>'ALL ML SYSTEMS'!O118</f>
        <v>1e+20</v>
      </c>
      <c r="P118" s="336">
        <f>'ALL ML SYSTEMS'!P118</f>
        <v>0</v>
      </c>
      <c r="Q118" s="335">
        <f>'ALL ML SYSTEMS'!Q118</f>
        <v>0</v>
      </c>
      <c r="R118" s="323">
        <f>'ALL ML SYSTEMS'!R118</f>
        <v>0</v>
      </c>
      <c r="S118" s="335">
        <f>'ALL ML SYSTEMS'!S118</f>
        <v>0</v>
      </c>
      <c r="T118" s="323">
        <f>'ALL ML SYSTEMS'!T118</f>
        <v>0</v>
      </c>
      <c r="U118" s="323">
        <f>'ALL ML SYSTEMS'!U118</f>
        <v>0</v>
      </c>
      <c r="V118" s="323">
        <f>'ALL ML SYSTEMS'!V118</f>
        <v>0</v>
      </c>
      <c r="W118" s="323">
        <f>'ALL ML SYSTEMS'!W118</f>
        <v>0</v>
      </c>
      <c r="X118" s="323">
        <f>'ALL ML SYSTEMS'!X118</f>
        <v>0</v>
      </c>
      <c r="Y118" s="323">
        <f>'ALL ML SYSTEMS'!Y118</f>
        <v>0</v>
      </c>
      <c r="Z118" s="323" t="str">
        <f>'ALL ML SYSTEMS'!Z118</f>
        <v>Score</v>
      </c>
      <c r="AA118" s="340">
        <f>'ALL ML SYSTEMS'!AA118</f>
        <v>241.593133715473</v>
      </c>
      <c r="AB118" s="323" t="str">
        <f>'ALL ML SYSTEMS'!AB118</f>
        <v>Yes</v>
      </c>
      <c r="AC118" s="323">
        <f>'ALL ML SYSTEMS'!AC118</f>
        <v>0</v>
      </c>
      <c r="AD118" s="323" t="str">
        <f>'ALL ML SYSTEMS'!AD118</f>
        <v>Industry</v>
      </c>
    </row>
    <row r="119" hidden="1" customHeight="1" spans="1:30">
      <c r="A119" s="325" t="str">
        <f>'ALL ML SYSTEMS'!A119</f>
        <v>Theseus 6/768</v>
      </c>
      <c r="B119" s="325" t="str">
        <f>'ALL ML SYSTEMS'!B119</f>
        <v>Language</v>
      </c>
      <c r="C119" s="325" t="str">
        <f>'ALL ML SYSTEMS'!C119</f>
        <v>Text autocompletion</v>
      </c>
      <c r="D119" s="325" t="str">
        <f>'ALL ML SYSTEMS'!D119</f>
        <v>UC San Diego, Beihang University, Microsoft</v>
      </c>
      <c r="E119" s="325" t="str">
        <f>'ALL ML SYSTEMS'!E119</f>
        <v>Industry - Academia Collaboration</v>
      </c>
      <c r="F119" s="325" t="str">
        <f>'ALL ML SYSTEMS'!F119</f>
        <v>Canwen Xu, Wangchunshu Zhou, Tao Ge, Furu Wei, Ming Zhou</v>
      </c>
      <c r="G119" s="326">
        <f>'ALL ML SYSTEMS'!G119</f>
        <v>43868</v>
      </c>
      <c r="H119" s="327">
        <f>'ALL ML SYSTEMS'!H119</f>
        <v>3868</v>
      </c>
      <c r="I119" s="325" t="str">
        <f>'ALL ML SYSTEMS'!I119</f>
        <v>BERT-of-Theseus: Compressing BERT by Progressive Module Replacing</v>
      </c>
      <c r="J119" s="337" t="str">
        <f>'ALL ML SYSTEMS'!J119</f>
        <v>https://arxiv.org/abs/2002.02925</v>
      </c>
      <c r="K119" s="338">
        <f>'ALL ML SYSTEMS'!K119</f>
        <v>123</v>
      </c>
      <c r="L119" s="325">
        <f>'ALL ML SYSTEMS'!L119</f>
        <v>0</v>
      </c>
      <c r="M119" s="338" t="str">
        <f>'ALL ML SYSTEMS'!M119</f>
        <v>No</v>
      </c>
      <c r="N119" s="338">
        <f>'ALL ML SYSTEMS'!N119</f>
        <v>66000000</v>
      </c>
      <c r="O119" s="338">
        <f>'ALL ML SYSTEMS'!O119</f>
        <v>0</v>
      </c>
      <c r="P119" s="339">
        <f>'ALL ML SYSTEMS'!P119</f>
        <v>0</v>
      </c>
      <c r="Q119" s="338">
        <f>'ALL ML SYSTEMS'!Q119</f>
        <v>0</v>
      </c>
      <c r="R119" s="325">
        <f>'ALL ML SYSTEMS'!R119</f>
        <v>0</v>
      </c>
      <c r="S119" s="338">
        <f>'ALL ML SYSTEMS'!S119</f>
        <v>11300000000</v>
      </c>
      <c r="T119" s="325">
        <f>'ALL ML SYSTEMS'!T119</f>
        <v>0</v>
      </c>
      <c r="U119" s="325">
        <f>'ALL ML SYSTEMS'!U119</f>
        <v>0</v>
      </c>
      <c r="V119" s="325">
        <f>'ALL ML SYSTEMS'!V119</f>
        <v>0</v>
      </c>
      <c r="W119" s="325">
        <f>'ALL ML SYSTEMS'!W119</f>
        <v>0</v>
      </c>
      <c r="X119" s="325">
        <f>'ALL ML SYSTEMS'!X119</f>
        <v>0</v>
      </c>
      <c r="Y119" s="325">
        <f>'ALL ML SYSTEMS'!Y119</f>
        <v>0</v>
      </c>
      <c r="Z119" s="325">
        <f>'ALL ML SYSTEMS'!Z119</f>
        <v>0</v>
      </c>
      <c r="AA119" s="341" t="str">
        <f>'ALL ML SYSTEMS'!AA119</f>
        <v/>
      </c>
      <c r="AB119" s="325"/>
      <c r="AC119" s="325">
        <f>'ALL ML SYSTEMS'!AB119</f>
        <v>0</v>
      </c>
      <c r="AD119" s="325">
        <f>'ALL ML SYSTEMS'!AC119</f>
        <v>0</v>
      </c>
    </row>
    <row r="120" hidden="1" customHeight="1" spans="1:30">
      <c r="A120" s="323" t="str">
        <f>'ALL ML SYSTEMS'!A120</f>
        <v>Perceiver IO</v>
      </c>
      <c r="B120" s="323" t="str">
        <f>'ALL ML SYSTEMS'!B120</f>
        <v>Multimodal</v>
      </c>
      <c r="C120" s="323">
        <f>'ALL ML SYSTEMS'!C120</f>
        <v>0</v>
      </c>
      <c r="D120" s="323" t="str">
        <f>'ALL ML SYSTEMS'!D120</f>
        <v>DeepMind</v>
      </c>
      <c r="E120" s="323" t="str">
        <f>'ALL ML SYSTEMS'!E120</f>
        <v>Industry</v>
      </c>
      <c r="F120" s="323" t="str">
        <f>'ALL ML SYSTEMS'!F120</f>
        <v>Andrew Jaegle, Sebastian Borgeaud, Jean-Baptiste Alayrac, Carl Doersch, Catalin Ionescu, David Ding, Skanda Koppula, Daniel Zoran, Andrew Brock, Evan Shelhamer, Olivier Hénaff,
Matthew M. Botvinick, Andrew Zisserman, Oriol Vinyals, João Carreira</v>
      </c>
      <c r="G120" s="324">
        <f>'ALL ML SYSTEMS'!G120</f>
        <v>43869</v>
      </c>
      <c r="H120" s="329">
        <f>'ALL ML SYSTEMS'!H120</f>
        <v>3869</v>
      </c>
      <c r="I120" s="323" t="str">
        <f>'ALL ML SYSTEMS'!I120</f>
        <v>Perceiver IO: A General Architecture for Structured Inputs &amp; Outputs</v>
      </c>
      <c r="J120" s="334" t="str">
        <f>'ALL ML SYSTEMS'!J120</f>
        <v>https://arxiv.org/abs/2107.14795</v>
      </c>
      <c r="K120" s="335">
        <f>'ALL ML SYSTEMS'!K120</f>
        <v>143</v>
      </c>
      <c r="L120" s="323">
        <f>'ALL ML SYSTEMS'!L120</f>
        <v>0</v>
      </c>
      <c r="M120" s="335" t="str">
        <f>'ALL ML SYSTEMS'!M120</f>
        <v>No</v>
      </c>
      <c r="N120" s="335">
        <f>'ALL ML SYSTEMS'!N120</f>
        <v>0</v>
      </c>
      <c r="O120" s="335">
        <f>'ALL ML SYSTEMS'!O120</f>
        <v>0</v>
      </c>
      <c r="P120" s="336">
        <f>'ALL ML SYSTEMS'!P120</f>
        <v>0</v>
      </c>
      <c r="Q120" s="335">
        <f>'ALL ML SYSTEMS'!Q120</f>
        <v>0</v>
      </c>
      <c r="R120" s="323">
        <f>'ALL ML SYSTEMS'!R120</f>
        <v>0</v>
      </c>
      <c r="S120" s="335">
        <f>'ALL ML SYSTEMS'!S120</f>
        <v>0</v>
      </c>
      <c r="T120" s="323">
        <f>'ALL ML SYSTEMS'!T120</f>
        <v>0</v>
      </c>
      <c r="U120" s="323">
        <f>'ALL ML SYSTEMS'!U120</f>
        <v>0</v>
      </c>
      <c r="V120" s="323">
        <f>'ALL ML SYSTEMS'!V120</f>
        <v>0</v>
      </c>
      <c r="W120" s="323">
        <f>'ALL ML SYSTEMS'!W120</f>
        <v>0</v>
      </c>
      <c r="X120" s="323">
        <f>'ALL ML SYSTEMS'!X120</f>
        <v>0</v>
      </c>
      <c r="Y120" s="323">
        <f>'ALL ML SYSTEMS'!Y120</f>
        <v>0</v>
      </c>
      <c r="Z120" s="323">
        <f>'ALL ML SYSTEMS'!Z120</f>
        <v>0</v>
      </c>
      <c r="AA120" s="340" t="str">
        <f>'ALL ML SYSTEMS'!AA120</f>
        <v/>
      </c>
      <c r="AB120" s="323"/>
      <c r="AC120" s="323">
        <f>'ALL ML SYSTEMS'!AB120</f>
        <v>0</v>
      </c>
      <c r="AD120" s="323">
        <f>'ALL ML SYSTEMS'!AC120</f>
        <v>0</v>
      </c>
    </row>
    <row r="121" customHeight="1" spans="1:30">
      <c r="A121" s="325" t="str">
        <f>'ALL ML SYSTEMS'!A121</f>
        <v>SimCLR</v>
      </c>
      <c r="B121" s="325" t="str">
        <f>'ALL ML SYSTEMS'!B121</f>
        <v>Drawing</v>
      </c>
      <c r="C121" s="325" t="str">
        <f>'ALL ML SYSTEMS'!C121</f>
        <v>Image completion</v>
      </c>
      <c r="D121" s="325" t="str">
        <f>'ALL ML SYSTEMS'!D121</f>
        <v>Google Research, Brain Team</v>
      </c>
      <c r="E121" s="325" t="str">
        <f>'ALL ML SYSTEMS'!E121</f>
        <v>Industry</v>
      </c>
      <c r="F121" s="325" t="str">
        <f>'ALL ML SYSTEMS'!F121</f>
        <v>Ting Chen, Simon Kornblith, Mohammad Norouzi, Geoffrey Hinton</v>
      </c>
      <c r="G121" s="326">
        <f>'ALL ML SYSTEMS'!G121</f>
        <v>43874</v>
      </c>
      <c r="H121" s="327">
        <f>'ALL ML SYSTEMS'!H121</f>
        <v>3874</v>
      </c>
      <c r="I121" s="325" t="str">
        <f>'ALL ML SYSTEMS'!I121</f>
        <v>A Simple Framework for Contrastive Learning of Visual Representations</v>
      </c>
      <c r="J121" s="337" t="str">
        <f>'ALL ML SYSTEMS'!J121</f>
        <v>https://arxiv.org/abs/2002.05709</v>
      </c>
      <c r="K121" s="338">
        <f>'ALL ML SYSTEMS'!K121</f>
        <v>2164</v>
      </c>
      <c r="L121" s="325" t="str">
        <f>'ALL ML SYSTEMS'!L121</f>
        <v>Highly cited</v>
      </c>
      <c r="M121" s="338" t="str">
        <f>'ALL ML SYSTEMS'!M121</f>
        <v>Yes</v>
      </c>
      <c r="N121" s="338">
        <f>'ALL ML SYSTEMS'!N121</f>
        <v>375000000</v>
      </c>
      <c r="O121" s="338">
        <f>'ALL ML SYSTEMS'!O121</f>
        <v>0</v>
      </c>
      <c r="P121" s="339">
        <f>'ALL ML SYSTEMS'!P121</f>
        <v>0</v>
      </c>
      <c r="Q121" s="338">
        <f>'ALL ML SYSTEMS'!Q121</f>
        <v>0</v>
      </c>
      <c r="R121" s="325">
        <f>'ALL ML SYSTEMS'!R121</f>
        <v>0</v>
      </c>
      <c r="S121" s="338">
        <f>'ALL ML SYSTEMS'!S121</f>
        <v>0</v>
      </c>
      <c r="T121" s="325">
        <f>'ALL ML SYSTEMS'!T121</f>
        <v>0</v>
      </c>
      <c r="U121" s="325">
        <f>'ALL ML SYSTEMS'!U121</f>
        <v>0</v>
      </c>
      <c r="V121" s="325">
        <f>'ALL ML SYSTEMS'!V121</f>
        <v>0</v>
      </c>
      <c r="W121" s="325">
        <f>'ALL ML SYSTEMS'!W121</f>
        <v>0</v>
      </c>
      <c r="X121" s="325">
        <f>'ALL ML SYSTEMS'!X121</f>
        <v>0</v>
      </c>
      <c r="Y121" s="325">
        <f>'ALL ML SYSTEMS'!Y121</f>
        <v>0</v>
      </c>
      <c r="Z121" s="325">
        <f>'ALL ML SYSTEMS'!Z121</f>
        <v>0</v>
      </c>
      <c r="AA121" s="341" t="str">
        <f>'ALL ML SYSTEMS'!AA121</f>
        <v/>
      </c>
      <c r="AB121" s="325">
        <f>'ALL ML SYSTEMS'!AB121</f>
        <v>0</v>
      </c>
      <c r="AC121" s="325">
        <f>'ALL ML SYSTEMS'!AC121</f>
        <v>0</v>
      </c>
      <c r="AD121" s="325" t="str">
        <f>'ALL ML SYSTEMS'!AD121</f>
        <v>Industry</v>
      </c>
    </row>
    <row r="122" hidden="1" customHeight="1" spans="1:30">
      <c r="A122" s="323" t="str">
        <f>'ALL ML SYSTEMS'!A122</f>
        <v>ELECTRA</v>
      </c>
      <c r="B122" s="323" t="str">
        <f>'ALL ML SYSTEMS'!B122</f>
        <v>Language</v>
      </c>
      <c r="C122" s="323" t="str">
        <f>'ALL ML SYSTEMS'!C122</f>
        <v>Text autocompletion</v>
      </c>
      <c r="D122" s="323" t="str">
        <f>'ALL ML SYSTEMS'!D122</f>
        <v>Stanford, Google Brain</v>
      </c>
      <c r="E122" s="323" t="str">
        <f>'ALL ML SYSTEMS'!E122</f>
        <v>Industry - Academia Collaboration</v>
      </c>
      <c r="F122" s="323" t="str">
        <f>'ALL ML SYSTEMS'!F122</f>
        <v>Kevin Clark, Minh-Thang Luong, Quoc V. Le, Christopher D. Manning</v>
      </c>
      <c r="G122" s="324">
        <f>'ALL ML SYSTEMS'!G122</f>
        <v>43913</v>
      </c>
      <c r="H122" s="329">
        <f>'ALL ML SYSTEMS'!H122</f>
        <v>3913</v>
      </c>
      <c r="I122" s="323" t="str">
        <f>'ALL ML SYSTEMS'!I122</f>
        <v>Electra: pre-training text encoders as discriminators rather than generators</v>
      </c>
      <c r="J122" s="334" t="str">
        <f>'ALL ML SYSTEMS'!J122</f>
        <v>https://arxiv.org/abs/2003.10555v1</v>
      </c>
      <c r="K122" s="335">
        <f>'ALL ML SYSTEMS'!K122</f>
        <v>842</v>
      </c>
      <c r="L122" s="323">
        <f>'ALL ML SYSTEMS'!L122</f>
        <v>0</v>
      </c>
      <c r="M122" s="335" t="str">
        <f>'ALL ML SYSTEMS'!M122</f>
        <v>No</v>
      </c>
      <c r="N122" s="335">
        <f>'ALL ML SYSTEMS'!N122</f>
        <v>335000000</v>
      </c>
      <c r="O122" s="335">
        <f>'ALL ML SYSTEMS'!O122</f>
        <v>0</v>
      </c>
      <c r="P122" s="336">
        <f>'ALL ML SYSTEMS'!P122</f>
        <v>0</v>
      </c>
      <c r="Q122" s="335">
        <f>'ALL ML SYSTEMS'!Q122</f>
        <v>0</v>
      </c>
      <c r="R122" s="323">
        <f>'ALL ML SYSTEMS'!R122</f>
        <v>0</v>
      </c>
      <c r="S122" s="335">
        <f>'ALL ML SYSTEMS'!S122</f>
        <v>79000000000</v>
      </c>
      <c r="T122" s="323">
        <f>'ALL ML SYSTEMS'!T122</f>
        <v>0</v>
      </c>
      <c r="U122" s="323">
        <f>'ALL ML SYSTEMS'!U122</f>
        <v>0</v>
      </c>
      <c r="V122" s="323">
        <f>'ALL ML SYSTEMS'!V122</f>
        <v>0</v>
      </c>
      <c r="W122" s="323">
        <f>'ALL ML SYSTEMS'!W122</f>
        <v>0</v>
      </c>
      <c r="X122" s="323">
        <f>'ALL ML SYSTEMS'!X122</f>
        <v>0</v>
      </c>
      <c r="Y122" s="323">
        <f>'ALL ML SYSTEMS'!Y122</f>
        <v>0</v>
      </c>
      <c r="Z122" s="323">
        <f>'ALL ML SYSTEMS'!Z122</f>
        <v>0</v>
      </c>
      <c r="AA122" s="340" t="str">
        <f>'ALL ML SYSTEMS'!AA122</f>
        <v/>
      </c>
      <c r="AB122" s="323"/>
      <c r="AC122" s="323">
        <f>'ALL ML SYSTEMS'!AB122</f>
        <v>0</v>
      </c>
      <c r="AD122" s="323">
        <f>'ALL ML SYSTEMS'!AC122</f>
        <v>0</v>
      </c>
    </row>
    <row r="123" hidden="1" customHeight="1" spans="1:30">
      <c r="A123" s="325" t="str">
        <f>'ALL ML SYSTEMS'!A123</f>
        <v>MetNet</v>
      </c>
      <c r="B123" s="325" t="str">
        <f>'ALL ML SYSTEMS'!B123</f>
        <v>Other</v>
      </c>
      <c r="C123" s="325" t="str">
        <f>'ALL ML SYSTEMS'!C123</f>
        <v>Weather prediction</v>
      </c>
      <c r="D123" s="325" t="str">
        <f>'ALL ML SYSTEMS'!D123</f>
        <v>Google</v>
      </c>
      <c r="E123" s="325" t="str">
        <f>'ALL ML SYSTEMS'!E123</f>
        <v>Industry</v>
      </c>
      <c r="F123" s="325" t="str">
        <f>'ALL ML SYSTEMS'!F123</f>
        <v>Casper Kaae Sønderby, Lasse Espeholt, Jonathan Heek, Mostafa Dehghani, Avital Oliver, Tim Salimans, Shreya Agrawal, Jason Hickey, Nal Kalchbrenner</v>
      </c>
      <c r="G123" s="326">
        <f>'ALL ML SYSTEMS'!G123</f>
        <v>43914</v>
      </c>
      <c r="H123" s="327">
        <f>'ALL ML SYSTEMS'!H123</f>
        <v>3914</v>
      </c>
      <c r="I123" s="325" t="str">
        <f>'ALL ML SYSTEMS'!I123</f>
        <v>MetNet: A Neural Weather Model for Precipitation Forecasting</v>
      </c>
      <c r="J123" s="337" t="str">
        <f>'ALL ML SYSTEMS'!J123</f>
        <v>https://arxiv.org/abs/2003.12140</v>
      </c>
      <c r="K123" s="338">
        <f>'ALL ML SYSTEMS'!K123</f>
        <v>135</v>
      </c>
      <c r="L123" s="325">
        <f>'ALL ML SYSTEMS'!L123</f>
        <v>0</v>
      </c>
      <c r="M123" s="338" t="str">
        <f>'ALL ML SYSTEMS'!M123</f>
        <v>No</v>
      </c>
      <c r="N123" s="338">
        <f>'ALL ML SYSTEMS'!N123</f>
        <v>0</v>
      </c>
      <c r="O123" s="338">
        <f>'ALL ML SYSTEMS'!O123</f>
        <v>0</v>
      </c>
      <c r="P123" s="339">
        <f>'ALL ML SYSTEMS'!P123</f>
        <v>0</v>
      </c>
      <c r="Q123" s="338">
        <f>'ALL ML SYSTEMS'!Q123</f>
        <v>0</v>
      </c>
      <c r="R123" s="325">
        <f>'ALL ML SYSTEMS'!R123</f>
        <v>0</v>
      </c>
      <c r="S123" s="338">
        <f>'ALL ML SYSTEMS'!S123</f>
        <v>0</v>
      </c>
      <c r="T123" s="325">
        <f>'ALL ML SYSTEMS'!T123</f>
        <v>0</v>
      </c>
      <c r="U123" s="325">
        <f>'ALL ML SYSTEMS'!U123</f>
        <v>0</v>
      </c>
      <c r="V123" s="325">
        <f>'ALL ML SYSTEMS'!V123</f>
        <v>0</v>
      </c>
      <c r="W123" s="325">
        <f>'ALL ML SYSTEMS'!W123</f>
        <v>0</v>
      </c>
      <c r="X123" s="325">
        <f>'ALL ML SYSTEMS'!X123</f>
        <v>0</v>
      </c>
      <c r="Y123" s="325">
        <f>'ALL ML SYSTEMS'!Y123</f>
        <v>0</v>
      </c>
      <c r="Z123" s="325">
        <f>'ALL ML SYSTEMS'!Z123</f>
        <v>0</v>
      </c>
      <c r="AA123" s="341" t="str">
        <f>'ALL ML SYSTEMS'!AA123</f>
        <v/>
      </c>
      <c r="AB123" s="325"/>
      <c r="AC123" s="325">
        <f>'ALL ML SYSTEMS'!AB123</f>
        <v>0</v>
      </c>
      <c r="AD123" s="325">
        <f>'ALL ML SYSTEMS'!AC123</f>
        <v>0</v>
      </c>
    </row>
    <row r="124" hidden="1" customHeight="1" spans="1:30">
      <c r="A124" s="323" t="str">
        <f>'ALL ML SYSTEMS'!A124</f>
        <v>Agent57</v>
      </c>
      <c r="B124" s="323" t="str">
        <f>'ALL ML SYSTEMS'!B124</f>
        <v>Games</v>
      </c>
      <c r="C124" s="323" t="str">
        <f>'ALL ML SYSTEMS'!C124</f>
        <v>Atari</v>
      </c>
      <c r="D124" s="323" t="str">
        <f>'ALL ML SYSTEMS'!D124</f>
        <v>DeepMind</v>
      </c>
      <c r="E124" s="323" t="str">
        <f>'ALL ML SYSTEMS'!E124</f>
        <v>Industry</v>
      </c>
      <c r="F124" s="323" t="str">
        <f>'ALL ML SYSTEMS'!F124</f>
        <v>AP Badia, B Piot, S Kapturowski</v>
      </c>
      <c r="G124" s="324">
        <f>'ALL ML SYSTEMS'!G124</f>
        <v>43920</v>
      </c>
      <c r="H124" s="329">
        <f>'ALL ML SYSTEMS'!H124</f>
        <v>3920</v>
      </c>
      <c r="I124" s="323" t="str">
        <f>'ALL ML SYSTEMS'!I124</f>
        <v>Agent57: Outperforming the Atari Human Benchmark</v>
      </c>
      <c r="J124" s="334" t="str">
        <f>'ALL ML SYSTEMS'!J124</f>
        <v>https://arxiv.org/abs/2003.13350</v>
      </c>
      <c r="K124" s="335">
        <f>'ALL ML SYSTEMS'!K124</f>
        <v>345</v>
      </c>
      <c r="L124" s="323">
        <f>'ALL ML SYSTEMS'!L124</f>
        <v>0</v>
      </c>
      <c r="M124" s="335" t="str">
        <f>'ALL ML SYSTEMS'!M124</f>
        <v>No</v>
      </c>
      <c r="N124" s="335">
        <f>'ALL ML SYSTEMS'!N124</f>
        <v>0</v>
      </c>
      <c r="O124" s="335">
        <f>'ALL ML SYSTEMS'!O124</f>
        <v>0</v>
      </c>
      <c r="P124" s="336">
        <f>'ALL ML SYSTEMS'!P124</f>
        <v>0</v>
      </c>
      <c r="Q124" s="335">
        <f>'ALL ML SYSTEMS'!Q124</f>
        <v>0</v>
      </c>
      <c r="R124" s="323">
        <f>'ALL ML SYSTEMS'!R124</f>
        <v>0</v>
      </c>
      <c r="S124" s="335">
        <f>'ALL ML SYSTEMS'!S124</f>
        <v>0</v>
      </c>
      <c r="T124" s="323">
        <f>'ALL ML SYSTEMS'!T124</f>
        <v>0</v>
      </c>
      <c r="U124" s="323">
        <f>'ALL ML SYSTEMS'!U124</f>
        <v>0</v>
      </c>
      <c r="V124" s="323">
        <f>'ALL ML SYSTEMS'!V124</f>
        <v>0</v>
      </c>
      <c r="W124" s="323">
        <f>'ALL ML SYSTEMS'!W124</f>
        <v>0</v>
      </c>
      <c r="X124" s="323">
        <f>'ALL ML SYSTEMS'!X124</f>
        <v>0</v>
      </c>
      <c r="Y124" s="323">
        <f>'ALL ML SYSTEMS'!Y124</f>
        <v>0</v>
      </c>
      <c r="Z124" s="323">
        <f>'ALL ML SYSTEMS'!Z124</f>
        <v>0</v>
      </c>
      <c r="AA124" s="340" t="str">
        <f>'ALL ML SYSTEMS'!AA124</f>
        <v/>
      </c>
      <c r="AB124" s="323"/>
      <c r="AC124" s="323">
        <f>'ALL ML SYSTEMS'!AB124</f>
        <v>0</v>
      </c>
      <c r="AD124" s="323">
        <f>'ALL ML SYSTEMS'!AC124</f>
        <v>0</v>
      </c>
    </row>
    <row r="125" customHeight="1" spans="1:30">
      <c r="A125" s="325">
        <f>'ALL ML SYSTEMS'!A125</f>
        <v>0</v>
      </c>
      <c r="B125" s="325" t="str">
        <f>'ALL ML SYSTEMS'!B125</f>
        <v>Vision</v>
      </c>
      <c r="C125" s="325" t="str">
        <f>'ALL ML SYSTEMS'!C125</f>
        <v>Person re-identification</v>
      </c>
      <c r="D125" s="325" t="str">
        <f>'ALL ML SYSTEMS'!D125</f>
        <v>Xiamen University, Australian National University, Carnegie Mellon University</v>
      </c>
      <c r="E125" s="325" t="str">
        <f>'ALL ML SYSTEMS'!E125</f>
        <v>Academia</v>
      </c>
      <c r="F125" s="325" t="str">
        <f>'ALL ML SYSTEMS'!F125</f>
        <v>Zhun Zhong, Liang Zheng, Guoliang Kang, Shaozi Li, Yi Yang </v>
      </c>
      <c r="G125" s="326">
        <f>'ALL ML SYSTEMS'!G125</f>
        <v>43924</v>
      </c>
      <c r="H125" s="327">
        <f>'ALL ML SYSTEMS'!H125</f>
        <v>3924</v>
      </c>
      <c r="I125" s="325" t="str">
        <f>'ALL ML SYSTEMS'!I125</f>
        <v> Random Erasing Data Augmentation </v>
      </c>
      <c r="J125" s="337" t="str">
        <f>'ALL ML SYSTEMS'!J125</f>
        <v>https://arxiv.org/abs/1708.04896</v>
      </c>
      <c r="K125" s="338">
        <f>'ALL ML SYSTEMS'!K125</f>
        <v>1420</v>
      </c>
      <c r="L125" s="325">
        <f>'ALL ML SYSTEMS'!L125</f>
        <v>0</v>
      </c>
      <c r="M125" s="338" t="str">
        <f>'ALL ML SYSTEMS'!M125</f>
        <v>Yes</v>
      </c>
      <c r="N125" s="338">
        <f>'ALL ML SYSTEMS'!N125</f>
        <v>0</v>
      </c>
      <c r="O125" s="338">
        <f>'ALL ML SYSTEMS'!O125</f>
        <v>0</v>
      </c>
      <c r="P125" s="339">
        <f>'ALL ML SYSTEMS'!P125</f>
        <v>0</v>
      </c>
      <c r="Q125" s="338">
        <f>'ALL ML SYSTEMS'!Q125</f>
        <v>0</v>
      </c>
      <c r="R125" s="325">
        <f>'ALL ML SYSTEMS'!R125</f>
        <v>0</v>
      </c>
      <c r="S125" s="338">
        <f>'ALL ML SYSTEMS'!S125</f>
        <v>0</v>
      </c>
      <c r="T125" s="325">
        <f>'ALL ML SYSTEMS'!T125</f>
        <v>0</v>
      </c>
      <c r="U125" s="325">
        <f>'ALL ML SYSTEMS'!U125</f>
        <v>0</v>
      </c>
      <c r="V125" s="325">
        <f>'ALL ML SYSTEMS'!V125</f>
        <v>0</v>
      </c>
      <c r="W125" s="325">
        <f>'ALL ML SYSTEMS'!W125</f>
        <v>0</v>
      </c>
      <c r="X125" s="325">
        <f>'ALL ML SYSTEMS'!X125</f>
        <v>0</v>
      </c>
      <c r="Y125" s="325">
        <f>'ALL ML SYSTEMS'!Y125</f>
        <v>0</v>
      </c>
      <c r="Z125" s="325">
        <f>'ALL ML SYSTEMS'!Z125</f>
        <v>0</v>
      </c>
      <c r="AA125" s="341" t="str">
        <f>'ALL ML SYSTEMS'!AA125</f>
        <v/>
      </c>
      <c r="AB125" s="325">
        <f>'ALL ML SYSTEMS'!AB125</f>
        <v>0</v>
      </c>
      <c r="AC125" s="325">
        <f>'ALL ML SYSTEMS'!AC125</f>
        <v>0</v>
      </c>
      <c r="AD125" s="325" t="str">
        <f>'ALL ML SYSTEMS'!AD125</f>
        <v>Academia</v>
      </c>
    </row>
    <row r="126" hidden="1" customHeight="1" spans="1:30">
      <c r="A126" s="323" t="str">
        <f>'ALL ML SYSTEMS'!A126</f>
        <v>MobileBERT</v>
      </c>
      <c r="B126" s="323" t="str">
        <f>'ALL ML SYSTEMS'!B126</f>
        <v>Language</v>
      </c>
      <c r="C126" s="323" t="str">
        <f>'ALL ML SYSTEMS'!C126</f>
        <v>Text autocompletion</v>
      </c>
      <c r="D126" s="323" t="str">
        <f>'ALL ML SYSTEMS'!D126</f>
        <v>Carnegie Mellon University, Google Brain</v>
      </c>
      <c r="E126" s="323" t="str">
        <f>'ALL ML SYSTEMS'!E126</f>
        <v>Industry - Academia Collaboration (Industry leaning)</v>
      </c>
      <c r="F126" s="323" t="str">
        <f>'ALL ML SYSTEMS'!F126</f>
        <v>Zhiqing Sun, Hongkun Yu, Xiaodan Song, Renjie Liu, Yiming Yang, Denny Zhou</v>
      </c>
      <c r="G126" s="324">
        <f>'ALL ML SYSTEMS'!G126</f>
        <v>43927</v>
      </c>
      <c r="H126" s="329">
        <f>'ALL ML SYSTEMS'!H126</f>
        <v>3927</v>
      </c>
      <c r="I126" s="323" t="str">
        <f>'ALL ML SYSTEMS'!I126</f>
        <v>MobileBERT: a Compact Task-Agnostic BERT for Resource-Limited Devices</v>
      </c>
      <c r="J126" s="334" t="str">
        <f>'ALL ML SYSTEMS'!J126</f>
        <v>https://arxiv.org/abs/2004.02984</v>
      </c>
      <c r="K126" s="335">
        <f>'ALL ML SYSTEMS'!K126</f>
        <v>392</v>
      </c>
      <c r="L126" s="323">
        <f>'ALL ML SYSTEMS'!L126</f>
        <v>0</v>
      </c>
      <c r="M126" s="335" t="str">
        <f>'ALL ML SYSTEMS'!M126</f>
        <v>No</v>
      </c>
      <c r="N126" s="335">
        <f>'ALL ML SYSTEMS'!N126</f>
        <v>25300000</v>
      </c>
      <c r="O126" s="335">
        <f>'ALL ML SYSTEMS'!O126</f>
        <v>0</v>
      </c>
      <c r="P126" s="336">
        <f>'ALL ML SYSTEMS'!P126</f>
        <v>0</v>
      </c>
      <c r="Q126" s="335">
        <f>'ALL ML SYSTEMS'!Q126</f>
        <v>0</v>
      </c>
      <c r="R126" s="323">
        <f>'ALL ML SYSTEMS'!R126</f>
        <v>0</v>
      </c>
      <c r="S126" s="335">
        <f>'ALL ML SYSTEMS'!S126</f>
        <v>5360000000</v>
      </c>
      <c r="T126" s="323">
        <f>'ALL ML SYSTEMS'!T126</f>
        <v>0</v>
      </c>
      <c r="U126" s="323">
        <f>'ALL ML SYSTEMS'!U126</f>
        <v>0</v>
      </c>
      <c r="V126" s="323">
        <f>'ALL ML SYSTEMS'!V126</f>
        <v>0</v>
      </c>
      <c r="W126" s="323">
        <f>'ALL ML SYSTEMS'!W126</f>
        <v>0</v>
      </c>
      <c r="X126" s="323">
        <f>'ALL ML SYSTEMS'!X126</f>
        <v>0</v>
      </c>
      <c r="Y126" s="323">
        <f>'ALL ML SYSTEMS'!Y126</f>
        <v>0</v>
      </c>
      <c r="Z126" s="323">
        <f>'ALL ML SYSTEMS'!Z126</f>
        <v>0</v>
      </c>
      <c r="AA126" s="340" t="str">
        <f>'ALL ML SYSTEMS'!AA126</f>
        <v/>
      </c>
      <c r="AB126" s="323"/>
      <c r="AC126" s="323">
        <f>'ALL ML SYSTEMS'!AB126</f>
        <v>0</v>
      </c>
      <c r="AD126" s="323">
        <f>'ALL ML SYSTEMS'!AC126</f>
        <v>0</v>
      </c>
    </row>
    <row r="127" customHeight="1" spans="1:30">
      <c r="A127" s="325" t="str">
        <f>'ALL ML SYSTEMS'!A127</f>
        <v>CURL</v>
      </c>
      <c r="B127" s="325" t="str">
        <f>'ALL ML SYSTEMS'!B127</f>
        <v>Games</v>
      </c>
      <c r="C127" s="325" t="str">
        <f>'ALL ML SYSTEMS'!C127</f>
        <v>Atari Games</v>
      </c>
      <c r="D127" s="325" t="str">
        <f>'ALL ML SYSTEMS'!D127</f>
        <v>UC Berkeley</v>
      </c>
      <c r="E127" s="325" t="str">
        <f>'ALL ML SYSTEMS'!E127</f>
        <v>Academia</v>
      </c>
      <c r="F127" s="325" t="str">
        <f>'ALL ML SYSTEMS'!F127</f>
        <v>A Srinivas, M Laskin, P Abbeel</v>
      </c>
      <c r="G127" s="326">
        <f>'ALL ML SYSTEMS'!G127</f>
        <v>43929</v>
      </c>
      <c r="H127" s="327">
        <f>'ALL ML SYSTEMS'!H127</f>
        <v>3929</v>
      </c>
      <c r="I127" s="325" t="str">
        <f>'ALL ML SYSTEMS'!I127</f>
        <v>CURL: Contrastive Unsupervised Representations for Reinforcement Learning</v>
      </c>
      <c r="J127" s="337" t="str">
        <f>'ALL ML SYSTEMS'!J127</f>
        <v>https://arxiv.org/abs/2004.04136v4</v>
      </c>
      <c r="K127" s="338">
        <f>'ALL ML SYSTEMS'!K127</f>
        <v>290</v>
      </c>
      <c r="L127" s="325" t="str">
        <f>'ALL ML SYSTEMS'!L127</f>
        <v>SOTA improvement</v>
      </c>
      <c r="M127" s="338" t="str">
        <f>'ALL ML SYSTEMS'!M127</f>
        <v>Yes</v>
      </c>
      <c r="N127" s="338">
        <f>'ALL ML SYSTEMS'!N127</f>
        <v>907264</v>
      </c>
      <c r="O127" s="338">
        <f>'ALL ML SYSTEMS'!O127</f>
        <v>0</v>
      </c>
      <c r="P127" s="339">
        <f>'ALL ML SYSTEMS'!P127</f>
        <v>0</v>
      </c>
      <c r="Q127" s="338">
        <f>'ALL ML SYSTEMS'!Q127</f>
        <v>0</v>
      </c>
      <c r="R127" s="325">
        <f>'ALL ML SYSTEMS'!R127</f>
        <v>0</v>
      </c>
      <c r="S127" s="338">
        <f>'ALL ML SYSTEMS'!S127</f>
        <v>0</v>
      </c>
      <c r="T127" s="325">
        <f>'ALL ML SYSTEMS'!T127</f>
        <v>0</v>
      </c>
      <c r="U127" s="325">
        <f>'ALL ML SYSTEMS'!U127</f>
        <v>0</v>
      </c>
      <c r="V127" s="325">
        <f>'ALL ML SYSTEMS'!V127</f>
        <v>0</v>
      </c>
      <c r="W127" s="325">
        <f>'ALL ML SYSTEMS'!W127</f>
        <v>0</v>
      </c>
      <c r="X127" s="325">
        <f>'ALL ML SYSTEMS'!X127</f>
        <v>0</v>
      </c>
      <c r="Y127" s="325">
        <f>'ALL ML SYSTEMS'!Y127</f>
        <v>0</v>
      </c>
      <c r="Z127" s="325">
        <f>'ALL ML SYSTEMS'!Z127</f>
        <v>0</v>
      </c>
      <c r="AA127" s="341" t="str">
        <f>'ALL ML SYSTEMS'!AA127</f>
        <v/>
      </c>
      <c r="AB127" s="325">
        <f>'ALL ML SYSTEMS'!AB127</f>
        <v>0</v>
      </c>
      <c r="AC127" s="325">
        <f>'ALL ML SYSTEMS'!AC127</f>
        <v>0</v>
      </c>
      <c r="AD127" s="325" t="str">
        <f>'ALL ML SYSTEMS'!AD127</f>
        <v>Academia</v>
      </c>
    </row>
    <row r="128" hidden="1" customHeight="1" spans="1:30">
      <c r="A128" s="323" t="str">
        <f>'ALL ML SYSTEMS'!A128</f>
        <v>Go-explore</v>
      </c>
      <c r="B128" s="323" t="str">
        <f>'ALL ML SYSTEMS'!B128</f>
        <v>Games</v>
      </c>
      <c r="C128" s="323" t="str">
        <f>'ALL ML SYSTEMS'!C128</f>
        <v>Atari</v>
      </c>
      <c r="D128" s="323" t="str">
        <f>'ALL ML SYSTEMS'!D128</f>
        <v>Uber AI, OpenAI</v>
      </c>
      <c r="E128" s="323" t="str">
        <f>'ALL ML SYSTEMS'!E128</f>
        <v>Industry</v>
      </c>
      <c r="F128" s="323" t="str">
        <f>'ALL ML SYSTEMS'!F128</f>
        <v>A Ecoffet, J Huizinga, J Lehman, KO Stanley, J Clune</v>
      </c>
      <c r="G128" s="324">
        <f>'ALL ML SYSTEMS'!G128</f>
        <v>43948</v>
      </c>
      <c r="H128" s="329">
        <f>'ALL ML SYSTEMS'!H128</f>
        <v>3948</v>
      </c>
      <c r="I128" s="323" t="str">
        <f>'ALL ML SYSTEMS'!I128</f>
        <v>First return, then explore</v>
      </c>
      <c r="J128" s="334" t="str">
        <f>'ALL ML SYSTEMS'!J128</f>
        <v>https://arxiv.org/abs/2004.12919</v>
      </c>
      <c r="K128" s="335">
        <f>'ALL ML SYSTEMS'!K128</f>
        <v>179</v>
      </c>
      <c r="L128" s="323">
        <f>'ALL ML SYSTEMS'!L128</f>
        <v>0</v>
      </c>
      <c r="M128" s="335" t="str">
        <f>'ALL ML SYSTEMS'!M128</f>
        <v>No</v>
      </c>
      <c r="N128" s="335">
        <f>'ALL ML SYSTEMS'!N128</f>
        <v>0</v>
      </c>
      <c r="O128" s="335">
        <f>'ALL ML SYSTEMS'!O128</f>
        <v>0</v>
      </c>
      <c r="P128" s="336">
        <f>'ALL ML SYSTEMS'!P128</f>
        <v>0</v>
      </c>
      <c r="Q128" s="335">
        <f>'ALL ML SYSTEMS'!Q128</f>
        <v>0</v>
      </c>
      <c r="R128" s="323">
        <f>'ALL ML SYSTEMS'!R128</f>
        <v>0</v>
      </c>
      <c r="S128" s="335">
        <f>'ALL ML SYSTEMS'!S128</f>
        <v>0</v>
      </c>
      <c r="T128" s="323">
        <f>'ALL ML SYSTEMS'!T128</f>
        <v>0</v>
      </c>
      <c r="U128" s="323">
        <f>'ALL ML SYSTEMS'!U128</f>
        <v>0</v>
      </c>
      <c r="V128" s="323">
        <f>'ALL ML SYSTEMS'!V128</f>
        <v>0</v>
      </c>
      <c r="W128" s="323">
        <f>'ALL ML SYSTEMS'!W128</f>
        <v>0</v>
      </c>
      <c r="X128" s="323">
        <f>'ALL ML SYSTEMS'!X128</f>
        <v>0</v>
      </c>
      <c r="Y128" s="323">
        <f>'ALL ML SYSTEMS'!Y128</f>
        <v>0</v>
      </c>
      <c r="Z128" s="323">
        <f>'ALL ML SYSTEMS'!Z128</f>
        <v>0</v>
      </c>
      <c r="AA128" s="340" t="str">
        <f>'ALL ML SYSTEMS'!AA128</f>
        <v/>
      </c>
      <c r="AB128" s="323"/>
      <c r="AC128" s="323">
        <f>'ALL ML SYSTEMS'!AB128</f>
        <v>0</v>
      </c>
      <c r="AD128" s="323">
        <f>'ALL ML SYSTEMS'!AC128</f>
        <v>0</v>
      </c>
    </row>
    <row r="129" hidden="1" customHeight="1" spans="1:30">
      <c r="A129" s="325" t="str">
        <f>'ALL ML SYSTEMS'!A129</f>
        <v>SqueezeBERT</v>
      </c>
      <c r="B129" s="325" t="str">
        <f>'ALL ML SYSTEMS'!B129</f>
        <v>Language</v>
      </c>
      <c r="C129" s="325" t="str">
        <f>'ALL ML SYSTEMS'!C129</f>
        <v>Text autocompletion</v>
      </c>
      <c r="D129" s="325" t="str">
        <f>'ALL ML SYSTEMS'!D129</f>
        <v>Berkeley</v>
      </c>
      <c r="E129" s="325" t="str">
        <f>'ALL ML SYSTEMS'!E129</f>
        <v>Academia</v>
      </c>
      <c r="F129" s="325" t="str">
        <f>'ALL ML SYSTEMS'!F129</f>
        <v>Forrest N. Iandola, Albert E. Shaw, Ravi Krishna, Kurt W. Keutzer</v>
      </c>
      <c r="G129" s="326">
        <f>'ALL ML SYSTEMS'!G129</f>
        <v>43992</v>
      </c>
      <c r="H129" s="327">
        <f>'ALL ML SYSTEMS'!H129</f>
        <v>3992</v>
      </c>
      <c r="I129" s="325" t="str">
        <f>'ALL ML SYSTEMS'!I129</f>
        <v>SqueezeBERT: What can computer vision teach NLP about efficient neural networks?</v>
      </c>
      <c r="J129" s="337" t="str">
        <f>'ALL ML SYSTEMS'!J129</f>
        <v>https://arxiv.org/abs/2006.11316</v>
      </c>
      <c r="K129" s="338">
        <f>'ALL ML SYSTEMS'!K129</f>
        <v>62</v>
      </c>
      <c r="L129" s="325">
        <f>'ALL ML SYSTEMS'!L129</f>
        <v>0</v>
      </c>
      <c r="M129" s="338" t="str">
        <f>'ALL ML SYSTEMS'!M129</f>
        <v>No</v>
      </c>
      <c r="N129" s="338">
        <f>'ALL ML SYSTEMS'!N129</f>
        <v>51100000</v>
      </c>
      <c r="O129" s="338">
        <f>'ALL ML SYSTEMS'!O129</f>
        <v>0</v>
      </c>
      <c r="P129" s="339">
        <f>'ALL ML SYSTEMS'!P129</f>
        <v>0</v>
      </c>
      <c r="Q129" s="338">
        <f>'ALL ML SYSTEMS'!Q129</f>
        <v>0</v>
      </c>
      <c r="R129" s="325">
        <f>'ALL ML SYSTEMS'!R129</f>
        <v>0</v>
      </c>
      <c r="S129" s="338">
        <f>'ALL ML SYSTEMS'!S129</f>
        <v>7420000000</v>
      </c>
      <c r="T129" s="325">
        <f>'ALL ML SYSTEMS'!T129</f>
        <v>0</v>
      </c>
      <c r="U129" s="325">
        <f>'ALL ML SYSTEMS'!U129</f>
        <v>0</v>
      </c>
      <c r="V129" s="325">
        <f>'ALL ML SYSTEMS'!V129</f>
        <v>0</v>
      </c>
      <c r="W129" s="325">
        <f>'ALL ML SYSTEMS'!W129</f>
        <v>0</v>
      </c>
      <c r="X129" s="325">
        <f>'ALL ML SYSTEMS'!X129</f>
        <v>0</v>
      </c>
      <c r="Y129" s="325">
        <f>'ALL ML SYSTEMS'!Y129</f>
        <v>0</v>
      </c>
      <c r="Z129" s="325">
        <f>'ALL ML SYSTEMS'!Z129</f>
        <v>0</v>
      </c>
      <c r="AA129" s="341" t="str">
        <f>'ALL ML SYSTEMS'!AA129</f>
        <v/>
      </c>
      <c r="AB129" s="325"/>
      <c r="AC129" s="325">
        <f>'ALL ML SYSTEMS'!AB129</f>
        <v>0</v>
      </c>
      <c r="AD129" s="325">
        <f>'ALL ML SYSTEMS'!AC129</f>
        <v>0</v>
      </c>
    </row>
    <row r="130" hidden="1" customHeight="1" spans="1:30">
      <c r="A130" s="323" t="str">
        <f>'ALL ML SYSTEMS'!A130</f>
        <v>Hopfield Networks (2020)</v>
      </c>
      <c r="B130" s="323" t="str">
        <f>'ALL ML SYSTEMS'!B130</f>
        <v>Other</v>
      </c>
      <c r="C130" s="323">
        <f>'ALL ML SYSTEMS'!C130</f>
        <v>0</v>
      </c>
      <c r="D130" s="323" t="str">
        <f>'ALL ML SYSTEMS'!D130</f>
        <v>Johannes Kepler University Linz,Institute of Advanced Research in Artificial Intelligence,University of Oslo</v>
      </c>
      <c r="E130" s="323" t="str">
        <f>'ALL ML SYSTEMS'!E130</f>
        <v>Academia</v>
      </c>
      <c r="F130" s="323" t="str">
        <f>'ALL ML SYSTEMS'!F130</f>
        <v>Hubert Ramsauer, Bernhard Schäfl, Johannes Lehner, Philipp Seidl, Michael Widrich, Thomas Adler, Lukas Gruber, Markus Holzleitner, Milena Pavlović, Geir Kjetil Sandve, Victor Greiff, David Kreil, Michael Kopp, Günter Klambauer, Johannes Brandstetter, Sepp Hochreiter</v>
      </c>
      <c r="G130" s="324">
        <f>'ALL ML SYSTEMS'!G130</f>
        <v>44028</v>
      </c>
      <c r="H130" s="329">
        <f>'ALL ML SYSTEMS'!H130</f>
        <v>4028</v>
      </c>
      <c r="I130" s="323" t="str">
        <f>'ALL ML SYSTEMS'!I130</f>
        <v>Hopfield Networks is All You Need</v>
      </c>
      <c r="J130" s="334" t="str">
        <f>'ALL ML SYSTEMS'!J130</f>
        <v>https://arxiv.org/abs/2008.02217</v>
      </c>
      <c r="K130" s="335">
        <f>'ALL ML SYSTEMS'!K130</f>
        <v>182</v>
      </c>
      <c r="L130" s="323">
        <f>'ALL ML SYSTEMS'!L130</f>
        <v>0</v>
      </c>
      <c r="M130" s="335" t="str">
        <f>'ALL ML SYSTEMS'!M130</f>
        <v>No</v>
      </c>
      <c r="N130" s="335">
        <f>'ALL ML SYSTEMS'!N130</f>
        <v>0</v>
      </c>
      <c r="O130" s="335">
        <f>'ALL ML SYSTEMS'!O130</f>
        <v>0</v>
      </c>
      <c r="P130" s="336">
        <f>'ALL ML SYSTEMS'!P130</f>
        <v>0</v>
      </c>
      <c r="Q130" s="335">
        <f>'ALL ML SYSTEMS'!Q130</f>
        <v>0</v>
      </c>
      <c r="R130" s="323">
        <f>'ALL ML SYSTEMS'!R130</f>
        <v>0</v>
      </c>
      <c r="S130" s="335">
        <f>'ALL ML SYSTEMS'!S130</f>
        <v>0</v>
      </c>
      <c r="T130" s="323">
        <f>'ALL ML SYSTEMS'!T130</f>
        <v>0</v>
      </c>
      <c r="U130" s="323">
        <f>'ALL ML SYSTEMS'!U130</f>
        <v>0</v>
      </c>
      <c r="V130" s="323">
        <f>'ALL ML SYSTEMS'!V130</f>
        <v>0</v>
      </c>
      <c r="W130" s="323">
        <f>'ALL ML SYSTEMS'!W130</f>
        <v>0</v>
      </c>
      <c r="X130" s="323">
        <f>'ALL ML SYSTEMS'!X130</f>
        <v>0</v>
      </c>
      <c r="Y130" s="323">
        <f>'ALL ML SYSTEMS'!Y130</f>
        <v>0</v>
      </c>
      <c r="Z130" s="323">
        <f>'ALL ML SYSTEMS'!Z130</f>
        <v>0</v>
      </c>
      <c r="AA130" s="340" t="str">
        <f>'ALL ML SYSTEMS'!AA130</f>
        <v/>
      </c>
      <c r="AB130" s="323"/>
      <c r="AC130" s="323">
        <f>'ALL ML SYSTEMS'!AB130</f>
        <v>0</v>
      </c>
      <c r="AD130" s="323">
        <f>'ALL ML SYSTEMS'!AC130</f>
        <v>0</v>
      </c>
    </row>
    <row r="131" hidden="1" customHeight="1" spans="1:30">
      <c r="A131" s="325" t="str">
        <f>'ALL ML SYSTEMS'!A131</f>
        <v>EfficientDet</v>
      </c>
      <c r="B131" s="325" t="str">
        <f>'ALL ML SYSTEMS'!B131</f>
        <v>Vision</v>
      </c>
      <c r="C131" s="325" t="str">
        <f>'ALL ML SYSTEMS'!C131</f>
        <v>Object detection</v>
      </c>
      <c r="D131" s="325" t="str">
        <f>'ALL ML SYSTEMS'!D131</f>
        <v>Google Research, Brain Team</v>
      </c>
      <c r="E131" s="325" t="str">
        <f>'ALL ML SYSTEMS'!E131</f>
        <v>Industry</v>
      </c>
      <c r="F131" s="325" t="str">
        <f>'ALL ML SYSTEMS'!F131</f>
        <v>Mingxing Tan, Ruoming Pang, Quoc V. Le</v>
      </c>
      <c r="G131" s="326">
        <f>'ALL ML SYSTEMS'!G131</f>
        <v>44039</v>
      </c>
      <c r="H131" s="327">
        <f>'ALL ML SYSTEMS'!H131</f>
        <v>4039</v>
      </c>
      <c r="I131" s="325" t="str">
        <f>'ALL ML SYSTEMS'!I131</f>
        <v>EfficientDet: Scalable and Efficient Object Detection</v>
      </c>
      <c r="J131" s="337" t="str">
        <f>'ALL ML SYSTEMS'!J131</f>
        <v>https://openaccess.thecvf.com/content_CVPR_2020/html/Tan_EfficientDet_Scalable_and_Efficient_Object_Detection_CVPR_2020_paper.html</v>
      </c>
      <c r="K131" s="338">
        <f>'ALL ML SYSTEMS'!K131</f>
        <v>706</v>
      </c>
      <c r="L131" s="325">
        <f>'ALL ML SYSTEMS'!L131</f>
        <v>0</v>
      </c>
      <c r="M131" s="338" t="str">
        <f>'ALL ML SYSTEMS'!M131</f>
        <v>No</v>
      </c>
      <c r="N131" s="338">
        <f>'ALL ML SYSTEMS'!N131</f>
        <v>52000000</v>
      </c>
      <c r="O131" s="338">
        <f>'ALL ML SYSTEMS'!O131</f>
        <v>0</v>
      </c>
      <c r="P131" s="339">
        <f>'ALL ML SYSTEMS'!P131</f>
        <v>0</v>
      </c>
      <c r="Q131" s="338">
        <f>'ALL ML SYSTEMS'!Q131</f>
        <v>0</v>
      </c>
      <c r="R131" s="325">
        <f>'ALL ML SYSTEMS'!R131</f>
        <v>0</v>
      </c>
      <c r="S131" s="338">
        <f>'ALL ML SYSTEMS'!S131</f>
        <v>325000000000</v>
      </c>
      <c r="T131" s="325">
        <f>'ALL ML SYSTEMS'!T131</f>
        <v>0</v>
      </c>
      <c r="U131" s="325">
        <f>'ALL ML SYSTEMS'!U131</f>
        <v>0</v>
      </c>
      <c r="V131" s="325">
        <f>'ALL ML SYSTEMS'!V131</f>
        <v>0</v>
      </c>
      <c r="W131" s="325">
        <f>'ALL ML SYSTEMS'!W131</f>
        <v>0</v>
      </c>
      <c r="X131" s="325">
        <f>'ALL ML SYSTEMS'!X131</f>
        <v>0</v>
      </c>
      <c r="Y131" s="325">
        <f>'ALL ML SYSTEMS'!Y131</f>
        <v>0</v>
      </c>
      <c r="Z131" s="325">
        <f>'ALL ML SYSTEMS'!Z131</f>
        <v>0</v>
      </c>
      <c r="AA131" s="341" t="str">
        <f>'ALL ML SYSTEMS'!AA131</f>
        <v/>
      </c>
      <c r="AB131" s="325"/>
      <c r="AC131" s="325">
        <f>'ALL ML SYSTEMS'!AB131</f>
        <v>0</v>
      </c>
      <c r="AD131" s="325">
        <f>'ALL ML SYSTEMS'!AC131</f>
        <v>0</v>
      </c>
    </row>
    <row r="132" hidden="1" customHeight="1" spans="1:30">
      <c r="A132" s="323" t="str">
        <f>'ALL ML SYSTEMS'!A132</f>
        <v>ERNIE-GEN (large)</v>
      </c>
      <c r="B132" s="323" t="str">
        <f>'ALL ML SYSTEMS'!B132</f>
        <v>Language</v>
      </c>
      <c r="C132" s="323" t="str">
        <f>'ALL ML SYSTEMS'!C132</f>
        <v>Language Generation</v>
      </c>
      <c r="D132" s="323" t="str">
        <f>'ALL ML SYSTEMS'!D132</f>
        <v>Baidu</v>
      </c>
      <c r="E132" s="323" t="str">
        <f>'ALL ML SYSTEMS'!E132</f>
        <v>Industry</v>
      </c>
      <c r="F132" s="323" t="str">
        <f>'ALL ML SYSTEMS'!F132</f>
        <v>Dongling Xiao, Han Zhang, Yukun Li, Yu Sun, Hao Tian, Hua Wu, Haifeng Wang</v>
      </c>
      <c r="G132" s="324">
        <f>'ALL ML SYSTEMS'!G132</f>
        <v>44049</v>
      </c>
      <c r="H132" s="329">
        <f>'ALL ML SYSTEMS'!H132</f>
        <v>4049</v>
      </c>
      <c r="I132" s="323" t="str">
        <f>'ALL ML SYSTEMS'!I132</f>
        <v>ERNIE-GEN: An Enhanced Multi-Flow Pre-training and Fine-tuning Framework for Natural Language Generation</v>
      </c>
      <c r="J132" s="334" t="str">
        <f>'ALL ML SYSTEMS'!J132</f>
        <v>https://arxiv.org/abs/2001.11314</v>
      </c>
      <c r="K132" s="335">
        <f>'ALL ML SYSTEMS'!K132</f>
        <v>92</v>
      </c>
      <c r="L132" s="323">
        <f>'ALL ML SYSTEMS'!L132</f>
        <v>0</v>
      </c>
      <c r="M132" s="335" t="str">
        <f>'ALL ML SYSTEMS'!M132</f>
        <v>No</v>
      </c>
      <c r="N132" s="335">
        <f>'ALL ML SYSTEMS'!N132</f>
        <v>340000000</v>
      </c>
      <c r="O132" s="335">
        <f>'ALL ML SYSTEMS'!O132</f>
        <v>0</v>
      </c>
      <c r="P132" s="336">
        <f>'ALL ML SYSTEMS'!P132</f>
        <v>0</v>
      </c>
      <c r="Q132" s="335">
        <f>'ALL ML SYSTEMS'!Q132</f>
        <v>0</v>
      </c>
      <c r="R132" s="323">
        <f>'ALL ML SYSTEMS'!R132</f>
        <v>0</v>
      </c>
      <c r="S132" s="335">
        <f>'ALL ML SYSTEMS'!S132</f>
        <v>0</v>
      </c>
      <c r="T132" s="323">
        <f>'ALL ML SYSTEMS'!T132</f>
        <v>0</v>
      </c>
      <c r="U132" s="323">
        <f>'ALL ML SYSTEMS'!U132</f>
        <v>0</v>
      </c>
      <c r="V132" s="323">
        <f>'ALL ML SYSTEMS'!V132</f>
        <v>0</v>
      </c>
      <c r="W132" s="323" t="str">
        <f>'ALL ML SYSTEMS'!W132</f>
        <v>16GB</v>
      </c>
      <c r="X132" s="323">
        <f>'ALL ML SYSTEMS'!X132</f>
        <v>0</v>
      </c>
      <c r="Y132" s="323">
        <f>'ALL ML SYSTEMS'!Y132</f>
        <v>0</v>
      </c>
      <c r="Z132" s="323">
        <f>'ALL ML SYSTEMS'!Z132</f>
        <v>0</v>
      </c>
      <c r="AA132" s="340" t="str">
        <f>'ALL ML SYSTEMS'!AA132</f>
        <v/>
      </c>
      <c r="AB132" s="323"/>
      <c r="AC132" s="323">
        <f>'ALL ML SYSTEMS'!AB132</f>
        <v>0</v>
      </c>
      <c r="AD132" s="323">
        <f>'ALL ML SYSTEMS'!AC132</f>
        <v>0</v>
      </c>
    </row>
    <row r="133" hidden="1" customHeight="1" spans="1:30">
      <c r="A133" s="325" t="str">
        <f>'ALL ML SYSTEMS'!A133</f>
        <v>ViT-Base/32</v>
      </c>
      <c r="B133" s="325" t="str">
        <f>'ALL ML SYSTEMS'!B133</f>
        <v>Vision</v>
      </c>
      <c r="C133" s="325" t="str">
        <f>'ALL ML SYSTEMS'!C133</f>
        <v>Image representation</v>
      </c>
      <c r="D133" s="325" t="str">
        <f>'ALL ML SYSTEMS'!D133</f>
        <v>Google Research, Brain Team</v>
      </c>
      <c r="E133" s="325" t="str">
        <f>'ALL ML SYSTEMS'!E133</f>
        <v>Industry</v>
      </c>
      <c r="F133" s="325" t="str">
        <f>'ALL ML SYSTEMS'!F133</f>
        <v>Alexey Dosovitskiy, Lucas Beyer, Alexander Kolesnikov, Dirk Weissenborn, Xiaohua Zhai, Thomas Unterthiner, Mostafa Dehghani, Matthias Minderer, Georg Heigold, Sylvain Gelly, Jakob Uszkoreit, Neil Houlsby</v>
      </c>
      <c r="G133" s="326">
        <f>'ALL ML SYSTEMS'!G133</f>
        <v>44126</v>
      </c>
      <c r="H133" s="327">
        <f>'ALL ML SYSTEMS'!H133</f>
        <v>4126</v>
      </c>
      <c r="I133" s="325" t="str">
        <f>'ALL ML SYSTEMS'!I133</f>
        <v>An Image is Worth 16x16 Words: Transformers for Image Recognition at Scale</v>
      </c>
      <c r="J133" s="337" t="str">
        <f>'ALL ML SYSTEMS'!J133</f>
        <v>https://arxiv.org/abs/2010.11929</v>
      </c>
      <c r="K133" s="338">
        <f>'ALL ML SYSTEMS'!K133</f>
        <v>729</v>
      </c>
      <c r="L133" s="325">
        <f>'ALL ML SYSTEMS'!L133</f>
        <v>0</v>
      </c>
      <c r="M133" s="338" t="str">
        <f>'ALL ML SYSTEMS'!M133</f>
        <v>No</v>
      </c>
      <c r="N133" s="338">
        <f>'ALL ML SYSTEMS'!N133</f>
        <v>86000000</v>
      </c>
      <c r="O133" s="338">
        <f>'ALL ML SYSTEMS'!O133</f>
        <v>0</v>
      </c>
      <c r="P133" s="339">
        <f>'ALL ML SYSTEMS'!P133</f>
        <v>0</v>
      </c>
      <c r="Q133" s="338">
        <f>'ALL ML SYSTEMS'!Q133</f>
        <v>0</v>
      </c>
      <c r="R133" s="325">
        <f>'ALL ML SYSTEMS'!R133</f>
        <v>0</v>
      </c>
      <c r="S133" s="338">
        <f>'ALL ML SYSTEMS'!S133</f>
        <v>0</v>
      </c>
      <c r="T133" s="325">
        <f>'ALL ML SYSTEMS'!T133</f>
        <v>0</v>
      </c>
      <c r="U133" s="325">
        <f>'ALL ML SYSTEMS'!U133</f>
        <v>0</v>
      </c>
      <c r="V133" s="325" t="str">
        <f>'ALL ML SYSTEMS'!V133</f>
        <v>0.25 (512px image, one TPUv3 core)</v>
      </c>
      <c r="W133" s="325">
        <f>'ALL ML SYSTEMS'!W133</f>
        <v>0</v>
      </c>
      <c r="X133" s="325">
        <f>'ALL ML SYSTEMS'!X133</f>
        <v>0</v>
      </c>
      <c r="Y133" s="325">
        <f>'ALL ML SYSTEMS'!Y133</f>
        <v>0</v>
      </c>
      <c r="Z133" s="325" t="str">
        <f>'ALL ML SYSTEMS'!Z133</f>
        <v>Score</v>
      </c>
      <c r="AA133" s="341" t="str">
        <f>'ALL ML SYSTEMS'!AA133</f>
        <v/>
      </c>
      <c r="AB133" s="325"/>
      <c r="AC133" s="325">
        <f>'ALL ML SYSTEMS'!AB133</f>
        <v>0</v>
      </c>
      <c r="AD133" s="325">
        <f>'ALL ML SYSTEMS'!AC133</f>
        <v>0</v>
      </c>
    </row>
    <row r="134" hidden="1" customHeight="1" spans="1:30">
      <c r="A134" s="323" t="str">
        <f>'ALL ML SYSTEMS'!A134</f>
        <v>ViT-Huge/14</v>
      </c>
      <c r="B134" s="323" t="str">
        <f>'ALL ML SYSTEMS'!B134</f>
        <v>Vision</v>
      </c>
      <c r="C134" s="323" t="str">
        <f>'ALL ML SYSTEMS'!C134</f>
        <v>Image representation</v>
      </c>
      <c r="D134" s="323" t="str">
        <f>'ALL ML SYSTEMS'!D134</f>
        <v>Google Research, Brain Team</v>
      </c>
      <c r="E134" s="323" t="str">
        <f>'ALL ML SYSTEMS'!E134</f>
        <v>Industry</v>
      </c>
      <c r="F134" s="323" t="str">
        <f>'ALL ML SYSTEMS'!F134</f>
        <v>Alexey Dosovitskiy, Lucas Beyer, Alexander Kolesnikov, Dirk Weissenborn, Xiaohua Zhai, Thomas Unterthiner, Mostafa Dehghani, Matthias Minderer, Georg Heigold, Sylvain Gelly, Jakob Uszkoreit, Neil Houlsby</v>
      </c>
      <c r="G134" s="324">
        <f>'ALL ML SYSTEMS'!G134</f>
        <v>44126</v>
      </c>
      <c r="H134" s="329">
        <f>'ALL ML SYSTEMS'!H134</f>
        <v>4126</v>
      </c>
      <c r="I134" s="323" t="str">
        <f>'ALL ML SYSTEMS'!I134</f>
        <v>An Image is Worth 16x16 Words: Transformers for Image Recognition at Scale</v>
      </c>
      <c r="J134" s="334" t="str">
        <f>'ALL ML SYSTEMS'!J134</f>
        <v>https://arxiv.org/abs/2010.11929</v>
      </c>
      <c r="K134" s="335">
        <f>'ALL ML SYSTEMS'!K134</f>
        <v>729</v>
      </c>
      <c r="L134" s="323">
        <f>'ALL ML SYSTEMS'!L134</f>
        <v>0</v>
      </c>
      <c r="M134" s="335" t="str">
        <f>'ALL ML SYSTEMS'!M134</f>
        <v>No</v>
      </c>
      <c r="N134" s="335">
        <f>'ALL ML SYSTEMS'!N134</f>
        <v>632000000</v>
      </c>
      <c r="O134" s="335">
        <f>'ALL ML SYSTEMS'!O134</f>
        <v>0</v>
      </c>
      <c r="P134" s="336">
        <f>'ALL ML SYSTEMS'!P134</f>
        <v>0</v>
      </c>
      <c r="Q134" s="335">
        <f>'ALL ML SYSTEMS'!Q134</f>
        <v>0</v>
      </c>
      <c r="R134" s="323">
        <f>'ALL ML SYSTEMS'!R134</f>
        <v>0</v>
      </c>
      <c r="S134" s="335">
        <f>'ALL ML SYSTEMS'!S134</f>
        <v>0</v>
      </c>
      <c r="T134" s="323">
        <f>'ALL ML SYSTEMS'!T134</f>
        <v>0</v>
      </c>
      <c r="U134" s="323">
        <f>'ALL ML SYSTEMS'!U134</f>
        <v>0</v>
      </c>
      <c r="V134" s="323" t="str">
        <f>'ALL ML SYSTEMS'!V134</f>
        <v>100 (512px image, one TPUv3 core)</v>
      </c>
      <c r="W134" s="323">
        <f>'ALL ML SYSTEMS'!W134</f>
        <v>0</v>
      </c>
      <c r="X134" s="323">
        <f>'ALL ML SYSTEMS'!X134</f>
        <v>0</v>
      </c>
      <c r="Y134" s="323">
        <f>'ALL ML SYSTEMS'!Y134</f>
        <v>0</v>
      </c>
      <c r="Z134" s="323">
        <f>'ALL ML SYSTEMS'!Z134</f>
        <v>0</v>
      </c>
      <c r="AA134" s="340" t="str">
        <f>'ALL ML SYSTEMS'!AA134</f>
        <v/>
      </c>
      <c r="AB134" s="323"/>
      <c r="AC134" s="323">
        <f>'ALL ML SYSTEMS'!AB134</f>
        <v>0</v>
      </c>
      <c r="AD134" s="323">
        <f>'ALL ML SYSTEMS'!AC134</f>
        <v>0</v>
      </c>
    </row>
    <row r="135" hidden="1" customHeight="1" spans="1:30">
      <c r="A135" s="325" t="str">
        <f>'ALL ML SYSTEMS'!A135</f>
        <v>SimCLRv2</v>
      </c>
      <c r="B135" s="325">
        <f>'ALL ML SYSTEMS'!B135</f>
        <v>0</v>
      </c>
      <c r="C135" s="325">
        <f>'ALL ML SYSTEMS'!C135</f>
        <v>0</v>
      </c>
      <c r="D135" s="325" t="str">
        <f>'ALL ML SYSTEMS'!D135</f>
        <v>Google Research, Brain team</v>
      </c>
      <c r="E135" s="325" t="str">
        <f>'ALL ML SYSTEMS'!E135</f>
        <v>Industry</v>
      </c>
      <c r="F135" s="325" t="str">
        <f>'ALL ML SYSTEMS'!F135</f>
        <v>Ting Chen, Simon Kornblith, Kevin Swersky, Mohammad Norouzi, and Geoffrey Hinton</v>
      </c>
      <c r="G135" s="326">
        <f>'ALL ML SYSTEMS'!G135</f>
        <v>44130</v>
      </c>
      <c r="H135" s="327">
        <f>'ALL ML SYSTEMS'!H135</f>
        <v>4130</v>
      </c>
      <c r="I135" s="325" t="str">
        <f>'ALL ML SYSTEMS'!I135</f>
        <v>Big self- supervised models are strong semi-supervised learners.</v>
      </c>
      <c r="J135" s="337" t="str">
        <f>'ALL ML SYSTEMS'!J135</f>
        <v>https://arxiv.org/abs/2006.10029</v>
      </c>
      <c r="K135" s="338">
        <f>'ALL ML SYSTEMS'!K135</f>
        <v>457</v>
      </c>
      <c r="L135" s="325">
        <f>'ALL ML SYSTEMS'!L135</f>
        <v>0</v>
      </c>
      <c r="M135" s="338" t="str">
        <f>'ALL ML SYSTEMS'!M135</f>
        <v>No</v>
      </c>
      <c r="N135" s="338">
        <f>'ALL ML SYSTEMS'!N135</f>
        <v>795000000</v>
      </c>
      <c r="O135" s="338">
        <f>'ALL ML SYSTEMS'!O135</f>
        <v>0</v>
      </c>
      <c r="P135" s="339">
        <f>'ALL ML SYSTEMS'!P135</f>
        <v>0</v>
      </c>
      <c r="Q135" s="338">
        <f>'ALL ML SYSTEMS'!Q135</f>
        <v>1280000</v>
      </c>
      <c r="R135" s="325">
        <f>'ALL ML SYSTEMS'!R135</f>
        <v>0</v>
      </c>
      <c r="S135" s="338">
        <f>'ALL ML SYSTEMS'!S135</f>
        <v>0</v>
      </c>
      <c r="T135" s="325">
        <f>'ALL ML SYSTEMS'!T135</f>
        <v>0</v>
      </c>
      <c r="U135" s="325">
        <f>'ALL ML SYSTEMS'!U135</f>
        <v>0</v>
      </c>
      <c r="V135" s="325">
        <f>'ALL ML SYSTEMS'!V135</f>
        <v>0</v>
      </c>
      <c r="W135" s="325">
        <f>'ALL ML SYSTEMS'!W135</f>
        <v>0</v>
      </c>
      <c r="X135" s="325">
        <f>'ALL ML SYSTEMS'!X135</f>
        <v>0</v>
      </c>
      <c r="Y135" s="325">
        <f>'ALL ML SYSTEMS'!Y135</f>
        <v>0</v>
      </c>
      <c r="Z135" s="325">
        <f>'ALL ML SYSTEMS'!Z135</f>
        <v>0</v>
      </c>
      <c r="AA135" s="341" t="str">
        <f>'ALL ML SYSTEMS'!AA135</f>
        <v/>
      </c>
      <c r="AB135" s="325"/>
      <c r="AC135" s="325">
        <f>'ALL ML SYSTEMS'!AB135</f>
        <v>0</v>
      </c>
      <c r="AD135" s="325">
        <f>'ALL ML SYSTEMS'!AC135</f>
        <v>0</v>
      </c>
    </row>
    <row r="136" customHeight="1" spans="1:30">
      <c r="A136" s="323" t="str">
        <f>'ALL ML SYSTEMS'!A136</f>
        <v>AlphaFold2</v>
      </c>
      <c r="B136" s="323" t="str">
        <f>'ALL ML SYSTEMS'!B136</f>
        <v>Other</v>
      </c>
      <c r="C136" s="323" t="str">
        <f>'ALL ML SYSTEMS'!C136</f>
        <v>Protein folding prediction</v>
      </c>
      <c r="D136" s="323" t="str">
        <f>'ALL ML SYSTEMS'!D136</f>
        <v>DeepMind</v>
      </c>
      <c r="E136" s="323" t="str">
        <f>'ALL ML SYSTEMS'!E136</f>
        <v>Industry</v>
      </c>
      <c r="F136" s="323" t="str">
        <f>'ALL ML SYSTEMS'!F136</f>
        <v>John Jumper, Richard Evans, Alexander Pritzel, Tim Green, Michael Figurnov, Kathryn Tunyasuvunakool, Olaf Ronneberger, Russ Bates, Augustin Žídek, Alex Bridgland, Clemens Meyer, Simon A A Kohl, Anna Potapenko, Andrew J Ballard, Andrew Cowie, Bernardino Romera-Paredes, Stanislav Nikolov, Rishub Jain, Jonas Adler, Trevor Back, Stig Petersen, David Reiman, Martin Steinegger, Michalina Pacholska, David Silver, Oriol Vinyals, Andrew W Senior, Koray Kavukcuoglu, Pushmeet Kohli, Demis Hassabis.</v>
      </c>
      <c r="G136" s="324">
        <f>'ALL ML SYSTEMS'!G136</f>
        <v>44165</v>
      </c>
      <c r="H136" s="329">
        <f>'ALL ML SYSTEMS'!H136</f>
        <v>4165</v>
      </c>
      <c r="I136" s="323" t="str">
        <f>'ALL ML SYSTEMS'!I136</f>
        <v>High Accuracy Protein Structure Prediction Using Deep Learning</v>
      </c>
      <c r="J136" s="334" t="str">
        <f>'ALL ML SYSTEMS'!J136</f>
        <v>https://www.nature.com/articles/s41586-021-03819-2</v>
      </c>
      <c r="K136" s="335">
        <f>'ALL ML SYSTEMS'!K136</f>
        <v>24</v>
      </c>
      <c r="L136" s="323" t="str">
        <f>'ALL ML SYSTEMS'!L136</f>
        <v>Important context, significant use</v>
      </c>
      <c r="M136" s="335" t="str">
        <f>'ALL ML SYSTEMS'!M136</f>
        <v>Yes</v>
      </c>
      <c r="N136" s="335">
        <f>'ALL ML SYSTEMS'!N136</f>
        <v>0</v>
      </c>
      <c r="O136" s="335">
        <f>'ALL ML SYSTEMS'!O136</f>
        <v>0</v>
      </c>
      <c r="P136" s="336">
        <f>'ALL ML SYSTEMS'!P136</f>
        <v>0</v>
      </c>
      <c r="Q136" s="335">
        <f>'ALL ML SYSTEMS'!Q136</f>
        <v>0</v>
      </c>
      <c r="R136" s="323">
        <f>'ALL ML SYSTEMS'!R136</f>
        <v>0</v>
      </c>
      <c r="S136" s="335">
        <f>'ALL ML SYSTEMS'!S136</f>
        <v>0</v>
      </c>
      <c r="T136" s="323">
        <f>'ALL ML SYSTEMS'!T136</f>
        <v>0</v>
      </c>
      <c r="U136" s="323">
        <f>'ALL ML SYSTEMS'!U136</f>
        <v>0</v>
      </c>
      <c r="V136" s="323">
        <f>'ALL ML SYSTEMS'!V136</f>
        <v>0</v>
      </c>
      <c r="W136" s="323">
        <f>'ALL ML SYSTEMS'!W136</f>
        <v>0</v>
      </c>
      <c r="X136" s="323">
        <f>'ALL ML SYSTEMS'!X136</f>
        <v>0</v>
      </c>
      <c r="Y136" s="323">
        <f>'ALL ML SYSTEMS'!Y136</f>
        <v>0</v>
      </c>
      <c r="Z136" s="323">
        <f>'ALL ML SYSTEMS'!Z136</f>
        <v>0</v>
      </c>
      <c r="AA136" s="340" t="str">
        <f>'ALL ML SYSTEMS'!AA136</f>
        <v/>
      </c>
      <c r="AB136" s="323">
        <f>'ALL ML SYSTEMS'!AB136</f>
        <v>0</v>
      </c>
      <c r="AC136" s="323">
        <f>'ALL ML SYSTEMS'!AC136</f>
        <v>0</v>
      </c>
      <c r="AD136" s="323" t="str">
        <f>'ALL ML SYSTEMS'!AD136</f>
        <v>Industry</v>
      </c>
    </row>
    <row r="137" hidden="1" customHeight="1" spans="1:30">
      <c r="A137" s="325" t="str">
        <f>'ALL ML SYSTEMS'!A137</f>
        <v>VQGAN + CLIP</v>
      </c>
      <c r="B137" s="325" t="str">
        <f>'ALL ML SYSTEMS'!B137</f>
        <v>Drawing</v>
      </c>
      <c r="C137" s="325" t="str">
        <f>'ALL ML SYSTEMS'!C137</f>
        <v>Text-to-image</v>
      </c>
      <c r="D137" s="325" t="str">
        <f>'ALL ML SYSTEMS'!D137</f>
        <v>Heidelberg University</v>
      </c>
      <c r="E137" s="325" t="str">
        <f>'ALL ML SYSTEMS'!E137</f>
        <v>Academia</v>
      </c>
      <c r="F137" s="325" t="str">
        <f>'ALL ML SYSTEMS'!F137</f>
        <v>Patrick Esser, Robin Rombach, Björn Ommer</v>
      </c>
      <c r="G137" s="326">
        <f>'ALL ML SYSTEMS'!G137</f>
        <v>44182</v>
      </c>
      <c r="H137" s="327">
        <f>'ALL ML SYSTEMS'!H137</f>
        <v>4182</v>
      </c>
      <c r="I137" s="325" t="str">
        <f>'ALL ML SYSTEMS'!I137</f>
        <v>Taming Transformers for High-Resolution Image Synthesis</v>
      </c>
      <c r="J137" s="337" t="str">
        <f>'ALL ML SYSTEMS'!J137</f>
        <v>https://github.com/CompVis/taming-transformers</v>
      </c>
      <c r="K137" s="338">
        <f>'ALL ML SYSTEMS'!K137</f>
        <v>494</v>
      </c>
      <c r="L137" s="325">
        <f>'ALL ML SYSTEMS'!L137</f>
        <v>0</v>
      </c>
      <c r="M137" s="338" t="str">
        <f>'ALL ML SYSTEMS'!M137</f>
        <v>No</v>
      </c>
      <c r="N137" s="338">
        <f>'ALL ML SYSTEMS'!N137</f>
        <v>0</v>
      </c>
      <c r="O137" s="338">
        <f>'ALL ML SYSTEMS'!O137</f>
        <v>0</v>
      </c>
      <c r="P137" s="339">
        <f>'ALL ML SYSTEMS'!P137</f>
        <v>0</v>
      </c>
      <c r="Q137" s="338">
        <f>'ALL ML SYSTEMS'!Q137</f>
        <v>0</v>
      </c>
      <c r="R137" s="325">
        <f>'ALL ML SYSTEMS'!R137</f>
        <v>0</v>
      </c>
      <c r="S137" s="338">
        <f>'ALL ML SYSTEMS'!S137</f>
        <v>0</v>
      </c>
      <c r="T137" s="325">
        <f>'ALL ML SYSTEMS'!T137</f>
        <v>0</v>
      </c>
      <c r="U137" s="325">
        <f>'ALL ML SYSTEMS'!U137</f>
        <v>0</v>
      </c>
      <c r="V137" s="325">
        <f>'ALL ML SYSTEMS'!V137</f>
        <v>0</v>
      </c>
      <c r="W137" s="325">
        <f>'ALL ML SYSTEMS'!W137</f>
        <v>0</v>
      </c>
      <c r="X137" s="325">
        <f>'ALL ML SYSTEMS'!X137</f>
        <v>0</v>
      </c>
      <c r="Y137" s="325">
        <f>'ALL ML SYSTEMS'!Y137</f>
        <v>0</v>
      </c>
      <c r="Z137" s="325">
        <f>'ALL ML SYSTEMS'!Z137</f>
        <v>0</v>
      </c>
      <c r="AA137" s="341" t="str">
        <f>'ALL ML SYSTEMS'!AA137</f>
        <v/>
      </c>
      <c r="AB137" s="325"/>
      <c r="AC137" s="325">
        <f>'ALL ML SYSTEMS'!AB137</f>
        <v>0</v>
      </c>
      <c r="AD137" s="325">
        <f>'ALL ML SYSTEMS'!AC137</f>
        <v>0</v>
      </c>
    </row>
    <row r="138" customHeight="1" spans="1:30">
      <c r="A138" s="323" t="str">
        <f>'ALL ML SYSTEMS'!A138</f>
        <v>AlphaStar</v>
      </c>
      <c r="B138" s="323" t="str">
        <f>'ALL ML SYSTEMS'!B138</f>
        <v>Games</v>
      </c>
      <c r="C138" s="323" t="str">
        <f>'ALL ML SYSTEMS'!C138</f>
        <v>StarCraft</v>
      </c>
      <c r="D138" s="323" t="str">
        <f>'ALL ML SYSTEMS'!D138</f>
        <v>DeepMind</v>
      </c>
      <c r="E138" s="323" t="str">
        <f>'ALL ML SYSTEMS'!E138</f>
        <v>Industry</v>
      </c>
      <c r="F138" s="323" t="str">
        <f>'ALL ML SYSTEMS'!F138</f>
        <v>Oriol Vinyals,Igor Babuschkin,Wojciech M. Czarnecki,Michaël Mathieu,Andrew Dudzik,Junyoung Chung,David H. Choi,Richard Powell,Timo Ewalds,Petko Georgiev,Junhyuk Oh,Dan Horgan,Manuel Kroiss,Ivo Danihelka,Aja Huang,Laurent Sifre,Trevor Cai,John P. Agapiou,Max Jaderberg,Alexander S. Vezhnevets,Rémi Leblond,Tobias Pohlen,Valentin Dalibard,David Budden,Yury Sulsky,James Molloy,Tom L. Paine,Caglar Gulcehre,Ziyu Wang,Tobias Pfaff,Yuhuai Wu,Roman Ring,Dani Yogatama,Dario Wünsch,Katrina McKinney,Oliver Smith,Tom Schaul,Timothy Lillicrap,Koray Kavukcuoglu,Demis Hassabis,Chris Apps,David Silver</v>
      </c>
      <c r="G138" s="324">
        <f>'ALL ML SYSTEMS'!G138</f>
        <v>43768</v>
      </c>
      <c r="H138" s="329">
        <f>'ALL ML SYSTEMS'!H138</f>
        <v>3768</v>
      </c>
      <c r="I138" s="323" t="str">
        <f>'ALL ML SYSTEMS'!I138</f>
        <v>Grandmaster level in StarCraft II using multi-agent reinforcement learning</v>
      </c>
      <c r="J138" s="334" t="str">
        <f>'ALL ML SYSTEMS'!J138</f>
        <v>https://www.deepmind.com/blog/alphastar-grandmaster-level-in-starcraft-ii-using-multi-agent-reinforcement-learning</v>
      </c>
      <c r="K138" s="335">
        <f>'ALL ML SYSTEMS'!K138</f>
        <v>1044</v>
      </c>
      <c r="L138" s="323" t="str">
        <f>'ALL ML SYSTEMS'!L138</f>
        <v>Highly cited</v>
      </c>
      <c r="M138" s="335" t="str">
        <f>'ALL ML SYSTEMS'!M138</f>
        <v>Yes</v>
      </c>
      <c r="N138" s="335">
        <f>'ALL ML SYSTEMS'!N138</f>
        <v>139000000</v>
      </c>
      <c r="O138" s="335">
        <f>'ALL ML SYSTEMS'!O138</f>
        <v>2.02e+23</v>
      </c>
      <c r="P138" s="336">
        <f>'ALL ML SYSTEMS'!P138</f>
        <v>0</v>
      </c>
      <c r="Q138" s="335">
        <f>'ALL ML SYSTEMS'!Q138</f>
        <v>0</v>
      </c>
      <c r="R138" s="323">
        <f>'ALL ML SYSTEMS'!R138</f>
        <v>0</v>
      </c>
      <c r="S138" s="335">
        <f>'ALL ML SYSTEMS'!S138</f>
        <v>0</v>
      </c>
      <c r="T138" s="323">
        <f>'ALL ML SYSTEMS'!T138</f>
        <v>0</v>
      </c>
      <c r="U138" s="323">
        <f>'ALL ML SYSTEMS'!U138</f>
        <v>0</v>
      </c>
      <c r="V138" s="323">
        <f>'ALL ML SYSTEMS'!V138</f>
        <v>0</v>
      </c>
      <c r="W138" s="323">
        <f>'ALL ML SYSTEMS'!W138</f>
        <v>0</v>
      </c>
      <c r="X138" s="323">
        <f>'ALL ML SYSTEMS'!X138</f>
        <v>0</v>
      </c>
      <c r="Y138" s="323">
        <f>'ALL ML SYSTEMS'!Y138</f>
        <v>0</v>
      </c>
      <c r="Z138" s="323">
        <f>'ALL ML SYSTEMS'!Z138</f>
        <v>0</v>
      </c>
      <c r="AA138" s="340">
        <f>'ALL ML SYSTEMS'!AA138</f>
        <v>512765.269878946</v>
      </c>
      <c r="AB138" s="323">
        <f>'ALL ML SYSTEMS'!AB138</f>
        <v>0</v>
      </c>
      <c r="AC138" s="323">
        <f>'ALL ML SYSTEMS'!AC138</f>
        <v>0</v>
      </c>
      <c r="AD138" s="323" t="str">
        <f>'ALL ML SYSTEMS'!AD138</f>
        <v>Industry</v>
      </c>
    </row>
    <row r="139" customHeight="1" spans="1:30">
      <c r="A139" s="325" t="str">
        <f>'ALL ML SYSTEMS'!A139</f>
        <v>OpenAI Five</v>
      </c>
      <c r="B139" s="325" t="str">
        <f>'ALL ML SYSTEMS'!B139</f>
        <v>Games</v>
      </c>
      <c r="C139" s="325" t="str">
        <f>'ALL ML SYSTEMS'!C139</f>
        <v>Dota 2</v>
      </c>
      <c r="D139" s="325" t="str">
        <f>'ALL ML SYSTEMS'!D139</f>
        <v>OpenAI</v>
      </c>
      <c r="E139" s="325" t="str">
        <f>'ALL ML SYSTEMS'!E139</f>
        <v>Industry</v>
      </c>
      <c r="F139" s="325" t="str">
        <f>'ALL ML SYSTEMS'!F139</f>
        <v>J Raiman, S Zhang, F Wolski</v>
      </c>
      <c r="G139" s="326">
        <f>'ALL ML SYSTEMS'!G139</f>
        <v>43812</v>
      </c>
      <c r="H139" s="327">
        <f>'ALL ML SYSTEMS'!H139</f>
        <v>3812</v>
      </c>
      <c r="I139" s="325" t="str">
        <f>'ALL ML SYSTEMS'!I139</f>
        <v>Dota 2 with Large Scale Deep Reinforcement Learning</v>
      </c>
      <c r="J139" s="337" t="str">
        <f>'ALL ML SYSTEMS'!J139</f>
        <v>https://arxiv.org/abs/1912.06680</v>
      </c>
      <c r="K139" s="338">
        <f>'ALL ML SYSTEMS'!K139</f>
        <v>454</v>
      </c>
      <c r="L139" s="325" t="str">
        <f>'ALL ML SYSTEMS'!L139</f>
        <v>SOTA improvement</v>
      </c>
      <c r="M139" s="338" t="str">
        <f>'ALL ML SYSTEMS'!M139</f>
        <v>Yes</v>
      </c>
      <c r="N139" s="338">
        <f>'ALL ML SYSTEMS'!N139</f>
        <v>159000000</v>
      </c>
      <c r="O139" s="338">
        <f>'ALL ML SYSTEMS'!O139</f>
        <v>6.7e+22</v>
      </c>
      <c r="P139" s="339">
        <f>'ALL ML SYSTEMS'!P139</f>
        <v>0</v>
      </c>
      <c r="Q139" s="338">
        <f>'ALL ML SYSTEMS'!Q139</f>
        <v>454321373184</v>
      </c>
      <c r="R139" s="325">
        <f>'ALL ML SYSTEMS'!R139</f>
        <v>0</v>
      </c>
      <c r="S139" s="338">
        <f>'ALL ML SYSTEMS'!S139</f>
        <v>0</v>
      </c>
      <c r="T139" s="325">
        <f>'ALL ML SYSTEMS'!T139</f>
        <v>0</v>
      </c>
      <c r="U139" s="325">
        <f>'ALL ML SYSTEMS'!U139</f>
        <v>0</v>
      </c>
      <c r="V139" s="325">
        <f>'ALL ML SYSTEMS'!V139</f>
        <v>0</v>
      </c>
      <c r="W139" s="325">
        <f>'ALL ML SYSTEMS'!W139</f>
        <v>0</v>
      </c>
      <c r="X139" s="325">
        <f>'ALL ML SYSTEMS'!X139</f>
        <v>0</v>
      </c>
      <c r="Y139" s="325">
        <f>'ALL ML SYSTEMS'!Y139</f>
        <v>0</v>
      </c>
      <c r="Z139" s="325">
        <f>'ALL ML SYSTEMS'!Z139</f>
        <v>0</v>
      </c>
      <c r="AA139" s="341">
        <f>'ALL ML SYSTEMS'!AA139</f>
        <v>166042.114482332</v>
      </c>
      <c r="AB139" s="325" t="str">
        <f>'ALL ML SYSTEMS'!AB139</f>
        <v>Yes</v>
      </c>
      <c r="AC139" s="325">
        <f>'ALL ML SYSTEMS'!AC139</f>
        <v>0</v>
      </c>
      <c r="AD139" s="325" t="str">
        <f>'ALL ML SYSTEMS'!AD139</f>
        <v>Industry</v>
      </c>
    </row>
    <row r="140" hidden="1" customHeight="1" spans="1:30">
      <c r="A140" s="323" t="str">
        <f>'ALL ML SYSTEMS'!A140</f>
        <v>Megatron-BERT</v>
      </c>
      <c r="B140" s="323" t="str">
        <f>'ALL ML SYSTEMS'!B140</f>
        <v>Language</v>
      </c>
      <c r="C140" s="323">
        <f>'ALL ML SYSTEMS'!C140</f>
        <v>0</v>
      </c>
      <c r="D140" s="323" t="str">
        <f>'ALL ML SYSTEMS'!D140</f>
        <v>NVIDIA</v>
      </c>
      <c r="E140" s="323" t="str">
        <f>'ALL ML SYSTEMS'!E140</f>
        <v>Industry</v>
      </c>
      <c r="F140" s="323" t="str">
        <f>'ALL ML SYSTEMS'!F140</f>
        <v>M Shoeybi, M Patwary, R Puri, P LeGresley</v>
      </c>
      <c r="G140" s="324">
        <f>'ALL ML SYSTEMS'!G140</f>
        <v>43725</v>
      </c>
      <c r="H140" s="329">
        <f>'ALL ML SYSTEMS'!H140</f>
        <v>3725</v>
      </c>
      <c r="I140" s="323" t="str">
        <f>'ALL ML SYSTEMS'!I140</f>
        <v>Megatron-LM: Training Multi-Billion Parameter Language Models Using Model Parallelism</v>
      </c>
      <c r="J140" s="334" t="str">
        <f>'ALL ML SYSTEMS'!J140</f>
        <v>https://arxiv.org/abs/1909.08053</v>
      </c>
      <c r="K140" s="335">
        <f>'ALL ML SYSTEMS'!K140</f>
        <v>557</v>
      </c>
      <c r="L140" s="323">
        <f>'ALL ML SYSTEMS'!L140</f>
        <v>0</v>
      </c>
      <c r="M140" s="335" t="str">
        <f>'ALL ML SYSTEMS'!M140</f>
        <v>No</v>
      </c>
      <c r="N140" s="335">
        <f>'ALL ML SYSTEMS'!N140</f>
        <v>3900000000</v>
      </c>
      <c r="O140" s="335">
        <f>'ALL ML SYSTEMS'!O140</f>
        <v>5.68e+22</v>
      </c>
      <c r="P140" s="336">
        <f>'ALL ML SYSTEMS'!P140</f>
        <v>0</v>
      </c>
      <c r="Q140" s="335">
        <f>'ALL ML SYSTEMS'!Q140</f>
        <v>34800000000</v>
      </c>
      <c r="R140" s="323">
        <f>'ALL ML SYSTEMS'!R140</f>
        <v>0</v>
      </c>
      <c r="S140" s="335">
        <f>'ALL ML SYSTEMS'!S140</f>
        <v>0</v>
      </c>
      <c r="T140" s="323">
        <f>'ALL ML SYSTEMS'!T140</f>
        <v>0</v>
      </c>
      <c r="U140" s="323">
        <f>'ALL ML SYSTEMS'!U140</f>
        <v>0</v>
      </c>
      <c r="V140" s="323">
        <f>'ALL ML SYSTEMS'!V140</f>
        <v>0</v>
      </c>
      <c r="W140" s="323">
        <f>'ALL ML SYSTEMS'!W140</f>
        <v>0</v>
      </c>
      <c r="X140" s="323">
        <f>'ALL ML SYSTEMS'!X140</f>
        <v>0</v>
      </c>
      <c r="Y140" s="323">
        <f>'ALL ML SYSTEMS'!Y140</f>
        <v>0</v>
      </c>
      <c r="Z140" s="323">
        <f>'ALL ML SYSTEMS'!Z140</f>
        <v>0</v>
      </c>
      <c r="AA140" s="340">
        <f>'ALL ML SYSTEMS'!AA140</f>
        <v>208034.393738375</v>
      </c>
      <c r="AB140" s="323"/>
      <c r="AC140" s="323" t="str">
        <f>'ALL ML SYSTEMS'!AB140</f>
        <v>Yes</v>
      </c>
      <c r="AD140" s="323">
        <f>'ALL ML SYSTEMS'!AC140</f>
        <v>0</v>
      </c>
    </row>
    <row r="141" customHeight="1" spans="1:30">
      <c r="A141" s="325" t="str">
        <f>'ALL ML SYSTEMS'!A141</f>
        <v>T5-11B</v>
      </c>
      <c r="B141" s="325" t="str">
        <f>'ALL ML SYSTEMS'!B141</f>
        <v>Language</v>
      </c>
      <c r="C141" s="325" t="str">
        <f>'ALL ML SYSTEMS'!C141</f>
        <v>Text autocompletion</v>
      </c>
      <c r="D141" s="325" t="str">
        <f>'ALL ML SYSTEMS'!D141</f>
        <v>Google</v>
      </c>
      <c r="E141" s="325" t="str">
        <f>'ALL ML SYSTEMS'!E141</f>
        <v>Industry</v>
      </c>
      <c r="F141" s="325" t="str">
        <f>'ALL ML SYSTEMS'!F141</f>
        <v>Colin Raffel, Noam Shazeer, Adam Roberts, Katherine Lee, Sharan Narang, Michael Matena, Yanqi Zhou, Wei Li, Peter J. Liu</v>
      </c>
      <c r="G141" s="326">
        <f>'ALL ML SYSTEMS'!G141</f>
        <v>43761</v>
      </c>
      <c r="H141" s="327">
        <f>'ALL ML SYSTEMS'!H141</f>
        <v>3761</v>
      </c>
      <c r="I141" s="325" t="str">
        <f>'ALL ML SYSTEMS'!I141</f>
        <v>Exploring the Limits of Transfer Learning with a Unified Text-to-Text Transformer</v>
      </c>
      <c r="J141" s="337" t="str">
        <f>'ALL ML SYSTEMS'!J141</f>
        <v>https://arxiv.org/abs/1910.10683</v>
      </c>
      <c r="K141" s="338">
        <f>'ALL ML SYSTEMS'!K141</f>
        <v>1540</v>
      </c>
      <c r="L141" s="325" t="str">
        <f>'ALL ML SYSTEMS'!L141</f>
        <v>Highly cited</v>
      </c>
      <c r="M141" s="338" t="str">
        <f>'ALL ML SYSTEMS'!M141</f>
        <v>Yes</v>
      </c>
      <c r="N141" s="338">
        <f>'ALL ML SYSTEMS'!N141</f>
        <v>11000000000</v>
      </c>
      <c r="O141" s="338">
        <f>'ALL ML SYSTEMS'!O141</f>
        <v>4.05e+22</v>
      </c>
      <c r="P141" s="339" t="str">
        <f>'ALL ML SYSTEMS'!P141</f>
        <v>Colossal Clean Crawled Corpus (C4)</v>
      </c>
      <c r="Q141" s="338">
        <f>'ALL ML SYSTEMS'!Q141</f>
        <v>150000000000</v>
      </c>
      <c r="R141" s="325">
        <f>'ALL ML SYSTEMS'!R141</f>
        <v>0</v>
      </c>
      <c r="S141" s="338">
        <f>'ALL ML SYSTEMS'!S141</f>
        <v>0</v>
      </c>
      <c r="T141" s="325">
        <f>'ALL ML SYSTEMS'!T141</f>
        <v>0</v>
      </c>
      <c r="U141" s="325">
        <f>'ALL ML SYSTEMS'!U141</f>
        <v>0</v>
      </c>
      <c r="V141" s="325">
        <f>'ALL ML SYSTEMS'!V141</f>
        <v>0</v>
      </c>
      <c r="W141" s="325">
        <f>'ALL ML SYSTEMS'!W141</f>
        <v>0</v>
      </c>
      <c r="X141" s="325">
        <f>'ALL ML SYSTEMS'!X141</f>
        <v>0</v>
      </c>
      <c r="Y141" s="325">
        <f>'ALL ML SYSTEMS'!Y141</f>
        <v>0</v>
      </c>
      <c r="Z141" s="325">
        <f>'ALL ML SYSTEMS'!Z141</f>
        <v>0</v>
      </c>
      <c r="AA141" s="341">
        <f>'ALL ML SYSTEMS'!AA141</f>
        <v>105686.200097103</v>
      </c>
      <c r="AB141" s="325" t="str">
        <f>'ALL ML SYSTEMS'!AB141</f>
        <v>Yes</v>
      </c>
      <c r="AC141" s="325" t="str">
        <f>'ALL ML SYSTEMS'!AC141</f>
        <v>Transformer (encoder-decoder performed best)</v>
      </c>
      <c r="AD141" s="325" t="str">
        <f>'ALL ML SYSTEMS'!AD141</f>
        <v>Industry</v>
      </c>
    </row>
    <row r="142" customHeight="1" spans="1:30">
      <c r="A142" s="323" t="str">
        <f>'ALL ML SYSTEMS'!A142</f>
        <v>OpenAI Five Rerun</v>
      </c>
      <c r="B142" s="323" t="str">
        <f>'ALL ML SYSTEMS'!B142</f>
        <v>Games</v>
      </c>
      <c r="C142" s="323" t="str">
        <f>'ALL ML SYSTEMS'!C142</f>
        <v>Dota 2</v>
      </c>
      <c r="D142" s="323" t="str">
        <f>'ALL ML SYSTEMS'!D142</f>
        <v>OpenAI</v>
      </c>
      <c r="E142" s="323" t="str">
        <f>'ALL ML SYSTEMS'!E142</f>
        <v>Industry</v>
      </c>
      <c r="F142" s="323" t="str">
        <f>'ALL ML SYSTEMS'!F142</f>
        <v>Christopher Berner, Greg Brockman, Brooke Chan, Vicki Cheung,
Przemysław “Psyho" Dębiak, Christy Dennison, David Farhi, Quirin Fischer, Shariq Hashme, Chris Hesse, Rafal Józefowicz, Scott Gray, Catherine Olsson, Jakub Pachocki, Michael Petrov, Henrique Pondé de Oliveira Pinto, Jonathan Raiman, Tim Salimans, Jeremy Schlatter, Jonas Schneider, Szymon Sidor, Ilya Sutskever, Jie Tang, Filip Wolski, Susan Zhang</v>
      </c>
      <c r="G142" s="324">
        <f>'ALL ML SYSTEMS'!G142</f>
        <v>43812</v>
      </c>
      <c r="H142" s="329">
        <f>'ALL ML SYSTEMS'!H142</f>
        <v>3812</v>
      </c>
      <c r="I142" s="323" t="str">
        <f>'ALL ML SYSTEMS'!I142</f>
        <v>Dota 2 with Large Scale Deep Reinforcement Learning</v>
      </c>
      <c r="J142" s="334" t="str">
        <f>'ALL ML SYSTEMS'!J142</f>
        <v>https://cdn.openai.com/dota-2.pdf</v>
      </c>
      <c r="K142" s="335">
        <f>'ALL ML SYSTEMS'!K142</f>
        <v>1001</v>
      </c>
      <c r="L142" s="323" t="str">
        <f>'ALL ML SYSTEMS'!L142</f>
        <v>SOTA improvement</v>
      </c>
      <c r="M142" s="335" t="str">
        <f>'ALL ML SYSTEMS'!M142</f>
        <v>Yes</v>
      </c>
      <c r="N142" s="335">
        <f>'ALL ML SYSTEMS'!N142</f>
        <v>159000000</v>
      </c>
      <c r="O142" s="335">
        <f>'ALL ML SYSTEMS'!O142</f>
        <v>1.3e+22</v>
      </c>
      <c r="P142" s="336">
        <f>'ALL ML SYSTEMS'!P142</f>
        <v>0</v>
      </c>
      <c r="Q142" s="335">
        <f>'ALL ML SYSTEMS'!Q142</f>
        <v>53084160000</v>
      </c>
      <c r="R142" s="323">
        <f>'ALL ML SYSTEMS'!R142</f>
        <v>0</v>
      </c>
      <c r="S142" s="335">
        <f>'ALL ML SYSTEMS'!S142</f>
        <v>0</v>
      </c>
      <c r="T142" s="323">
        <f>'ALL ML SYSTEMS'!T142</f>
        <v>0</v>
      </c>
      <c r="U142" s="323">
        <f>'ALL ML SYSTEMS'!U142</f>
        <v>0</v>
      </c>
      <c r="V142" s="323">
        <f>'ALL ML SYSTEMS'!V142</f>
        <v>0</v>
      </c>
      <c r="W142" s="323">
        <f>'ALL ML SYSTEMS'!W142</f>
        <v>0</v>
      </c>
      <c r="X142" s="323">
        <f>'ALL ML SYSTEMS'!X142</f>
        <v>0</v>
      </c>
      <c r="Y142" s="323">
        <f>'ALL ML SYSTEMS'!Y142</f>
        <v>0</v>
      </c>
      <c r="Z142" s="323">
        <f>'ALL ML SYSTEMS'!Z142</f>
        <v>0</v>
      </c>
      <c r="AA142" s="340">
        <f>'ALL ML SYSTEMS'!AA142</f>
        <v>32217.1266906017</v>
      </c>
      <c r="AB142" s="323" t="str">
        <f>'ALL ML SYSTEMS'!AB142</f>
        <v>Yes</v>
      </c>
      <c r="AC142" s="323">
        <f>'ALL ML SYSTEMS'!AC142</f>
        <v>0</v>
      </c>
      <c r="AD142" s="323" t="str">
        <f>'ALL ML SYSTEMS'!AD142</f>
        <v>Industry</v>
      </c>
    </row>
    <row r="143" customHeight="1" spans="1:30">
      <c r="A143" s="325" t="str">
        <f>'ALL ML SYSTEMS'!A143</f>
        <v>T5-3B</v>
      </c>
      <c r="B143" s="325" t="str">
        <f>'ALL ML SYSTEMS'!B143</f>
        <v>Language</v>
      </c>
      <c r="C143" s="325" t="str">
        <f>'ALL ML SYSTEMS'!C143</f>
        <v>Text autocompletion</v>
      </c>
      <c r="D143" s="325" t="str">
        <f>'ALL ML SYSTEMS'!D143</f>
        <v>Google</v>
      </c>
      <c r="E143" s="325" t="str">
        <f>'ALL ML SYSTEMS'!E143</f>
        <v>Industry</v>
      </c>
      <c r="F143" s="325" t="str">
        <f>'ALL ML SYSTEMS'!F143</f>
        <v>Colin Raffel, Noam Shazeer, Adam Roberts, Katherine Lee, Sharan Narang, Michael Matena, Yanqi Zhou, Wei Li, Peter J. Liu</v>
      </c>
      <c r="G143" s="326">
        <f>'ALL ML SYSTEMS'!G143</f>
        <v>43761</v>
      </c>
      <c r="H143" s="327">
        <f>'ALL ML SYSTEMS'!H143</f>
        <v>3761</v>
      </c>
      <c r="I143" s="325" t="str">
        <f>'ALL ML SYSTEMS'!I143</f>
        <v>Exploring the Limits of Transfer Learning with a Unified Text-to-Text Transformer</v>
      </c>
      <c r="J143" s="337" t="str">
        <f>'ALL ML SYSTEMS'!J143</f>
        <v>https://arxiv.org/abs/1910.10683</v>
      </c>
      <c r="K143" s="338">
        <f>'ALL ML SYSTEMS'!K143</f>
        <v>1540</v>
      </c>
      <c r="L143" s="325" t="str">
        <f>'ALL ML SYSTEMS'!L143</f>
        <v>Highly cited</v>
      </c>
      <c r="M143" s="338" t="str">
        <f>'ALL ML SYSTEMS'!M143</f>
        <v>Yes</v>
      </c>
      <c r="N143" s="338">
        <f>'ALL ML SYSTEMS'!N143</f>
        <v>3000000000</v>
      </c>
      <c r="O143" s="338">
        <f>'ALL ML SYSTEMS'!O143</f>
        <v>1.04e+22</v>
      </c>
      <c r="P143" s="339" t="str">
        <f>'ALL ML SYSTEMS'!P143</f>
        <v>Colossal Clean Crawled Corpus (C4)</v>
      </c>
      <c r="Q143" s="338">
        <f>'ALL ML SYSTEMS'!Q143</f>
        <v>150000000000</v>
      </c>
      <c r="R143" s="325">
        <f>'ALL ML SYSTEMS'!R143</f>
        <v>0</v>
      </c>
      <c r="S143" s="338">
        <f>'ALL ML SYSTEMS'!S143</f>
        <v>0</v>
      </c>
      <c r="T143" s="325">
        <f>'ALL ML SYSTEMS'!T143</f>
        <v>0</v>
      </c>
      <c r="U143" s="325">
        <f>'ALL ML SYSTEMS'!U143</f>
        <v>0</v>
      </c>
      <c r="V143" s="325">
        <f>'ALL ML SYSTEMS'!V143</f>
        <v>0</v>
      </c>
      <c r="W143" s="325">
        <f>'ALL ML SYSTEMS'!W143</f>
        <v>0</v>
      </c>
      <c r="X143" s="325">
        <f>'ALL ML SYSTEMS'!X143</f>
        <v>0</v>
      </c>
      <c r="Y143" s="325">
        <f>'ALL ML SYSTEMS'!Y143</f>
        <v>0</v>
      </c>
      <c r="Z143" s="325">
        <f>'ALL ML SYSTEMS'!Z143</f>
        <v>0</v>
      </c>
      <c r="AA143" s="341">
        <f>'ALL ML SYSTEMS'!AA143</f>
        <v>25777.1219749032</v>
      </c>
      <c r="AB143" s="325" t="str">
        <f>'ALL ML SYSTEMS'!AB143</f>
        <v>Yes</v>
      </c>
      <c r="AC143" s="325" t="str">
        <f>'ALL ML SYSTEMS'!AC143</f>
        <v>Transformer (encoder-decoder performed best)</v>
      </c>
      <c r="AD143" s="325" t="str">
        <f>'ALL ML SYSTEMS'!AD143</f>
        <v>Industry</v>
      </c>
    </row>
    <row r="144" hidden="1" customHeight="1" spans="1:30">
      <c r="A144" s="323" t="str">
        <f>'ALL ML SYSTEMS'!A144</f>
        <v>Megatron-LM (Original, 8.3B)</v>
      </c>
      <c r="B144" s="323" t="str">
        <f>'ALL ML SYSTEMS'!B144</f>
        <v>Language</v>
      </c>
      <c r="C144" s="323">
        <f>'ALL ML SYSTEMS'!C144</f>
        <v>0</v>
      </c>
      <c r="D144" s="323" t="str">
        <f>'ALL ML SYSTEMS'!D144</f>
        <v>NVIDIA</v>
      </c>
      <c r="E144" s="323" t="str">
        <f>'ALL ML SYSTEMS'!E144</f>
        <v>Industry</v>
      </c>
      <c r="F144" s="323" t="str">
        <f>'ALL ML SYSTEMS'!F144</f>
        <v>M Shoeybi, M Patwary, R Puri, P LeGresley</v>
      </c>
      <c r="G144" s="324">
        <f>'ALL ML SYSTEMS'!G144</f>
        <v>43725</v>
      </c>
      <c r="H144" s="329">
        <f>'ALL ML SYSTEMS'!H144</f>
        <v>3725</v>
      </c>
      <c r="I144" s="323" t="str">
        <f>'ALL ML SYSTEMS'!I144</f>
        <v>Megatron-LM: Training Multi-Billion Parameter Language Models Using Model Parallelism</v>
      </c>
      <c r="J144" s="334" t="str">
        <f>'ALL ML SYSTEMS'!J144</f>
        <v>https://arxiv.org/abs/1909.08053</v>
      </c>
      <c r="K144" s="335">
        <f>'ALL ML SYSTEMS'!K144</f>
        <v>557</v>
      </c>
      <c r="L144" s="323">
        <f>'ALL ML SYSTEMS'!L144</f>
        <v>0</v>
      </c>
      <c r="M144" s="335" t="str">
        <f>'ALL ML SYSTEMS'!M144</f>
        <v>No</v>
      </c>
      <c r="N144" s="335">
        <f>'ALL ML SYSTEMS'!N144</f>
        <v>8300000000</v>
      </c>
      <c r="O144" s="335">
        <f>'ALL ML SYSTEMS'!O144</f>
        <v>9.1e+21</v>
      </c>
      <c r="P144" s="336">
        <f>'ALL ML SYSTEMS'!P144</f>
        <v>0</v>
      </c>
      <c r="Q144" s="335">
        <f>'ALL ML SYSTEMS'!Q144</f>
        <v>34800000000</v>
      </c>
      <c r="R144" s="323">
        <f>'ALL ML SYSTEMS'!R144</f>
        <v>0</v>
      </c>
      <c r="S144" s="335">
        <f>'ALL ML SYSTEMS'!S144</f>
        <v>18000000000000</v>
      </c>
      <c r="T144" s="323">
        <f>'ALL ML SYSTEMS'!T144</f>
        <v>0</v>
      </c>
      <c r="U144" s="323">
        <f>'ALL ML SYSTEMS'!U144</f>
        <v>0</v>
      </c>
      <c r="V144" s="323">
        <f>'ALL ML SYSTEMS'!V144</f>
        <v>0</v>
      </c>
      <c r="W144" s="323">
        <f>'ALL ML SYSTEMS'!W144</f>
        <v>0</v>
      </c>
      <c r="X144" s="323">
        <f>'ALL ML SYSTEMS'!X144</f>
        <v>0</v>
      </c>
      <c r="Y144" s="323">
        <f>'ALL ML SYSTEMS'!Y144</f>
        <v>0</v>
      </c>
      <c r="Z144" s="323">
        <f>'ALL ML SYSTEMS'!Z144</f>
        <v>0</v>
      </c>
      <c r="AA144" s="340">
        <f>'ALL ML SYSTEMS'!AA144</f>
        <v>33212.5084740213</v>
      </c>
      <c r="AB144" s="323"/>
      <c r="AC144" s="323" t="str">
        <f>'ALL ML SYSTEMS'!AB144</f>
        <v>Yes</v>
      </c>
      <c r="AD144" s="323">
        <f>'ALL ML SYSTEMS'!AC144</f>
        <v>0</v>
      </c>
    </row>
    <row r="145" hidden="1" customHeight="1" spans="1:30">
      <c r="A145" s="325" t="str">
        <f>'ALL ML SYSTEMS'!A145</f>
        <v>FTW</v>
      </c>
      <c r="B145" s="325" t="str">
        <f>'ALL ML SYSTEMS'!B145</f>
        <v>Games</v>
      </c>
      <c r="C145" s="325" t="str">
        <f>'ALL ML SYSTEMS'!C145</f>
        <v>Capture the flag</v>
      </c>
      <c r="D145" s="325" t="str">
        <f>'ALL ML SYSTEMS'!D145</f>
        <v>DeepMind</v>
      </c>
      <c r="E145" s="325" t="str">
        <f>'ALL ML SYSTEMS'!E145</f>
        <v>Industry</v>
      </c>
      <c r="F145" s="325" t="str">
        <f>'ALL ML SYSTEMS'!F145</f>
        <v>M Jaderberg, WM Czarnecki, I Dunning, L Marris</v>
      </c>
      <c r="G145" s="326">
        <f>'ALL ML SYSTEMS'!G145</f>
        <v>43616</v>
      </c>
      <c r="H145" s="327">
        <f>'ALL ML SYSTEMS'!H145</f>
        <v>3616</v>
      </c>
      <c r="I145" s="325" t="str">
        <f>'ALL ML SYSTEMS'!I145</f>
        <v>Human-level performance in 3D multiplayer games with population-based reinforcement learning</v>
      </c>
      <c r="J145" s="337" t="str">
        <f>'ALL ML SYSTEMS'!J145</f>
        <v>https://deepmind.com/research/publications/capture-the-flag</v>
      </c>
      <c r="K145" s="338">
        <f>'ALL ML SYSTEMS'!K145</f>
        <v>425</v>
      </c>
      <c r="L145" s="325">
        <f>'ALL ML SYSTEMS'!L145</f>
        <v>0</v>
      </c>
      <c r="M145" s="338" t="str">
        <f>'ALL ML SYSTEMS'!M145</f>
        <v>No</v>
      </c>
      <c r="N145" s="338">
        <f>'ALL ML SYSTEMS'!N145</f>
        <v>126001330</v>
      </c>
      <c r="O145" s="338">
        <f>'ALL ML SYSTEMS'!O145</f>
        <v>7.26e+21</v>
      </c>
      <c r="P145" s="339">
        <f>'ALL ML SYSTEMS'!P145</f>
        <v>0</v>
      </c>
      <c r="Q145" s="338">
        <f>'ALL ML SYSTEMS'!Q145</f>
        <v>0</v>
      </c>
      <c r="R145" s="325">
        <f>'ALL ML SYSTEMS'!R145</f>
        <v>0</v>
      </c>
      <c r="S145" s="338">
        <f>'ALL ML SYSTEMS'!S145</f>
        <v>1210000000000</v>
      </c>
      <c r="T145" s="325">
        <f>'ALL ML SYSTEMS'!T145</f>
        <v>0</v>
      </c>
      <c r="U145" s="325">
        <f>'ALL ML SYSTEMS'!U145</f>
        <v>0</v>
      </c>
      <c r="V145" s="325">
        <f>'ALL ML SYSTEMS'!V145</f>
        <v>0</v>
      </c>
      <c r="W145" s="325">
        <f>'ALL ML SYSTEMS'!W145</f>
        <v>0</v>
      </c>
      <c r="X145" s="325">
        <f>'ALL ML SYSTEMS'!X145</f>
        <v>0</v>
      </c>
      <c r="Y145" s="325">
        <f>'ALL ML SYSTEMS'!Y145</f>
        <v>0</v>
      </c>
      <c r="Z145" s="325">
        <f>'ALL ML SYSTEMS'!Z145</f>
        <v>0</v>
      </c>
      <c r="AA145" s="341">
        <f>'ALL ML SYSTEMS'!AA145</f>
        <v>21045.016545808</v>
      </c>
      <c r="AB145" s="325"/>
      <c r="AC145" s="325" t="str">
        <f>'ALL ML SYSTEMS'!AB145</f>
        <v>Yes</v>
      </c>
      <c r="AD145" s="325">
        <f>'ALL ML SYSTEMS'!AC145</f>
        <v>0</v>
      </c>
    </row>
    <row r="146" customHeight="1" spans="1:30">
      <c r="A146" s="323" t="str">
        <f>'ALL ML SYSTEMS'!A146</f>
        <v>MnasNet-A1 + SSDLite</v>
      </c>
      <c r="B146" s="323" t="str">
        <f>'ALL ML SYSTEMS'!B146</f>
        <v>Vision</v>
      </c>
      <c r="C146" s="323" t="str">
        <f>'ALL ML SYSTEMS'!C146</f>
        <v>Performing image classification and object detection on mobile devices</v>
      </c>
      <c r="D146" s="323" t="str">
        <f>'ALL ML SYSTEMS'!D146</f>
        <v>Google </v>
      </c>
      <c r="E146" s="323" t="str">
        <f>'ALL ML SYSTEMS'!E146</f>
        <v>Industry</v>
      </c>
      <c r="F146" s="323" t="str">
        <f>'ALL ML SYSTEMS'!F146</f>
        <v>Mingxing Tan, Bo Chen, Ruoming Pang, Vijay Vasudevan, Mark Sandler, Andrew Howard, Quoc V. Le</v>
      </c>
      <c r="G146" s="324">
        <f>'ALL ML SYSTEMS'!G146</f>
        <v>43614</v>
      </c>
      <c r="H146" s="329">
        <f>'ALL ML SYSTEMS'!H146</f>
        <v>3614</v>
      </c>
      <c r="I146" s="323" t="str">
        <f>'ALL ML SYSTEMS'!I146</f>
        <v>MnasNet: Platform-Aware Neural Architecture Search for Mobile</v>
      </c>
      <c r="J146" s="334" t="str">
        <f>'ALL ML SYSTEMS'!J146</f>
        <v>https://arxiv.org/abs/1807.11626</v>
      </c>
      <c r="K146" s="335">
        <f>'ALL ML SYSTEMS'!K146</f>
        <v>1429</v>
      </c>
      <c r="L146" s="323" t="str">
        <f>'ALL ML SYSTEMS'!L146</f>
        <v>Highly cited</v>
      </c>
      <c r="M146" s="335" t="str">
        <f>'ALL ML SYSTEMS'!M146</f>
        <v>Yes</v>
      </c>
      <c r="N146" s="335">
        <f>'ALL ML SYSTEMS'!N146</f>
        <v>4900000</v>
      </c>
      <c r="O146" s="335">
        <f>'ALL ML SYSTEMS'!O146</f>
        <v>1.5e+21</v>
      </c>
      <c r="P146" s="336" t="str">
        <f>'ALL ML SYSTEMS'!P146</f>
        <v>MS COCO</v>
      </c>
      <c r="Q146" s="335">
        <f>'ALL ML SYSTEMS'!Q146</f>
        <v>118000</v>
      </c>
      <c r="R146" s="323">
        <f>'ALL ML SYSTEMS'!R146</f>
        <v>0</v>
      </c>
      <c r="S146" s="335">
        <f>'ALL ML SYSTEMS'!S146</f>
        <v>0</v>
      </c>
      <c r="T146" s="323">
        <f>'ALL ML SYSTEMS'!T146</f>
        <v>0</v>
      </c>
      <c r="U146" s="323">
        <f>'ALL ML SYSTEMS'!U146</f>
        <v>0</v>
      </c>
      <c r="V146" s="323">
        <f>'ALL ML SYSTEMS'!V146</f>
        <v>0</v>
      </c>
      <c r="W146" s="323">
        <f>'ALL ML SYSTEMS'!W146</f>
        <v>0</v>
      </c>
      <c r="X146" s="323">
        <f>'ALL ML SYSTEMS'!X146</f>
        <v>0</v>
      </c>
      <c r="Y146" s="323">
        <f>'ALL ML SYSTEMS'!Y146</f>
        <v>0</v>
      </c>
      <c r="Z146" s="323">
        <f>'ALL ML SYSTEMS'!Z146</f>
        <v>0</v>
      </c>
      <c r="AA146" s="340">
        <f>'ALL ML SYSTEMS'!AA146</f>
        <v>4330.99721777198</v>
      </c>
      <c r="AB146" s="323">
        <f>'ALL ML SYSTEMS'!AB146</f>
        <v>0</v>
      </c>
      <c r="AC146" s="323">
        <f>'ALL ML SYSTEMS'!AC146</f>
        <v>0</v>
      </c>
      <c r="AD146" s="323" t="str">
        <f>'ALL ML SYSTEMS'!AD146</f>
        <v>Industry</v>
      </c>
    </row>
    <row r="147" customHeight="1" spans="1:30">
      <c r="A147" s="325" t="str">
        <f>'ALL ML SYSTEMS'!A147</f>
        <v>MnasNet-A3</v>
      </c>
      <c r="B147" s="325" t="str">
        <f>'ALL ML SYSTEMS'!B147</f>
        <v>Vision</v>
      </c>
      <c r="C147" s="325" t="str">
        <f>'ALL ML SYSTEMS'!C147</f>
        <v>Performing image classification and object detection on mobile devices</v>
      </c>
      <c r="D147" s="325" t="str">
        <f>'ALL ML SYSTEMS'!D147</f>
        <v>Google </v>
      </c>
      <c r="E147" s="325" t="str">
        <f>'ALL ML SYSTEMS'!E147</f>
        <v>Industry</v>
      </c>
      <c r="F147" s="325" t="str">
        <f>'ALL ML SYSTEMS'!F147</f>
        <v>Mingxing Tan, Bo Chen, Ruoming Pang, Vijay Vasudevan, Mark Sandler, Andrew Howard, Quoc V. Le</v>
      </c>
      <c r="G147" s="326">
        <f>'ALL ML SYSTEMS'!G147</f>
        <v>43614</v>
      </c>
      <c r="H147" s="327">
        <f>'ALL ML SYSTEMS'!H147</f>
        <v>3614</v>
      </c>
      <c r="I147" s="325" t="str">
        <f>'ALL ML SYSTEMS'!I147</f>
        <v>MnasNet: Platform-Aware Neural Architecture Search for Mobile</v>
      </c>
      <c r="J147" s="337" t="str">
        <f>'ALL ML SYSTEMS'!J147</f>
        <v>https://arxiv.org/abs/1807.11626</v>
      </c>
      <c r="K147" s="338">
        <f>'ALL ML SYSTEMS'!K147</f>
        <v>1429</v>
      </c>
      <c r="L147" s="325" t="str">
        <f>'ALL ML SYSTEMS'!L147</f>
        <v>Highly cited</v>
      </c>
      <c r="M147" s="338" t="str">
        <f>'ALL ML SYSTEMS'!M147</f>
        <v>Yes</v>
      </c>
      <c r="N147" s="338">
        <f>'ALL ML SYSTEMS'!N147</f>
        <v>5200000</v>
      </c>
      <c r="O147" s="338">
        <f>'ALL ML SYSTEMS'!O147</f>
        <v>1.5e+21</v>
      </c>
      <c r="P147" s="339" t="str">
        <f>'ALL ML SYSTEMS'!P147</f>
        <v>ImageNet</v>
      </c>
      <c r="Q147" s="338">
        <f>'ALL ML SYSTEMS'!Q147</f>
        <v>1280000</v>
      </c>
      <c r="R147" s="325">
        <f>'ALL ML SYSTEMS'!R147</f>
        <v>0</v>
      </c>
      <c r="S147" s="338">
        <f>'ALL ML SYSTEMS'!S147</f>
        <v>0</v>
      </c>
      <c r="T147" s="325">
        <f>'ALL ML SYSTEMS'!T147</f>
        <v>0</v>
      </c>
      <c r="U147" s="325">
        <f>'ALL ML SYSTEMS'!U147</f>
        <v>0</v>
      </c>
      <c r="V147" s="325">
        <f>'ALL ML SYSTEMS'!V147</f>
        <v>0</v>
      </c>
      <c r="W147" s="325">
        <f>'ALL ML SYSTEMS'!W147</f>
        <v>0</v>
      </c>
      <c r="X147" s="325">
        <f>'ALL ML SYSTEMS'!X147</f>
        <v>0</v>
      </c>
      <c r="Y147" s="325">
        <f>'ALL ML SYSTEMS'!Y147</f>
        <v>0</v>
      </c>
      <c r="Z147" s="325">
        <f>'ALL ML SYSTEMS'!Z147</f>
        <v>0</v>
      </c>
      <c r="AA147" s="341">
        <f>'ALL ML SYSTEMS'!AA147</f>
        <v>4330.99721777198</v>
      </c>
      <c r="AB147" s="325">
        <f>'ALL ML SYSTEMS'!AB147</f>
        <v>0</v>
      </c>
      <c r="AC147" s="325">
        <f>'ALL ML SYSTEMS'!AC147</f>
        <v>0</v>
      </c>
      <c r="AD147" s="325" t="str">
        <f>'ALL ML SYSTEMS'!AD147</f>
        <v>Industry</v>
      </c>
    </row>
    <row r="148" customHeight="1" spans="1:30">
      <c r="A148" s="323" t="str">
        <f>'ALL ML SYSTEMS'!A148</f>
        <v>GPT-2</v>
      </c>
      <c r="B148" s="323" t="str">
        <f>'ALL ML SYSTEMS'!B148</f>
        <v>Language</v>
      </c>
      <c r="C148" s="323">
        <f>'ALL ML SYSTEMS'!C148</f>
        <v>0</v>
      </c>
      <c r="D148" s="323" t="str">
        <f>'ALL ML SYSTEMS'!D148</f>
        <v>OpenAI</v>
      </c>
      <c r="E148" s="323" t="str">
        <f>'ALL ML SYSTEMS'!E148</f>
        <v>Industry</v>
      </c>
      <c r="F148" s="323" t="str">
        <f>'ALL ML SYSTEMS'!F148</f>
        <v>A Radford, J Wu, R Child, D Luan, D Amodei</v>
      </c>
      <c r="G148" s="324">
        <f>'ALL ML SYSTEMS'!G148</f>
        <v>43510</v>
      </c>
      <c r="H148" s="329">
        <f>'ALL ML SYSTEMS'!H148</f>
        <v>3510</v>
      </c>
      <c r="I148" s="323" t="str">
        <f>'ALL ML SYSTEMS'!I148</f>
        <v>Language Models are Unsupervised Multitask Learners</v>
      </c>
      <c r="J148" s="334" t="str">
        <f>'ALL ML SYSTEMS'!J148</f>
        <v>https://openai.com/blog/better-language-models/</v>
      </c>
      <c r="K148" s="335">
        <f>'ALL ML SYSTEMS'!K148</f>
        <v>1701</v>
      </c>
      <c r="L148" s="323" t="str">
        <f>'ALL ML SYSTEMS'!L148</f>
        <v>Highly cited</v>
      </c>
      <c r="M148" s="335" t="str">
        <f>'ALL ML SYSTEMS'!M148</f>
        <v>Yes</v>
      </c>
      <c r="N148" s="335">
        <f>'ALL ML SYSTEMS'!N148</f>
        <v>1500000000</v>
      </c>
      <c r="O148" s="335">
        <f>'ALL ML SYSTEMS'!O148</f>
        <v>1.494140625e+21</v>
      </c>
      <c r="P148" s="336">
        <f>'ALL ML SYSTEMS'!P148</f>
        <v>0</v>
      </c>
      <c r="Q148" s="335">
        <f>'ALL ML SYSTEMS'!Q148</f>
        <v>3000000000</v>
      </c>
      <c r="R148" s="323">
        <f>'ALL ML SYSTEMS'!R148</f>
        <v>0</v>
      </c>
      <c r="S148" s="335">
        <f>'ALL ML SYSTEMS'!S148</f>
        <v>3400000000000</v>
      </c>
      <c r="T148" s="323">
        <f>'ALL ML SYSTEMS'!T148</f>
        <v>0</v>
      </c>
      <c r="U148" s="323">
        <f>'ALL ML SYSTEMS'!U148</f>
        <v>0</v>
      </c>
      <c r="V148" s="323">
        <f>'ALL ML SYSTEMS'!V148</f>
        <v>0</v>
      </c>
      <c r="W148" s="323">
        <f>'ALL ML SYSTEMS'!W148</f>
        <v>40</v>
      </c>
      <c r="X148" s="323">
        <f>'ALL ML SYSTEMS'!X148</f>
        <v>0</v>
      </c>
      <c r="Y148" s="323">
        <f>'ALL ML SYSTEMS'!Y148</f>
        <v>0</v>
      </c>
      <c r="Z148" s="323">
        <f>'ALL ML SYSTEMS'!Z148</f>
        <v>0</v>
      </c>
      <c r="AA148" s="340">
        <f>'ALL ML SYSTEMS'!AA148</f>
        <v>4692.88689188115</v>
      </c>
      <c r="AB148" s="323" t="str">
        <f>'ALL ML SYSTEMS'!AB148</f>
        <v>Yes</v>
      </c>
      <c r="AC148" s="323">
        <f>'ALL ML SYSTEMS'!AC148</f>
        <v>0</v>
      </c>
      <c r="AD148" s="323" t="str">
        <f>'ALL ML SYSTEMS'!AD148</f>
        <v>Industry</v>
      </c>
    </row>
    <row r="149" hidden="1" customHeight="1" spans="1:30">
      <c r="A149" s="325" t="str">
        <f>'ALL ML SYSTEMS'!A149</f>
        <v>Rubik's cube</v>
      </c>
      <c r="B149" s="325" t="str">
        <f>'ALL ML SYSTEMS'!B149</f>
        <v>Robotics</v>
      </c>
      <c r="C149" s="325">
        <f>'ALL ML SYSTEMS'!C149</f>
        <v>0</v>
      </c>
      <c r="D149" s="325" t="str">
        <f>'ALL ML SYSTEMS'!D149</f>
        <v>Open AI</v>
      </c>
      <c r="E149" s="325" t="str">
        <f>'ALL ML SYSTEMS'!E149</f>
        <v>Industry</v>
      </c>
      <c r="F149" s="325" t="str">
        <f>'ALL ML SYSTEMS'!F149</f>
        <v>Ilge Akkaya, Marcin Andrychowicz, Maciek Chociej, Mateusz Litwin, Bob McGrew, Arthur Petron, Alex Paino, Matthias Plappert, Glenn Powell, Raphael Ribas, Jonas Schneider, Nikolas Tezak, Jerry Tworek, Peter Welinder, Lilian Weng, Qiming Yuan, Wojciech Zaremba, Lei Zhang
</v>
      </c>
      <c r="G149" s="326">
        <f>'ALL ML SYSTEMS'!G149</f>
        <v>43753</v>
      </c>
      <c r="H149" s="327">
        <f>'ALL ML SYSTEMS'!H149</f>
        <v>3753</v>
      </c>
      <c r="I149" s="325" t="str">
        <f>'ALL ML SYSTEMS'!I149</f>
        <v>Solving Rubik’s Cube with a Robot Hand</v>
      </c>
      <c r="J149" s="337" t="str">
        <f>'ALL ML SYSTEMS'!J149</f>
        <v>https://arxiv.org/abs/1910.07113</v>
      </c>
      <c r="K149" s="338">
        <f>'ALL ML SYSTEMS'!K149</f>
        <v>518</v>
      </c>
      <c r="L149" s="325">
        <f>'ALL ML SYSTEMS'!L149</f>
        <v>0</v>
      </c>
      <c r="M149" s="338" t="str">
        <f>'ALL ML SYSTEMS'!M149</f>
        <v>No</v>
      </c>
      <c r="N149" s="338">
        <f>'ALL ML SYSTEMS'!N149</f>
        <v>27769565</v>
      </c>
      <c r="O149" s="338">
        <f>'ALL ML SYSTEMS'!O149</f>
        <v>8.54e+20</v>
      </c>
      <c r="P149" s="339">
        <f>'ALL ML SYSTEMS'!P149</f>
        <v>0</v>
      </c>
      <c r="Q149" s="338">
        <f>'ALL ML SYSTEMS'!Q149</f>
        <v>62400000</v>
      </c>
      <c r="R149" s="325">
        <f>'ALL ML SYSTEMS'!R149</f>
        <v>0</v>
      </c>
      <c r="S149" s="338">
        <f>'ALL ML SYSTEMS'!S149</f>
        <v>0</v>
      </c>
      <c r="T149" s="325">
        <f>'ALL ML SYSTEMS'!T149</f>
        <v>0</v>
      </c>
      <c r="U149" s="325">
        <f>'ALL ML SYSTEMS'!U149</f>
        <v>0</v>
      </c>
      <c r="V149" s="325">
        <f>'ALL ML SYSTEMS'!V149</f>
        <v>0</v>
      </c>
      <c r="W149" s="325">
        <f>'ALL ML SYSTEMS'!W149</f>
        <v>0</v>
      </c>
      <c r="X149" s="325">
        <f>'ALL ML SYSTEMS'!X149</f>
        <v>0</v>
      </c>
      <c r="Y149" s="325">
        <f>'ALL ML SYSTEMS'!Y149</f>
        <v>0</v>
      </c>
      <c r="Z149" s="325">
        <f>'ALL ML SYSTEMS'!Z149</f>
        <v>0</v>
      </c>
      <c r="AA149" s="341">
        <f>'ALL ML SYSTEMS'!AA149</f>
        <v>3102.26727504595</v>
      </c>
      <c r="AB149" s="325"/>
      <c r="AC149" s="325">
        <f>'ALL ML SYSTEMS'!AB149</f>
        <v>0</v>
      </c>
      <c r="AD149" s="325">
        <f>'ALL ML SYSTEMS'!AC149</f>
        <v>0</v>
      </c>
    </row>
    <row r="150" customHeight="1" spans="1:30">
      <c r="A150" s="323" t="str">
        <f>'ALL ML SYSTEMS'!A150</f>
        <v>MuZero</v>
      </c>
      <c r="B150" s="323" t="str">
        <f>'ALL ML SYSTEMS'!B150</f>
        <v>Games</v>
      </c>
      <c r="C150" s="323" t="str">
        <f>'ALL ML SYSTEMS'!C150</f>
        <v>Atari Games</v>
      </c>
      <c r="D150" s="323" t="str">
        <f>'ALL ML SYSTEMS'!D150</f>
        <v>DeepMind</v>
      </c>
      <c r="E150" s="323" t="str">
        <f>'ALL ML SYSTEMS'!E150</f>
        <v>Industry</v>
      </c>
      <c r="F150" s="323" t="str">
        <f>'ALL ML SYSTEMS'!F150</f>
        <v>J Schrittwieser, I Antonoglou, T Hubert, K Simonyan</v>
      </c>
      <c r="G150" s="324">
        <f>'ALL ML SYSTEMS'!G150</f>
        <v>43788</v>
      </c>
      <c r="H150" s="329">
        <f>'ALL ML SYSTEMS'!H150</f>
        <v>3788</v>
      </c>
      <c r="I150" s="323" t="str">
        <f>'ALL ML SYSTEMS'!I150</f>
        <v>Mastering Atari Go Chess and Shogi by Planning with a Learned Model</v>
      </c>
      <c r="J150" s="334" t="str">
        <f>'ALL ML SYSTEMS'!J150</f>
        <v>https://arxiv.org/abs/1911.08265v2</v>
      </c>
      <c r="K150" s="335">
        <f>'ALL ML SYSTEMS'!K150</f>
        <v>412</v>
      </c>
      <c r="L150" s="323" t="str">
        <f>'ALL ML SYSTEMS'!L150</f>
        <v>SOTA improvement</v>
      </c>
      <c r="M150" s="335" t="str">
        <f>'ALL ML SYSTEMS'!M150</f>
        <v>Yes</v>
      </c>
      <c r="N150" s="335">
        <f>'ALL ML SYSTEMS'!N150</f>
        <v>36864000</v>
      </c>
      <c r="O150" s="335">
        <f>'ALL ML SYSTEMS'!O150</f>
        <v>4.8e+19</v>
      </c>
      <c r="P150" s="336">
        <f>'ALL ML SYSTEMS'!P150</f>
        <v>0</v>
      </c>
      <c r="Q150" s="335">
        <f>'ALL ML SYSTEMS'!Q150</f>
        <v>20000000000</v>
      </c>
      <c r="R150" s="323">
        <f>'ALL ML SYSTEMS'!R150</f>
        <v>0</v>
      </c>
      <c r="S150" s="335">
        <f>'ALL ML SYSTEMS'!S150</f>
        <v>0</v>
      </c>
      <c r="T150" s="323">
        <f>'ALL ML SYSTEMS'!T150</f>
        <v>0</v>
      </c>
      <c r="U150" s="323">
        <f>'ALL ML SYSTEMS'!U150</f>
        <v>0</v>
      </c>
      <c r="V150" s="323">
        <f>'ALL ML SYSTEMS'!V150</f>
        <v>0</v>
      </c>
      <c r="W150" s="323">
        <f>'ALL ML SYSTEMS'!W150</f>
        <v>0</v>
      </c>
      <c r="X150" s="323">
        <f>'ALL ML SYSTEMS'!X150</f>
        <v>0</v>
      </c>
      <c r="Y150" s="323">
        <f>'ALL ML SYSTEMS'!Y150</f>
        <v>0</v>
      </c>
      <c r="Z150" s="323">
        <f>'ALL ML SYSTEMS'!Z150</f>
        <v>0</v>
      </c>
      <c r="AA150" s="340">
        <f>'ALL ML SYSTEMS'!AA150</f>
        <v>121.179038227546</v>
      </c>
      <c r="AB150" s="323" t="str">
        <f>'ALL ML SYSTEMS'!AB150</f>
        <v>Yes</v>
      </c>
      <c r="AC150" s="323">
        <f>'ALL ML SYSTEMS'!AC150</f>
        <v>0</v>
      </c>
      <c r="AD150" s="323" t="str">
        <f>'ALL ML SYSTEMS'!AD150</f>
        <v>Industry</v>
      </c>
    </row>
    <row r="151" hidden="1" customHeight="1" spans="1:30">
      <c r="A151" s="325" t="str">
        <f>'ALL ML SYSTEMS'!A151</f>
        <v>ProxylessNAS</v>
      </c>
      <c r="B151" s="325" t="str">
        <f>'ALL ML SYSTEMS'!B151</f>
        <v>Vision</v>
      </c>
      <c r="C151" s="325">
        <f>'ALL ML SYSTEMS'!C151</f>
        <v>0</v>
      </c>
      <c r="D151" s="325" t="str">
        <f>'ALL ML SYSTEMS'!D151</f>
        <v>MIT</v>
      </c>
      <c r="E151" s="325" t="str">
        <f>'ALL ML SYSTEMS'!E151</f>
        <v>Academia</v>
      </c>
      <c r="F151" s="325" t="str">
        <f>'ALL ML SYSTEMS'!F151</f>
        <v>Han Cai, Ligeng Zhu, and Song Han</v>
      </c>
      <c r="G151" s="326">
        <f>'ALL ML SYSTEMS'!G151</f>
        <v>43519</v>
      </c>
      <c r="H151" s="327">
        <f>'ALL ML SYSTEMS'!H151</f>
        <v>3519</v>
      </c>
      <c r="I151" s="325" t="str">
        <f>'ALL ML SYSTEMS'!I151</f>
        <v>ProxylessNAS: Direct neural architecture search on target task and hardware</v>
      </c>
      <c r="J151" s="337" t="str">
        <f>'ALL ML SYSTEMS'!J151</f>
        <v>https://arxiv.org/abs/1812.00332</v>
      </c>
      <c r="K151" s="338">
        <f>'ALL ML SYSTEMS'!K151</f>
        <v>996</v>
      </c>
      <c r="L151" s="325">
        <f>'ALL ML SYSTEMS'!L151</f>
        <v>0</v>
      </c>
      <c r="M151" s="338" t="str">
        <f>'ALL ML SYSTEMS'!M151</f>
        <v>No</v>
      </c>
      <c r="N151" s="338">
        <f>'ALL ML SYSTEMS'!N151</f>
        <v>0</v>
      </c>
      <c r="O151" s="338">
        <f>'ALL ML SYSTEMS'!O151</f>
        <v>3.70656e+19</v>
      </c>
      <c r="P151" s="339" t="str">
        <f>'ALL ML SYSTEMS'!P151</f>
        <v>ImageNet</v>
      </c>
      <c r="Q151" s="338">
        <f>'ALL ML SYSTEMS'!Q151</f>
        <v>1280000</v>
      </c>
      <c r="R151" s="325">
        <f>'ALL ML SYSTEMS'!R151</f>
        <v>0</v>
      </c>
      <c r="S151" s="338">
        <f>'ALL ML SYSTEMS'!S151</f>
        <v>262548000000</v>
      </c>
      <c r="T151" s="325">
        <f>'ALL ML SYSTEMS'!T151</f>
        <v>0</v>
      </c>
      <c r="U151" s="325">
        <f>'ALL ML SYSTEMS'!U151</f>
        <v>200</v>
      </c>
      <c r="V151" s="325">
        <f>'ALL ML SYSTEMS'!V151</f>
        <v>5.1</v>
      </c>
      <c r="W151" s="325">
        <f>'ALL ML SYSTEMS'!W151</f>
        <v>0</v>
      </c>
      <c r="X151" s="325">
        <f>'ALL ML SYSTEMS'!X151</f>
        <v>0</v>
      </c>
      <c r="Y151" s="325">
        <f>'ALL ML SYSTEMS'!Y151</f>
        <v>0</v>
      </c>
      <c r="Z151" s="325">
        <f>'ALL ML SYSTEMS'!Z151</f>
        <v>0</v>
      </c>
      <c r="AA151" s="341">
        <f>'ALL ML SYSTEMS'!AA151</f>
        <v>135.039869619647</v>
      </c>
      <c r="AB151" s="325"/>
      <c r="AC151" s="325">
        <f>'ALL ML SYSTEMS'!AB151</f>
        <v>0</v>
      </c>
      <c r="AD151" s="325">
        <f>'ALL ML SYSTEMS'!AC151</f>
        <v>0</v>
      </c>
    </row>
    <row r="152" customHeight="1" spans="1:30">
      <c r="A152" s="323" t="str">
        <f>'ALL ML SYSTEMS'!A152</f>
        <v>ObjectNet</v>
      </c>
      <c r="B152" s="323" t="str">
        <f>'ALL ML SYSTEMS'!B152</f>
        <v>Vision</v>
      </c>
      <c r="C152" s="323" t="str">
        <f>'ALL ML SYSTEMS'!C152</f>
        <v>Object recognition</v>
      </c>
      <c r="D152" s="323" t="str">
        <f>'ALL ML SYSTEMS'!D152</f>
        <v>MIT</v>
      </c>
      <c r="E152" s="323" t="str">
        <f>'ALL ML SYSTEMS'!E152</f>
        <v>Academia</v>
      </c>
      <c r="F152" s="323" t="str">
        <f>'ALL ML SYSTEMS'!F152</f>
        <v>Andrei Barbu, David Mayo, Julian Alverio, William Luo, Christopher Wang, Dan Gutfre- und, Josh Tenenbaum, and Boris Katz</v>
      </c>
      <c r="G152" s="324">
        <f>'ALL ML SYSTEMS'!G152</f>
        <v>43714</v>
      </c>
      <c r="H152" s="329">
        <f>'ALL ML SYSTEMS'!H152</f>
        <v>3714</v>
      </c>
      <c r="I152" s="323" t="str">
        <f>'ALL ML SYSTEMS'!I152</f>
        <v>Objectnet: A large-scale bias-controlled dataset for pushing the limits of object recognition models</v>
      </c>
      <c r="J152" s="334" t="str">
        <f>'ALL ML SYSTEMS'!J152</f>
        <v>https://papers.nips.cc/paper/2019/file/97af07a14cacba681feacf3012730892-Paper.pdf</v>
      </c>
      <c r="K152" s="335">
        <f>'ALL ML SYSTEMS'!K152</f>
        <v>2393</v>
      </c>
      <c r="L152" s="323" t="str">
        <f>'ALL ML SYSTEMS'!L152</f>
        <v>Highly cited</v>
      </c>
      <c r="M152" s="335" t="str">
        <f>'ALL ML SYSTEMS'!M152</f>
        <v>Yes</v>
      </c>
      <c r="N152" s="335">
        <f>'ALL ML SYSTEMS'!N152</f>
        <v>38000000</v>
      </c>
      <c r="O152" s="335">
        <f>'ALL ML SYSTEMS'!O152</f>
        <v>1.94e+19</v>
      </c>
      <c r="P152" s="336" t="str">
        <f>'ALL ML SYSTEMS'!P152</f>
        <v>Internal data</v>
      </c>
      <c r="Q152" s="335">
        <f>'ALL ML SYSTEMS'!Q152</f>
        <v>50000</v>
      </c>
      <c r="R152" s="323">
        <f>'ALL ML SYSTEMS'!R152</f>
        <v>0</v>
      </c>
      <c r="S152" s="335">
        <f>'ALL ML SYSTEMS'!S152</f>
        <v>0</v>
      </c>
      <c r="T152" s="323">
        <f>'ALL ML SYSTEMS'!T152</f>
        <v>0</v>
      </c>
      <c r="U152" s="323">
        <f>'ALL ML SYSTEMS'!U152</f>
        <v>108</v>
      </c>
      <c r="V152" s="323">
        <f>'ALL ML SYSTEMS'!V152</f>
        <v>0</v>
      </c>
      <c r="W152" s="323">
        <f>'ALL ML SYSTEMS'!W152</f>
        <v>0</v>
      </c>
      <c r="X152" s="323">
        <f>'ALL ML SYSTEMS'!X152</f>
        <v>0</v>
      </c>
      <c r="Y152" s="323">
        <f>'ALL ML SYSTEMS'!Y152</f>
        <v>0</v>
      </c>
      <c r="Z152" s="323">
        <f>'ALL ML SYSTEMS'!Z152</f>
        <v>0</v>
      </c>
      <c r="AA152" s="340">
        <f>'ALL ML SYSTEMS'!AA152</f>
        <v>50.7853597195102</v>
      </c>
      <c r="AB152" s="323">
        <f>'ALL ML SYSTEMS'!AB152</f>
        <v>0</v>
      </c>
      <c r="AC152" s="323">
        <f>'ALL ML SYSTEMS'!AC152</f>
        <v>0</v>
      </c>
      <c r="AD152" s="323" t="str">
        <f>'ALL ML SYSTEMS'!AD152</f>
        <v>Academia</v>
      </c>
    </row>
    <row r="153" hidden="1" customHeight="1" spans="1:30">
      <c r="A153" s="325" t="str">
        <f>'ALL ML SYSTEMS'!A153</f>
        <v>AlphaX-1</v>
      </c>
      <c r="B153" s="325" t="str">
        <f>'ALL ML SYSTEMS'!B153</f>
        <v>Vision</v>
      </c>
      <c r="C153" s="325" t="str">
        <f>'ALL ML SYSTEMS'!C153</f>
        <v>Neural architecture search for computer vision</v>
      </c>
      <c r="D153" s="325" t="str">
        <f>'ALL ML SYSTEMS'!D153</f>
        <v>Brown and Facebook AI Research</v>
      </c>
      <c r="E153" s="325" t="str">
        <f>'ALL ML SYSTEMS'!E153</f>
        <v>Industry - Academia Collaboration (Academia leaning)</v>
      </c>
      <c r="F153" s="325" t="str">
        <f>'ALL ML SYSTEMS'!F153</f>
        <v>Linnan Wang, Yiyang Zhao, Yuu Jinnai, Yuandong Tian, Rodrigo Fonseca1</v>
      </c>
      <c r="G153" s="326">
        <f>'ALL ML SYSTEMS'!G153</f>
        <v>43740</v>
      </c>
      <c r="H153" s="327">
        <f>'ALL ML SYSTEMS'!H153</f>
        <v>3740</v>
      </c>
      <c r="I153" s="325" t="str">
        <f>'ALL ML SYSTEMS'!I153</f>
        <v>AlphaX: eXploring Neural Architectures with Deep Neural Networks and Monte Carlo Tree Search</v>
      </c>
      <c r="J153" s="337" t="str">
        <f>'ALL ML SYSTEMS'!J153</f>
        <v>https://arxiv.org/abs/1903.11059</v>
      </c>
      <c r="K153" s="338">
        <f>'ALL ML SYSTEMS'!K153</f>
        <v>72</v>
      </c>
      <c r="L153" s="325">
        <f>'ALL ML SYSTEMS'!L153</f>
        <v>0</v>
      </c>
      <c r="M153" s="338" t="str">
        <f>'ALL ML SYSTEMS'!M153</f>
        <v>No</v>
      </c>
      <c r="N153" s="338">
        <f>'ALL ML SYSTEMS'!N153</f>
        <v>579000000</v>
      </c>
      <c r="O153" s="338">
        <f>'ALL ML SYSTEMS'!O153</f>
        <v>7.6e+18</v>
      </c>
      <c r="P153" s="339" t="str">
        <f>'ALL ML SYSTEMS'!P153</f>
        <v>ImageNet</v>
      </c>
      <c r="Q153" s="338">
        <f>'ALL ML SYSTEMS'!Q153</f>
        <v>0</v>
      </c>
      <c r="R153" s="325">
        <f>'ALL ML SYSTEMS'!R153</f>
        <v>0</v>
      </c>
      <c r="S153" s="338">
        <f>'ALL ML SYSTEMS'!S153</f>
        <v>0</v>
      </c>
      <c r="T153" s="325">
        <f>'ALL ML SYSTEMS'!T153</f>
        <v>0</v>
      </c>
      <c r="U153" s="325">
        <f>'ALL ML SYSTEMS'!U153</f>
        <v>0</v>
      </c>
      <c r="V153" s="325">
        <f>'ALL ML SYSTEMS'!V153</f>
        <v>0</v>
      </c>
      <c r="W153" s="325">
        <f>'ALL ML SYSTEMS'!W153</f>
        <v>0</v>
      </c>
      <c r="X153" s="325">
        <f>'ALL ML SYSTEMS'!X153</f>
        <v>0</v>
      </c>
      <c r="Y153" s="325">
        <f>'ALL ML SYSTEMS'!Y153</f>
        <v>0</v>
      </c>
      <c r="Z153" s="325">
        <f>'ALL ML SYSTEMS'!Z153</f>
        <v>0</v>
      </c>
      <c r="AA153" s="341">
        <f>'ALL ML SYSTEMS'!AA153</f>
        <v>24.1016174472636</v>
      </c>
      <c r="AB153" s="325"/>
      <c r="AC153" s="325">
        <f>'ALL ML SYSTEMS'!AB153</f>
        <v>0</v>
      </c>
      <c r="AD153" s="325">
        <f>'ALL ML SYSTEMS'!AC153</f>
        <v>0</v>
      </c>
    </row>
    <row r="154" hidden="1" customHeight="1" spans="1:30">
      <c r="A154" s="323" t="str">
        <f>'ALL ML SYSTEMS'!A154</f>
        <v>DLRM-2020</v>
      </c>
      <c r="B154" s="323" t="str">
        <f>'ALL ML SYSTEMS'!B154</f>
        <v>Recommendation</v>
      </c>
      <c r="C154" s="323">
        <f>'ALL ML SYSTEMS'!C154</f>
        <v>0</v>
      </c>
      <c r="D154" s="323" t="str">
        <f>'ALL ML SYSTEMS'!D154</f>
        <v>Facebook AI</v>
      </c>
      <c r="E154" s="323" t="str">
        <f>'ALL ML SYSTEMS'!E154</f>
        <v>Industry</v>
      </c>
      <c r="F154" s="323" t="str">
        <f>'ALL ML SYSTEMS'!F154</f>
        <v>M Naumov, D Mudigere, HJM Shi, J Huang</v>
      </c>
      <c r="G154" s="324">
        <f>'ALL ML SYSTEMS'!G154</f>
        <v>43616</v>
      </c>
      <c r="H154" s="329">
        <f>'ALL ML SYSTEMS'!H154</f>
        <v>3616</v>
      </c>
      <c r="I154" s="323" t="str">
        <f>'ALL ML SYSTEMS'!I154</f>
        <v>Deep Learning Recommendation Model for Personalization and Recommendation Systems</v>
      </c>
      <c r="J154" s="334" t="str">
        <f>'ALL ML SYSTEMS'!J154</f>
        <v>https://arxiv.org/abs/1906.00091</v>
      </c>
      <c r="K154" s="335">
        <f>'ALL ML SYSTEMS'!K154</f>
        <v>345</v>
      </c>
      <c r="L154" s="323">
        <f>'ALL ML SYSTEMS'!L154</f>
        <v>0</v>
      </c>
      <c r="M154" s="335" t="str">
        <f>'ALL ML SYSTEMS'!M154</f>
        <v>No</v>
      </c>
      <c r="N154" s="335">
        <f>'ALL ML SYSTEMS'!N154</f>
        <v>100000000000</v>
      </c>
      <c r="O154" s="335">
        <f>'ALL ML SYSTEMS'!O154</f>
        <v>4e+18</v>
      </c>
      <c r="P154" s="336">
        <f>'ALL ML SYSTEMS'!P154</f>
        <v>0</v>
      </c>
      <c r="Q154" s="335">
        <f>'ALL ML SYSTEMS'!Q154</f>
        <v>0</v>
      </c>
      <c r="R154" s="323">
        <f>'ALL ML SYSTEMS'!R154</f>
        <v>0</v>
      </c>
      <c r="S154" s="335">
        <f>'ALL ML SYSTEMS'!S154</f>
        <v>0</v>
      </c>
      <c r="T154" s="323">
        <f>'ALL ML SYSTEMS'!T154</f>
        <v>0</v>
      </c>
      <c r="U154" s="323">
        <f>'ALL ML SYSTEMS'!U154</f>
        <v>0</v>
      </c>
      <c r="V154" s="323">
        <f>'ALL ML SYSTEMS'!V154</f>
        <v>0</v>
      </c>
      <c r="W154" s="323">
        <f>'ALL ML SYSTEMS'!W154</f>
        <v>0</v>
      </c>
      <c r="X154" s="323">
        <f>'ALL ML SYSTEMS'!X154</f>
        <v>0</v>
      </c>
      <c r="Y154" s="323">
        <f>'ALL ML SYSTEMS'!Y154</f>
        <v>0</v>
      </c>
      <c r="Z154" s="323">
        <f>'ALL ML SYSTEMS'!Z154</f>
        <v>0</v>
      </c>
      <c r="AA154" s="340">
        <f>'ALL ML SYSTEMS'!AA154</f>
        <v>14.5989048237456</v>
      </c>
      <c r="AB154" s="323"/>
      <c r="AC154" s="323">
        <f>'ALL ML SYSTEMS'!AB154</f>
        <v>0</v>
      </c>
      <c r="AD154" s="323">
        <f>'ALL ML SYSTEMS'!AC154</f>
        <v>0</v>
      </c>
    </row>
    <row r="155" hidden="1" customHeight="1" spans="1:30">
      <c r="A155" s="325" t="str">
        <f>'ALL ML SYSTEMS'!A155</f>
        <v>Cross-lingual alignment</v>
      </c>
      <c r="B155" s="325">
        <f>'ALL ML SYSTEMS'!B155</f>
        <v>0</v>
      </c>
      <c r="C155" s="325">
        <f>'ALL ML SYSTEMS'!C155</f>
        <v>0</v>
      </c>
      <c r="D155" s="325" t="str">
        <f>'ALL ML SYSTEMS'!D155</f>
        <v>Tel Aviv University, MIT</v>
      </c>
      <c r="E155" s="325" t="str">
        <f>'ALL ML SYSTEMS'!E155</f>
        <v>Academia</v>
      </c>
      <c r="F155" s="325" t="str">
        <f>'ALL ML SYSTEMS'!F155</f>
        <v>Tal Schuster, Ori Ram, Regina Barzilay, and Amir Globerson.</v>
      </c>
      <c r="G155" s="326">
        <f>'ALL ML SYSTEMS'!G155</f>
        <v>43559</v>
      </c>
      <c r="H155" s="327">
        <f>'ALL ML SYSTEMS'!H155</f>
        <v>3559</v>
      </c>
      <c r="I155" s="325" t="str">
        <f>'ALL ML SYSTEMS'!I155</f>
        <v>Cross-lingual alignment of contextual word embeddings, with applications to zero- shot dependency parsing.</v>
      </c>
      <c r="J155" s="337" t="str">
        <f>'ALL ML SYSTEMS'!J155</f>
        <v>https://arxiv.org/abs/1902.09492</v>
      </c>
      <c r="K155" s="338">
        <f>'ALL ML SYSTEMS'!K155</f>
        <v>167</v>
      </c>
      <c r="L155" s="325">
        <f>'ALL ML SYSTEMS'!L155</f>
        <v>0</v>
      </c>
      <c r="M155" s="338" t="str">
        <f>'ALL ML SYSTEMS'!M155</f>
        <v>No</v>
      </c>
      <c r="N155" s="338">
        <f>'ALL ML SYSTEMS'!N155</f>
        <v>0</v>
      </c>
      <c r="O155" s="338">
        <f>'ALL ML SYSTEMS'!O155</f>
        <v>2.56e+18</v>
      </c>
      <c r="P155" s="339">
        <f>'ALL ML SYSTEMS'!P155</f>
        <v>0</v>
      </c>
      <c r="Q155" s="338">
        <f>'ALL ML SYSTEMS'!Q155</f>
        <v>0</v>
      </c>
      <c r="R155" s="325">
        <f>'ALL ML SYSTEMS'!R155</f>
        <v>0</v>
      </c>
      <c r="S155" s="338">
        <f>'ALL ML SYSTEMS'!S155</f>
        <v>3660000000000</v>
      </c>
      <c r="T155" s="325">
        <f>'ALL ML SYSTEMS'!T155</f>
        <v>0</v>
      </c>
      <c r="U155" s="325">
        <f>'ALL ML SYSTEMS'!U155</f>
        <v>0</v>
      </c>
      <c r="V155" s="325">
        <f>'ALL ML SYSTEMS'!V155</f>
        <v>0</v>
      </c>
      <c r="W155" s="325">
        <f>'ALL ML SYSTEMS'!W155</f>
        <v>0</v>
      </c>
      <c r="X155" s="325">
        <f>'ALL ML SYSTEMS'!X155</f>
        <v>0</v>
      </c>
      <c r="Y155" s="325">
        <f>'ALL ML SYSTEMS'!Y155</f>
        <v>0</v>
      </c>
      <c r="Z155" s="325">
        <f>'ALL ML SYSTEMS'!Z155</f>
        <v>0</v>
      </c>
      <c r="AA155" s="341">
        <f>'ALL ML SYSTEMS'!AA155</f>
        <v>7.83251862333082</v>
      </c>
      <c r="AB155" s="325"/>
      <c r="AC155" s="325">
        <f>'ALL ML SYSTEMS'!AB155</f>
        <v>0</v>
      </c>
      <c r="AD155" s="325">
        <f>'ALL ML SYSTEMS'!AC155</f>
        <v>0</v>
      </c>
    </row>
    <row r="156" customHeight="1" spans="1:30">
      <c r="A156" s="323" t="str">
        <f>'ALL ML SYSTEMS'!A156</f>
        <v>Decoupled weight decay regularization</v>
      </c>
      <c r="B156" s="323" t="str">
        <f>'ALL ML SYSTEMS'!B156</f>
        <v>Vision</v>
      </c>
      <c r="C156" s="323" t="str">
        <f>'ALL ML SYSTEMS'!C156</f>
        <v>Image classification</v>
      </c>
      <c r="D156" s="323" t="str">
        <f>'ALL ML SYSTEMS'!D156</f>
        <v>University of Freiburg</v>
      </c>
      <c r="E156" s="323" t="str">
        <f>'ALL ML SYSTEMS'!E156</f>
        <v>Academia</v>
      </c>
      <c r="F156" s="323" t="str">
        <f>'ALL ML SYSTEMS'!F156</f>
        <v>Ilya Loshchilov and Frank Hutter</v>
      </c>
      <c r="G156" s="324">
        <f>'ALL ML SYSTEMS'!G156</f>
        <v>43469</v>
      </c>
      <c r="H156" s="329">
        <f>'ALL ML SYSTEMS'!H156</f>
        <v>3469</v>
      </c>
      <c r="I156" s="323" t="str">
        <f>'ALL ML SYSTEMS'!I156</f>
        <v>Decoupled weight decay regularization.</v>
      </c>
      <c r="J156" s="334" t="str">
        <f>'ALL ML SYSTEMS'!J156</f>
        <v>https://arxiv.org/abs/1711.05101</v>
      </c>
      <c r="K156" s="335">
        <f>'ALL ML SYSTEMS'!K156</f>
        <v>2061</v>
      </c>
      <c r="L156" s="323" t="str">
        <f>'ALL ML SYSTEMS'!L156</f>
        <v>Highly cited</v>
      </c>
      <c r="M156" s="335" t="str">
        <f>'ALL ML SYSTEMS'!M156</f>
        <v>Yes</v>
      </c>
      <c r="N156" s="335">
        <f>'ALL ML SYSTEMS'!N156</f>
        <v>36500000</v>
      </c>
      <c r="O156" s="335">
        <f>'ALL ML SYSTEMS'!O156</f>
        <v>2.47e+18</v>
      </c>
      <c r="P156" s="336" t="str">
        <f>'ALL ML SYSTEMS'!P156</f>
        <v>CIFAR-10</v>
      </c>
      <c r="Q156" s="335">
        <f>'ALL ML SYSTEMS'!Q156</f>
        <v>50000</v>
      </c>
      <c r="R156" s="323">
        <f>'ALL ML SYSTEMS'!R156</f>
        <v>0</v>
      </c>
      <c r="S156" s="335">
        <f>'ALL ML SYSTEMS'!S156</f>
        <v>1730000000</v>
      </c>
      <c r="T156" s="323">
        <f>'ALL ML SYSTEMS'!T156</f>
        <v>0</v>
      </c>
      <c r="U156" s="323">
        <f>'ALL ML SYSTEMS'!U156</f>
        <v>0</v>
      </c>
      <c r="V156" s="323">
        <f>'ALL ML SYSTEMS'!V156</f>
        <v>0</v>
      </c>
      <c r="W156" s="323">
        <f>'ALL ML SYSTEMS'!W156</f>
        <v>0</v>
      </c>
      <c r="X156" s="323">
        <f>'ALL ML SYSTEMS'!X156</f>
        <v>0</v>
      </c>
      <c r="Y156" s="323">
        <f>'ALL ML SYSTEMS'!Y156</f>
        <v>0</v>
      </c>
      <c r="Z156" s="323">
        <f>'ALL ML SYSTEMS'!Z156</f>
        <v>0</v>
      </c>
      <c r="AA156" s="340">
        <f>'ALL ML SYSTEMS'!AA156</f>
        <v>8.07288264431363</v>
      </c>
      <c r="AB156" s="323">
        <f>'ALL ML SYSTEMS'!AB156</f>
        <v>0</v>
      </c>
      <c r="AC156" s="323">
        <f>'ALL ML SYSTEMS'!AC156</f>
        <v>0</v>
      </c>
      <c r="AD156" s="323" t="str">
        <f>'ALL ML SYSTEMS'!AD156</f>
        <v>Academia</v>
      </c>
    </row>
    <row r="157" hidden="1" customHeight="1" spans="1:30">
      <c r="A157" s="325" t="str">
        <f>'ALL ML SYSTEMS'!A157</f>
        <v>Hide and Seek</v>
      </c>
      <c r="B157" s="325" t="str">
        <f>'ALL ML SYSTEMS'!B157</f>
        <v>Games</v>
      </c>
      <c r="C157" s="325" t="str">
        <f>'ALL ML SYSTEMS'!C157</f>
        <v>Hide and Seek</v>
      </c>
      <c r="D157" s="325" t="str">
        <f>'ALL ML SYSTEMS'!D157</f>
        <v>OpenAI</v>
      </c>
      <c r="E157" s="325" t="str">
        <f>'ALL ML SYSTEMS'!E157</f>
        <v>Industry</v>
      </c>
      <c r="F157" s="325" t="str">
        <f>'ALL ML SYSTEMS'!F157</f>
        <v>B Baker, I Kanitscheider, T Markov, Y Wu</v>
      </c>
      <c r="G157" s="326">
        <f>'ALL ML SYSTEMS'!G157</f>
        <v>43725</v>
      </c>
      <c r="H157" s="327">
        <f>'ALL ML SYSTEMS'!H157</f>
        <v>3725</v>
      </c>
      <c r="I157" s="325" t="str">
        <f>'ALL ML SYSTEMS'!I157</f>
        <v>Emergent Tool Use From Multi-Agent Autocurricula</v>
      </c>
      <c r="J157" s="337" t="str">
        <f>'ALL ML SYSTEMS'!J157</f>
        <v>https://openai.com/blog/emergent-tool-use/</v>
      </c>
      <c r="K157" s="338">
        <f>'ALL ML SYSTEMS'!K157</f>
        <v>500</v>
      </c>
      <c r="L157" s="325">
        <f>'ALL ML SYSTEMS'!L157</f>
        <v>0</v>
      </c>
      <c r="M157" s="338" t="str">
        <f>'ALL ML SYSTEMS'!M157</f>
        <v>No</v>
      </c>
      <c r="N157" s="338">
        <f>'ALL ML SYSTEMS'!N157</f>
        <v>1600000</v>
      </c>
      <c r="O157" s="338">
        <f>'ALL ML SYSTEMS'!O157</f>
        <v>3.04e+17</v>
      </c>
      <c r="P157" s="339">
        <f>'ALL ML SYSTEMS'!P157</f>
        <v>0</v>
      </c>
      <c r="Q157" s="338">
        <f>'ALL ML SYSTEMS'!Q157</f>
        <v>31700000000</v>
      </c>
      <c r="R157" s="325">
        <f>'ALL ML SYSTEMS'!R157</f>
        <v>0</v>
      </c>
      <c r="S157" s="338">
        <f>'ALL ML SYSTEMS'!S157</f>
        <v>0</v>
      </c>
      <c r="T157" s="325">
        <f>'ALL ML SYSTEMS'!T157</f>
        <v>0</v>
      </c>
      <c r="U157" s="325">
        <f>'ALL ML SYSTEMS'!U157</f>
        <v>0</v>
      </c>
      <c r="V157" s="325">
        <f>'ALL ML SYSTEMS'!V157</f>
        <v>0</v>
      </c>
      <c r="W157" s="325">
        <f>'ALL ML SYSTEMS'!W157</f>
        <v>0</v>
      </c>
      <c r="X157" s="325">
        <f>'ALL ML SYSTEMS'!X157</f>
        <v>0</v>
      </c>
      <c r="Y157" s="325">
        <f>'ALL ML SYSTEMS'!Y157</f>
        <v>0</v>
      </c>
      <c r="Z157" s="325">
        <f>'ALL ML SYSTEMS'!Z157</f>
        <v>0</v>
      </c>
      <c r="AA157" s="341">
        <f>'ALL ML SYSTEMS'!AA157</f>
        <v>0.79509660347948</v>
      </c>
      <c r="AB157" s="325"/>
      <c r="AC157" s="325">
        <f>'ALL ML SYSTEMS'!AB157</f>
        <v>0</v>
      </c>
      <c r="AD157" s="325">
        <f>'ALL ML SYSTEMS'!AC157</f>
        <v>0</v>
      </c>
    </row>
    <row r="158" hidden="1" customHeight="1" spans="1:30">
      <c r="A158" s="323" t="str">
        <f>'ALL ML SYSTEMS'!A158</f>
        <v>Hanabi 4 player</v>
      </c>
      <c r="B158" s="323" t="str">
        <f>'ALL ML SYSTEMS'!B158</f>
        <v>Games</v>
      </c>
      <c r="C158" s="323" t="str">
        <f>'ALL ML SYSTEMS'!C158</f>
        <v>Hanabi</v>
      </c>
      <c r="D158" s="323" t="str">
        <f>'ALL ML SYSTEMS'!D158</f>
        <v>DeepMind, University of Oxford, Google Brain, Carnegie Mellon University, </v>
      </c>
      <c r="E158" s="323" t="str">
        <f>'ALL ML SYSTEMS'!E158</f>
        <v>Industry - Academia Collaboration (Industry leaning)</v>
      </c>
      <c r="F158" s="323">
        <f>'ALL ML SYSTEMS'!F158</f>
        <v>0</v>
      </c>
      <c r="G158" s="324">
        <f>'ALL ML SYSTEMS'!G158</f>
        <v>43497</v>
      </c>
      <c r="H158" s="329">
        <f>'ALL ML SYSTEMS'!H158</f>
        <v>3497</v>
      </c>
      <c r="I158" s="323" t="str">
        <f>'ALL ML SYSTEMS'!I158</f>
        <v>The Hanabi Challenge: A New Frontier for AI Research</v>
      </c>
      <c r="J158" s="334" t="str">
        <f>'ALL ML SYSTEMS'!J158</f>
        <v>https://arxiv.org/abs/1902.00506</v>
      </c>
      <c r="K158" s="335">
        <f>'ALL ML SYSTEMS'!K158</f>
        <v>229</v>
      </c>
      <c r="L158" s="323">
        <f>'ALL ML SYSTEMS'!L158</f>
        <v>0</v>
      </c>
      <c r="M158" s="335" t="str">
        <f>'ALL ML SYSTEMS'!M158</f>
        <v>No</v>
      </c>
      <c r="N158" s="335">
        <f>'ALL ML SYSTEMS'!N158</f>
        <v>764000</v>
      </c>
      <c r="O158" s="335">
        <f>'ALL ML SYSTEMS'!O158</f>
        <v>9.16e+16</v>
      </c>
      <c r="P158" s="336">
        <f>'ALL ML SYSTEMS'!P158</f>
        <v>0</v>
      </c>
      <c r="Q158" s="335">
        <f>'ALL ML SYSTEMS'!Q158</f>
        <v>0</v>
      </c>
      <c r="R158" s="323">
        <f>'ALL ML SYSTEMS'!R158</f>
        <v>0</v>
      </c>
      <c r="S158" s="335">
        <f>'ALL ML SYSTEMS'!S158</f>
        <v>0</v>
      </c>
      <c r="T158" s="323">
        <f>'ALL ML SYSTEMS'!T158</f>
        <v>0</v>
      </c>
      <c r="U158" s="323">
        <f>'ALL ML SYSTEMS'!U158</f>
        <v>0</v>
      </c>
      <c r="V158" s="323">
        <f>'ALL ML SYSTEMS'!V158</f>
        <v>0</v>
      </c>
      <c r="W158" s="323">
        <f>'ALL ML SYSTEMS'!W158</f>
        <v>0</v>
      </c>
      <c r="X158" s="323">
        <f>'ALL ML SYSTEMS'!X158</f>
        <v>0</v>
      </c>
      <c r="Y158" s="323">
        <f>'ALL ML SYSTEMS'!Y158</f>
        <v>0</v>
      </c>
      <c r="Z158" s="323">
        <f>'ALL ML SYSTEMS'!Z158</f>
        <v>0</v>
      </c>
      <c r="AA158" s="340">
        <f>'ALL ML SYSTEMS'!AA158</f>
        <v>0.33577481094615</v>
      </c>
      <c r="AB158" s="323"/>
      <c r="AC158" s="323">
        <f>'ALL ML SYSTEMS'!AB158</f>
        <v>0</v>
      </c>
      <c r="AD158" s="323">
        <f>'ALL ML SYSTEMS'!AC158</f>
        <v>0</v>
      </c>
    </row>
    <row r="159" hidden="1" customHeight="1" spans="1:30">
      <c r="A159" s="325" t="str">
        <f>'ALL ML SYSTEMS'!A159</f>
        <v>Pluribus</v>
      </c>
      <c r="B159" s="325" t="str">
        <f>'ALL ML SYSTEMS'!B159</f>
        <v>Games</v>
      </c>
      <c r="C159" s="325" t="str">
        <f>'ALL ML SYSTEMS'!C159</f>
        <v>Poker</v>
      </c>
      <c r="D159" s="325" t="str">
        <f>'ALL ML SYSTEMS'!D159</f>
        <v>Facebook AI Research</v>
      </c>
      <c r="E159" s="325" t="str">
        <f>'ALL ML SYSTEMS'!E159</f>
        <v>Industry - Academia collaboration</v>
      </c>
      <c r="F159" s="325" t="str">
        <f>'ALL ML SYSTEMS'!F159</f>
        <v>Noam Brown, Tuomas Sandholm</v>
      </c>
      <c r="G159" s="326">
        <f>'ALL ML SYSTEMS'!G159</f>
        <v>43657</v>
      </c>
      <c r="H159" s="325">
        <f>'ALL ML SYSTEMS'!H159</f>
        <v>2019</v>
      </c>
      <c r="I159" s="325" t="str">
        <f>'ALL ML SYSTEMS'!I159</f>
        <v>Superhuman AI for multiplayer poker</v>
      </c>
      <c r="J159" s="337" t="str">
        <f>'ALL ML SYSTEMS'!J159</f>
        <v>https://www.science.org/cms/asset/910714a7-ee2a-486e-9970-42fb893b08d9/pap.pdf</v>
      </c>
      <c r="K159" s="338">
        <f>'ALL ML SYSTEMS'!K159</f>
        <v>575</v>
      </c>
      <c r="L159" s="325">
        <f>'ALL ML SYSTEMS'!L159</f>
        <v>0</v>
      </c>
      <c r="M159" s="338" t="str">
        <f>'ALL ML SYSTEMS'!M159</f>
        <v>No</v>
      </c>
      <c r="N159" s="338">
        <f>'ALL ML SYSTEMS'!N159</f>
        <v>0</v>
      </c>
      <c r="O159" s="338">
        <f>'ALL ML SYSTEMS'!O159</f>
        <v>6.6e+16</v>
      </c>
      <c r="P159" s="339">
        <f>'ALL ML SYSTEMS'!P159</f>
        <v>0</v>
      </c>
      <c r="Q159" s="338">
        <f>'ALL ML SYSTEMS'!Q159</f>
        <v>0</v>
      </c>
      <c r="R159" s="325">
        <f>'ALL ML SYSTEMS'!R159</f>
        <v>0</v>
      </c>
      <c r="S159" s="325">
        <f>'ALL ML SYSTEMS'!S159</f>
        <v>0</v>
      </c>
      <c r="T159" s="325">
        <f>'ALL ML SYSTEMS'!T159</f>
        <v>0</v>
      </c>
      <c r="U159" s="325">
        <f>'ALL ML SYSTEMS'!U159</f>
        <v>0</v>
      </c>
      <c r="V159" s="325">
        <f>'ALL ML SYSTEMS'!V159</f>
        <v>0</v>
      </c>
      <c r="W159" s="325">
        <f>'ALL ML SYSTEMS'!W159</f>
        <v>0</v>
      </c>
      <c r="X159" s="325">
        <f>'ALL ML SYSTEMS'!X159</f>
        <v>0</v>
      </c>
      <c r="Y159" s="325">
        <f>'ALL ML SYSTEMS'!Y159</f>
        <v>0</v>
      </c>
      <c r="Z159" s="325">
        <f>'ALL ML SYSTEMS'!Z159</f>
        <v>0</v>
      </c>
      <c r="AA159" s="341" t="str">
        <f>'ALL ML SYSTEMS'!AA159</f>
        <v/>
      </c>
      <c r="AB159" s="325"/>
      <c r="AC159" s="325">
        <f>'ALL ML SYSTEMS'!AB159</f>
        <v>0</v>
      </c>
      <c r="AD159" s="325">
        <f>'ALL ML SYSTEMS'!AC159</f>
        <v>0</v>
      </c>
    </row>
    <row r="160" hidden="1" customHeight="1" spans="1:30">
      <c r="A160" s="323" t="str">
        <f>'ALL ML SYSTEMS'!A160</f>
        <v>Transformer ELMo</v>
      </c>
      <c r="B160" s="323" t="str">
        <f>'ALL ML SYSTEMS'!B160</f>
        <v>Language</v>
      </c>
      <c r="C160" s="323" t="str">
        <f>'ALL ML SYSTEMS'!C160</f>
        <v>Univeristy of Washington, Allen Instititute for Artificial Intelligence</v>
      </c>
      <c r="D160" s="323" t="str">
        <f>'ALL ML SYSTEMS'!D160</f>
        <v>AI2</v>
      </c>
      <c r="E160" s="323" t="str">
        <f>'ALL ML SYSTEMS'!E160</f>
        <v>Industry - Academia Collaboration (Industry leaning)</v>
      </c>
      <c r="F160" s="323" t="str">
        <f>'ALL ML SYSTEMS'!F160</f>
        <v>ME Peters, M Neumann, L Zettlemoyer</v>
      </c>
      <c r="G160" s="324">
        <f>'ALL ML SYSTEMS'!G160</f>
        <v>43466</v>
      </c>
      <c r="H160" s="329">
        <f>'ALL ML SYSTEMS'!H160</f>
        <v>3466</v>
      </c>
      <c r="I160" s="323" t="str">
        <f>'ALL ML SYSTEMS'!I160</f>
        <v>Dissecting Contextual Word Embeddings: Architecture and Representation</v>
      </c>
      <c r="J160" s="334" t="str">
        <f>'ALL ML SYSTEMS'!J160</f>
        <v>https://www.semanticscholar.org/paper/Dissecting-Contextual-Word-Embeddings%3A-Architecture-Peters-Neumann/ac11062f1f368d97f4c826c317bf50dcc13fdb59</v>
      </c>
      <c r="K160" s="335">
        <f>'ALL ML SYSTEMS'!K160</f>
        <v>308</v>
      </c>
      <c r="L160" s="323">
        <f>'ALL ML SYSTEMS'!L160</f>
        <v>0</v>
      </c>
      <c r="M160" s="335" t="str">
        <f>'ALL ML SYSTEMS'!M160</f>
        <v>No</v>
      </c>
      <c r="N160" s="335">
        <f>'ALL ML SYSTEMS'!N160</f>
        <v>465000000</v>
      </c>
      <c r="O160" s="335">
        <f>'ALL ML SYSTEMS'!O160</f>
        <v>0</v>
      </c>
      <c r="P160" s="336">
        <f>'ALL ML SYSTEMS'!P160</f>
        <v>0</v>
      </c>
      <c r="Q160" s="335">
        <f>'ALL ML SYSTEMS'!Q160</f>
        <v>0</v>
      </c>
      <c r="R160" s="323">
        <f>'ALL ML SYSTEMS'!R160</f>
        <v>0</v>
      </c>
      <c r="S160" s="335">
        <f>'ALL ML SYSTEMS'!S160</f>
        <v>0</v>
      </c>
      <c r="T160" s="323">
        <f>'ALL ML SYSTEMS'!T160</f>
        <v>0</v>
      </c>
      <c r="U160" s="323">
        <f>'ALL ML SYSTEMS'!U160</f>
        <v>0</v>
      </c>
      <c r="V160" s="323">
        <f>'ALL ML SYSTEMS'!V160</f>
        <v>0</v>
      </c>
      <c r="W160" s="323">
        <f>'ALL ML SYSTEMS'!W160</f>
        <v>0</v>
      </c>
      <c r="X160" s="323">
        <f>'ALL ML SYSTEMS'!X160</f>
        <v>0</v>
      </c>
      <c r="Y160" s="323">
        <f>'ALL ML SYSTEMS'!Y160</f>
        <v>0</v>
      </c>
      <c r="Z160" s="323">
        <f>'ALL ML SYSTEMS'!Z160</f>
        <v>0</v>
      </c>
      <c r="AA160" s="340" t="str">
        <f>'ALL ML SYSTEMS'!AA160</f>
        <v/>
      </c>
      <c r="AB160" s="323"/>
      <c r="AC160" s="323">
        <f>'ALL ML SYSTEMS'!AB160</f>
        <v>0</v>
      </c>
      <c r="AD160" s="323">
        <f>'ALL ML SYSTEMS'!AC160</f>
        <v>0</v>
      </c>
    </row>
    <row r="161" hidden="1" customHeight="1" spans="1:30">
      <c r="A161" s="325" t="str">
        <f>'ALL ML SYSTEMS'!A161</f>
        <v>MT-DNN</v>
      </c>
      <c r="B161" s="325" t="str">
        <f>'ALL ML SYSTEMS'!B161</f>
        <v>Language</v>
      </c>
      <c r="C161" s="325">
        <f>'ALL ML SYSTEMS'!C161</f>
        <v>0</v>
      </c>
      <c r="D161" s="325" t="str">
        <f>'ALL ML SYSTEMS'!D161</f>
        <v>Microsoft</v>
      </c>
      <c r="E161" s="325" t="str">
        <f>'ALL ML SYSTEMS'!E161</f>
        <v>Industry</v>
      </c>
      <c r="F161" s="325" t="str">
        <f>'ALL ML SYSTEMS'!F161</f>
        <v>X Liu, P He, W Chen, J Gao</v>
      </c>
      <c r="G161" s="326">
        <f>'ALL ML SYSTEMS'!G161</f>
        <v>43496</v>
      </c>
      <c r="H161" s="327">
        <f>'ALL ML SYSTEMS'!H161</f>
        <v>3496</v>
      </c>
      <c r="I161" s="325" t="str">
        <f>'ALL ML SYSTEMS'!I161</f>
        <v>Multi-Task Deep Neural Networks for Natural Language Understanding</v>
      </c>
      <c r="J161" s="337" t="str">
        <f>'ALL ML SYSTEMS'!J161</f>
        <v>https://arxiv.org/abs/1901.11504</v>
      </c>
      <c r="K161" s="338">
        <f>'ALL ML SYSTEMS'!K161</f>
        <v>553</v>
      </c>
      <c r="L161" s="325">
        <f>'ALL ML SYSTEMS'!L161</f>
        <v>0</v>
      </c>
      <c r="M161" s="338" t="str">
        <f>'ALL ML SYSTEMS'!M161</f>
        <v>No</v>
      </c>
      <c r="N161" s="338">
        <f>'ALL ML SYSTEMS'!N161</f>
        <v>330000000</v>
      </c>
      <c r="O161" s="338">
        <f>'ALL ML SYSTEMS'!O161</f>
        <v>0</v>
      </c>
      <c r="P161" s="339">
        <f>'ALL ML SYSTEMS'!P161</f>
        <v>0</v>
      </c>
      <c r="Q161" s="338">
        <f>'ALL ML SYSTEMS'!Q161</f>
        <v>0</v>
      </c>
      <c r="R161" s="325">
        <f>'ALL ML SYSTEMS'!R161</f>
        <v>0</v>
      </c>
      <c r="S161" s="338">
        <f>'ALL ML SYSTEMS'!S161</f>
        <v>0</v>
      </c>
      <c r="T161" s="325">
        <f>'ALL ML SYSTEMS'!T161</f>
        <v>0</v>
      </c>
      <c r="U161" s="325">
        <f>'ALL ML SYSTEMS'!U161</f>
        <v>0</v>
      </c>
      <c r="V161" s="325">
        <f>'ALL ML SYSTEMS'!V161</f>
        <v>0</v>
      </c>
      <c r="W161" s="325">
        <f>'ALL ML SYSTEMS'!W161</f>
        <v>0</v>
      </c>
      <c r="X161" s="325">
        <f>'ALL ML SYSTEMS'!X161</f>
        <v>0</v>
      </c>
      <c r="Y161" s="325">
        <f>'ALL ML SYSTEMS'!Y161</f>
        <v>0</v>
      </c>
      <c r="Z161" s="325" t="str">
        <f>'ALL ML SYSTEMS'!Z161</f>
        <v>Encoder-decoder</v>
      </c>
      <c r="AA161" s="341" t="str">
        <f>'ALL ML SYSTEMS'!AA161</f>
        <v/>
      </c>
      <c r="AB161" s="325"/>
      <c r="AC161" s="325">
        <f>'ALL ML SYSTEMS'!AB161</f>
        <v>0</v>
      </c>
      <c r="AD161" s="325" t="str">
        <f>'ALL ML SYSTEMS'!AC161</f>
        <v>Multilayer Bidirectional Transformer Encoder</v>
      </c>
    </row>
    <row r="162" customHeight="1" spans="1:30">
      <c r="A162" s="323">
        <f>'ALL ML SYSTEMS'!A162</f>
        <v>0</v>
      </c>
      <c r="B162" s="323" t="str">
        <f>'ALL ML SYSTEMS'!B162</f>
        <v>Language</v>
      </c>
      <c r="C162" s="323" t="str">
        <f>'ALL ML SYSTEMS'!C162</f>
        <v>Speech recognition</v>
      </c>
      <c r="D162" s="323" t="str">
        <f>'ALL ML SYSTEMS'!D162</f>
        <v>Google Brain</v>
      </c>
      <c r="E162" s="323" t="str">
        <f>'ALL ML SYSTEMS'!E162</f>
        <v>Industry</v>
      </c>
      <c r="F162" s="323" t="str">
        <f>'ALL ML SYSTEMS'!F162</f>
        <v> Daniel S. Park, William Chan, Yu Zhang, Chung-Cheng Chiu, Barret Zoph, Ekin D. Cubuk, Quoc V. Le</v>
      </c>
      <c r="G162" s="324">
        <f>'ALL ML SYSTEMS'!G162</f>
        <v>43573</v>
      </c>
      <c r="H162" s="329">
        <f>'ALL ML SYSTEMS'!H162</f>
        <v>3573</v>
      </c>
      <c r="I162" s="323" t="str">
        <f>'ALL ML SYSTEMS'!I162</f>
        <v>SpecAugment: A Simple Data Augmentation Method for Automatic Speech Recognition</v>
      </c>
      <c r="J162" s="334" t="str">
        <f>'ALL ML SYSTEMS'!J162</f>
        <v>https://arxiv.org/abs/1904.08779</v>
      </c>
      <c r="K162" s="335">
        <f>'ALL ML SYSTEMS'!K162</f>
        <v>1409</v>
      </c>
      <c r="L162" s="323" t="str">
        <f>'ALL ML SYSTEMS'!L162</f>
        <v>Highly cited</v>
      </c>
      <c r="M162" s="335" t="str">
        <f>'ALL ML SYSTEMS'!M162</f>
        <v>Yes</v>
      </c>
      <c r="N162" s="335">
        <f>'ALL ML SYSTEMS'!N162</f>
        <v>0</v>
      </c>
      <c r="O162" s="335">
        <f>'ALL ML SYSTEMS'!O162</f>
        <v>0</v>
      </c>
      <c r="P162" s="336">
        <f>'ALL ML SYSTEMS'!P162</f>
        <v>0</v>
      </c>
      <c r="Q162" s="335">
        <f>'ALL ML SYSTEMS'!Q162</f>
        <v>0</v>
      </c>
      <c r="R162" s="323">
        <f>'ALL ML SYSTEMS'!R162</f>
        <v>0</v>
      </c>
      <c r="S162" s="335">
        <f>'ALL ML SYSTEMS'!S162</f>
        <v>0</v>
      </c>
      <c r="T162" s="323">
        <f>'ALL ML SYSTEMS'!T162</f>
        <v>0</v>
      </c>
      <c r="U162" s="323">
        <f>'ALL ML SYSTEMS'!U162</f>
        <v>0</v>
      </c>
      <c r="V162" s="323">
        <f>'ALL ML SYSTEMS'!V162</f>
        <v>0</v>
      </c>
      <c r="W162" s="323">
        <f>'ALL ML SYSTEMS'!W162</f>
        <v>0</v>
      </c>
      <c r="X162" s="323">
        <f>'ALL ML SYSTEMS'!X162</f>
        <v>0</v>
      </c>
      <c r="Y162" s="323">
        <f>'ALL ML SYSTEMS'!Y162</f>
        <v>0</v>
      </c>
      <c r="Z162" s="323" t="str">
        <f>'ALL ML SYSTEMS'!Z162</f>
        <v>Encoder-decoder</v>
      </c>
      <c r="AA162" s="340" t="str">
        <f>'ALL ML SYSTEMS'!AA162</f>
        <v/>
      </c>
      <c r="AB162" s="323">
        <f>'ALL ML SYSTEMS'!AB162</f>
        <v>0</v>
      </c>
      <c r="AC162" s="323">
        <f>'ALL ML SYSTEMS'!AC162</f>
        <v>0</v>
      </c>
      <c r="AD162" s="323" t="str">
        <f>'ALL ML SYSTEMS'!AD162</f>
        <v>Industry</v>
      </c>
    </row>
    <row r="163" customHeight="1" spans="1:30">
      <c r="A163" s="325">
        <f>'ALL ML SYSTEMS'!A163</f>
        <v>0</v>
      </c>
      <c r="B163" s="325" t="str">
        <f>'ALL ML SYSTEMS'!B163</f>
        <v>Vision</v>
      </c>
      <c r="C163" s="325" t="str">
        <f>'ALL ML SYSTEMS'!C163</f>
        <v>Semantic segmentation</v>
      </c>
      <c r="D163" s="325" t="str">
        <f>'ALL ML SYSTEMS'!D163</f>
        <v>Chinese Academy of Sciences</v>
      </c>
      <c r="E163" s="325" t="str">
        <f>'ALL ML SYSTEMS'!E163</f>
        <v>Industry - Academia Collaboration (Academia leaning)</v>
      </c>
      <c r="F163" s="325" t="str">
        <f>'ALL ML SYSTEMS'!F163</f>
        <v>Jun Fu, Jing Liu, Haijie Tian, Yong Li, Yongjun Bao, Zhiwei Fang, Hanqing Lu</v>
      </c>
      <c r="G163" s="326">
        <f>'ALL ML SYSTEMS'!G163</f>
        <v>43576</v>
      </c>
      <c r="H163" s="327">
        <f>'ALL ML SYSTEMS'!H163</f>
        <v>3576</v>
      </c>
      <c r="I163" s="325" t="str">
        <f>'ALL ML SYSTEMS'!I163</f>
        <v>Dual Attention Network for Scene Segmentation</v>
      </c>
      <c r="J163" s="337" t="str">
        <f>'ALL ML SYSTEMS'!J163</f>
        <v>https://openaccess.thecvf.com/content_CVPR_2019/html/Fu_Dual_Attention_Network_for_Scene_Segmentation_CVPR_2019_paper.html</v>
      </c>
      <c r="K163" s="338">
        <f>'ALL ML SYSTEMS'!K163</f>
        <v>1988</v>
      </c>
      <c r="L163" s="325">
        <f>'ALL ML SYSTEMS'!L163</f>
        <v>0</v>
      </c>
      <c r="M163" s="338" t="str">
        <f>'ALL ML SYSTEMS'!M163</f>
        <v>Yes</v>
      </c>
      <c r="N163" s="338">
        <f>'ALL ML SYSTEMS'!N163</f>
        <v>0</v>
      </c>
      <c r="O163" s="338">
        <f>'ALL ML SYSTEMS'!O163</f>
        <v>0</v>
      </c>
      <c r="P163" s="339">
        <f>'ALL ML SYSTEMS'!P163</f>
        <v>0</v>
      </c>
      <c r="Q163" s="325">
        <f>'ALL ML SYSTEMS'!Q163</f>
        <v>0</v>
      </c>
      <c r="R163" s="325">
        <f>'ALL ML SYSTEMS'!R163</f>
        <v>0</v>
      </c>
      <c r="S163" s="338">
        <f>'ALL ML SYSTEMS'!S163</f>
        <v>0</v>
      </c>
      <c r="T163" s="325">
        <f>'ALL ML SYSTEMS'!T163</f>
        <v>0</v>
      </c>
      <c r="U163" s="325">
        <f>'ALL ML SYSTEMS'!U163</f>
        <v>0</v>
      </c>
      <c r="V163" s="325">
        <f>'ALL ML SYSTEMS'!V163</f>
        <v>0</v>
      </c>
      <c r="W163" s="325">
        <f>'ALL ML SYSTEMS'!W163</f>
        <v>0</v>
      </c>
      <c r="X163" s="325">
        <f>'ALL ML SYSTEMS'!X163</f>
        <v>0</v>
      </c>
      <c r="Y163" s="325">
        <f>'ALL ML SYSTEMS'!Y163</f>
        <v>0</v>
      </c>
      <c r="Z163" s="325">
        <f>'ALL ML SYSTEMS'!Z163</f>
        <v>0</v>
      </c>
      <c r="AA163" s="341" t="str">
        <f>'ALL ML SYSTEMS'!AA163</f>
        <v/>
      </c>
      <c r="AB163" s="325">
        <f>'ALL ML SYSTEMS'!AB163</f>
        <v>0</v>
      </c>
      <c r="AC163" s="325">
        <f>'ALL ML SYSTEMS'!AC163</f>
        <v>0</v>
      </c>
      <c r="AD163" s="325" t="str">
        <f>'ALL ML SYSTEMS'!AD163</f>
        <v>Industry</v>
      </c>
    </row>
    <row r="164" customHeight="1" spans="1:30">
      <c r="A164" s="323" t="str">
        <f>'ALL ML SYSTEMS'!A164</f>
        <v>ResNet-50 Billion-scale</v>
      </c>
      <c r="B164" s="323" t="str">
        <f>'ALL ML SYSTEMS'!B164</f>
        <v>Vision</v>
      </c>
      <c r="C164" s="323" t="str">
        <f>'ALL ML SYSTEMS'!C164</f>
        <v>Image classification</v>
      </c>
      <c r="D164" s="323" t="str">
        <f>'ALL ML SYSTEMS'!D164</f>
        <v>OpenAI</v>
      </c>
      <c r="E164" s="323" t="str">
        <f>'ALL ML SYSTEMS'!E164</f>
        <v>Industry</v>
      </c>
      <c r="F164" s="323" t="str">
        <f>'ALL ML SYSTEMS'!F164</f>
        <v>A Radford, J Wu, R Child, D Luan, D Amodei</v>
      </c>
      <c r="G164" s="324">
        <f>'ALL ML SYSTEMS'!G164</f>
        <v>43587</v>
      </c>
      <c r="H164" s="329">
        <f>'ALL ML SYSTEMS'!H164</f>
        <v>3587</v>
      </c>
      <c r="I164" s="323" t="str">
        <f>'ALL ML SYSTEMS'!I164</f>
        <v>Language Models are Unsupervised Multitask Learners</v>
      </c>
      <c r="J164" s="334" t="str">
        <f>'ALL ML SYSTEMS'!J164</f>
        <v>https://paperswithcode.com/paper/language-models-are-unsupervised-multitask</v>
      </c>
      <c r="K164" s="335">
        <f>'ALL ML SYSTEMS'!K164</f>
        <v>1701</v>
      </c>
      <c r="L164" s="323" t="str">
        <f>'ALL ML SYSTEMS'!L164</f>
        <v>Highly cited</v>
      </c>
      <c r="M164" s="335" t="str">
        <f>'ALL ML SYSTEMS'!M164</f>
        <v>Yes</v>
      </c>
      <c r="N164" s="335">
        <f>'ALL ML SYSTEMS'!N164</f>
        <v>26000000</v>
      </c>
      <c r="O164" s="335">
        <f>'ALL ML SYSTEMS'!O164</f>
        <v>0</v>
      </c>
      <c r="P164" s="336">
        <f>'ALL ML SYSTEMS'!P164</f>
        <v>0</v>
      </c>
      <c r="Q164" s="335">
        <f>'ALL ML SYSTEMS'!Q164</f>
        <v>0</v>
      </c>
      <c r="R164" s="323">
        <f>'ALL ML SYSTEMS'!R164</f>
        <v>0</v>
      </c>
      <c r="S164" s="335">
        <f>'ALL ML SYSTEMS'!S164</f>
        <v>0</v>
      </c>
      <c r="T164" s="323">
        <f>'ALL ML SYSTEMS'!T164</f>
        <v>0</v>
      </c>
      <c r="U164" s="323">
        <f>'ALL ML SYSTEMS'!U164</f>
        <v>0</v>
      </c>
      <c r="V164" s="323">
        <f>'ALL ML SYSTEMS'!V164</f>
        <v>0</v>
      </c>
      <c r="W164" s="323">
        <f>'ALL ML SYSTEMS'!W164</f>
        <v>0</v>
      </c>
      <c r="X164" s="323">
        <f>'ALL ML SYSTEMS'!X164</f>
        <v>0</v>
      </c>
      <c r="Y164" s="323">
        <f>'ALL ML SYSTEMS'!Y164</f>
        <v>0</v>
      </c>
      <c r="Z164" s="323">
        <f>'ALL ML SYSTEMS'!Z164</f>
        <v>0</v>
      </c>
      <c r="AA164" s="340" t="str">
        <f>'ALL ML SYSTEMS'!AA164</f>
        <v/>
      </c>
      <c r="AB164" s="323">
        <f>'ALL ML SYSTEMS'!AB164</f>
        <v>0</v>
      </c>
      <c r="AC164" s="323">
        <f>'ALL ML SYSTEMS'!AC164</f>
        <v>0</v>
      </c>
      <c r="AD164" s="323" t="str">
        <f>'ALL ML SYSTEMS'!AD164</f>
        <v>Industry</v>
      </c>
    </row>
    <row r="165" hidden="1" customHeight="1" spans="1:30">
      <c r="A165" s="325" t="str">
        <f>'ALL ML SYSTEMS'!A165</f>
        <v>ResNeXt-101 Billion-scale</v>
      </c>
      <c r="B165" s="325" t="str">
        <f>'ALL ML SYSTEMS'!B165</f>
        <v>Vision</v>
      </c>
      <c r="C165" s="325" t="str">
        <f>'ALL ML SYSTEMS'!C165</f>
        <v>Image classification</v>
      </c>
      <c r="D165" s="325" t="str">
        <f>'ALL ML SYSTEMS'!D165</f>
        <v>Facebook AI</v>
      </c>
      <c r="E165" s="325" t="str">
        <f>'ALL ML SYSTEMS'!E165</f>
        <v>Industry</v>
      </c>
      <c r="F165" s="325" t="str">
        <f>'ALL ML SYSTEMS'!F165</f>
        <v>IZ Yalniz, H Jégou, K Chen, M Paluri</v>
      </c>
      <c r="G165" s="326">
        <f>'ALL ML SYSTEMS'!G165</f>
        <v>43587</v>
      </c>
      <c r="H165" s="327">
        <f>'ALL ML SYSTEMS'!H165</f>
        <v>3587</v>
      </c>
      <c r="I165" s="325" t="str">
        <f>'ALL ML SYSTEMS'!I165</f>
        <v>Billion-scale semi-supervised learning for image classification</v>
      </c>
      <c r="J165" s="337" t="str">
        <f>'ALL ML SYSTEMS'!J165</f>
        <v>https://arxiv.org/abs/1905.00546</v>
      </c>
      <c r="K165" s="338">
        <f>'ALL ML SYSTEMS'!K165</f>
        <v>319</v>
      </c>
      <c r="L165" s="325">
        <f>'ALL ML SYSTEMS'!L165</f>
        <v>0</v>
      </c>
      <c r="M165" s="338" t="str">
        <f>'ALL ML SYSTEMS'!M165</f>
        <v>No</v>
      </c>
      <c r="N165" s="338">
        <f>'ALL ML SYSTEMS'!N165</f>
        <v>193000000</v>
      </c>
      <c r="O165" s="338">
        <f>'ALL ML SYSTEMS'!O165</f>
        <v>0</v>
      </c>
      <c r="P165" s="339">
        <f>'ALL ML SYSTEMS'!P165</f>
        <v>0</v>
      </c>
      <c r="Q165" s="338">
        <f>'ALL ML SYSTEMS'!Q165</f>
        <v>0</v>
      </c>
      <c r="R165" s="325">
        <f>'ALL ML SYSTEMS'!R165</f>
        <v>0</v>
      </c>
      <c r="S165" s="338">
        <f>'ALL ML SYSTEMS'!S165</f>
        <v>0</v>
      </c>
      <c r="T165" s="325">
        <f>'ALL ML SYSTEMS'!T165</f>
        <v>0</v>
      </c>
      <c r="U165" s="325">
        <f>'ALL ML SYSTEMS'!U165</f>
        <v>0</v>
      </c>
      <c r="V165" s="325">
        <f>'ALL ML SYSTEMS'!V165</f>
        <v>0</v>
      </c>
      <c r="W165" s="325">
        <f>'ALL ML SYSTEMS'!W165</f>
        <v>0</v>
      </c>
      <c r="X165" s="325">
        <f>'ALL ML SYSTEMS'!X165</f>
        <v>0</v>
      </c>
      <c r="Y165" s="325">
        <f>'ALL ML SYSTEMS'!Y165</f>
        <v>0</v>
      </c>
      <c r="Z165" s="325">
        <f>'ALL ML SYSTEMS'!Z165</f>
        <v>0</v>
      </c>
      <c r="AA165" s="341" t="str">
        <f>'ALL ML SYSTEMS'!AA165</f>
        <v/>
      </c>
      <c r="AB165" s="325"/>
      <c r="AC165" s="325">
        <f>'ALL ML SYSTEMS'!AB165</f>
        <v>0</v>
      </c>
      <c r="AD165" s="325">
        <f>'ALL ML SYSTEMS'!AC165</f>
        <v>0</v>
      </c>
    </row>
    <row r="166" hidden="1" customHeight="1" spans="1:30">
      <c r="A166" s="323" t="str">
        <f>'ALL ML SYSTEMS'!A166</f>
        <v>CPC v2</v>
      </c>
      <c r="B166" s="323" t="str">
        <f>'ALL ML SYSTEMS'!B166</f>
        <v>Drawing</v>
      </c>
      <c r="C166" s="323" t="str">
        <f>'ALL ML SYSTEMS'!C166</f>
        <v>Image completion</v>
      </c>
      <c r="D166" s="323" t="str">
        <f>'ALL ML SYSTEMS'!D166</f>
        <v>DeepMind, Berkeley</v>
      </c>
      <c r="E166" s="323" t="str">
        <f>'ALL ML SYSTEMS'!E166</f>
        <v>Industry - Academia Collaboration (Industry leaning)</v>
      </c>
      <c r="F166" s="323">
        <f>'ALL ML SYSTEMS'!F166</f>
        <v>0</v>
      </c>
      <c r="G166" s="324">
        <f>'ALL ML SYSTEMS'!G166</f>
        <v>43607</v>
      </c>
      <c r="H166" s="329">
        <f>'ALL ML SYSTEMS'!H166</f>
        <v>3607</v>
      </c>
      <c r="I166" s="323" t="str">
        <f>'ALL ML SYSTEMS'!I166</f>
        <v>Data-Efficient Image Recognition with Contrastive Predictive Coding</v>
      </c>
      <c r="J166" s="334" t="str">
        <f>'ALL ML SYSTEMS'!J166</f>
        <v>https://arxiv.org/abs/1905.09272</v>
      </c>
      <c r="K166" s="335">
        <f>'ALL ML SYSTEMS'!K166</f>
        <v>491</v>
      </c>
      <c r="L166" s="323">
        <f>'ALL ML SYSTEMS'!L166</f>
        <v>0</v>
      </c>
      <c r="M166" s="335" t="str">
        <f>'ALL ML SYSTEMS'!M166</f>
        <v>No</v>
      </c>
      <c r="N166" s="335">
        <f>'ALL ML SYSTEMS'!N166</f>
        <v>303000000</v>
      </c>
      <c r="O166" s="335">
        <f>'ALL ML SYSTEMS'!O166</f>
        <v>0</v>
      </c>
      <c r="P166" s="336">
        <f>'ALL ML SYSTEMS'!P166</f>
        <v>0</v>
      </c>
      <c r="Q166" s="335">
        <f>'ALL ML SYSTEMS'!Q166</f>
        <v>0</v>
      </c>
      <c r="R166" s="323">
        <f>'ALL ML SYSTEMS'!R166</f>
        <v>0</v>
      </c>
      <c r="S166" s="335">
        <f>'ALL ML SYSTEMS'!S166</f>
        <v>0</v>
      </c>
      <c r="T166" s="323">
        <f>'ALL ML SYSTEMS'!T166</f>
        <v>0</v>
      </c>
      <c r="U166" s="323">
        <f>'ALL ML SYSTEMS'!U166</f>
        <v>0</v>
      </c>
      <c r="V166" s="323">
        <f>'ALL ML SYSTEMS'!V166</f>
        <v>0</v>
      </c>
      <c r="W166" s="323">
        <f>'ALL ML SYSTEMS'!W166</f>
        <v>0</v>
      </c>
      <c r="X166" s="323">
        <f>'ALL ML SYSTEMS'!X166</f>
        <v>0</v>
      </c>
      <c r="Y166" s="323">
        <f>'ALL ML SYSTEMS'!Y166</f>
        <v>0</v>
      </c>
      <c r="Z166" s="323">
        <f>'ALL ML SYSTEMS'!Z166</f>
        <v>0</v>
      </c>
      <c r="AA166" s="340" t="str">
        <f>'ALL ML SYSTEMS'!AA166</f>
        <v/>
      </c>
      <c r="AB166" s="323"/>
      <c r="AC166" s="323">
        <f>'ALL ML SYSTEMS'!AB166</f>
        <v>0</v>
      </c>
      <c r="AD166" s="323">
        <f>'ALL ML SYSTEMS'!AC166</f>
        <v>0</v>
      </c>
    </row>
    <row r="167" customHeight="1" spans="1:30">
      <c r="A167" s="325" t="str">
        <f>'ALL ML SYSTEMS'!A167</f>
        <v>EfficientNet-L2</v>
      </c>
      <c r="B167" s="325" t="str">
        <f>'ALL ML SYSTEMS'!B167</f>
        <v>Vision</v>
      </c>
      <c r="C167" s="325" t="str">
        <f>'ALL ML SYSTEMS'!C167</f>
        <v>Image classification</v>
      </c>
      <c r="D167" s="325" t="str">
        <f>'ALL ML SYSTEMS'!D167</f>
        <v>Google</v>
      </c>
      <c r="E167" s="325" t="str">
        <f>'ALL ML SYSTEMS'!E167</f>
        <v>Industry</v>
      </c>
      <c r="F167" s="325" t="str">
        <f>'ALL ML SYSTEMS'!F167</f>
        <v>M Tan, Q Le</v>
      </c>
      <c r="G167" s="326">
        <f>'ALL ML SYSTEMS'!G167</f>
        <v>43613</v>
      </c>
      <c r="H167" s="327">
        <f>'ALL ML SYSTEMS'!H167</f>
        <v>3613</v>
      </c>
      <c r="I167" s="325" t="str">
        <f>'ALL ML SYSTEMS'!I167</f>
        <v>EfficientNet: Rethinking Model Scaling for Convolutional Neural Networks</v>
      </c>
      <c r="J167" s="337" t="str">
        <f>'ALL ML SYSTEMS'!J167</f>
        <v>https://arxiv.org/abs/1905.11946</v>
      </c>
      <c r="K167" s="338">
        <f>'ALL ML SYSTEMS'!K167</f>
        <v>3189</v>
      </c>
      <c r="L167" s="325" t="str">
        <f>'ALL ML SYSTEMS'!L167</f>
        <v>Highly cited</v>
      </c>
      <c r="M167" s="338" t="str">
        <f>'ALL ML SYSTEMS'!M167</f>
        <v>Yes</v>
      </c>
      <c r="N167" s="338">
        <f>'ALL ML SYSTEMS'!N167</f>
        <v>480000000</v>
      </c>
      <c r="O167" s="338">
        <f>'ALL ML SYSTEMS'!O167</f>
        <v>0</v>
      </c>
      <c r="P167" s="339">
        <f>'ALL ML SYSTEMS'!P167</f>
        <v>0</v>
      </c>
      <c r="Q167" s="338">
        <f>'ALL ML SYSTEMS'!Q167</f>
        <v>0</v>
      </c>
      <c r="R167" s="325">
        <f>'ALL ML SYSTEMS'!R167</f>
        <v>0</v>
      </c>
      <c r="S167" s="338">
        <f>'ALL ML SYSTEMS'!S167</f>
        <v>390000000</v>
      </c>
      <c r="T167" s="325">
        <f>'ALL ML SYSTEMS'!T167</f>
        <v>0</v>
      </c>
      <c r="U167" s="325">
        <f>'ALL ML SYSTEMS'!U167</f>
        <v>0</v>
      </c>
      <c r="V167" s="325">
        <f>'ALL ML SYSTEMS'!V167</f>
        <v>0</v>
      </c>
      <c r="W167" s="325">
        <f>'ALL ML SYSTEMS'!W167</f>
        <v>0</v>
      </c>
      <c r="X167" s="325">
        <f>'ALL ML SYSTEMS'!X167</f>
        <v>0</v>
      </c>
      <c r="Y167" s="325">
        <f>'ALL ML SYSTEMS'!Y167</f>
        <v>0</v>
      </c>
      <c r="Z167" s="325" t="str">
        <f>'ALL ML SYSTEMS'!Z167</f>
        <v>Score</v>
      </c>
      <c r="AA167" s="341" t="str">
        <f>'ALL ML SYSTEMS'!AA167</f>
        <v/>
      </c>
      <c r="AB167" s="325">
        <f>'ALL ML SYSTEMS'!AB167</f>
        <v>0</v>
      </c>
      <c r="AC167" s="325">
        <f>'ALL ML SYSTEMS'!AC167</f>
        <v>0</v>
      </c>
      <c r="AD167" s="325" t="str">
        <f>'ALL ML SYSTEMS'!AD167</f>
        <v>Industry</v>
      </c>
    </row>
    <row r="168" hidden="1" customHeight="1" spans="1:30">
      <c r="A168" s="323" t="str">
        <f>'ALL ML SYSTEMS'!A168</f>
        <v>Grover-Mega</v>
      </c>
      <c r="B168" s="323" t="str">
        <f>'ALL ML SYSTEMS'!B168</f>
        <v>Language</v>
      </c>
      <c r="C168" s="323">
        <f>'ALL ML SYSTEMS'!C168</f>
        <v>0</v>
      </c>
      <c r="D168" s="323" t="str">
        <f>'ALL ML SYSTEMS'!D168</f>
        <v>University of Washington</v>
      </c>
      <c r="E168" s="323" t="str">
        <f>'ALL ML SYSTEMS'!E168</f>
        <v>Industry - Academia Collaboration (Academia leaning)</v>
      </c>
      <c r="F168" s="323" t="str">
        <f>'ALL ML SYSTEMS'!F168</f>
        <v>R Zellers, A Holtzman, H Rashkin, Y Bisk</v>
      </c>
      <c r="G168" s="324">
        <f>'ALL ML SYSTEMS'!G168</f>
        <v>43614</v>
      </c>
      <c r="H168" s="329">
        <f>'ALL ML SYSTEMS'!H168</f>
        <v>3614</v>
      </c>
      <c r="I168" s="323" t="str">
        <f>'ALL ML SYSTEMS'!I168</f>
        <v>Defending Against Neural Fake News</v>
      </c>
      <c r="J168" s="334" t="str">
        <f>'ALL ML SYSTEMS'!J168</f>
        <v>https://arxiv.org/abs/1905.12616</v>
      </c>
      <c r="K168" s="335">
        <f>'ALL ML SYSTEMS'!K168</f>
        <v>543</v>
      </c>
      <c r="L168" s="323">
        <f>'ALL ML SYSTEMS'!L168</f>
        <v>0</v>
      </c>
      <c r="M168" s="335" t="str">
        <f>'ALL ML SYSTEMS'!M168</f>
        <v>No</v>
      </c>
      <c r="N168" s="335">
        <f>'ALL ML SYSTEMS'!N168</f>
        <v>1500000000</v>
      </c>
      <c r="O168" s="335">
        <f>'ALL ML SYSTEMS'!O168</f>
        <v>0</v>
      </c>
      <c r="P168" s="336">
        <f>'ALL ML SYSTEMS'!P168</f>
        <v>0</v>
      </c>
      <c r="Q168" s="335">
        <f>'ALL ML SYSTEMS'!Q168</f>
        <v>0</v>
      </c>
      <c r="R168" s="323">
        <f>'ALL ML SYSTEMS'!R168</f>
        <v>0</v>
      </c>
      <c r="S168" s="335">
        <f>'ALL ML SYSTEMS'!S168</f>
        <v>0</v>
      </c>
      <c r="T168" s="323">
        <f>'ALL ML SYSTEMS'!T168</f>
        <v>0</v>
      </c>
      <c r="U168" s="323">
        <f>'ALL ML SYSTEMS'!U168</f>
        <v>0</v>
      </c>
      <c r="V168" s="323">
        <f>'ALL ML SYSTEMS'!V168</f>
        <v>0</v>
      </c>
      <c r="W168" s="323">
        <f>'ALL ML SYSTEMS'!W168</f>
        <v>0</v>
      </c>
      <c r="X168" s="323">
        <f>'ALL ML SYSTEMS'!X168</f>
        <v>0</v>
      </c>
      <c r="Y168" s="323">
        <f>'ALL ML SYSTEMS'!Y168</f>
        <v>0</v>
      </c>
      <c r="Z168" s="323">
        <f>'ALL ML SYSTEMS'!Z168</f>
        <v>0</v>
      </c>
      <c r="AA168" s="340" t="str">
        <f>'ALL ML SYSTEMS'!AA168</f>
        <v/>
      </c>
      <c r="AB168" s="323"/>
      <c r="AC168" s="323">
        <f>'ALL ML SYSTEMS'!AB168</f>
        <v>0</v>
      </c>
      <c r="AD168" s="323">
        <f>'ALL ML SYSTEMS'!AC168</f>
        <v>0</v>
      </c>
    </row>
    <row r="169" hidden="1" customHeight="1" spans="1:30">
      <c r="A169" s="325" t="str">
        <f>'ALL ML SYSTEMS'!A169</f>
        <v>XLM</v>
      </c>
      <c r="B169" s="325" t="str">
        <f>'ALL ML SYSTEMS'!B169</f>
        <v>Language</v>
      </c>
      <c r="C169" s="325">
        <f>'ALL ML SYSTEMS'!C169</f>
        <v>0</v>
      </c>
      <c r="D169" s="325" t="str">
        <f>'ALL ML SYSTEMS'!D169</f>
        <v>Facebook</v>
      </c>
      <c r="E169" s="325" t="str">
        <f>'ALL ML SYSTEMS'!E169</f>
        <v>Industry</v>
      </c>
      <c r="F169" s="325" t="str">
        <f>'ALL ML SYSTEMS'!F169</f>
        <v>G Lample, A Conneau</v>
      </c>
      <c r="G169" s="326">
        <f>'ALL ML SYSTEMS'!G169</f>
        <v>43617</v>
      </c>
      <c r="H169" s="327">
        <f>'ALL ML SYSTEMS'!H169</f>
        <v>3617</v>
      </c>
      <c r="I169" s="325" t="str">
        <f>'ALL ML SYSTEMS'!I169</f>
        <v>Cross-lingual Language Model Pretraining</v>
      </c>
      <c r="J169" s="337" t="str">
        <f>'ALL ML SYSTEMS'!J169</f>
        <v>https://arxiv.org/abs/1901.07291</v>
      </c>
      <c r="K169" s="338">
        <f>'ALL ML SYSTEMS'!K169</f>
        <v>678</v>
      </c>
      <c r="L169" s="325">
        <f>'ALL ML SYSTEMS'!L169</f>
        <v>0</v>
      </c>
      <c r="M169" s="338" t="str">
        <f>'ALL ML SYSTEMS'!M169</f>
        <v>No</v>
      </c>
      <c r="N169" s="338">
        <f>'ALL ML SYSTEMS'!N169</f>
        <v>665000000</v>
      </c>
      <c r="O169" s="338">
        <f>'ALL ML SYSTEMS'!O169</f>
        <v>0</v>
      </c>
      <c r="P169" s="339">
        <f>'ALL ML SYSTEMS'!P169</f>
        <v>0</v>
      </c>
      <c r="Q169" s="338">
        <f>'ALL ML SYSTEMS'!Q169</f>
        <v>0</v>
      </c>
      <c r="R169" s="325">
        <f>'ALL ML SYSTEMS'!R169</f>
        <v>0</v>
      </c>
      <c r="S169" s="338">
        <f>'ALL ML SYSTEMS'!S169</f>
        <v>0</v>
      </c>
      <c r="T169" s="325">
        <f>'ALL ML SYSTEMS'!T169</f>
        <v>0</v>
      </c>
      <c r="U169" s="325">
        <f>'ALL ML SYSTEMS'!U169</f>
        <v>0</v>
      </c>
      <c r="V169" s="325">
        <f>'ALL ML SYSTEMS'!V169</f>
        <v>0</v>
      </c>
      <c r="W169" s="325">
        <f>'ALL ML SYSTEMS'!W169</f>
        <v>0</v>
      </c>
      <c r="X169" s="325">
        <f>'ALL ML SYSTEMS'!X169</f>
        <v>0</v>
      </c>
      <c r="Y169" s="325">
        <f>'ALL ML SYSTEMS'!Y169</f>
        <v>0</v>
      </c>
      <c r="Z169" s="325">
        <f>'ALL ML SYSTEMS'!Z169</f>
        <v>0</v>
      </c>
      <c r="AA169" s="341" t="str">
        <f>'ALL ML SYSTEMS'!AA169</f>
        <v/>
      </c>
      <c r="AB169" s="325"/>
      <c r="AC169" s="325">
        <f>'ALL ML SYSTEMS'!AB169</f>
        <v>0</v>
      </c>
      <c r="AD169" s="325">
        <f>'ALL ML SYSTEMS'!AC169</f>
        <v>0</v>
      </c>
    </row>
    <row r="170" customHeight="1" spans="1:30">
      <c r="A170" s="323" t="str">
        <f>'ALL ML SYSTEMS'!A170</f>
        <v>XLNet</v>
      </c>
      <c r="B170" s="323" t="str">
        <f>'ALL ML SYSTEMS'!B170</f>
        <v>Language</v>
      </c>
      <c r="C170" s="323">
        <f>'ALL ML SYSTEMS'!C170</f>
        <v>0</v>
      </c>
      <c r="D170" s="323" t="str">
        <f>'ALL ML SYSTEMS'!D170</f>
        <v>Carnegie Mellon University, Google AI Brain </v>
      </c>
      <c r="E170" s="323" t="str">
        <f>'ALL ML SYSTEMS'!E170</f>
        <v>Industry - Academia Collaboration</v>
      </c>
      <c r="F170" s="323" t="str">
        <f>'ALL ML SYSTEMS'!F170</f>
        <v>Z Yang, Z Dai, Y Yang, J Carbonell</v>
      </c>
      <c r="G170" s="324">
        <f>'ALL ML SYSTEMS'!G170</f>
        <v>43617</v>
      </c>
      <c r="H170" s="329">
        <f>'ALL ML SYSTEMS'!H170</f>
        <v>3617</v>
      </c>
      <c r="I170" s="323" t="str">
        <f>'ALL ML SYSTEMS'!I170</f>
        <v>XLNet: Generalized Autoregressive Pretraining for Language Understanding</v>
      </c>
      <c r="J170" s="334" t="str">
        <f>'ALL ML SYSTEMS'!J170</f>
        <v>https://arxiv.org/abs/1906.08237</v>
      </c>
      <c r="K170" s="335">
        <f>'ALL ML SYSTEMS'!K170</f>
        <v>3057</v>
      </c>
      <c r="L170" s="323" t="str">
        <f>'ALL ML SYSTEMS'!L170</f>
        <v>Highly cited</v>
      </c>
      <c r="M170" s="335" t="str">
        <f>'ALL ML SYSTEMS'!M170</f>
        <v>Yes</v>
      </c>
      <c r="N170" s="335">
        <f>'ALL ML SYSTEMS'!N170</f>
        <v>340000000</v>
      </c>
      <c r="O170" s="335">
        <f>'ALL ML SYSTEMS'!O170</f>
        <v>0</v>
      </c>
      <c r="P170" s="336">
        <f>'ALL ML SYSTEMS'!P170</f>
        <v>0</v>
      </c>
      <c r="Q170" s="335">
        <f>'ALL ML SYSTEMS'!Q170</f>
        <v>0</v>
      </c>
      <c r="R170" s="323">
        <f>'ALL ML SYSTEMS'!R170</f>
        <v>0</v>
      </c>
      <c r="S170" s="335">
        <f>'ALL ML SYSTEMS'!S170</f>
        <v>0</v>
      </c>
      <c r="T170" s="323">
        <f>'ALL ML SYSTEMS'!T170</f>
        <v>0</v>
      </c>
      <c r="U170" s="323">
        <f>'ALL ML SYSTEMS'!U170</f>
        <v>0</v>
      </c>
      <c r="V170" s="323">
        <f>'ALL ML SYSTEMS'!V170</f>
        <v>0</v>
      </c>
      <c r="W170" s="323">
        <f>'ALL ML SYSTEMS'!W170</f>
        <v>0</v>
      </c>
      <c r="X170" s="323">
        <f>'ALL ML SYSTEMS'!X170</f>
        <v>0</v>
      </c>
      <c r="Y170" s="323">
        <f>'ALL ML SYSTEMS'!Y170</f>
        <v>0</v>
      </c>
      <c r="Z170" s="323">
        <f>'ALL ML SYSTEMS'!Z170</f>
        <v>0</v>
      </c>
      <c r="AA170" s="340" t="str">
        <f>'ALL ML SYSTEMS'!AA170</f>
        <v/>
      </c>
      <c r="AB170" s="323">
        <f>'ALL ML SYSTEMS'!AB170</f>
        <v>0</v>
      </c>
      <c r="AC170" s="323">
        <f>'ALL ML SYSTEMS'!AC170</f>
        <v>0</v>
      </c>
      <c r="AD170" s="323" t="str">
        <f>'ALL ML SYSTEMS'!AD170</f>
        <v>Industry</v>
      </c>
    </row>
    <row r="171" hidden="1" customHeight="1" spans="1:30">
      <c r="A171" s="325" t="str">
        <f>'ALL ML SYSTEMS'!A171</f>
        <v>AMDIM</v>
      </c>
      <c r="B171" s="325" t="str">
        <f>'ALL ML SYSTEMS'!B171</f>
        <v>Drawing</v>
      </c>
      <c r="C171" s="325" t="str">
        <f>'ALL ML SYSTEMS'!C171</f>
        <v>Image completion</v>
      </c>
      <c r="D171" s="325" t="str">
        <f>'ALL ML SYSTEMS'!D171</f>
        <v>Microsoft Research</v>
      </c>
      <c r="E171" s="325" t="str">
        <f>'ALL ML SYSTEMS'!E171</f>
        <v>Industry</v>
      </c>
      <c r="F171" s="325" t="str">
        <f>'ALL ML SYSTEMS'!F171</f>
        <v>Philip Bachman, R Devon Hjelm, William Buchwalter</v>
      </c>
      <c r="G171" s="326">
        <f>'ALL ML SYSTEMS'!G171</f>
        <v>43619</v>
      </c>
      <c r="H171" s="327">
        <f>'ALL ML SYSTEMS'!H171</f>
        <v>3619</v>
      </c>
      <c r="I171" s="325" t="str">
        <f>'ALL ML SYSTEMS'!I171</f>
        <v>Learning Representations by Maximizing Mutual Information Across Views</v>
      </c>
      <c r="J171" s="337" t="str">
        <f>'ALL ML SYSTEMS'!J171</f>
        <v>https://arxiv.org/abs/1906.00910</v>
      </c>
      <c r="K171" s="338">
        <f>'ALL ML SYSTEMS'!K171</f>
        <v>486</v>
      </c>
      <c r="L171" s="325">
        <f>'ALL ML SYSTEMS'!L171</f>
        <v>0</v>
      </c>
      <c r="M171" s="338" t="str">
        <f>'ALL ML SYSTEMS'!M171</f>
        <v>No</v>
      </c>
      <c r="N171" s="338">
        <f>'ALL ML SYSTEMS'!N171</f>
        <v>626000000</v>
      </c>
      <c r="O171" s="338">
        <f>'ALL ML SYSTEMS'!O171</f>
        <v>0</v>
      </c>
      <c r="P171" s="339">
        <f>'ALL ML SYSTEMS'!P171</f>
        <v>0</v>
      </c>
      <c r="Q171" s="338">
        <f>'ALL ML SYSTEMS'!Q171</f>
        <v>0</v>
      </c>
      <c r="R171" s="325">
        <f>'ALL ML SYSTEMS'!R171</f>
        <v>0</v>
      </c>
      <c r="S171" s="338">
        <f>'ALL ML SYSTEMS'!S171</f>
        <v>0</v>
      </c>
      <c r="T171" s="325">
        <f>'ALL ML SYSTEMS'!T171</f>
        <v>0</v>
      </c>
      <c r="U171" s="325">
        <f>'ALL ML SYSTEMS'!U171</f>
        <v>0</v>
      </c>
      <c r="V171" s="325">
        <f>'ALL ML SYSTEMS'!V171</f>
        <v>0</v>
      </c>
      <c r="W171" s="325">
        <f>'ALL ML SYSTEMS'!W171</f>
        <v>0</v>
      </c>
      <c r="X171" s="325">
        <f>'ALL ML SYSTEMS'!X171</f>
        <v>0</v>
      </c>
      <c r="Y171" s="325">
        <f>'ALL ML SYSTEMS'!Y171</f>
        <v>0</v>
      </c>
      <c r="Z171" s="325">
        <f>'ALL ML SYSTEMS'!Z171</f>
        <v>0</v>
      </c>
      <c r="AA171" s="341" t="str">
        <f>'ALL ML SYSTEMS'!AA171</f>
        <v/>
      </c>
      <c r="AB171" s="325"/>
      <c r="AC171" s="325">
        <f>'ALL ML SYSTEMS'!AB171</f>
        <v>0</v>
      </c>
      <c r="AD171" s="325">
        <f>'ALL ML SYSTEMS'!AC171</f>
        <v>0</v>
      </c>
    </row>
    <row r="172" hidden="1" customHeight="1" spans="1:30">
      <c r="A172" s="323" t="str">
        <f>'ALL ML SYSTEMS'!A172</f>
        <v>FixRes ResNeXt-101 WSL</v>
      </c>
      <c r="B172" s="323" t="str">
        <f>'ALL ML SYSTEMS'!B172</f>
        <v>Vision</v>
      </c>
      <c r="C172" s="323" t="str">
        <f>'ALL ML SYSTEMS'!C172</f>
        <v>Image classification</v>
      </c>
      <c r="D172" s="323" t="str">
        <f>'ALL ML SYSTEMS'!D172</f>
        <v>Facebook AI</v>
      </c>
      <c r="E172" s="323" t="str">
        <f>'ALL ML SYSTEMS'!E172</f>
        <v>Industry</v>
      </c>
      <c r="F172" s="323" t="str">
        <f>'ALL ML SYSTEMS'!F172</f>
        <v>H Touvron, A Vedaldi, M Douze, H Jégou</v>
      </c>
      <c r="G172" s="324">
        <f>'ALL ML SYSTEMS'!G172</f>
        <v>43630</v>
      </c>
      <c r="H172" s="329">
        <f>'ALL ML SYSTEMS'!H172</f>
        <v>3630</v>
      </c>
      <c r="I172" s="323" t="str">
        <f>'ALL ML SYSTEMS'!I172</f>
        <v>Fixing the train-test resolution discrepancy</v>
      </c>
      <c r="J172" s="334" t="str">
        <f>'ALL ML SYSTEMS'!J172</f>
        <v>https://arxiv.org/abs/1906.06423</v>
      </c>
      <c r="K172" s="335">
        <f>'ALL ML SYSTEMS'!K172</f>
        <v>405</v>
      </c>
      <c r="L172" s="323">
        <f>'ALL ML SYSTEMS'!L172</f>
        <v>0</v>
      </c>
      <c r="M172" s="335" t="str">
        <f>'ALL ML SYSTEMS'!M172</f>
        <v>No</v>
      </c>
      <c r="N172" s="335">
        <f>'ALL ML SYSTEMS'!N172</f>
        <v>829000000</v>
      </c>
      <c r="O172" s="335">
        <f>'ALL ML SYSTEMS'!O172</f>
        <v>0</v>
      </c>
      <c r="P172" s="336">
        <f>'ALL ML SYSTEMS'!P172</f>
        <v>0</v>
      </c>
      <c r="Q172" s="335">
        <f>'ALL ML SYSTEMS'!Q172</f>
        <v>940000000</v>
      </c>
      <c r="R172" s="323">
        <f>'ALL ML SYSTEMS'!R172</f>
        <v>0</v>
      </c>
      <c r="S172" s="335">
        <f>'ALL ML SYSTEMS'!S172</f>
        <v>0</v>
      </c>
      <c r="T172" s="323">
        <f>'ALL ML SYSTEMS'!T172</f>
        <v>0</v>
      </c>
      <c r="U172" s="323">
        <f>'ALL ML SYSTEMS'!U172</f>
        <v>0</v>
      </c>
      <c r="V172" s="323">
        <f>'ALL ML SYSTEMS'!V172</f>
        <v>0</v>
      </c>
      <c r="W172" s="323">
        <f>'ALL ML SYSTEMS'!W172</f>
        <v>0</v>
      </c>
      <c r="X172" s="323">
        <f>'ALL ML SYSTEMS'!X172</f>
        <v>0</v>
      </c>
      <c r="Y172" s="323">
        <f>'ALL ML SYSTEMS'!Y172</f>
        <v>0</v>
      </c>
      <c r="Z172" s="323">
        <f>'ALL ML SYSTEMS'!Z172</f>
        <v>0</v>
      </c>
      <c r="AA172" s="340" t="str">
        <f>'ALL ML SYSTEMS'!AA172</f>
        <v/>
      </c>
      <c r="AB172" s="323"/>
      <c r="AC172" s="323">
        <f>'ALL ML SYSTEMS'!AB172</f>
        <v>0</v>
      </c>
      <c r="AD172" s="323">
        <f>'ALL ML SYSTEMS'!AC172</f>
        <v>0</v>
      </c>
    </row>
    <row r="173" customHeight="1" spans="1:30">
      <c r="A173" s="325" t="str">
        <f>'ALL ML SYSTEMS'!A173</f>
        <v>RoBERTa</v>
      </c>
      <c r="B173" s="325" t="str">
        <f>'ALL ML SYSTEMS'!B173</f>
        <v>Language</v>
      </c>
      <c r="C173" s="325">
        <f>'ALL ML SYSTEMS'!C173</f>
        <v>0</v>
      </c>
      <c r="D173" s="325" t="str">
        <f>'ALL ML SYSTEMS'!D173</f>
        <v>Facebook</v>
      </c>
      <c r="E173" s="325" t="str">
        <f>'ALL ML SYSTEMS'!E173</f>
        <v>Industry</v>
      </c>
      <c r="F173" s="325" t="str">
        <f>'ALL ML SYSTEMS'!F173</f>
        <v>Y Liu, M Ott, N Goyal, J Du, M Joshi, D Chen</v>
      </c>
      <c r="G173" s="326">
        <f>'ALL ML SYSTEMS'!G173</f>
        <v>43647</v>
      </c>
      <c r="H173" s="327">
        <f>'ALL ML SYSTEMS'!H173</f>
        <v>3647</v>
      </c>
      <c r="I173" s="325" t="str">
        <f>'ALL ML SYSTEMS'!I173</f>
        <v>RoBERTa: A Robustly Optimized BERT Pretraining Approach</v>
      </c>
      <c r="J173" s="337" t="str">
        <f>'ALL ML SYSTEMS'!J173</f>
        <v>https://arxiv.org/abs/1907.11692</v>
      </c>
      <c r="K173" s="338">
        <f>'ALL ML SYSTEMS'!K173</f>
        <v>1506</v>
      </c>
      <c r="L173" s="325" t="str">
        <f>'ALL ML SYSTEMS'!L173</f>
        <v>Highly cited</v>
      </c>
      <c r="M173" s="338" t="str">
        <f>'ALL ML SYSTEMS'!M173</f>
        <v>Yes</v>
      </c>
      <c r="N173" s="338">
        <f>'ALL ML SYSTEMS'!N173</f>
        <v>355000000</v>
      </c>
      <c r="O173" s="338">
        <f>'ALL ML SYSTEMS'!O173</f>
        <v>0</v>
      </c>
      <c r="P173" s="339">
        <f>'ALL ML SYSTEMS'!P173</f>
        <v>0</v>
      </c>
      <c r="Q173" s="338">
        <f>'ALL ML SYSTEMS'!Q173</f>
        <v>0</v>
      </c>
      <c r="R173" s="325">
        <f>'ALL ML SYSTEMS'!R173</f>
        <v>0</v>
      </c>
      <c r="S173" s="338">
        <f>'ALL ML SYSTEMS'!S173</f>
        <v>0</v>
      </c>
      <c r="T173" s="325">
        <f>'ALL ML SYSTEMS'!T173</f>
        <v>0</v>
      </c>
      <c r="U173" s="325">
        <f>'ALL ML SYSTEMS'!U173</f>
        <v>0</v>
      </c>
      <c r="V173" s="325">
        <f>'ALL ML SYSTEMS'!V173</f>
        <v>0</v>
      </c>
      <c r="W173" s="325">
        <f>'ALL ML SYSTEMS'!W173</f>
        <v>0</v>
      </c>
      <c r="X173" s="325">
        <f>'ALL ML SYSTEMS'!X173</f>
        <v>0</v>
      </c>
      <c r="Y173" s="325">
        <f>'ALL ML SYSTEMS'!Y173</f>
        <v>0</v>
      </c>
      <c r="Z173" s="325">
        <f>'ALL ML SYSTEMS'!Z173</f>
        <v>0</v>
      </c>
      <c r="AA173" s="341" t="str">
        <f>'ALL ML SYSTEMS'!AA173</f>
        <v/>
      </c>
      <c r="AB173" s="325">
        <f>'ALL ML SYSTEMS'!AB173</f>
        <v>0</v>
      </c>
      <c r="AC173" s="325">
        <f>'ALL ML SYSTEMS'!AC173</f>
        <v>0</v>
      </c>
      <c r="AD173" s="325" t="str">
        <f>'ALL ML SYSTEMS'!AD173</f>
        <v>Industry</v>
      </c>
    </row>
    <row r="174" hidden="1" customHeight="1" spans="1:30">
      <c r="A174" s="323" t="str">
        <f>'ALL ML SYSTEMS'!A174</f>
        <v>BigBiGAN</v>
      </c>
      <c r="B174" s="323" t="str">
        <f>'ALL ML SYSTEMS'!B174</f>
        <v>Drawing</v>
      </c>
      <c r="C174" s="323" t="str">
        <f>'ALL ML SYSTEMS'!C174</f>
        <v>Image completion</v>
      </c>
      <c r="D174" s="323" t="str">
        <f>'ALL ML SYSTEMS'!D174</f>
        <v>Google</v>
      </c>
      <c r="E174" s="323" t="str">
        <f>'ALL ML SYSTEMS'!E174</f>
        <v>Industry</v>
      </c>
      <c r="F174" s="323" t="str">
        <f>'ALL ML SYSTEMS'!F174</f>
        <v>Spyros Gidaris, Praveer Singh, Nikos Komodakis</v>
      </c>
      <c r="G174" s="324">
        <f>'ALL ML SYSTEMS'!G174</f>
        <v>43650</v>
      </c>
      <c r="H174" s="329">
        <f>'ALL ML SYSTEMS'!H174</f>
        <v>3650</v>
      </c>
      <c r="I174" s="323" t="str">
        <f>'ALL ML SYSTEMS'!I174</f>
        <v>Large Scale Adversarial Representation Learning</v>
      </c>
      <c r="J174" s="334" t="str">
        <f>'ALL ML SYSTEMS'!J174</f>
        <v>https://arxiv.org/abs/1907.02544</v>
      </c>
      <c r="K174" s="335">
        <f>'ALL ML SYSTEMS'!K174</f>
        <v>403</v>
      </c>
      <c r="L174" s="323">
        <f>'ALL ML SYSTEMS'!L174</f>
        <v>0</v>
      </c>
      <c r="M174" s="335" t="str">
        <f>'ALL ML SYSTEMS'!M174</f>
        <v>No</v>
      </c>
      <c r="N174" s="335">
        <f>'ALL ML SYSTEMS'!N174</f>
        <v>86000000</v>
      </c>
      <c r="O174" s="335">
        <f>'ALL ML SYSTEMS'!O174</f>
        <v>0</v>
      </c>
      <c r="P174" s="336">
        <f>'ALL ML SYSTEMS'!P174</f>
        <v>0</v>
      </c>
      <c r="Q174" s="335">
        <f>'ALL ML SYSTEMS'!Q174</f>
        <v>0</v>
      </c>
      <c r="R174" s="323">
        <f>'ALL ML SYSTEMS'!R174</f>
        <v>0</v>
      </c>
      <c r="S174" s="335">
        <f>'ALL ML SYSTEMS'!S174</f>
        <v>0</v>
      </c>
      <c r="T174" s="323">
        <f>'ALL ML SYSTEMS'!T174</f>
        <v>0</v>
      </c>
      <c r="U174" s="323">
        <f>'ALL ML SYSTEMS'!U174</f>
        <v>0</v>
      </c>
      <c r="V174" s="323">
        <f>'ALL ML SYSTEMS'!V174</f>
        <v>0</v>
      </c>
      <c r="W174" s="323">
        <f>'ALL ML SYSTEMS'!W174</f>
        <v>0</v>
      </c>
      <c r="X174" s="323">
        <f>'ALL ML SYSTEMS'!X174</f>
        <v>0</v>
      </c>
      <c r="Y174" s="323">
        <f>'ALL ML SYSTEMS'!Y174</f>
        <v>0</v>
      </c>
      <c r="Z174" s="323">
        <f>'ALL ML SYSTEMS'!Z174</f>
        <v>0</v>
      </c>
      <c r="AA174" s="340" t="str">
        <f>'ALL ML SYSTEMS'!AA174</f>
        <v/>
      </c>
      <c r="AB174" s="323"/>
      <c r="AC174" s="323">
        <f>'ALL ML SYSTEMS'!AB174</f>
        <v>0</v>
      </c>
      <c r="AD174" s="323">
        <f>'ALL ML SYSTEMS'!AC174</f>
        <v>0</v>
      </c>
    </row>
    <row r="175" customHeight="1" spans="1:30">
      <c r="A175" s="325" t="str">
        <f>'ALL ML SYSTEMS'!A175</f>
        <v>ALBERT</v>
      </c>
      <c r="B175" s="325" t="str">
        <f>'ALL ML SYSTEMS'!B175</f>
        <v>Language</v>
      </c>
      <c r="C175" s="325">
        <f>'ALL ML SYSTEMS'!C175</f>
        <v>0</v>
      </c>
      <c r="D175" s="325" t="str">
        <f>'ALL ML SYSTEMS'!D175</f>
        <v>Google, TTIC</v>
      </c>
      <c r="E175" s="325" t="str">
        <f>'ALL ML SYSTEMS'!E175</f>
        <v>Industry - Academia Collaboration</v>
      </c>
      <c r="F175" s="325" t="str">
        <f>'ALL ML SYSTEMS'!F175</f>
        <v>Z Lan, M Chen, S Goodman, K Gimpel</v>
      </c>
      <c r="G175" s="326">
        <f>'ALL ML SYSTEMS'!G175</f>
        <v>43734</v>
      </c>
      <c r="H175" s="327">
        <f>'ALL ML SYSTEMS'!H175</f>
        <v>3734</v>
      </c>
      <c r="I175" s="325" t="str">
        <f>'ALL ML SYSTEMS'!I175</f>
        <v>ALBERT: A Lite BERT for Self-supervised Learning of Language Representations</v>
      </c>
      <c r="J175" s="337" t="str">
        <f>'ALL ML SYSTEMS'!J175</f>
        <v>https://arxiv.org/abs/1909.11942</v>
      </c>
      <c r="K175" s="338">
        <f>'ALL ML SYSTEMS'!K175</f>
        <v>1656</v>
      </c>
      <c r="L175" s="325" t="str">
        <f>'ALL ML SYSTEMS'!L175</f>
        <v>Highly cited</v>
      </c>
      <c r="M175" s="338" t="str">
        <f>'ALL ML SYSTEMS'!M175</f>
        <v>Yes</v>
      </c>
      <c r="N175" s="338">
        <f>'ALL ML SYSTEMS'!N175</f>
        <v>288888.888888889</v>
      </c>
      <c r="O175" s="338">
        <f>'ALL ML SYSTEMS'!O175</f>
        <v>0</v>
      </c>
      <c r="P175" s="339">
        <f>'ALL ML SYSTEMS'!P175</f>
        <v>0</v>
      </c>
      <c r="Q175" s="338">
        <f>'ALL ML SYSTEMS'!Q175</f>
        <v>3300000000</v>
      </c>
      <c r="R175" s="325">
        <f>'ALL ML SYSTEMS'!R175</f>
        <v>0</v>
      </c>
      <c r="S175" s="338">
        <f>'ALL ML SYSTEMS'!S175</f>
        <v>22500000000</v>
      </c>
      <c r="T175" s="325">
        <f>'ALL ML SYSTEMS'!T175</f>
        <v>0</v>
      </c>
      <c r="U175" s="325">
        <f>'ALL ML SYSTEMS'!U175</f>
        <v>0</v>
      </c>
      <c r="V175" s="325">
        <f>'ALL ML SYSTEMS'!V175</f>
        <v>0</v>
      </c>
      <c r="W175" s="325">
        <f>'ALL ML SYSTEMS'!W175</f>
        <v>0</v>
      </c>
      <c r="X175" s="325">
        <f>'ALL ML SYSTEMS'!X175</f>
        <v>0</v>
      </c>
      <c r="Y175" s="325">
        <f>'ALL ML SYSTEMS'!Y175</f>
        <v>0</v>
      </c>
      <c r="Z175" s="325">
        <f>'ALL ML SYSTEMS'!Z175</f>
        <v>0</v>
      </c>
      <c r="AA175" s="341" t="str">
        <f>'ALL ML SYSTEMS'!AA175</f>
        <v/>
      </c>
      <c r="AB175" s="325">
        <f>'ALL ML SYSTEMS'!AB175</f>
        <v>0</v>
      </c>
      <c r="AC175" s="325">
        <f>'ALL ML SYSTEMS'!AC175</f>
        <v>0</v>
      </c>
      <c r="AD175" s="325" t="str">
        <f>'ALL ML SYSTEMS'!AD175</f>
        <v>Industry</v>
      </c>
    </row>
    <row r="176" hidden="1" customHeight="1" spans="1:30">
      <c r="A176" s="323" t="str">
        <f>'ALL ML SYSTEMS'!A176</f>
        <v>DistilBERT</v>
      </c>
      <c r="B176" s="323" t="str">
        <f>'ALL ML SYSTEMS'!B176</f>
        <v>Language</v>
      </c>
      <c r="C176" s="323" t="str">
        <f>'ALL ML SYSTEMS'!C176</f>
        <v>Text autocompletion</v>
      </c>
      <c r="D176" s="323" t="str">
        <f>'ALL ML SYSTEMS'!D176</f>
        <v>HuggingFace</v>
      </c>
      <c r="E176" s="323" t="str">
        <f>'ALL ML SYSTEMS'!E176</f>
        <v>Industry</v>
      </c>
      <c r="F176" s="323" t="str">
        <f>'ALL ML SYSTEMS'!F176</f>
        <v>Victor Sanh, Lysandre Debut, Julien Chaumond, Thomas Wolf</v>
      </c>
      <c r="G176" s="324">
        <f>'ALL ML SYSTEMS'!G176</f>
        <v>43740</v>
      </c>
      <c r="H176" s="329">
        <f>'ALL ML SYSTEMS'!H176</f>
        <v>3740</v>
      </c>
      <c r="I176" s="323" t="str">
        <f>'ALL ML SYSTEMS'!I176</f>
        <v>DistilBERT, a distilled version of BERT: smaller, faster, cheaper and lighter</v>
      </c>
      <c r="J176" s="334" t="str">
        <f>'ALL ML SYSTEMS'!J176</f>
        <v>https://arxiv.org/abs/1910.01108</v>
      </c>
      <c r="K176" s="335">
        <f>'ALL ML SYSTEMS'!K176</f>
        <v>895</v>
      </c>
      <c r="L176" s="323">
        <f>'ALL ML SYSTEMS'!L176</f>
        <v>0</v>
      </c>
      <c r="M176" s="335" t="str">
        <f>'ALL ML SYSTEMS'!M176</f>
        <v>No</v>
      </c>
      <c r="N176" s="335">
        <f>'ALL ML SYSTEMS'!N176</f>
        <v>66000000</v>
      </c>
      <c r="O176" s="335">
        <f>'ALL ML SYSTEMS'!O176</f>
        <v>0</v>
      </c>
      <c r="P176" s="336">
        <f>'ALL ML SYSTEMS'!P176</f>
        <v>0</v>
      </c>
      <c r="Q176" s="335">
        <f>'ALL ML SYSTEMS'!Q176</f>
        <v>0</v>
      </c>
      <c r="R176" s="323">
        <f>'ALL ML SYSTEMS'!R176</f>
        <v>0</v>
      </c>
      <c r="S176" s="335">
        <f>'ALL ML SYSTEMS'!S176</f>
        <v>0</v>
      </c>
      <c r="T176" s="323">
        <f>'ALL ML SYSTEMS'!T176</f>
        <v>0</v>
      </c>
      <c r="U176" s="323">
        <f>'ALL ML SYSTEMS'!U176</f>
        <v>0</v>
      </c>
      <c r="V176" s="323">
        <f>'ALL ML SYSTEMS'!V176</f>
        <v>0</v>
      </c>
      <c r="W176" s="323">
        <f>'ALL ML SYSTEMS'!W176</f>
        <v>0</v>
      </c>
      <c r="X176" s="323">
        <f>'ALL ML SYSTEMS'!X176</f>
        <v>0</v>
      </c>
      <c r="Y176" s="323">
        <f>'ALL ML SYSTEMS'!Y176</f>
        <v>0</v>
      </c>
      <c r="Z176" s="323" t="str">
        <f>'ALL ML SYSTEMS'!Z176</f>
        <v>Perplexity of next token</v>
      </c>
      <c r="AA176" s="340" t="str">
        <f>'ALL ML SYSTEMS'!AA176</f>
        <v/>
      </c>
      <c r="AB176" s="323"/>
      <c r="AC176" s="323">
        <f>'ALL ML SYSTEMS'!AB176</f>
        <v>0</v>
      </c>
      <c r="AD176" s="323">
        <f>'ALL ML SYSTEMS'!AC176</f>
        <v>0</v>
      </c>
    </row>
    <row r="177" customHeight="1" spans="1:30">
      <c r="A177" s="325" t="str">
        <f>'ALL ML SYSTEMS'!A177</f>
        <v>BART-large</v>
      </c>
      <c r="B177" s="325" t="str">
        <f>'ALL ML SYSTEMS'!B177</f>
        <v>Language</v>
      </c>
      <c r="C177" s="325">
        <f>'ALL ML SYSTEMS'!C177</f>
        <v>0</v>
      </c>
      <c r="D177" s="325" t="str">
        <f>'ALL ML SYSTEMS'!D177</f>
        <v>Facebook AI</v>
      </c>
      <c r="E177" s="325" t="str">
        <f>'ALL ML SYSTEMS'!E177</f>
        <v>Industry</v>
      </c>
      <c r="F177" s="325" t="str">
        <f>'ALL ML SYSTEMS'!F177</f>
        <v>Mike Lewis, Yinhan Liu, Naman Goyal, Marjan Ghazvininejad, Abdelrahman Mohamed, Omer Levy, Ves Stoyanov, Luke Zettlemoyer</v>
      </c>
      <c r="G177" s="326">
        <f>'ALL ML SYSTEMS'!G177</f>
        <v>43767</v>
      </c>
      <c r="H177" s="327">
        <f>'ALL ML SYSTEMS'!H177</f>
        <v>3767</v>
      </c>
      <c r="I177" s="325" t="str">
        <f>'ALL ML SYSTEMS'!I177</f>
        <v>BART: Denoising Sequence-to-Sequence Pre-training for Natural Language Generation, Translation, and Comprehension</v>
      </c>
      <c r="J177" s="337" t="str">
        <f>'ALL ML SYSTEMS'!J177</f>
        <v>https://arxiv.org/abs/1910.13461</v>
      </c>
      <c r="K177" s="338">
        <f>'ALL ML SYSTEMS'!K177</f>
        <v>1014</v>
      </c>
      <c r="L177" s="325" t="str">
        <f>'ALL ML SYSTEMS'!L177</f>
        <v>Highly cited</v>
      </c>
      <c r="M177" s="338" t="str">
        <f>'ALL ML SYSTEMS'!M177</f>
        <v>Yes</v>
      </c>
      <c r="N177" s="338">
        <f>'ALL ML SYSTEMS'!N177</f>
        <v>406291456</v>
      </c>
      <c r="O177" s="338">
        <f>'ALL ML SYSTEMS'!O177</f>
        <v>0</v>
      </c>
      <c r="P177" s="339">
        <f>'ALL ML SYSTEMS'!P177</f>
        <v>0</v>
      </c>
      <c r="Q177" s="338">
        <f>'ALL ML SYSTEMS'!Q177</f>
        <v>0</v>
      </c>
      <c r="R177" s="325">
        <f>'ALL ML SYSTEMS'!R177</f>
        <v>0</v>
      </c>
      <c r="S177" s="338">
        <f>'ALL ML SYSTEMS'!S177</f>
        <v>0</v>
      </c>
      <c r="T177" s="325">
        <f>'ALL ML SYSTEMS'!T177</f>
        <v>0</v>
      </c>
      <c r="U177" s="325">
        <f>'ALL ML SYSTEMS'!U177</f>
        <v>0</v>
      </c>
      <c r="V177" s="325">
        <f>'ALL ML SYSTEMS'!V177</f>
        <v>0</v>
      </c>
      <c r="W177" s="325">
        <f>'ALL ML SYSTEMS'!W177</f>
        <v>0</v>
      </c>
      <c r="X177" s="325">
        <f>'ALL ML SYSTEMS'!X177</f>
        <v>0</v>
      </c>
      <c r="Y177" s="325">
        <f>'ALL ML SYSTEMS'!Y177</f>
        <v>0</v>
      </c>
      <c r="Z177" s="325">
        <f>'ALL ML SYSTEMS'!Z177</f>
        <v>0</v>
      </c>
      <c r="AA177" s="341" t="str">
        <f>'ALL ML SYSTEMS'!AA177</f>
        <v/>
      </c>
      <c r="AB177" s="325">
        <f>'ALL ML SYSTEMS'!AB177</f>
        <v>0</v>
      </c>
      <c r="AC177" s="325">
        <f>'ALL ML SYSTEMS'!AC177</f>
        <v>0</v>
      </c>
      <c r="AD177" s="325" t="str">
        <f>'ALL ML SYSTEMS'!AD177</f>
        <v>Industry</v>
      </c>
    </row>
    <row r="178" hidden="1" customHeight="1" spans="1:30">
      <c r="A178" s="323" t="str">
        <f>'ALL ML SYSTEMS'!A178</f>
        <v>Noisy Student (L2)</v>
      </c>
      <c r="B178" s="323" t="str">
        <f>'ALL ML SYSTEMS'!B178</f>
        <v>Vision</v>
      </c>
      <c r="C178" s="323" t="str">
        <f>'ALL ML SYSTEMS'!C178</f>
        <v>Image classification</v>
      </c>
      <c r="D178" s="323" t="str">
        <f>'ALL ML SYSTEMS'!D178</f>
        <v>Carnegie Mellon University, Google</v>
      </c>
      <c r="E178" s="323" t="str">
        <f>'ALL ML SYSTEMS'!E178</f>
        <v>Industry - Academia Collaboration (Industry leaning)</v>
      </c>
      <c r="F178" s="323" t="str">
        <f>'ALL ML SYSTEMS'!F178</f>
        <v>Q Xie, MT Luong, E Hovy</v>
      </c>
      <c r="G178" s="324">
        <f>'ALL ML SYSTEMS'!G178</f>
        <v>43780</v>
      </c>
      <c r="H178" s="329">
        <f>'ALL ML SYSTEMS'!H178</f>
        <v>3780</v>
      </c>
      <c r="I178" s="323" t="str">
        <f>'ALL ML SYSTEMS'!I178</f>
        <v>Self-training with Noisy Student improves ImageNet classification</v>
      </c>
      <c r="J178" s="334" t="str">
        <f>'ALL ML SYSTEMS'!J178</f>
        <v>https://paperswithcode.com/paper/self-training-with-noisy-student-improves/review/</v>
      </c>
      <c r="K178" s="335">
        <f>'ALL ML SYSTEMS'!K178</f>
        <v>576</v>
      </c>
      <c r="L178" s="323">
        <f>'ALL ML SYSTEMS'!L178</f>
        <v>0</v>
      </c>
      <c r="M178" s="335" t="str">
        <f>'ALL ML SYSTEMS'!M178</f>
        <v>No</v>
      </c>
      <c r="N178" s="335">
        <f>'ALL ML SYSTEMS'!N178</f>
        <v>480000000</v>
      </c>
      <c r="O178" s="335">
        <f>'ALL ML SYSTEMS'!O178</f>
        <v>0</v>
      </c>
      <c r="P178" s="336">
        <f>'ALL ML SYSTEMS'!P178</f>
        <v>0</v>
      </c>
      <c r="Q178" s="335">
        <f>'ALL ML SYSTEMS'!Q178</f>
        <v>0</v>
      </c>
      <c r="R178" s="323">
        <f>'ALL ML SYSTEMS'!R178</f>
        <v>0</v>
      </c>
      <c r="S178" s="335">
        <f>'ALL ML SYSTEMS'!S178</f>
        <v>1040000000000</v>
      </c>
      <c r="T178" s="323">
        <f>'ALL ML SYSTEMS'!T178</f>
        <v>0</v>
      </c>
      <c r="U178" s="323">
        <f>'ALL ML SYSTEMS'!U178</f>
        <v>0</v>
      </c>
      <c r="V178" s="323">
        <f>'ALL ML SYSTEMS'!V178</f>
        <v>0</v>
      </c>
      <c r="W178" s="323">
        <f>'ALL ML SYSTEMS'!W178</f>
        <v>0</v>
      </c>
      <c r="X178" s="323">
        <f>'ALL ML SYSTEMS'!X178</f>
        <v>0</v>
      </c>
      <c r="Y178" s="323">
        <f>'ALL ML SYSTEMS'!Y178</f>
        <v>0</v>
      </c>
      <c r="Z178" s="323">
        <f>'ALL ML SYSTEMS'!Z178</f>
        <v>0</v>
      </c>
      <c r="AA178" s="340" t="str">
        <f>'ALL ML SYSTEMS'!AA178</f>
        <v/>
      </c>
      <c r="AB178" s="323"/>
      <c r="AC178" s="323">
        <f>'ALL ML SYSTEMS'!AB178</f>
        <v>0</v>
      </c>
      <c r="AD178" s="323">
        <f>'ALL ML SYSTEMS'!AC178</f>
        <v>0</v>
      </c>
    </row>
    <row r="179" customHeight="1" spans="1:30">
      <c r="A179" s="325" t="str">
        <f>'ALL ML SYSTEMS'!A179</f>
        <v>MoCo</v>
      </c>
      <c r="B179" s="325" t="str">
        <f>'ALL ML SYSTEMS'!B179</f>
        <v>Drawing</v>
      </c>
      <c r="C179" s="325" t="str">
        <f>'ALL ML SYSTEMS'!C179</f>
        <v>Image completion</v>
      </c>
      <c r="D179" s="325" t="str">
        <f>'ALL ML SYSTEMS'!D179</f>
        <v>Facebook AI</v>
      </c>
      <c r="E179" s="325" t="str">
        <f>'ALL ML SYSTEMS'!E179</f>
        <v>Industry</v>
      </c>
      <c r="F179" s="325" t="str">
        <f>'ALL ML SYSTEMS'!F179</f>
        <v>Kaiming He, Haoqi Fan, Yuxin Wu, Saining Xe, Ross Girshick</v>
      </c>
      <c r="G179" s="326">
        <f>'ALL ML SYSTEMS'!G179</f>
        <v>43782</v>
      </c>
      <c r="H179" s="327">
        <f>'ALL ML SYSTEMS'!H179</f>
        <v>3782</v>
      </c>
      <c r="I179" s="325" t="str">
        <f>'ALL ML SYSTEMS'!I179</f>
        <v>Momentum Contrast for Unsupervised Visual Representation Learning</v>
      </c>
      <c r="J179" s="337" t="str">
        <f>'ALL ML SYSTEMS'!J179</f>
        <v>https://arxiv.org/abs/1911.05722</v>
      </c>
      <c r="K179" s="338">
        <f>'ALL ML SYSTEMS'!K179</f>
        <v>1722</v>
      </c>
      <c r="L179" s="325" t="str">
        <f>'ALL ML SYSTEMS'!L179</f>
        <v>Highly cited</v>
      </c>
      <c r="M179" s="338" t="str">
        <f>'ALL ML SYSTEMS'!M179</f>
        <v>Yes</v>
      </c>
      <c r="N179" s="338">
        <f>'ALL ML SYSTEMS'!N179</f>
        <v>375000000</v>
      </c>
      <c r="O179" s="338">
        <f>'ALL ML SYSTEMS'!O179</f>
        <v>0</v>
      </c>
      <c r="P179" s="339">
        <f>'ALL ML SYSTEMS'!P179</f>
        <v>0</v>
      </c>
      <c r="Q179" s="338">
        <f>'ALL ML SYSTEMS'!Q179</f>
        <v>0</v>
      </c>
      <c r="R179" s="325">
        <f>'ALL ML SYSTEMS'!R179</f>
        <v>0</v>
      </c>
      <c r="S179" s="338">
        <f>'ALL ML SYSTEMS'!S179</f>
        <v>0</v>
      </c>
      <c r="T179" s="325">
        <f>'ALL ML SYSTEMS'!T179</f>
        <v>0</v>
      </c>
      <c r="U179" s="325">
        <f>'ALL ML SYSTEMS'!U179</f>
        <v>0</v>
      </c>
      <c r="V179" s="325">
        <f>'ALL ML SYSTEMS'!V179</f>
        <v>0</v>
      </c>
      <c r="W179" s="325">
        <f>'ALL ML SYSTEMS'!W179</f>
        <v>0</v>
      </c>
      <c r="X179" s="325">
        <f>'ALL ML SYSTEMS'!X179</f>
        <v>0</v>
      </c>
      <c r="Y179" s="325">
        <f>'ALL ML SYSTEMS'!Y179</f>
        <v>0</v>
      </c>
      <c r="Z179" s="325">
        <f>'ALL ML SYSTEMS'!Z179</f>
        <v>0</v>
      </c>
      <c r="AA179" s="341" t="str">
        <f>'ALL ML SYSTEMS'!AA179</f>
        <v/>
      </c>
      <c r="AB179" s="325">
        <f>'ALL ML SYSTEMS'!AB179</f>
        <v>0</v>
      </c>
      <c r="AC179" s="325">
        <f>'ALL ML SYSTEMS'!AC179</f>
        <v>0</v>
      </c>
      <c r="AD179" s="325" t="str">
        <f>'ALL ML SYSTEMS'!AD179</f>
        <v>Industry</v>
      </c>
    </row>
    <row r="180" hidden="1" customHeight="1" spans="1:30">
      <c r="A180" s="323">
        <f>'ALL ML SYSTEMS'!A180</f>
        <v>0</v>
      </c>
      <c r="B180" s="323" t="str">
        <f>'ALL ML SYSTEMS'!B180</f>
        <v>Vision</v>
      </c>
      <c r="C180" s="323">
        <f>'ALL ML SYSTEMS'!C180</f>
        <v>0</v>
      </c>
      <c r="D180" s="323" t="str">
        <f>'ALL ML SYSTEMS'!D180</f>
        <v>University of Oxford</v>
      </c>
      <c r="E180" s="323" t="str">
        <f>'ALL ML SYSTEMS'!E180</f>
        <v>Academia</v>
      </c>
      <c r="F180" s="323" t="str">
        <f>'ALL ML SYSTEMS'!F180</f>
        <v>S Wu, C Rupprecht, A Vedaldi</v>
      </c>
      <c r="G180" s="324">
        <f>'ALL ML SYSTEMS'!G180</f>
        <v>43794</v>
      </c>
      <c r="H180" s="329">
        <f>'ALL ML SYSTEMS'!H180</f>
        <v>3794</v>
      </c>
      <c r="I180" s="323" t="str">
        <f>'ALL ML SYSTEMS'!I180</f>
        <v>Unsupervised Learning of Probably Symmetric Deformable 3D Objects From Images in the Wild</v>
      </c>
      <c r="J180" s="334" t="str">
        <f>'ALL ML SYSTEMS'!J180</f>
        <v>https://arxiv.org/abs/1911.11130</v>
      </c>
      <c r="K180" s="335">
        <f>'ALL ML SYSTEMS'!K180</f>
        <v>196</v>
      </c>
      <c r="L180" s="323">
        <f>'ALL ML SYSTEMS'!L180</f>
        <v>0</v>
      </c>
      <c r="M180" s="335" t="str">
        <f>'ALL ML SYSTEMS'!M180</f>
        <v>No</v>
      </c>
      <c r="N180" s="335">
        <f>'ALL ML SYSTEMS'!N180</f>
        <v>0</v>
      </c>
      <c r="O180" s="335">
        <f>'ALL ML SYSTEMS'!O180</f>
        <v>0</v>
      </c>
      <c r="P180" s="336">
        <f>'ALL ML SYSTEMS'!P180</f>
        <v>0</v>
      </c>
      <c r="Q180" s="335">
        <f>'ALL ML SYSTEMS'!Q180</f>
        <v>0</v>
      </c>
      <c r="R180" s="323">
        <f>'ALL ML SYSTEMS'!R180</f>
        <v>0</v>
      </c>
      <c r="S180" s="335">
        <f>'ALL ML SYSTEMS'!S180</f>
        <v>0</v>
      </c>
      <c r="T180" s="323">
        <f>'ALL ML SYSTEMS'!T180</f>
        <v>0</v>
      </c>
      <c r="U180" s="323">
        <f>'ALL ML SYSTEMS'!U180</f>
        <v>0</v>
      </c>
      <c r="V180" s="323">
        <f>'ALL ML SYSTEMS'!V180</f>
        <v>0</v>
      </c>
      <c r="W180" s="323">
        <f>'ALL ML SYSTEMS'!W180</f>
        <v>0</v>
      </c>
      <c r="X180" s="323">
        <f>'ALL ML SYSTEMS'!X180</f>
        <v>0</v>
      </c>
      <c r="Y180" s="323">
        <f>'ALL ML SYSTEMS'!Y180</f>
        <v>0</v>
      </c>
      <c r="Z180" s="323">
        <f>'ALL ML SYSTEMS'!Z180</f>
        <v>0</v>
      </c>
      <c r="AA180" s="340" t="str">
        <f>'ALL ML SYSTEMS'!AA180</f>
        <v/>
      </c>
      <c r="AB180" s="323"/>
      <c r="AC180" s="323">
        <f>'ALL ML SYSTEMS'!AB180</f>
        <v>0</v>
      </c>
      <c r="AD180" s="323">
        <f>'ALL ML SYSTEMS'!AC180</f>
        <v>0</v>
      </c>
    </row>
    <row r="181" hidden="1" customHeight="1" spans="1:30">
      <c r="A181" s="325" t="str">
        <f>'ALL ML SYSTEMS'!A181</f>
        <v>StarGAN v2</v>
      </c>
      <c r="B181" s="325" t="str">
        <f>'ALL ML SYSTEMS'!B181</f>
        <v>Drawing</v>
      </c>
      <c r="C181" s="325">
        <f>'ALL ML SYSTEMS'!C181</f>
        <v>0</v>
      </c>
      <c r="D181" s="325" t="str">
        <f>'ALL ML SYSTEMS'!D181</f>
        <v>NAVER AI Lab, Yonsei University, Swiss Federal Institute of Technology </v>
      </c>
      <c r="E181" s="325" t="str">
        <f>'ALL ML SYSTEMS'!E181</f>
        <v>Industry - Academia Collaboration (Industry leaning)</v>
      </c>
      <c r="F181" s="325" t="str">
        <f>'ALL ML SYSTEMS'!F181</f>
        <v>Yunjey Choi, Youngjung Uh, Jaejun Yoo, Jung-Woo Ha</v>
      </c>
      <c r="G181" s="326">
        <f>'ALL ML SYSTEMS'!G181</f>
        <v>43803</v>
      </c>
      <c r="H181" s="327">
        <f>'ALL ML SYSTEMS'!H181</f>
        <v>3803</v>
      </c>
      <c r="I181" s="325" t="str">
        <f>'ALL ML SYSTEMS'!I181</f>
        <v>StarGAN v2: Diverse Image Synthesis for Multiple Domains</v>
      </c>
      <c r="J181" s="337" t="str">
        <f>'ALL ML SYSTEMS'!J181</f>
        <v>https://arxiv.org/abs/1912.01865</v>
      </c>
      <c r="K181" s="338">
        <f>'ALL ML SYSTEMS'!K181</f>
        <v>832</v>
      </c>
      <c r="L181" s="325">
        <f>'ALL ML SYSTEMS'!L181</f>
        <v>0</v>
      </c>
      <c r="M181" s="338" t="str">
        <f>'ALL ML SYSTEMS'!M181</f>
        <v>No</v>
      </c>
      <c r="N181" s="338">
        <f>'ALL ML SYSTEMS'!N181</f>
        <v>0</v>
      </c>
      <c r="O181" s="338">
        <f>'ALL ML SYSTEMS'!O181</f>
        <v>0</v>
      </c>
      <c r="P181" s="339">
        <f>'ALL ML SYSTEMS'!P181</f>
        <v>0</v>
      </c>
      <c r="Q181" s="338">
        <f>'ALL ML SYSTEMS'!Q181</f>
        <v>0</v>
      </c>
      <c r="R181" s="325">
        <f>'ALL ML SYSTEMS'!R181</f>
        <v>0</v>
      </c>
      <c r="S181" s="338">
        <f>'ALL ML SYSTEMS'!S181</f>
        <v>0</v>
      </c>
      <c r="T181" s="325">
        <f>'ALL ML SYSTEMS'!T181</f>
        <v>0</v>
      </c>
      <c r="U181" s="325">
        <f>'ALL ML SYSTEMS'!U181</f>
        <v>0</v>
      </c>
      <c r="V181" s="325">
        <f>'ALL ML SYSTEMS'!V181</f>
        <v>0</v>
      </c>
      <c r="W181" s="325">
        <f>'ALL ML SYSTEMS'!W181</f>
        <v>0</v>
      </c>
      <c r="X181" s="325">
        <f>'ALL ML SYSTEMS'!X181</f>
        <v>0</v>
      </c>
      <c r="Y181" s="325">
        <f>'ALL ML SYSTEMS'!Y181</f>
        <v>0</v>
      </c>
      <c r="Z181" s="325">
        <f>'ALL ML SYSTEMS'!Z181</f>
        <v>0</v>
      </c>
      <c r="AA181" s="341" t="str">
        <f>'ALL ML SYSTEMS'!AA181</f>
        <v/>
      </c>
      <c r="AB181" s="325"/>
      <c r="AC181" s="325">
        <f>'ALL ML SYSTEMS'!AB181</f>
        <v>0</v>
      </c>
      <c r="AD181" s="325">
        <f>'ALL ML SYSTEMS'!AC181</f>
        <v>0</v>
      </c>
    </row>
    <row r="182" hidden="1" customHeight="1" spans="1:30">
      <c r="A182" s="323" t="str">
        <f>'ALL ML SYSTEMS'!A182</f>
        <v>Big Transfer (BiT-L)</v>
      </c>
      <c r="B182" s="323" t="str">
        <f>'ALL ML SYSTEMS'!B182</f>
        <v>Vision</v>
      </c>
      <c r="C182" s="323" t="str">
        <f>'ALL ML SYSTEMS'!C182</f>
        <v>Image classification</v>
      </c>
      <c r="D182" s="323" t="str">
        <f>'ALL ML SYSTEMS'!D182</f>
        <v>Google Research</v>
      </c>
      <c r="E182" s="323" t="str">
        <f>'ALL ML SYSTEMS'!E182</f>
        <v>Industry</v>
      </c>
      <c r="F182" s="323" t="str">
        <f>'ALL ML SYSTEMS'!F182</f>
        <v>A Kolesnikov, L Beyer, X Zhai, J Puigcerver, J Yung</v>
      </c>
      <c r="G182" s="324">
        <f>'ALL ML SYSTEMS'!G182</f>
        <v>43823</v>
      </c>
      <c r="H182" s="329">
        <f>'ALL ML SYSTEMS'!H182</f>
        <v>3823</v>
      </c>
      <c r="I182" s="323" t="str">
        <f>'ALL ML SYSTEMS'!I182</f>
        <v>Large scale learning of general visual representations for transfer</v>
      </c>
      <c r="J182" s="334" t="str">
        <f>'ALL ML SYSTEMS'!J182</f>
        <v>https://arxiv.org/abs/1912.11370</v>
      </c>
      <c r="K182" s="335">
        <f>'ALL ML SYSTEMS'!K182</f>
        <v>83</v>
      </c>
      <c r="L182" s="323">
        <f>'ALL ML SYSTEMS'!L182</f>
        <v>0</v>
      </c>
      <c r="M182" s="335" t="str">
        <f>'ALL ML SYSTEMS'!M182</f>
        <v>No</v>
      </c>
      <c r="N182" s="335">
        <f>'ALL ML SYSTEMS'!N182</f>
        <v>928000000</v>
      </c>
      <c r="O182" s="335">
        <f>'ALL ML SYSTEMS'!O182</f>
        <v>0</v>
      </c>
      <c r="P182" s="336">
        <f>'ALL ML SYSTEMS'!P182</f>
        <v>0</v>
      </c>
      <c r="Q182" s="335">
        <f>'ALL ML SYSTEMS'!Q182</f>
        <v>0</v>
      </c>
      <c r="R182" s="323">
        <f>'ALL ML SYSTEMS'!R182</f>
        <v>0</v>
      </c>
      <c r="S182" s="335">
        <f>'ALL ML SYSTEMS'!S182</f>
        <v>0</v>
      </c>
      <c r="T182" s="323">
        <f>'ALL ML SYSTEMS'!T182</f>
        <v>0</v>
      </c>
      <c r="U182" s="323">
        <f>'ALL ML SYSTEMS'!U182</f>
        <v>0</v>
      </c>
      <c r="V182" s="323">
        <f>'ALL ML SYSTEMS'!V182</f>
        <v>0</v>
      </c>
      <c r="W182" s="323">
        <f>'ALL ML SYSTEMS'!W182</f>
        <v>0</v>
      </c>
      <c r="X182" s="323">
        <f>'ALL ML SYSTEMS'!X182</f>
        <v>0</v>
      </c>
      <c r="Y182" s="323">
        <f>'ALL ML SYSTEMS'!Y182</f>
        <v>0</v>
      </c>
      <c r="Z182" s="323">
        <f>'ALL ML SYSTEMS'!Z182</f>
        <v>0</v>
      </c>
      <c r="AA182" s="340" t="str">
        <f>'ALL ML SYSTEMS'!AA182</f>
        <v/>
      </c>
      <c r="AB182" s="323"/>
      <c r="AC182" s="323">
        <f>'ALL ML SYSTEMS'!AB182</f>
        <v>0</v>
      </c>
      <c r="AD182" s="323">
        <f>'ALL ML SYSTEMS'!AC182</f>
        <v>0</v>
      </c>
    </row>
    <row r="183" customHeight="1" spans="1:30">
      <c r="A183" s="325" t="str">
        <f>'ALL ML SYSTEMS'!A183</f>
        <v>BigGAN-deep 512x512</v>
      </c>
      <c r="B183" s="325" t="str">
        <f>'ALL ML SYSTEMS'!B183</f>
        <v>Drawing</v>
      </c>
      <c r="C183" s="325" t="str">
        <f>'ALL ML SYSTEMS'!C183</f>
        <v>Image generation</v>
      </c>
      <c r="D183" s="325" t="str">
        <f>'ALL ML SYSTEMS'!D183</f>
        <v>Heriot-Watt University, DeepMind</v>
      </c>
      <c r="E183" s="325" t="str">
        <f>'ALL ML SYSTEMS'!E183</f>
        <v>Industry - Academia Collaboration</v>
      </c>
      <c r="F183" s="325" t="str">
        <f>'ALL ML SYSTEMS'!F183</f>
        <v>A Brock, J Donahue, K Simonyan</v>
      </c>
      <c r="G183" s="326">
        <f>'ALL ML SYSTEMS'!G183</f>
        <v>43371</v>
      </c>
      <c r="H183" s="327">
        <f>'ALL ML SYSTEMS'!H183</f>
        <v>3371</v>
      </c>
      <c r="I183" s="325" t="str">
        <f>'ALL ML SYSTEMS'!I183</f>
        <v>Large Scale GAN Training for High Fidelity Natural Image Synthesis</v>
      </c>
      <c r="J183" s="337" t="str">
        <f>'ALL ML SYSTEMS'!J183</f>
        <v>https://arxiv.org/abs/1809.11096</v>
      </c>
      <c r="K183" s="338">
        <f>'ALL ML SYSTEMS'!K183</f>
        <v>1979</v>
      </c>
      <c r="L183" s="325" t="str">
        <f>'ALL ML SYSTEMS'!L183</f>
        <v>Highly cited</v>
      </c>
      <c r="M183" s="338" t="str">
        <f>'ALL ML SYSTEMS'!M183</f>
        <v>Yes</v>
      </c>
      <c r="N183" s="338">
        <f>'ALL ML SYSTEMS'!N183</f>
        <v>112694781</v>
      </c>
      <c r="O183" s="338">
        <f>'ALL ML SYSTEMS'!O183</f>
        <v>3e+21</v>
      </c>
      <c r="P183" s="339" t="str">
        <f>'ALL ML SYSTEMS'!P183</f>
        <v>JFT-300M</v>
      </c>
      <c r="Q183" s="338">
        <f>'ALL ML SYSTEMS'!Q183</f>
        <v>292000000</v>
      </c>
      <c r="R183" s="325">
        <f>'ALL ML SYSTEMS'!R183</f>
        <v>0</v>
      </c>
      <c r="S183" s="338">
        <f>'ALL ML SYSTEMS'!S183</f>
        <v>0</v>
      </c>
      <c r="T183" s="325">
        <f>'ALL ML SYSTEMS'!T183</f>
        <v>0</v>
      </c>
      <c r="U183" s="325">
        <f>'ALL ML SYSTEMS'!U183</f>
        <v>0</v>
      </c>
      <c r="V183" s="325">
        <f>'ALL ML SYSTEMS'!V183</f>
        <v>0</v>
      </c>
      <c r="W183" s="325">
        <f>'ALL ML SYSTEMS'!W183</f>
        <v>0</v>
      </c>
      <c r="X183" s="325">
        <f>'ALL ML SYSTEMS'!X183</f>
        <v>0</v>
      </c>
      <c r="Y183" s="325">
        <f>'ALL ML SYSTEMS'!Y183</f>
        <v>0</v>
      </c>
      <c r="Z183" s="325">
        <f>'ALL ML SYSTEMS'!Z183</f>
        <v>0</v>
      </c>
      <c r="AA183" s="341">
        <f>'ALL ML SYSTEMS'!AA183</f>
        <v>10448.4378707433</v>
      </c>
      <c r="AB183" s="325">
        <f>'ALL ML SYSTEMS'!AB183</f>
        <v>0</v>
      </c>
      <c r="AC183" s="325">
        <f>'ALL ML SYSTEMS'!AC183</f>
        <v>0</v>
      </c>
      <c r="AD183" s="325" t="str">
        <f>'ALL ML SYSTEMS'!AD183</f>
        <v>Industry</v>
      </c>
    </row>
    <row r="184" customHeight="1" spans="1:30">
      <c r="A184" s="335" t="str">
        <f>'ALL ML SYSTEMS'!A184</f>
        <v>AmoebaNet-A (F=448)</v>
      </c>
      <c r="B184" s="323" t="str">
        <f>'ALL ML SYSTEMS'!B184</f>
        <v>Vision</v>
      </c>
      <c r="C184" s="323" t="str">
        <f>'ALL ML SYSTEMS'!C184</f>
        <v>Image classification</v>
      </c>
      <c r="D184" s="323" t="str">
        <f>'ALL ML SYSTEMS'!D184</f>
        <v>Google Brain</v>
      </c>
      <c r="E184" s="323" t="str">
        <f>'ALL ML SYSTEMS'!E184</f>
        <v>Industry</v>
      </c>
      <c r="F184" s="323" t="str">
        <f>'ALL ML SYSTEMS'!F184</f>
        <v>Esteban Real, Alok Aggarwal, Yanping Huang, Quoc V Le</v>
      </c>
      <c r="G184" s="324">
        <f>'ALL ML SYSTEMS'!G184</f>
        <v>43136</v>
      </c>
      <c r="H184" s="323">
        <f>'ALL ML SYSTEMS'!H184</f>
        <v>2018</v>
      </c>
      <c r="I184" s="335" t="str">
        <f>'ALL ML SYSTEMS'!I184</f>
        <v>Regularized Evolution for Image Classifier Architecture Search</v>
      </c>
      <c r="J184" s="334" t="str">
        <f>'ALL ML SYSTEMS'!J184</f>
        <v>https://arxiv.org/abs/1802.01548</v>
      </c>
      <c r="K184" s="335">
        <f>'ALL ML SYSTEMS'!K184</f>
        <v>1710</v>
      </c>
      <c r="L184" s="323" t="str">
        <f>'ALL ML SYSTEMS'!L184</f>
        <v>Highly cited</v>
      </c>
      <c r="M184" s="335" t="str">
        <f>'ALL ML SYSTEMS'!M184</f>
        <v>Yes</v>
      </c>
      <c r="N184" s="335">
        <f>'ALL ML SYSTEMS'!N184</f>
        <v>469000000</v>
      </c>
      <c r="O184" s="335">
        <f>'ALL ML SYSTEMS'!O184</f>
        <v>3.85296912e+20</v>
      </c>
      <c r="P184" s="336" t="str">
        <f>'ALL ML SYSTEMS'!P184</f>
        <v>Imagenet-1k</v>
      </c>
      <c r="Q184" s="335">
        <f>'ALL ML SYSTEMS'!Q184</f>
        <v>1280000</v>
      </c>
      <c r="R184" s="323">
        <f>'ALL ML SYSTEMS'!R184</f>
        <v>0</v>
      </c>
      <c r="S184" s="335">
        <f>'ALL ML SYSTEMS'!S184</f>
        <v>0</v>
      </c>
      <c r="T184" s="323">
        <f>'ALL ML SYSTEMS'!T184</f>
        <v>0</v>
      </c>
      <c r="U184" s="323">
        <f>'ALL ML SYSTEMS'!U184</f>
        <v>0</v>
      </c>
      <c r="V184" s="323">
        <f>'ALL ML SYSTEMS'!V184</f>
        <v>0</v>
      </c>
      <c r="W184" s="323">
        <f>'ALL ML SYSTEMS'!W184</f>
        <v>0</v>
      </c>
      <c r="X184" s="323">
        <f>'ALL ML SYSTEMS'!X184</f>
        <v>0</v>
      </c>
      <c r="Y184" s="323">
        <f>'ALL ML SYSTEMS'!Y184</f>
        <v>0</v>
      </c>
      <c r="Z184" s="323">
        <f>'ALL ML SYSTEMS'!Z184</f>
        <v>0</v>
      </c>
      <c r="AA184" s="340">
        <f>'ALL ML SYSTEMS'!AA184</f>
        <v>5858.75438360632</v>
      </c>
      <c r="AB184" s="323">
        <f>'ALL ML SYSTEMS'!AB184</f>
        <v>0</v>
      </c>
      <c r="AC184" s="323">
        <f>'ALL ML SYSTEMS'!AC184</f>
        <v>0</v>
      </c>
      <c r="AD184" s="323" t="str">
        <f>'ALL ML SYSTEMS'!AD184</f>
        <v>Industry</v>
      </c>
    </row>
    <row r="185" customHeight="1" spans="1:30">
      <c r="A185" s="325" t="str">
        <f>'ALL ML SYSTEMS'!A185</f>
        <v>BERT-Large</v>
      </c>
      <c r="B185" s="325" t="str">
        <f>'ALL ML SYSTEMS'!B185</f>
        <v>Language</v>
      </c>
      <c r="C185" s="325" t="str">
        <f>'ALL ML SYSTEMS'!C185</f>
        <v>Next sentence prediction</v>
      </c>
      <c r="D185" s="325" t="str">
        <f>'ALL ML SYSTEMS'!D185</f>
        <v>Google AI</v>
      </c>
      <c r="E185" s="325" t="str">
        <f>'ALL ML SYSTEMS'!E185</f>
        <v>Industry</v>
      </c>
      <c r="F185" s="325" t="str">
        <f>'ALL ML SYSTEMS'!F185</f>
        <v>J Devlin, MW Chang, K Lee, K Toutanova</v>
      </c>
      <c r="G185" s="326">
        <f>'ALL ML SYSTEMS'!G185</f>
        <v>43384</v>
      </c>
      <c r="H185" s="327">
        <f>'ALL ML SYSTEMS'!H185</f>
        <v>3384</v>
      </c>
      <c r="I185" s="325" t="str">
        <f>'ALL ML SYSTEMS'!I185</f>
        <v>BERT: Pre-training of Deep Bidirectional Transformers for Language Understanding</v>
      </c>
      <c r="J185" s="337" t="str">
        <f>'ALL ML SYSTEMS'!J185</f>
        <v>https://arxiv.org/abs/1810.04805</v>
      </c>
      <c r="K185" s="338">
        <f>'ALL ML SYSTEMS'!K185</f>
        <v>23776</v>
      </c>
      <c r="L185" s="325" t="str">
        <f>'ALL ML SYSTEMS'!L185</f>
        <v>Highly cited</v>
      </c>
      <c r="M185" s="338" t="str">
        <f>'ALL ML SYSTEMS'!M185</f>
        <v>Yes</v>
      </c>
      <c r="N185" s="338">
        <f>'ALL ML SYSTEMS'!N185</f>
        <v>340000000</v>
      </c>
      <c r="O185" s="338">
        <f>'ALL ML SYSTEMS'!O185</f>
        <v>2.85e+20</v>
      </c>
      <c r="P185" s="339">
        <f>'ALL ML SYSTEMS'!P185</f>
        <v>0</v>
      </c>
      <c r="Q185" s="338">
        <f>'ALL ML SYSTEMS'!Q185</f>
        <v>3300000000</v>
      </c>
      <c r="R185" s="325">
        <f>'ALL ML SYSTEMS'!R185</f>
        <v>0</v>
      </c>
      <c r="S185" s="338">
        <f>'ALL ML SYSTEMS'!S185</f>
        <v>79000000000</v>
      </c>
      <c r="T185" s="325">
        <f>'ALL ML SYSTEMS'!T185</f>
        <v>0</v>
      </c>
      <c r="U185" s="325">
        <f>'ALL ML SYSTEMS'!U185</f>
        <v>0</v>
      </c>
      <c r="V185" s="325">
        <f>'ALL ML SYSTEMS'!V185</f>
        <v>0</v>
      </c>
      <c r="W185" s="325">
        <f>'ALL ML SYSTEMS'!W185</f>
        <v>0</v>
      </c>
      <c r="X185" s="325">
        <f>'ALL ML SYSTEMS'!X185</f>
        <v>0</v>
      </c>
      <c r="Y185" s="325">
        <f>'ALL ML SYSTEMS'!Y185</f>
        <v>0</v>
      </c>
      <c r="Z185" s="325">
        <f>'ALL ML SYSTEMS'!Z185</f>
        <v>0</v>
      </c>
      <c r="AA185" s="341">
        <f>'ALL ML SYSTEMS'!AA185</f>
        <v>999.934574249643</v>
      </c>
      <c r="AB185" s="325" t="str">
        <f>'ALL ML SYSTEMS'!AB185</f>
        <v>Yes</v>
      </c>
      <c r="AC185" s="325">
        <f>'ALL ML SYSTEMS'!AC185</f>
        <v>0</v>
      </c>
      <c r="AD185" s="325" t="str">
        <f>'ALL ML SYSTEMS'!AD185</f>
        <v>Industry</v>
      </c>
    </row>
    <row r="186" hidden="1" customHeight="1" spans="1:30">
      <c r="A186" s="323" t="str">
        <f>'ALL ML SYSTEMS'!A186</f>
        <v>IMPALA</v>
      </c>
      <c r="B186" s="323" t="str">
        <f>'ALL ML SYSTEMS'!B186</f>
        <v>Games</v>
      </c>
      <c r="C186" s="323" t="str">
        <f>'ALL ML SYSTEMS'!C186</f>
        <v>Atari</v>
      </c>
      <c r="D186" s="323" t="str">
        <f>'ALL ML SYSTEMS'!D186</f>
        <v>DeepMind</v>
      </c>
      <c r="E186" s="323" t="str">
        <f>'ALL ML SYSTEMS'!E186</f>
        <v>Industry</v>
      </c>
      <c r="F186" s="323" t="str">
        <f>'ALL ML SYSTEMS'!F186</f>
        <v>Lasse Espeholt, Hubert Soyer, Remi Munos, Karen Simonyan, Volodymir Mnih, Tom Ward, Yotam Doron, Vlad Firoiu, Tim Harley, Iain Dunning, Shane Legg, Koray Kavukcuoglu</v>
      </c>
      <c r="G186" s="324">
        <f>'ALL ML SYSTEMS'!G186</f>
        <v>43136</v>
      </c>
      <c r="H186" s="329">
        <f>'ALL ML SYSTEMS'!H186</f>
        <v>3136</v>
      </c>
      <c r="I186" s="323" t="str">
        <f>'ALL ML SYSTEMS'!I186</f>
        <v>IMPALA: Scalable Distributed Deep-RL with Importance Weighted Actor-Learner Architectures</v>
      </c>
      <c r="J186" s="334" t="str">
        <f>'ALL ML SYSTEMS'!J186</f>
        <v>https://arxiv.org/abs/1802.01561</v>
      </c>
      <c r="K186" s="335">
        <f>'ALL ML SYSTEMS'!K186</f>
        <v>675</v>
      </c>
      <c r="L186" s="323">
        <f>'ALL ML SYSTEMS'!L186</f>
        <v>0</v>
      </c>
      <c r="M186" s="335" t="str">
        <f>'ALL ML SYSTEMS'!M186</f>
        <v>No</v>
      </c>
      <c r="N186" s="335">
        <f>'ALL ML SYSTEMS'!N186</f>
        <v>1600000</v>
      </c>
      <c r="O186" s="335">
        <f>'ALL ML SYSTEMS'!O186</f>
        <v>1.68e+20</v>
      </c>
      <c r="P186" s="336">
        <f>'ALL ML SYSTEMS'!P186</f>
        <v>0</v>
      </c>
      <c r="Q186" s="335">
        <f>'ALL ML SYSTEMS'!Q186</f>
        <v>240000000000</v>
      </c>
      <c r="R186" s="323">
        <f>'ALL ML SYSTEMS'!R186</f>
        <v>0</v>
      </c>
      <c r="S186" s="335">
        <f>'ALL ML SYSTEMS'!S186</f>
        <v>0</v>
      </c>
      <c r="T186" s="323">
        <f>'ALL ML SYSTEMS'!T186</f>
        <v>0</v>
      </c>
      <c r="U186" s="323">
        <f>'ALL ML SYSTEMS'!U186</f>
        <v>0</v>
      </c>
      <c r="V186" s="323">
        <f>'ALL ML SYSTEMS'!V186</f>
        <v>0</v>
      </c>
      <c r="W186" s="323">
        <f>'ALL ML SYSTEMS'!W186</f>
        <v>0</v>
      </c>
      <c r="X186" s="323">
        <f>'ALL ML SYSTEMS'!X186</f>
        <v>0</v>
      </c>
      <c r="Y186" s="323">
        <f>'ALL ML SYSTEMS'!Y186</f>
        <v>0</v>
      </c>
      <c r="Z186" s="323">
        <f>'ALL ML SYSTEMS'!Z186</f>
        <v>0</v>
      </c>
      <c r="AA186" s="340">
        <f>'ALL ML SYSTEMS'!AA186</f>
        <v>2553.81601336686</v>
      </c>
      <c r="AB186" s="323"/>
      <c r="AC186" s="323" t="str">
        <f>'ALL ML SYSTEMS'!AB186</f>
        <v>Yes</v>
      </c>
      <c r="AD186" s="323">
        <f>'ALL ML SYSTEMS'!AC186</f>
        <v>0</v>
      </c>
    </row>
    <row r="187" customHeight="1" spans="1:30">
      <c r="A187" s="325" t="str">
        <f>'ALL ML SYSTEMS'!A187</f>
        <v>YOLOv3</v>
      </c>
      <c r="B187" s="325" t="str">
        <f>'ALL ML SYSTEMS'!B187</f>
        <v>Vision</v>
      </c>
      <c r="C187" s="325" t="str">
        <f>'ALL ML SYSTEMS'!C187</f>
        <v>Object detection</v>
      </c>
      <c r="D187" s="325" t="str">
        <f>'ALL ML SYSTEMS'!D187</f>
        <v>University of Washington</v>
      </c>
      <c r="E187" s="325" t="str">
        <f>'ALL ML SYSTEMS'!E187</f>
        <v>Academia</v>
      </c>
      <c r="F187" s="325" t="str">
        <f>'ALL ML SYSTEMS'!F187</f>
        <v>Joseph Redmon, Ali Farhadi</v>
      </c>
      <c r="G187" s="326">
        <f>'ALL ML SYSTEMS'!G187</f>
        <v>43198</v>
      </c>
      <c r="H187" s="327">
        <f>'ALL ML SYSTEMS'!H187</f>
        <v>3198</v>
      </c>
      <c r="I187" s="325" t="str">
        <f>'ALL ML SYSTEMS'!I187</f>
        <v>YOLOv3: An Incremental Improvement</v>
      </c>
      <c r="J187" s="337" t="str">
        <f>'ALL ML SYSTEMS'!J187</f>
        <v>https://arxiv.org/abs/1804.02767</v>
      </c>
      <c r="K187" s="338">
        <f>'ALL ML SYSTEMS'!K187</f>
        <v>7710</v>
      </c>
      <c r="L187" s="325" t="str">
        <f>'ALL ML SYSTEMS'!L187</f>
        <v>Highly cited</v>
      </c>
      <c r="M187" s="338" t="str">
        <f>'ALL ML SYSTEMS'!M187</f>
        <v>Yes</v>
      </c>
      <c r="N187" s="338">
        <f>'ALL ML SYSTEMS'!N187</f>
        <v>106085216</v>
      </c>
      <c r="O187" s="338">
        <f>'ALL ML SYSTEMS'!O187</f>
        <v>5.093919992e+19</v>
      </c>
      <c r="P187" s="339" t="str">
        <f>'ALL ML SYSTEMS'!P187</f>
        <v>ImageNet</v>
      </c>
      <c r="Q187" s="338">
        <f>'ALL ML SYSTEMS'!Q187</f>
        <v>1281167</v>
      </c>
      <c r="R187" s="325">
        <f>'ALL ML SYSTEMS'!R187</f>
        <v>0</v>
      </c>
      <c r="S187" s="338">
        <f>'ALL ML SYSTEMS'!S187</f>
        <v>71000000000</v>
      </c>
      <c r="T187" s="325">
        <f>'ALL ML SYSTEMS'!T187</f>
        <v>0</v>
      </c>
      <c r="U187" s="325">
        <f>'ALL ML SYSTEMS'!U187</f>
        <v>0</v>
      </c>
      <c r="V187" s="325">
        <f>'ALL ML SYSTEMS'!V187</f>
        <v>0</v>
      </c>
      <c r="W187" s="325">
        <f>'ALL ML SYSTEMS'!W187</f>
        <v>0</v>
      </c>
      <c r="X187" s="325">
        <f>'ALL ML SYSTEMS'!X187</f>
        <v>0</v>
      </c>
      <c r="Y187" s="325">
        <f>'ALL ML SYSTEMS'!Y187</f>
        <v>0</v>
      </c>
      <c r="Z187" s="325">
        <f>'ALL ML SYSTEMS'!Z187</f>
        <v>0</v>
      </c>
      <c r="AA187" s="341">
        <f>'ALL ML SYSTEMS'!AA187</f>
        <v>295.757786928036</v>
      </c>
      <c r="AB187" s="325">
        <f>'ALL ML SYSTEMS'!AB187</f>
        <v>0</v>
      </c>
      <c r="AC187" s="325">
        <f>'ALL ML SYSTEMS'!AC187</f>
        <v>0</v>
      </c>
      <c r="AD187" s="325" t="str">
        <f>'ALL ML SYSTEMS'!AD187</f>
        <v>Academia</v>
      </c>
    </row>
    <row r="188" hidden="1" customHeight="1" spans="1:30">
      <c r="A188" s="323" t="str">
        <f>'ALL ML SYSTEMS'!A188</f>
        <v>Population-based DRL</v>
      </c>
      <c r="B188" s="323" t="str">
        <f>'ALL ML SYSTEMS'!B188</f>
        <v>Games</v>
      </c>
      <c r="C188" s="323" t="str">
        <f>'ALL ML SYSTEMS'!C188</f>
        <v>Capture the flag</v>
      </c>
      <c r="D188" s="323" t="str">
        <f>'ALL ML SYSTEMS'!D188</f>
        <v>DeepMind</v>
      </c>
      <c r="E188" s="323" t="str">
        <f>'ALL ML SYSTEMS'!E188</f>
        <v>Industry</v>
      </c>
      <c r="F188" s="323" t="str">
        <f>'ALL ML SYSTEMS'!F188</f>
        <v>Max Jaderberg, Wojciech M. Czarnecki, Iain Dunning, Luke Marris, Guy Lever, Antonio Garcia Castaneda, Charles Beattie, Neil C. Rabinowitz, Ari S. Morcos, Avraham Ruderman, Nicolas Sonnerat, Tim Green, Louise Deason, Joel Z. Leibo, David Silver, Demis Hassabis, Koray Kavukcuoglu, Thore Graepel</v>
      </c>
      <c r="G188" s="324">
        <f>'ALL ML SYSTEMS'!G188</f>
        <v>43284</v>
      </c>
      <c r="H188" s="329">
        <f>'ALL ML SYSTEMS'!H188</f>
        <v>3284</v>
      </c>
      <c r="I188" s="323" t="str">
        <f>'ALL ML SYSTEMS'!I188</f>
        <v>Human-level performance in first-person multiplayer games with population-based deep reinforcement learning</v>
      </c>
      <c r="J188" s="334" t="str">
        <f>'ALL ML SYSTEMS'!J188</f>
        <v>https://arxiv.org/abs/1807.01281</v>
      </c>
      <c r="K188" s="335">
        <f>'ALL ML SYSTEMS'!K188</f>
        <v>434</v>
      </c>
      <c r="L188" s="323">
        <f>'ALL ML SYSTEMS'!L188</f>
        <v>0</v>
      </c>
      <c r="M188" s="335" t="str">
        <f>'ALL ML SYSTEMS'!M188</f>
        <v>No</v>
      </c>
      <c r="N188" s="335">
        <f>'ALL ML SYSTEMS'!N188</f>
        <v>122000000</v>
      </c>
      <c r="O188" s="335">
        <f>'ALL ML SYSTEMS'!O188</f>
        <v>3.49e+19</v>
      </c>
      <c r="P188" s="336">
        <f>'ALL ML SYSTEMS'!P188</f>
        <v>0</v>
      </c>
      <c r="Q188" s="335">
        <f>'ALL ML SYSTEMS'!Q188</f>
        <v>0</v>
      </c>
      <c r="R188" s="323">
        <f>'ALL ML SYSTEMS'!R188</f>
        <v>0</v>
      </c>
      <c r="S188" s="335">
        <f>'ALL ML SYSTEMS'!S188</f>
        <v>60000000000</v>
      </c>
      <c r="T188" s="323">
        <f>'ALL ML SYSTEMS'!T188</f>
        <v>0</v>
      </c>
      <c r="U188" s="323">
        <f>'ALL ML SYSTEMS'!U188</f>
        <v>0</v>
      </c>
      <c r="V188" s="323">
        <f>'ALL ML SYSTEMS'!V188</f>
        <v>0</v>
      </c>
      <c r="W188" s="323">
        <f>'ALL ML SYSTEMS'!W188</f>
        <v>0</v>
      </c>
      <c r="X188" s="323">
        <f>'ALL ML SYSTEMS'!X188</f>
        <v>0</v>
      </c>
      <c r="Y188" s="323">
        <f>'ALL ML SYSTEMS'!Y188</f>
        <v>0</v>
      </c>
      <c r="Z188" s="323">
        <f>'ALL ML SYSTEMS'!Z188</f>
        <v>0</v>
      </c>
      <c r="AA188" s="340">
        <f>'ALL ML SYSTEMS'!AA188</f>
        <v>130.362699519232</v>
      </c>
      <c r="AB188" s="323"/>
      <c r="AC188" s="323" t="str">
        <f>'ALL ML SYSTEMS'!AB188</f>
        <v>Yes</v>
      </c>
      <c r="AD188" s="323">
        <f>'ALL ML SYSTEMS'!AC188</f>
        <v>0</v>
      </c>
    </row>
    <row r="189" customHeight="1" spans="1:30">
      <c r="A189" s="325" t="str">
        <f>'ALL ML SYSTEMS'!A189</f>
        <v>GPT</v>
      </c>
      <c r="B189" s="325" t="str">
        <f>'ALL ML SYSTEMS'!B189</f>
        <v>Language</v>
      </c>
      <c r="C189" s="325">
        <f>'ALL ML SYSTEMS'!C189</f>
        <v>0</v>
      </c>
      <c r="D189" s="325" t="str">
        <f>'ALL ML SYSTEMS'!D189</f>
        <v>OpenAI</v>
      </c>
      <c r="E189" s="325" t="str">
        <f>'ALL ML SYSTEMS'!E189</f>
        <v>Industry</v>
      </c>
      <c r="F189" s="325" t="str">
        <f>'ALL ML SYSTEMS'!F189</f>
        <v>A Radford, K Narasimhan, T Salimans, I Sutskever</v>
      </c>
      <c r="G189" s="326">
        <f>'ALL ML SYSTEMS'!G189</f>
        <v>43252</v>
      </c>
      <c r="H189" s="327">
        <f>'ALL ML SYSTEMS'!H189</f>
        <v>3252</v>
      </c>
      <c r="I189" s="325" t="str">
        <f>'ALL ML SYSTEMS'!I189</f>
        <v>Improving Language Understanding by Generative Pre-Training</v>
      </c>
      <c r="J189" s="337" t="str">
        <f>'ALL ML SYSTEMS'!J189</f>
        <v>https://openai.com/blog/language-unsupervised/</v>
      </c>
      <c r="K189" s="338">
        <f>'ALL ML SYSTEMS'!K189</f>
        <v>2261</v>
      </c>
      <c r="L189" s="325" t="str">
        <f>'ALL ML SYSTEMS'!L189</f>
        <v>Highly cited</v>
      </c>
      <c r="M189" s="338" t="str">
        <f>'ALL ML SYSTEMS'!M189</f>
        <v>Yes</v>
      </c>
      <c r="N189" s="338">
        <f>'ALL ML SYSTEMS'!N189</f>
        <v>117000000</v>
      </c>
      <c r="O189" s="338">
        <f>'ALL ML SYSTEMS'!O189</f>
        <v>1.7578125e+19</v>
      </c>
      <c r="P189" s="339" t="str">
        <f>'ALL ML SYSTEMS'!P189</f>
        <v>BooksCorpus</v>
      </c>
      <c r="Q189" s="338">
        <f>'ALL ML SYSTEMS'!Q189</f>
        <v>1000000000</v>
      </c>
      <c r="R189" s="325">
        <f>'ALL ML SYSTEMS'!R189</f>
        <v>0</v>
      </c>
      <c r="S189" s="338">
        <f>'ALL ML SYSTEMS'!S189</f>
        <v>30000000000</v>
      </c>
      <c r="T189" s="325">
        <f>'ALL ML SYSTEMS'!T189</f>
        <v>0</v>
      </c>
      <c r="U189" s="325">
        <f>'ALL ML SYSTEMS'!U189</f>
        <v>0</v>
      </c>
      <c r="V189" s="325">
        <f>'ALL ML SYSTEMS'!V189</f>
        <v>0</v>
      </c>
      <c r="W189" s="325">
        <f>'ALL ML SYSTEMS'!W189</f>
        <v>0</v>
      </c>
      <c r="X189" s="325">
        <f>'ALL ML SYSTEMS'!X189</f>
        <v>0</v>
      </c>
      <c r="Y189" s="325">
        <f>'ALL ML SYSTEMS'!Y189</f>
        <v>0</v>
      </c>
      <c r="Z189" s="325">
        <f>'ALL ML SYSTEMS'!Z189</f>
        <v>0</v>
      </c>
      <c r="AA189" s="341">
        <f>'ALL ML SYSTEMS'!AA189</f>
        <v>68.7197473734963</v>
      </c>
      <c r="AB189" s="325" t="str">
        <f>'ALL ML SYSTEMS'!AB189</f>
        <v>Yes</v>
      </c>
      <c r="AC189" s="325">
        <f>'ALL ML SYSTEMS'!AC189</f>
        <v>0</v>
      </c>
      <c r="AD189" s="325" t="str">
        <f>'ALL ML SYSTEMS'!AD189</f>
        <v>Industry</v>
      </c>
    </row>
    <row r="190" customHeight="1" spans="1:30">
      <c r="A190" s="323" t="str">
        <f>'ALL ML SYSTEMS'!A190</f>
        <v>Refined Part Pooling</v>
      </c>
      <c r="B190" s="323" t="str">
        <f>'ALL ML SYSTEMS'!B190</f>
        <v>Vision</v>
      </c>
      <c r="C190" s="323" t="str">
        <f>'ALL ML SYSTEMS'!C190</f>
        <v>Person retrieval</v>
      </c>
      <c r="D190" s="323" t="str">
        <f>'ALL ML SYSTEMS'!D190</f>
        <v>Tsinghua University, University of Technology Sydney, University of Texas at San Antonio</v>
      </c>
      <c r="E190" s="323" t="str">
        <f>'ALL ML SYSTEMS'!E190</f>
        <v>Academia</v>
      </c>
      <c r="F190" s="323" t="str">
        <f>'ALL ML SYSTEMS'!F190</f>
        <v>Yifan Sun, Liang Zheng, Yi Yang, Qi Tian, Shengjin Wang</v>
      </c>
      <c r="G190" s="324">
        <f>'ALL ML SYSTEMS'!G190</f>
        <v>43109</v>
      </c>
      <c r="H190" s="329">
        <f>'ALL ML SYSTEMS'!H190</f>
        <v>3109</v>
      </c>
      <c r="I190" s="323" t="str">
        <f>'ALL ML SYSTEMS'!I190</f>
        <v>Beyond Part Models: Person Retrieval with Refined Part Pooling (and a Strong Convolutional Baseline)</v>
      </c>
      <c r="J190" s="334" t="str">
        <f>'ALL ML SYSTEMS'!J190</f>
        <v>https://arxiv.org/abs/1711.09349</v>
      </c>
      <c r="K190" s="335">
        <f>'ALL ML SYSTEMS'!K190</f>
        <v>1236</v>
      </c>
      <c r="L190" s="323" t="str">
        <f>'ALL ML SYSTEMS'!L190</f>
        <v>Highly cited</v>
      </c>
      <c r="M190" s="335" t="str">
        <f>'ALL ML SYSTEMS'!M190</f>
        <v>Yes</v>
      </c>
      <c r="N190" s="335">
        <f>'ALL ML SYSTEMS'!N190</f>
        <v>0</v>
      </c>
      <c r="O190" s="335">
        <f>'ALL ML SYSTEMS'!O190</f>
        <v>0</v>
      </c>
      <c r="P190" s="336">
        <f>'ALL ML SYSTEMS'!P190</f>
        <v>0</v>
      </c>
      <c r="Q190" s="335">
        <f>'ALL ML SYSTEMS'!Q190</f>
        <v>0</v>
      </c>
      <c r="R190" s="323">
        <f>'ALL ML SYSTEMS'!R190</f>
        <v>0</v>
      </c>
      <c r="S190" s="335">
        <f>'ALL ML SYSTEMS'!S190</f>
        <v>0</v>
      </c>
      <c r="T190" s="323">
        <f>'ALL ML SYSTEMS'!T190</f>
        <v>0</v>
      </c>
      <c r="U190" s="323">
        <f>'ALL ML SYSTEMS'!U190</f>
        <v>0</v>
      </c>
      <c r="V190" s="323">
        <f>'ALL ML SYSTEMS'!V190</f>
        <v>0</v>
      </c>
      <c r="W190" s="323">
        <f>'ALL ML SYSTEMS'!W190</f>
        <v>0</v>
      </c>
      <c r="X190" s="323">
        <f>'ALL ML SYSTEMS'!X190</f>
        <v>0</v>
      </c>
      <c r="Y190" s="323">
        <f>'ALL ML SYSTEMS'!Y190</f>
        <v>0</v>
      </c>
      <c r="Z190" s="323">
        <f>'ALL ML SYSTEMS'!Z190</f>
        <v>0</v>
      </c>
      <c r="AA190" s="340" t="str">
        <f>'ALL ML SYSTEMS'!AA190</f>
        <v/>
      </c>
      <c r="AB190" s="323">
        <f>'ALL ML SYSTEMS'!AB190</f>
        <v>0</v>
      </c>
      <c r="AC190" s="323">
        <f>'ALL ML SYSTEMS'!AC190</f>
        <v>0</v>
      </c>
      <c r="AD190" s="323" t="str">
        <f>'ALL ML SYSTEMS'!AD190</f>
        <v>Academia</v>
      </c>
    </row>
    <row r="191" customHeight="1" spans="1:30">
      <c r="A191" s="325" t="str">
        <f>'ALL ML SYSTEMS'!A191</f>
        <v>ULM-FiT</v>
      </c>
      <c r="B191" s="325" t="str">
        <f>'ALL ML SYSTEMS'!B191</f>
        <v>Language</v>
      </c>
      <c r="C191" s="325" t="str">
        <f>'ALL ML SYSTEMS'!C191</f>
        <v>Text classification</v>
      </c>
      <c r="D191" s="325" t="str">
        <f>'ALL ML SYSTEMS'!D191</f>
        <v>University of San Francisco, Insight Centre NUI Galway</v>
      </c>
      <c r="E191" s="325" t="str">
        <f>'ALL ML SYSTEMS'!E191</f>
        <v>Industry - Academia Collaboration</v>
      </c>
      <c r="F191" s="325" t="str">
        <f>'ALL ML SYSTEMS'!F191</f>
        <v>J Howard, S Ruder</v>
      </c>
      <c r="G191" s="326">
        <f>'ALL ML SYSTEMS'!G191</f>
        <v>43118</v>
      </c>
      <c r="H191" s="327">
        <f>'ALL ML SYSTEMS'!H191</f>
        <v>3118</v>
      </c>
      <c r="I191" s="325" t="str">
        <f>'ALL ML SYSTEMS'!I191</f>
        <v>Universal Language Model Fine-tuning for Text Classification</v>
      </c>
      <c r="J191" s="337" t="str">
        <f>'ALL ML SYSTEMS'!J191</f>
        <v>https://arxiv.org/abs/1801.06146</v>
      </c>
      <c r="K191" s="338">
        <f>'ALL ML SYSTEMS'!K191</f>
        <v>1940</v>
      </c>
      <c r="L191" s="325" t="str">
        <f>'ALL ML SYSTEMS'!L191</f>
        <v>Highly cited</v>
      </c>
      <c r="M191" s="338" t="str">
        <f>'ALL ML SYSTEMS'!M191</f>
        <v>Yes</v>
      </c>
      <c r="N191" s="338">
        <f>'ALL ML SYSTEMS'!N191</f>
        <v>0</v>
      </c>
      <c r="O191" s="338">
        <f>'ALL ML SYSTEMS'!O191</f>
        <v>0</v>
      </c>
      <c r="P191" s="339">
        <f>'ALL ML SYSTEMS'!P191</f>
        <v>0</v>
      </c>
      <c r="Q191" s="338">
        <f>'ALL ML SYSTEMS'!Q191</f>
        <v>0</v>
      </c>
      <c r="R191" s="325">
        <f>'ALL ML SYSTEMS'!R191</f>
        <v>0</v>
      </c>
      <c r="S191" s="338">
        <f>'ALL ML SYSTEMS'!S191</f>
        <v>0</v>
      </c>
      <c r="T191" s="325">
        <f>'ALL ML SYSTEMS'!T191</f>
        <v>0</v>
      </c>
      <c r="U191" s="325">
        <f>'ALL ML SYSTEMS'!U191</f>
        <v>0</v>
      </c>
      <c r="V191" s="325">
        <f>'ALL ML SYSTEMS'!V191</f>
        <v>0</v>
      </c>
      <c r="W191" s="325">
        <f>'ALL ML SYSTEMS'!W191</f>
        <v>0</v>
      </c>
      <c r="X191" s="325">
        <f>'ALL ML SYSTEMS'!X191</f>
        <v>0</v>
      </c>
      <c r="Y191" s="325">
        <f>'ALL ML SYSTEMS'!Y191</f>
        <v>0</v>
      </c>
      <c r="Z191" s="325">
        <f>'ALL ML SYSTEMS'!Z191</f>
        <v>0</v>
      </c>
      <c r="AA191" s="341" t="str">
        <f>'ALL ML SYSTEMS'!AA191</f>
        <v/>
      </c>
      <c r="AB191" s="325">
        <f>'ALL ML SYSTEMS'!AB191</f>
        <v>0</v>
      </c>
      <c r="AC191" s="325" t="str">
        <f>'ALL ML SYSTEMS'!AC191</f>
        <v>LSTM RNN</v>
      </c>
      <c r="AD191" s="325" t="str">
        <f>'ALL ML SYSTEMS'!AD191</f>
        <v>Industry</v>
      </c>
    </row>
    <row r="192" customHeight="1" spans="1:30">
      <c r="A192" s="323" t="str">
        <f>'ALL ML SYSTEMS'!A192</f>
        <v>ELMo</v>
      </c>
      <c r="B192" s="323" t="str">
        <f>'ALL ML SYSTEMS'!B192</f>
        <v>Language</v>
      </c>
      <c r="C192" s="323">
        <f>'ALL ML SYSTEMS'!C192</f>
        <v>0</v>
      </c>
      <c r="D192" s="323" t="str">
        <f>'ALL ML SYSTEMS'!D192</f>
        <v>AllenAI, University of Washington</v>
      </c>
      <c r="E192" s="323" t="str">
        <f>'ALL ML SYSTEMS'!E192</f>
        <v>Industry</v>
      </c>
      <c r="F192" s="323" t="str">
        <f>'ALL ML SYSTEMS'!F192</f>
        <v>ME Peters, M Neumann, M Iyyer, M Gardner</v>
      </c>
      <c r="G192" s="324">
        <f>'ALL ML SYSTEMS'!G192</f>
        <v>43132</v>
      </c>
      <c r="H192" s="329">
        <f>'ALL ML SYSTEMS'!H192</f>
        <v>3132</v>
      </c>
      <c r="I192" s="323" t="str">
        <f>'ALL ML SYSTEMS'!I192</f>
        <v>Deep contextualized word representations</v>
      </c>
      <c r="J192" s="334" t="str">
        <f>'ALL ML SYSTEMS'!J192</f>
        <v>https://arxiv.org/abs/1802.05365</v>
      </c>
      <c r="K192" s="335">
        <f>'ALL ML SYSTEMS'!K192</f>
        <v>7477</v>
      </c>
      <c r="L192" s="323" t="str">
        <f>'ALL ML SYSTEMS'!L192</f>
        <v>Highly cited</v>
      </c>
      <c r="M192" s="335" t="str">
        <f>'ALL ML SYSTEMS'!M192</f>
        <v>Yes</v>
      </c>
      <c r="N192" s="335">
        <f>'ALL ML SYSTEMS'!N192</f>
        <v>94000000</v>
      </c>
      <c r="O192" s="335">
        <f>'ALL ML SYSTEMS'!O192</f>
        <v>0</v>
      </c>
      <c r="P192" s="336">
        <f>'ALL ML SYSTEMS'!P192</f>
        <v>0</v>
      </c>
      <c r="Q192" s="335">
        <f>'ALL ML SYSTEMS'!Q192</f>
        <v>0</v>
      </c>
      <c r="R192" s="323">
        <f>'ALL ML SYSTEMS'!R192</f>
        <v>0</v>
      </c>
      <c r="S192" s="335">
        <f>'ALL ML SYSTEMS'!S192</f>
        <v>26000000000</v>
      </c>
      <c r="T192" s="323">
        <f>'ALL ML SYSTEMS'!T192</f>
        <v>0</v>
      </c>
      <c r="U192" s="323">
        <f>'ALL ML SYSTEMS'!U192</f>
        <v>0</v>
      </c>
      <c r="V192" s="323">
        <f>'ALL ML SYSTEMS'!V192</f>
        <v>0</v>
      </c>
      <c r="W192" s="323">
        <f>'ALL ML SYSTEMS'!W192</f>
        <v>0</v>
      </c>
      <c r="X192" s="323">
        <f>'ALL ML SYSTEMS'!X192</f>
        <v>0</v>
      </c>
      <c r="Y192" s="323">
        <f>'ALL ML SYSTEMS'!Y192</f>
        <v>0</v>
      </c>
      <c r="Z192" s="323">
        <f>'ALL ML SYSTEMS'!Z192</f>
        <v>0</v>
      </c>
      <c r="AA192" s="340" t="str">
        <f>'ALL ML SYSTEMS'!AA192</f>
        <v/>
      </c>
      <c r="AB192" s="323" t="str">
        <f>'ALL ML SYSTEMS'!AB192</f>
        <v>Yes</v>
      </c>
      <c r="AC192" s="323">
        <f>'ALL ML SYSTEMS'!AC192</f>
        <v>0</v>
      </c>
      <c r="AD192" s="323" t="str">
        <f>'ALL ML SYSTEMS'!AD192</f>
        <v>Industry</v>
      </c>
    </row>
    <row r="193" customHeight="1" spans="1:30">
      <c r="A193" s="325" t="str">
        <f>'ALL ML SYSTEMS'!A193</f>
        <v>AmoebaNet-A (F=190)</v>
      </c>
      <c r="B193" s="325" t="str">
        <f>'ALL ML SYSTEMS'!B193</f>
        <v>Vision</v>
      </c>
      <c r="C193" s="325" t="str">
        <f>'ALL ML SYSTEMS'!C193</f>
        <v>Image classification</v>
      </c>
      <c r="D193" s="325" t="str">
        <f>'ALL ML SYSTEMS'!D193</f>
        <v>Google Brain</v>
      </c>
      <c r="E193" s="325" t="str">
        <f>'ALL ML SYSTEMS'!E193</f>
        <v>Industry</v>
      </c>
      <c r="F193" s="325" t="str">
        <f>'ALL ML SYSTEMS'!F193</f>
        <v>E Real, A Aggarwal, Y Huang, QV Le</v>
      </c>
      <c r="G193" s="326">
        <f>'ALL ML SYSTEMS'!G193</f>
        <v>43136</v>
      </c>
      <c r="H193" s="327">
        <f>'ALL ML SYSTEMS'!H193</f>
        <v>3136</v>
      </c>
      <c r="I193" s="325" t="str">
        <f>'ALL ML SYSTEMS'!I193</f>
        <v>Regularized Evolution for Image Classifier Architecture Search</v>
      </c>
      <c r="J193" s="337" t="str">
        <f>'ALL ML SYSTEMS'!J193</f>
        <v>https://arxiv.org/abs/1802.01548</v>
      </c>
      <c r="K193" s="338">
        <f>'ALL ML SYSTEMS'!K193</f>
        <v>1425</v>
      </c>
      <c r="L193" s="325" t="str">
        <f>'ALL ML SYSTEMS'!L193</f>
        <v>Highly cited</v>
      </c>
      <c r="M193" s="338" t="str">
        <f>'ALL ML SYSTEMS'!M193</f>
        <v>Yes</v>
      </c>
      <c r="N193" s="338">
        <f>'ALL ML SYSTEMS'!N193</f>
        <v>87000000</v>
      </c>
      <c r="O193" s="338">
        <f>'ALL ML SYSTEMS'!O193</f>
        <v>0</v>
      </c>
      <c r="P193" s="339">
        <f>'ALL ML SYSTEMS'!P193</f>
        <v>0</v>
      </c>
      <c r="Q193" s="338">
        <f>'ALL ML SYSTEMS'!Q193</f>
        <v>0</v>
      </c>
      <c r="R193" s="325">
        <f>'ALL ML SYSTEMS'!R193</f>
        <v>0</v>
      </c>
      <c r="S193" s="338">
        <f>'ALL ML SYSTEMS'!S193</f>
        <v>0</v>
      </c>
      <c r="T193" s="325">
        <f>'ALL ML SYSTEMS'!T193</f>
        <v>0</v>
      </c>
      <c r="U193" s="325">
        <f>'ALL ML SYSTEMS'!U193</f>
        <v>0</v>
      </c>
      <c r="V193" s="325">
        <f>'ALL ML SYSTEMS'!V193</f>
        <v>0</v>
      </c>
      <c r="W193" s="325">
        <f>'ALL ML SYSTEMS'!W193</f>
        <v>0</v>
      </c>
      <c r="X193" s="325">
        <f>'ALL ML SYSTEMS'!X193</f>
        <v>0</v>
      </c>
      <c r="Y193" s="325">
        <f>'ALL ML SYSTEMS'!Y193</f>
        <v>0</v>
      </c>
      <c r="Z193" s="325">
        <f>'ALL ML SYSTEMS'!Z193</f>
        <v>0</v>
      </c>
      <c r="AA193" s="341" t="str">
        <f>'ALL ML SYSTEMS'!AA193</f>
        <v/>
      </c>
      <c r="AB193" s="325">
        <f>'ALL ML SYSTEMS'!AB193</f>
        <v>0</v>
      </c>
      <c r="AC193" s="325">
        <f>'ALL ML SYSTEMS'!AC193</f>
        <v>0</v>
      </c>
      <c r="AD193" s="325" t="str">
        <f>'ALL ML SYSTEMS'!AD193</f>
        <v>Industry</v>
      </c>
    </row>
    <row r="194" customHeight="1" spans="1:30">
      <c r="A194" s="323" t="str">
        <f>'ALL ML SYSTEMS'!A194</f>
        <v>DeepLabV3+</v>
      </c>
      <c r="B194" s="323" t="str">
        <f>'ALL ML SYSTEMS'!B194</f>
        <v>Vision</v>
      </c>
      <c r="C194" s="323" t="str">
        <f>'ALL ML SYSTEMS'!C194</f>
        <v>Semantic segmentation</v>
      </c>
      <c r="D194" s="323" t="str">
        <f>'ALL ML SYSTEMS'!D194</f>
        <v>Google Inc.</v>
      </c>
      <c r="E194" s="323" t="str">
        <f>'ALL ML SYSTEMS'!E194</f>
        <v>Industry</v>
      </c>
      <c r="F194" s="323" t="str">
        <f>'ALL ML SYSTEMS'!F194</f>
        <v>Liang-Chieh Chen, Yukun Zhu, George Papandreou, Florian Schroff, Hartwig Adam</v>
      </c>
      <c r="G194" s="324">
        <f>'ALL ML SYSTEMS'!G194</f>
        <v>43138</v>
      </c>
      <c r="H194" s="329">
        <f>'ALL ML SYSTEMS'!H194</f>
        <v>3138</v>
      </c>
      <c r="I194" s="323" t="str">
        <f>'ALL ML SYSTEMS'!I194</f>
        <v>Encoder-Decoder with Atrous Separable Convolution for Semantic Image Segmentation</v>
      </c>
      <c r="J194" s="334" t="str">
        <f>'ALL ML SYSTEMS'!J194</f>
        <v>https://arxiv.org/abs/1802.02611v3</v>
      </c>
      <c r="K194" s="335">
        <f>'ALL ML SYSTEMS'!K194</f>
        <v>5369</v>
      </c>
      <c r="L194" s="323" t="str">
        <f>'ALL ML SYSTEMS'!L194</f>
        <v>Highly cited</v>
      </c>
      <c r="M194" s="335" t="str">
        <f>'ALL ML SYSTEMS'!M194</f>
        <v>Yes</v>
      </c>
      <c r="N194" s="335">
        <f>'ALL ML SYSTEMS'!N194</f>
        <v>0</v>
      </c>
      <c r="O194" s="335">
        <f>'ALL ML SYSTEMS'!O194</f>
        <v>0</v>
      </c>
      <c r="P194" s="336">
        <f>'ALL ML SYSTEMS'!P194</f>
        <v>0</v>
      </c>
      <c r="Q194" s="335">
        <f>'ALL ML SYSTEMS'!Q194</f>
        <v>0</v>
      </c>
      <c r="R194" s="323">
        <f>'ALL ML SYSTEMS'!R194</f>
        <v>0</v>
      </c>
      <c r="S194" s="335">
        <f>'ALL ML SYSTEMS'!S194</f>
        <v>0</v>
      </c>
      <c r="T194" s="323">
        <f>'ALL ML SYSTEMS'!T194</f>
        <v>0</v>
      </c>
      <c r="U194" s="323">
        <f>'ALL ML SYSTEMS'!U194</f>
        <v>0</v>
      </c>
      <c r="V194" s="323">
        <f>'ALL ML SYSTEMS'!V194</f>
        <v>0</v>
      </c>
      <c r="W194" s="323">
        <f>'ALL ML SYSTEMS'!W194</f>
        <v>0</v>
      </c>
      <c r="X194" s="323">
        <f>'ALL ML SYSTEMS'!X194</f>
        <v>0</v>
      </c>
      <c r="Y194" s="323">
        <f>'ALL ML SYSTEMS'!Y194</f>
        <v>0</v>
      </c>
      <c r="Z194" s="323">
        <f>'ALL ML SYSTEMS'!Z194</f>
        <v>0</v>
      </c>
      <c r="AA194" s="340" t="str">
        <f>'ALL ML SYSTEMS'!AA194</f>
        <v/>
      </c>
      <c r="AB194" s="323">
        <f>'ALL ML SYSTEMS'!AB194</f>
        <v>0</v>
      </c>
      <c r="AC194" s="323">
        <f>'ALL ML SYSTEMS'!AC194</f>
        <v>0</v>
      </c>
      <c r="AD194" s="323" t="str">
        <f>'ALL ML SYSTEMS'!AD194</f>
        <v>Industry</v>
      </c>
    </row>
    <row r="195" customHeight="1" spans="1:30">
      <c r="A195" s="325">
        <f>'ALL ML SYSTEMS'!A195</f>
        <v>0</v>
      </c>
      <c r="B195" s="325" t="str">
        <f>'ALL ML SYSTEMS'!B195</f>
        <v>Vision</v>
      </c>
      <c r="C195" s="325" t="str">
        <f>'ALL ML SYSTEMS'!C195</f>
        <v>Image generation</v>
      </c>
      <c r="D195" s="325" t="str">
        <f>'ALL ML SYSTEMS'!D195</f>
        <v>Preferred Networks Inc, Ritsumeikan University, National Institute of Informatics</v>
      </c>
      <c r="E195" s="325" t="str">
        <f>'ALL ML SYSTEMS'!E195</f>
        <v>Industry - Academia Collaboration</v>
      </c>
      <c r="F195" s="325" t="str">
        <f>'ALL ML SYSTEMS'!F195</f>
        <v>Takeru Miyato, Toshiki Kataoka, Masanori Koyama, Yuichi Yoshida</v>
      </c>
      <c r="G195" s="326">
        <f>'ALL ML SYSTEMS'!G195</f>
        <v>43147</v>
      </c>
      <c r="H195" s="327">
        <f>'ALL ML SYSTEMS'!H195</f>
        <v>3147</v>
      </c>
      <c r="I195" s="325" t="str">
        <f>'ALL ML SYSTEMS'!I195</f>
        <v>Spectral Normalization for Generative Adversarial Networks</v>
      </c>
      <c r="J195" s="337" t="str">
        <f>'ALL ML SYSTEMS'!J195</f>
        <v>https://arxiv.org/abs/1802.05957</v>
      </c>
      <c r="K195" s="338">
        <f>'ALL ML SYSTEMS'!K195</f>
        <v>2738</v>
      </c>
      <c r="L195" s="325" t="str">
        <f>'ALL ML SYSTEMS'!L195</f>
        <v>Highly cited</v>
      </c>
      <c r="M195" s="338" t="str">
        <f>'ALL ML SYSTEMS'!M195</f>
        <v>Yes</v>
      </c>
      <c r="N195" s="338">
        <f>'ALL ML SYSTEMS'!N195</f>
        <v>0</v>
      </c>
      <c r="O195" s="338">
        <f>'ALL ML SYSTEMS'!O195</f>
        <v>0</v>
      </c>
      <c r="P195" s="339">
        <f>'ALL ML SYSTEMS'!P195</f>
        <v>0</v>
      </c>
      <c r="Q195" s="338">
        <f>'ALL ML SYSTEMS'!Q195</f>
        <v>0</v>
      </c>
      <c r="R195" s="325">
        <f>'ALL ML SYSTEMS'!R195</f>
        <v>0</v>
      </c>
      <c r="S195" s="338">
        <f>'ALL ML SYSTEMS'!S195</f>
        <v>0</v>
      </c>
      <c r="T195" s="325">
        <f>'ALL ML SYSTEMS'!T195</f>
        <v>0</v>
      </c>
      <c r="U195" s="325">
        <f>'ALL ML SYSTEMS'!U195</f>
        <v>0</v>
      </c>
      <c r="V195" s="325">
        <f>'ALL ML SYSTEMS'!V195</f>
        <v>0</v>
      </c>
      <c r="W195" s="325">
        <f>'ALL ML SYSTEMS'!W195</f>
        <v>0</v>
      </c>
      <c r="X195" s="325">
        <f>'ALL ML SYSTEMS'!X195</f>
        <v>0</v>
      </c>
      <c r="Y195" s="325">
        <f>'ALL ML SYSTEMS'!Y195</f>
        <v>0</v>
      </c>
      <c r="Z195" s="325">
        <f>'ALL ML SYSTEMS'!Z195</f>
        <v>0</v>
      </c>
      <c r="AA195" s="341" t="str">
        <f>'ALL ML SYSTEMS'!AA195</f>
        <v/>
      </c>
      <c r="AB195" s="325">
        <f>'ALL ML SYSTEMS'!AB195</f>
        <v>0</v>
      </c>
      <c r="AC195" s="325">
        <f>'ALL ML SYSTEMS'!AC195</f>
        <v>0</v>
      </c>
      <c r="AD195" s="325" t="str">
        <f>'ALL ML SYSTEMS'!AD195</f>
        <v>Industry</v>
      </c>
    </row>
    <row r="196" customHeight="1" spans="1:30">
      <c r="A196" s="323">
        <f>'ALL ML SYSTEMS'!A196</f>
        <v>0</v>
      </c>
      <c r="B196" s="323" t="str">
        <f>'ALL ML SYSTEMS'!B196</f>
        <v>Vision</v>
      </c>
      <c r="C196" s="323" t="str">
        <f>'ALL ML SYSTEMS'!C196</f>
        <v>Image super-resolution</v>
      </c>
      <c r="D196" s="323" t="str">
        <f>'ALL ML SYSTEMS'!D196</f>
        <v>Northeastern University, University of Rochester</v>
      </c>
      <c r="E196" s="323" t="str">
        <f>'ALL ML SYSTEMS'!E196</f>
        <v>Academia</v>
      </c>
      <c r="F196" s="323" t="str">
        <f>'ALL ML SYSTEMS'!F196</f>
        <v> Yulun Zhang, Yapeng Tian, Yu Kong, Bineng Zhong, Yun Fu</v>
      </c>
      <c r="G196" s="324">
        <f>'ALL ML SYSTEMS'!G196</f>
        <v>43155</v>
      </c>
      <c r="H196" s="329">
        <f>'ALL ML SYSTEMS'!H196</f>
        <v>3155</v>
      </c>
      <c r="I196" s="323" t="str">
        <f>'ALL ML SYSTEMS'!I196</f>
        <v>Residual Dense Network for Image Super-Resolution</v>
      </c>
      <c r="J196" s="334" t="str">
        <f>'ALL ML SYSTEMS'!J196</f>
        <v>https://openaccess.thecvf.com/content_cvpr_2018/html/Zhang_Residual_Dense_Network_CVPR_2018_paper.html</v>
      </c>
      <c r="K196" s="335">
        <f>'ALL ML SYSTEMS'!K196</f>
        <v>1779</v>
      </c>
      <c r="L196" s="323" t="str">
        <f>'ALL ML SYSTEMS'!L196</f>
        <v>Highly cited</v>
      </c>
      <c r="M196" s="335" t="str">
        <f>'ALL ML SYSTEMS'!M196</f>
        <v>Yes</v>
      </c>
      <c r="N196" s="335">
        <f>'ALL ML SYSTEMS'!N196</f>
        <v>0</v>
      </c>
      <c r="O196" s="335">
        <f>'ALL ML SYSTEMS'!O196</f>
        <v>0</v>
      </c>
      <c r="P196" s="336">
        <f>'ALL ML SYSTEMS'!P196</f>
        <v>0</v>
      </c>
      <c r="Q196" s="335">
        <f>'ALL ML SYSTEMS'!Q196</f>
        <v>0</v>
      </c>
      <c r="R196" s="323">
        <f>'ALL ML SYSTEMS'!R196</f>
        <v>0</v>
      </c>
      <c r="S196" s="335">
        <f>'ALL ML SYSTEMS'!S196</f>
        <v>0</v>
      </c>
      <c r="T196" s="323">
        <f>'ALL ML SYSTEMS'!T196</f>
        <v>0</v>
      </c>
      <c r="U196" s="323">
        <f>'ALL ML SYSTEMS'!U196</f>
        <v>0</v>
      </c>
      <c r="V196" s="323">
        <f>'ALL ML SYSTEMS'!V196</f>
        <v>0</v>
      </c>
      <c r="W196" s="323">
        <f>'ALL ML SYSTEMS'!W196</f>
        <v>0</v>
      </c>
      <c r="X196" s="323">
        <f>'ALL ML SYSTEMS'!X196</f>
        <v>0</v>
      </c>
      <c r="Y196" s="323">
        <f>'ALL ML SYSTEMS'!Y196</f>
        <v>0</v>
      </c>
      <c r="Z196" s="323">
        <f>'ALL ML SYSTEMS'!Z196</f>
        <v>0</v>
      </c>
      <c r="AA196" s="340" t="str">
        <f>'ALL ML SYSTEMS'!AA196</f>
        <v/>
      </c>
      <c r="AB196" s="323">
        <f>'ALL ML SYSTEMS'!AB196</f>
        <v>0</v>
      </c>
      <c r="AC196" s="323">
        <f>'ALL ML SYSTEMS'!AC196</f>
        <v>0</v>
      </c>
      <c r="AD196" s="323" t="str">
        <f>'ALL ML SYSTEMS'!AD196</f>
        <v>Academia</v>
      </c>
    </row>
    <row r="197" hidden="1" customHeight="1" spans="1:30">
      <c r="A197" s="325" t="str">
        <f>'ALL ML SYSTEMS'!A197</f>
        <v>Chinese - English translation</v>
      </c>
      <c r="B197" s="325" t="str">
        <f>'ALL ML SYSTEMS'!B197</f>
        <v>Language</v>
      </c>
      <c r="C197" s="325" t="str">
        <f>'ALL ML SYSTEMS'!C197</f>
        <v>Translation</v>
      </c>
      <c r="D197" s="325" t="str">
        <f>'ALL ML SYSTEMS'!D197</f>
        <v>Microsoft</v>
      </c>
      <c r="E197" s="325" t="str">
        <f>'ALL ML SYSTEMS'!E197</f>
        <v>Industry</v>
      </c>
      <c r="F197" s="325" t="str">
        <f>'ALL ML SYSTEMS'!F197</f>
        <v>H Hassan, A Aue, C Chen, V Chowdhary</v>
      </c>
      <c r="G197" s="326">
        <f>'ALL ML SYSTEMS'!G197</f>
        <v>43160</v>
      </c>
      <c r="H197" s="327">
        <f>'ALL ML SYSTEMS'!H197</f>
        <v>3160</v>
      </c>
      <c r="I197" s="325" t="str">
        <f>'ALL ML SYSTEMS'!I197</f>
        <v>Achieving Human Parity on Automatic Chinese to English News Translation</v>
      </c>
      <c r="J197" s="337" t="str">
        <f>'ALL ML SYSTEMS'!J197</f>
        <v>https://www.microsoft.com/en-us/research/publication/achieving-human-parity-on-automatic-chinese-to-english-news-translation/</v>
      </c>
      <c r="K197" s="338">
        <f>'ALL ML SYSTEMS'!K197</f>
        <v>530</v>
      </c>
      <c r="L197" s="325">
        <f>'ALL ML SYSTEMS'!L197</f>
        <v>0</v>
      </c>
      <c r="M197" s="338" t="str">
        <f>'ALL ML SYSTEMS'!M197</f>
        <v>No</v>
      </c>
      <c r="N197" s="338">
        <f>'ALL ML SYSTEMS'!N197</f>
        <v>0</v>
      </c>
      <c r="O197" s="338">
        <f>'ALL ML SYSTEMS'!O197</f>
        <v>0</v>
      </c>
      <c r="P197" s="339">
        <f>'ALL ML SYSTEMS'!P197</f>
        <v>0</v>
      </c>
      <c r="Q197" s="338">
        <f>'ALL ML SYSTEMS'!Q197</f>
        <v>0</v>
      </c>
      <c r="R197" s="325">
        <f>'ALL ML SYSTEMS'!R197</f>
        <v>0</v>
      </c>
      <c r="S197" s="338">
        <f>'ALL ML SYSTEMS'!S197</f>
        <v>0</v>
      </c>
      <c r="T197" s="325">
        <f>'ALL ML SYSTEMS'!T197</f>
        <v>0</v>
      </c>
      <c r="U197" s="325">
        <f>'ALL ML SYSTEMS'!U197</f>
        <v>0</v>
      </c>
      <c r="V197" s="325">
        <f>'ALL ML SYSTEMS'!V197</f>
        <v>0</v>
      </c>
      <c r="W197" s="325">
        <f>'ALL ML SYSTEMS'!W197</f>
        <v>0</v>
      </c>
      <c r="X197" s="325">
        <f>'ALL ML SYSTEMS'!X197</f>
        <v>0</v>
      </c>
      <c r="Y197" s="325">
        <f>'ALL ML SYSTEMS'!Y197</f>
        <v>0</v>
      </c>
      <c r="Z197" s="325">
        <f>'ALL ML SYSTEMS'!Z197</f>
        <v>0</v>
      </c>
      <c r="AA197" s="341" t="str">
        <f>'ALL ML SYSTEMS'!AA197</f>
        <v/>
      </c>
      <c r="AB197" s="325"/>
      <c r="AC197" s="325" t="str">
        <f>'ALL ML SYSTEMS'!AB197</f>
        <v>Yes</v>
      </c>
      <c r="AD197" s="325">
        <f>'ALL ML SYSTEMS'!AC197</f>
        <v>0</v>
      </c>
    </row>
    <row r="198" customHeight="1" spans="1:30">
      <c r="A198" s="323" t="str">
        <f>'ALL ML SYSTEMS'!A198</f>
        <v>Rotation</v>
      </c>
      <c r="B198" s="323" t="str">
        <f>'ALL ML SYSTEMS'!B198</f>
        <v>Drawing</v>
      </c>
      <c r="C198" s="323" t="str">
        <f>'ALL ML SYSTEMS'!C198</f>
        <v>Image completion</v>
      </c>
      <c r="D198" s="323" t="str">
        <f>'ALL ML SYSTEMS'!D198</f>
        <v>École des Ponts ParisTech</v>
      </c>
      <c r="E198" s="323" t="str">
        <f>'ALL ML SYSTEMS'!E198</f>
        <v>Academia</v>
      </c>
      <c r="F198" s="323" t="str">
        <f>'ALL ML SYSTEMS'!F198</f>
        <v>Spyros Gidaris, Praveer Singh, Nikos Komodakis</v>
      </c>
      <c r="G198" s="324">
        <f>'ALL ML SYSTEMS'!G198</f>
        <v>43180</v>
      </c>
      <c r="H198" s="329">
        <f>'ALL ML SYSTEMS'!H198</f>
        <v>3180</v>
      </c>
      <c r="I198" s="323" t="str">
        <f>'ALL ML SYSTEMS'!I198</f>
        <v>Unsupervised Representation Learning by Predicting Image Rotations</v>
      </c>
      <c r="J198" s="334" t="str">
        <f>'ALL ML SYSTEMS'!J198</f>
        <v>https://arxiv.org/abs/1803.07728</v>
      </c>
      <c r="K198" s="335">
        <f>'ALL ML SYSTEMS'!K198</f>
        <v>1157</v>
      </c>
      <c r="L198" s="323" t="str">
        <f>'ALL ML SYSTEMS'!L198</f>
        <v>Highly cited</v>
      </c>
      <c r="M198" s="335" t="str">
        <f>'ALL ML SYSTEMS'!M198</f>
        <v>Yes</v>
      </c>
      <c r="N198" s="335">
        <f>'ALL ML SYSTEMS'!N198</f>
        <v>86000000</v>
      </c>
      <c r="O198" s="335">
        <f>'ALL ML SYSTEMS'!O198</f>
        <v>0</v>
      </c>
      <c r="P198" s="336">
        <f>'ALL ML SYSTEMS'!P198</f>
        <v>0</v>
      </c>
      <c r="Q198" s="335">
        <f>'ALL ML SYSTEMS'!Q198</f>
        <v>0</v>
      </c>
      <c r="R198" s="323">
        <f>'ALL ML SYSTEMS'!R198</f>
        <v>0</v>
      </c>
      <c r="S198" s="335">
        <f>'ALL ML SYSTEMS'!S198</f>
        <v>0</v>
      </c>
      <c r="T198" s="323">
        <f>'ALL ML SYSTEMS'!T198</f>
        <v>0</v>
      </c>
      <c r="U198" s="323">
        <f>'ALL ML SYSTEMS'!U198</f>
        <v>0</v>
      </c>
      <c r="V198" s="323">
        <f>'ALL ML SYSTEMS'!V198</f>
        <v>0</v>
      </c>
      <c r="W198" s="323">
        <f>'ALL ML SYSTEMS'!W198</f>
        <v>0</v>
      </c>
      <c r="X198" s="323">
        <f>'ALL ML SYSTEMS'!X198</f>
        <v>0</v>
      </c>
      <c r="Y198" s="323">
        <f>'ALL ML SYSTEMS'!Y198</f>
        <v>0</v>
      </c>
      <c r="Z198" s="323">
        <f>'ALL ML SYSTEMS'!Z198</f>
        <v>0</v>
      </c>
      <c r="AA198" s="340" t="str">
        <f>'ALL ML SYSTEMS'!AA198</f>
        <v/>
      </c>
      <c r="AB198" s="323">
        <f>'ALL ML SYSTEMS'!AB198</f>
        <v>0</v>
      </c>
      <c r="AC198" s="323">
        <f>'ALL ML SYSTEMS'!AC198</f>
        <v>0</v>
      </c>
      <c r="AD198" s="323" t="str">
        <f>'ALL ML SYSTEMS'!AD198</f>
        <v>Academia</v>
      </c>
    </row>
    <row r="199" hidden="1" customHeight="1" spans="1:30">
      <c r="A199" s="325" t="str">
        <f>'ALL ML SYSTEMS'!A199</f>
        <v>ResNeXt-101 32x48d</v>
      </c>
      <c r="B199" s="325" t="str">
        <f>'ALL ML SYSTEMS'!B199</f>
        <v>Vision</v>
      </c>
      <c r="C199" s="325" t="str">
        <f>'ALL ML SYSTEMS'!C199</f>
        <v>Image classification</v>
      </c>
      <c r="D199" s="325" t="str">
        <f>'ALL ML SYSTEMS'!D199</f>
        <v>Facebook</v>
      </c>
      <c r="E199" s="325" t="str">
        <f>'ALL ML SYSTEMS'!E199</f>
        <v>Industry</v>
      </c>
      <c r="F199" s="325" t="str">
        <f>'ALL ML SYSTEMS'!F199</f>
        <v>D Mahajan, R Girshick</v>
      </c>
      <c r="G199" s="326">
        <f>'ALL ML SYSTEMS'!G199</f>
        <v>43222</v>
      </c>
      <c r="H199" s="327">
        <f>'ALL ML SYSTEMS'!H199</f>
        <v>3222</v>
      </c>
      <c r="I199" s="325" t="str">
        <f>'ALL ML SYSTEMS'!I199</f>
        <v>Exploring the Limits of Weakly Supervised Pretraining</v>
      </c>
      <c r="J199" s="337" t="str">
        <f>'ALL ML SYSTEMS'!J199</f>
        <v>https://arxiv.org/abs/1805.00932</v>
      </c>
      <c r="K199" s="338">
        <f>'ALL ML SYSTEMS'!K199</f>
        <v>619</v>
      </c>
      <c r="L199" s="325">
        <f>'ALL ML SYSTEMS'!L199</f>
        <v>0</v>
      </c>
      <c r="M199" s="338" t="str">
        <f>'ALL ML SYSTEMS'!M199</f>
        <v>No</v>
      </c>
      <c r="N199" s="338">
        <f>'ALL ML SYSTEMS'!N199</f>
        <v>829000000</v>
      </c>
      <c r="O199" s="338">
        <f>'ALL ML SYSTEMS'!O199</f>
        <v>0</v>
      </c>
      <c r="P199" s="339">
        <f>'ALL ML SYSTEMS'!P199</f>
        <v>0</v>
      </c>
      <c r="Q199" s="338">
        <f>'ALL ML SYSTEMS'!Q199</f>
        <v>0</v>
      </c>
      <c r="R199" s="325">
        <f>'ALL ML SYSTEMS'!R199</f>
        <v>0</v>
      </c>
      <c r="S199" s="338">
        <f>'ALL ML SYSTEMS'!S199</f>
        <v>31200000000</v>
      </c>
      <c r="T199" s="325">
        <f>'ALL ML SYSTEMS'!T199</f>
        <v>0</v>
      </c>
      <c r="U199" s="325">
        <f>'ALL ML SYSTEMS'!U199</f>
        <v>0</v>
      </c>
      <c r="V199" s="325">
        <f>'ALL ML SYSTEMS'!V199</f>
        <v>0</v>
      </c>
      <c r="W199" s="325">
        <f>'ALL ML SYSTEMS'!W199</f>
        <v>0</v>
      </c>
      <c r="X199" s="325">
        <f>'ALL ML SYSTEMS'!X199</f>
        <v>0</v>
      </c>
      <c r="Y199" s="325">
        <f>'ALL ML SYSTEMS'!Y199</f>
        <v>0</v>
      </c>
      <c r="Z199" s="325">
        <f>'ALL ML SYSTEMS'!Z199</f>
        <v>0</v>
      </c>
      <c r="AA199" s="341" t="str">
        <f>'ALL ML SYSTEMS'!AA199</f>
        <v/>
      </c>
      <c r="AB199" s="325"/>
      <c r="AC199" s="325">
        <f>'ALL ML SYSTEMS'!AB199</f>
        <v>0</v>
      </c>
      <c r="AD199" s="325">
        <f>'ALL ML SYSTEMS'!AC199</f>
        <v>0</v>
      </c>
    </row>
    <row r="200" customHeight="1" spans="1:30">
      <c r="A200" s="323" t="str">
        <f>'ALL ML SYSTEMS'!A200</f>
        <v>MobileNetV2</v>
      </c>
      <c r="B200" s="323" t="str">
        <f>'ALL ML SYSTEMS'!B200</f>
        <v>Vision</v>
      </c>
      <c r="C200" s="323">
        <f>'ALL ML SYSTEMS'!C200</f>
        <v>0</v>
      </c>
      <c r="D200" s="323" t="str">
        <f>'ALL ML SYSTEMS'!D200</f>
        <v>Google Inc.</v>
      </c>
      <c r="E200" s="323" t="str">
        <f>'ALL ML SYSTEMS'!E200</f>
        <v>Industry</v>
      </c>
      <c r="F200" s="323" t="str">
        <f>'ALL ML SYSTEMS'!F200</f>
        <v>M Sandler, A Howard, M Zhu</v>
      </c>
      <c r="G200" s="324">
        <f>'ALL ML SYSTEMS'!G200</f>
        <v>43269</v>
      </c>
      <c r="H200" s="329">
        <f>'ALL ML SYSTEMS'!H200</f>
        <v>3269</v>
      </c>
      <c r="I200" s="323" t="str">
        <f>'ALL ML SYSTEMS'!I200</f>
        <v>MobileNetV2: Inverted Residuals and Linear Bottlenecks</v>
      </c>
      <c r="J200" s="334" t="str">
        <f>'ALL ML SYSTEMS'!J200</f>
        <v>https://ieeexplore.ieee.org/document/8578572</v>
      </c>
      <c r="K200" s="335">
        <f>'ALL ML SYSTEMS'!K200</f>
        <v>5710</v>
      </c>
      <c r="L200" s="323" t="str">
        <f>'ALL ML SYSTEMS'!L200</f>
        <v>Highly cited</v>
      </c>
      <c r="M200" s="335" t="str">
        <f>'ALL ML SYSTEMS'!M200</f>
        <v>Yes</v>
      </c>
      <c r="N200" s="335">
        <f>'ALL ML SYSTEMS'!N200</f>
        <v>3400000</v>
      </c>
      <c r="O200" s="335">
        <f>'ALL ML SYSTEMS'!O200</f>
        <v>0</v>
      </c>
      <c r="P200" s="336">
        <f>'ALL ML SYSTEMS'!P200</f>
        <v>0</v>
      </c>
      <c r="Q200" s="335">
        <f>'ALL ML SYSTEMS'!Q200</f>
        <v>0</v>
      </c>
      <c r="R200" s="323">
        <f>'ALL ML SYSTEMS'!R200</f>
        <v>0</v>
      </c>
      <c r="S200" s="335">
        <f>'ALL ML SYSTEMS'!S200</f>
        <v>600000000</v>
      </c>
      <c r="T200" s="323">
        <f>'ALL ML SYSTEMS'!T200</f>
        <v>0</v>
      </c>
      <c r="U200" s="323">
        <f>'ALL ML SYSTEMS'!U200</f>
        <v>0</v>
      </c>
      <c r="V200" s="323">
        <f>'ALL ML SYSTEMS'!V200</f>
        <v>0</v>
      </c>
      <c r="W200" s="323">
        <f>'ALL ML SYSTEMS'!W200</f>
        <v>0</v>
      </c>
      <c r="X200" s="323">
        <f>'ALL ML SYSTEMS'!X200</f>
        <v>0</v>
      </c>
      <c r="Y200" s="323">
        <f>'ALL ML SYSTEMS'!Y200</f>
        <v>0</v>
      </c>
      <c r="Z200" s="323">
        <f>'ALL ML SYSTEMS'!Z200</f>
        <v>0</v>
      </c>
      <c r="AA200" s="340" t="str">
        <f>'ALL ML SYSTEMS'!AA200</f>
        <v/>
      </c>
      <c r="AB200" s="323">
        <f>'ALL ML SYSTEMS'!AB200</f>
        <v>0</v>
      </c>
      <c r="AC200" s="323">
        <f>'ALL ML SYSTEMS'!AC200</f>
        <v>0</v>
      </c>
      <c r="AD200" s="323" t="str">
        <f>'ALL ML SYSTEMS'!AD200</f>
        <v>Industry</v>
      </c>
    </row>
    <row r="201" customHeight="1" spans="1:30">
      <c r="A201" s="325" t="str">
        <f>'ALL ML SYSTEMS'!A201</f>
        <v>ShuffleNet v2</v>
      </c>
      <c r="B201" s="325" t="str">
        <f>'ALL ML SYSTEMS'!B201</f>
        <v>Vision</v>
      </c>
      <c r="C201" s="325">
        <f>'ALL ML SYSTEMS'!C201</f>
        <v>0</v>
      </c>
      <c r="D201" s="325" t="str">
        <f>'ALL ML SYSTEMS'!D201</f>
        <v>Tsinghua University, Megvii Inc</v>
      </c>
      <c r="E201" s="325" t="str">
        <f>'ALL ML SYSTEMS'!E201</f>
        <v>Industry - Academia Collaboration</v>
      </c>
      <c r="F201" s="325" t="str">
        <f>'ALL ML SYSTEMS'!F201</f>
        <v>N Ma, X Zhang, HT Zheng</v>
      </c>
      <c r="G201" s="326">
        <f>'ALL ML SYSTEMS'!G201</f>
        <v>43281</v>
      </c>
      <c r="H201" s="327">
        <f>'ALL ML SYSTEMS'!H201</f>
        <v>3281</v>
      </c>
      <c r="I201" s="325" t="str">
        <f>'ALL ML SYSTEMS'!I201</f>
        <v>ShuffleNet V2: Practical Guidelines for Efficient CNN Architecture Design</v>
      </c>
      <c r="J201" s="337" t="str">
        <f>'ALL ML SYSTEMS'!J201</f>
        <v>https://arxiv.org/abs/1807.11164</v>
      </c>
      <c r="K201" s="338">
        <f>'ALL ML SYSTEMS'!K201</f>
        <v>1406</v>
      </c>
      <c r="L201" s="325" t="str">
        <f>'ALL ML SYSTEMS'!L201</f>
        <v>Highly cited</v>
      </c>
      <c r="M201" s="338" t="str">
        <f>'ALL ML SYSTEMS'!M201</f>
        <v>Yes</v>
      </c>
      <c r="N201" s="338">
        <f>'ALL ML SYSTEMS'!N201</f>
        <v>2280000</v>
      </c>
      <c r="O201" s="338">
        <f>'ALL ML SYSTEMS'!O201</f>
        <v>0</v>
      </c>
      <c r="P201" s="339">
        <f>'ALL ML SYSTEMS'!P201</f>
        <v>0</v>
      </c>
      <c r="Q201" s="338">
        <f>'ALL ML SYSTEMS'!Q201</f>
        <v>0</v>
      </c>
      <c r="R201" s="325">
        <f>'ALL ML SYSTEMS'!R201</f>
        <v>0</v>
      </c>
      <c r="S201" s="338">
        <f>'ALL ML SYSTEMS'!S201</f>
        <v>300000000</v>
      </c>
      <c r="T201" s="325">
        <f>'ALL ML SYSTEMS'!T201</f>
        <v>0</v>
      </c>
      <c r="U201" s="325">
        <f>'ALL ML SYSTEMS'!U201</f>
        <v>0</v>
      </c>
      <c r="V201" s="325">
        <f>'ALL ML SYSTEMS'!V201</f>
        <v>0</v>
      </c>
      <c r="W201" s="325">
        <f>'ALL ML SYSTEMS'!W201</f>
        <v>0</v>
      </c>
      <c r="X201" s="325">
        <f>'ALL ML SYSTEMS'!X201</f>
        <v>0</v>
      </c>
      <c r="Y201" s="325">
        <f>'ALL ML SYSTEMS'!Y201</f>
        <v>0</v>
      </c>
      <c r="Z201" s="325">
        <f>'ALL ML SYSTEMS'!Z201</f>
        <v>0</v>
      </c>
      <c r="AA201" s="341" t="str">
        <f>'ALL ML SYSTEMS'!AA201</f>
        <v/>
      </c>
      <c r="AB201" s="325">
        <f>'ALL ML SYSTEMS'!AB201</f>
        <v>0</v>
      </c>
      <c r="AC201" s="325">
        <f>'ALL ML SYSTEMS'!AC201</f>
        <v>0</v>
      </c>
      <c r="AD201" s="325" t="str">
        <f>'ALL ML SYSTEMS'!AD201</f>
        <v>Industry</v>
      </c>
    </row>
    <row r="202" customHeight="1" spans="1:30">
      <c r="A202" s="323">
        <f>'ALL ML SYSTEMS'!A202</f>
        <v>0</v>
      </c>
      <c r="B202" s="323" t="str">
        <f>'ALL ML SYSTEMS'!B202</f>
        <v>Vision</v>
      </c>
      <c r="C202" s="323" t="str">
        <f>'ALL ML SYSTEMS'!C202</f>
        <v>Image super-resolution</v>
      </c>
      <c r="D202" s="323" t="str">
        <f>'ALL ML SYSTEMS'!D202</f>
        <v>Northeastern University</v>
      </c>
      <c r="E202" s="323" t="str">
        <f>'ALL ML SYSTEMS'!E202</f>
        <v>Academia</v>
      </c>
      <c r="F202" s="323" t="str">
        <f>'ALL ML SYSTEMS'!F202</f>
        <v> Yulun Zhang, Kunpeng Li, Kai Li, Lichen Wang, Bineng Zhong, Yun Fu</v>
      </c>
      <c r="G202" s="324">
        <f>'ALL ML SYSTEMS'!G202</f>
        <v>43289</v>
      </c>
      <c r="H202" s="329">
        <f>'ALL ML SYSTEMS'!H202</f>
        <v>3289</v>
      </c>
      <c r="I202" s="323" t="str">
        <f>'ALL ML SYSTEMS'!I202</f>
        <v>Image Super-Resolution Using Very Deep Residual Channel Attention Networks</v>
      </c>
      <c r="J202" s="334" t="str">
        <f>'ALL ML SYSTEMS'!J202</f>
        <v>https://openaccess.thecvf.com/content_ECCV_2018/html/Yulun_Zhang_Image_Super-Resolution_Using_ECCV_2018_paper.html</v>
      </c>
      <c r="K202" s="335">
        <f>'ALL ML SYSTEMS'!K202</f>
        <v>1797</v>
      </c>
      <c r="L202" s="323" t="str">
        <f>'ALL ML SYSTEMS'!L202</f>
        <v>Highly cited</v>
      </c>
      <c r="M202" s="335" t="str">
        <f>'ALL ML SYSTEMS'!M202</f>
        <v>Yes</v>
      </c>
      <c r="N202" s="335">
        <f>'ALL ML SYSTEMS'!N202</f>
        <v>0</v>
      </c>
      <c r="O202" s="335">
        <f>'ALL ML SYSTEMS'!O202</f>
        <v>0</v>
      </c>
      <c r="P202" s="336">
        <f>'ALL ML SYSTEMS'!P202</f>
        <v>0</v>
      </c>
      <c r="Q202" s="335">
        <f>'ALL ML SYSTEMS'!Q202</f>
        <v>0</v>
      </c>
      <c r="R202" s="323">
        <f>'ALL ML SYSTEMS'!R202</f>
        <v>0</v>
      </c>
      <c r="S202" s="335">
        <f>'ALL ML SYSTEMS'!S202</f>
        <v>0</v>
      </c>
      <c r="T202" s="323">
        <f>'ALL ML SYSTEMS'!T202</f>
        <v>0</v>
      </c>
      <c r="U202" s="323">
        <f>'ALL ML SYSTEMS'!U202</f>
        <v>0</v>
      </c>
      <c r="V202" s="323">
        <f>'ALL ML SYSTEMS'!V202</f>
        <v>0</v>
      </c>
      <c r="W202" s="323">
        <f>'ALL ML SYSTEMS'!W202</f>
        <v>0</v>
      </c>
      <c r="X202" s="323">
        <f>'ALL ML SYSTEMS'!X202</f>
        <v>0</v>
      </c>
      <c r="Y202" s="323">
        <f>'ALL ML SYSTEMS'!Y202</f>
        <v>0</v>
      </c>
      <c r="Z202" s="323">
        <f>'ALL ML SYSTEMS'!Z202</f>
        <v>0</v>
      </c>
      <c r="AA202" s="340" t="str">
        <f>'ALL ML SYSTEMS'!AA202</f>
        <v/>
      </c>
      <c r="AB202" s="323">
        <f>'ALL ML SYSTEMS'!AB202</f>
        <v>0</v>
      </c>
      <c r="AC202" s="323">
        <f>'ALL ML SYSTEMS'!AC202</f>
        <v>0</v>
      </c>
      <c r="AD202" s="323" t="str">
        <f>'ALL ML SYSTEMS'!AD202</f>
        <v>Academia</v>
      </c>
    </row>
    <row r="203" customHeight="1" spans="1:30">
      <c r="A203" s="325" t="str">
        <f>'ALL ML SYSTEMS'!A203</f>
        <v>ESRGAN</v>
      </c>
      <c r="B203" s="325" t="str">
        <f>'ALL ML SYSTEMS'!B203</f>
        <v>Vision</v>
      </c>
      <c r="C203" s="325" t="str">
        <f>'ALL ML SYSTEMS'!C203</f>
        <v>Image super-resolution</v>
      </c>
      <c r="D203" s="325" t="str">
        <f>'ALL ML SYSTEMS'!D203</f>
        <v>Chinese University of Hong Kong, Chinese Academy of Sciences, Nanyang Technological University</v>
      </c>
      <c r="E203" s="325" t="str">
        <f>'ALL ML SYSTEMS'!E203</f>
        <v>Academia</v>
      </c>
      <c r="F203" s="325" t="str">
        <f>'ALL ML SYSTEMS'!F203</f>
        <v>Xintao Wang, Ke Yu, Shixiang Wu, Jinjin Gu, Yihao Liu, Chao Dong, Chen Change Loy, Yu Qiao, Xiaoou Tang</v>
      </c>
      <c r="G203" s="326">
        <f>'ALL ML SYSTEMS'!G203</f>
        <v>43344</v>
      </c>
      <c r="H203" s="327">
        <f>'ALL ML SYSTEMS'!H203</f>
        <v>3344</v>
      </c>
      <c r="I203" s="325" t="str">
        <f>'ALL ML SYSTEMS'!I203</f>
        <v>ESRGAN: Enhanced Super-Resolution Generative Adversarial Networks</v>
      </c>
      <c r="J203" s="337" t="str">
        <f>'ALL ML SYSTEMS'!J203</f>
        <v>https://arxiv.org/abs/1809.00219</v>
      </c>
      <c r="K203" s="338">
        <f>'ALL ML SYSTEMS'!K203</f>
        <v>1501</v>
      </c>
      <c r="L203" s="325" t="str">
        <f>'ALL ML SYSTEMS'!L203</f>
        <v>Highly cited</v>
      </c>
      <c r="M203" s="338" t="str">
        <f>'ALL ML SYSTEMS'!M203</f>
        <v>Yes</v>
      </c>
      <c r="N203" s="338">
        <f>'ALL ML SYSTEMS'!N203</f>
        <v>0</v>
      </c>
      <c r="O203" s="338">
        <f>'ALL ML SYSTEMS'!O203</f>
        <v>0</v>
      </c>
      <c r="P203" s="339">
        <f>'ALL ML SYSTEMS'!P203</f>
        <v>0</v>
      </c>
      <c r="Q203" s="338">
        <f>'ALL ML SYSTEMS'!Q203</f>
        <v>0</v>
      </c>
      <c r="R203" s="325">
        <f>'ALL ML SYSTEMS'!R203</f>
        <v>0</v>
      </c>
      <c r="S203" s="338">
        <f>'ALL ML SYSTEMS'!S203</f>
        <v>0</v>
      </c>
      <c r="T203" s="325">
        <f>'ALL ML SYSTEMS'!T203</f>
        <v>0</v>
      </c>
      <c r="U203" s="325">
        <f>'ALL ML SYSTEMS'!U203</f>
        <v>0</v>
      </c>
      <c r="V203" s="325">
        <f>'ALL ML SYSTEMS'!V203</f>
        <v>0</v>
      </c>
      <c r="W203" s="325">
        <f>'ALL ML SYSTEMS'!W203</f>
        <v>0</v>
      </c>
      <c r="X203" s="325">
        <f>'ALL ML SYSTEMS'!X203</f>
        <v>0</v>
      </c>
      <c r="Y203" s="325">
        <f>'ALL ML SYSTEMS'!Y203</f>
        <v>0</v>
      </c>
      <c r="Z203" s="325">
        <f>'ALL ML SYSTEMS'!Z203</f>
        <v>0</v>
      </c>
      <c r="AA203" s="341" t="str">
        <f>'ALL ML SYSTEMS'!AA203</f>
        <v/>
      </c>
      <c r="AB203" s="325">
        <f>'ALL ML SYSTEMS'!AB203</f>
        <v>0</v>
      </c>
      <c r="AC203" s="325">
        <f>'ALL ML SYSTEMS'!AC203</f>
        <v>0</v>
      </c>
      <c r="AD203" s="325" t="str">
        <f>'ALL ML SYSTEMS'!AD203</f>
        <v>Academia</v>
      </c>
    </row>
    <row r="204" hidden="1" customHeight="1" spans="1:30">
      <c r="A204" s="323" t="str">
        <f>'ALL ML SYSTEMS'!A204</f>
        <v>MetaMimic</v>
      </c>
      <c r="B204" s="323" t="str">
        <f>'ALL ML SYSTEMS'!B204</f>
        <v>Games</v>
      </c>
      <c r="C204" s="323">
        <f>'ALL ML SYSTEMS'!C204</f>
        <v>0</v>
      </c>
      <c r="D204" s="323" t="str">
        <f>'ALL ML SYSTEMS'!D204</f>
        <v>Google</v>
      </c>
      <c r="E204" s="323" t="str">
        <f>'ALL ML SYSTEMS'!E204</f>
        <v>Industry</v>
      </c>
      <c r="F204" s="323" t="str">
        <f>'ALL ML SYSTEMS'!F204</f>
        <v>Tom Le Paine, Sergio Gomez</v>
      </c>
      <c r="G204" s="324">
        <f>'ALL ML SYSTEMS'!G204</f>
        <v>43384</v>
      </c>
      <c r="H204" s="329">
        <f>'ALL ML SYSTEMS'!H204</f>
        <v>3384</v>
      </c>
      <c r="I204" s="323" t="str">
        <f>'ALL ML SYSTEMS'!I204</f>
        <v>One-Shot High-Fidelity Imitation: Training Large-Scale Deep Nets with RL</v>
      </c>
      <c r="J204" s="334" t="str">
        <f>'ALL ML SYSTEMS'!J204</f>
        <v>https://arxiv.org/abs/1810.05017</v>
      </c>
      <c r="K204" s="335">
        <f>'ALL ML SYSTEMS'!K204</f>
        <v>19</v>
      </c>
      <c r="L204" s="323">
        <f>'ALL ML SYSTEMS'!L204</f>
        <v>0</v>
      </c>
      <c r="M204" s="335" t="str">
        <f>'ALL ML SYSTEMS'!M204</f>
        <v>No</v>
      </c>
      <c r="N204" s="335">
        <f>'ALL ML SYSTEMS'!N204</f>
        <v>22000000</v>
      </c>
      <c r="O204" s="335">
        <f>'ALL ML SYSTEMS'!O204</f>
        <v>0</v>
      </c>
      <c r="P204" s="336">
        <f>'ALL ML SYSTEMS'!P204</f>
        <v>0</v>
      </c>
      <c r="Q204" s="335">
        <f>'ALL ML SYSTEMS'!Q204</f>
        <v>0</v>
      </c>
      <c r="R204" s="323">
        <f>'ALL ML SYSTEMS'!R204</f>
        <v>0</v>
      </c>
      <c r="S204" s="335">
        <f>'ALL ML SYSTEMS'!S204</f>
        <v>0</v>
      </c>
      <c r="T204" s="323">
        <f>'ALL ML SYSTEMS'!T204</f>
        <v>0</v>
      </c>
      <c r="U204" s="323">
        <f>'ALL ML SYSTEMS'!U204</f>
        <v>0</v>
      </c>
      <c r="V204" s="323">
        <f>'ALL ML SYSTEMS'!V204</f>
        <v>0</v>
      </c>
      <c r="W204" s="323">
        <f>'ALL ML SYSTEMS'!W204</f>
        <v>0</v>
      </c>
      <c r="X204" s="323">
        <f>'ALL ML SYSTEMS'!X204</f>
        <v>0</v>
      </c>
      <c r="Y204" s="323">
        <f>'ALL ML SYSTEMS'!Y204</f>
        <v>0</v>
      </c>
      <c r="Z204" s="323">
        <f>'ALL ML SYSTEMS'!Z204</f>
        <v>0</v>
      </c>
      <c r="AA204" s="340" t="str">
        <f>'ALL ML SYSTEMS'!AA204</f>
        <v/>
      </c>
      <c r="AB204" s="323"/>
      <c r="AC204" s="323">
        <f>'ALL ML SYSTEMS'!AB204</f>
        <v>0</v>
      </c>
      <c r="AD204" s="323">
        <f>'ALL ML SYSTEMS'!AC204</f>
        <v>0</v>
      </c>
    </row>
    <row r="205" hidden="1" customHeight="1" spans="1:30">
      <c r="A205" s="325" t="str">
        <f>'ALL ML SYSTEMS'!A205</f>
        <v>GPipe (Amoeba)</v>
      </c>
      <c r="B205" s="325" t="str">
        <f>'ALL ML SYSTEMS'!B205</f>
        <v>Vision</v>
      </c>
      <c r="C205" s="325" t="str">
        <f>'ALL ML SYSTEMS'!C205</f>
        <v>Image classification</v>
      </c>
      <c r="D205" s="325" t="str">
        <f>'ALL ML SYSTEMS'!D205</f>
        <v>Google</v>
      </c>
      <c r="E205" s="325" t="str">
        <f>'ALL ML SYSTEMS'!E205</f>
        <v>Industry</v>
      </c>
      <c r="F205" s="325" t="str">
        <f>'ALL ML SYSTEMS'!F205</f>
        <v>Y Huang, Y Cheng, A Bapna, O Firat</v>
      </c>
      <c r="G205" s="326">
        <f>'ALL ML SYSTEMS'!G205</f>
        <v>43420</v>
      </c>
      <c r="H205" s="327">
        <f>'ALL ML SYSTEMS'!H205</f>
        <v>3420</v>
      </c>
      <c r="I205" s="325" t="str">
        <f>'ALL ML SYSTEMS'!I205</f>
        <v>GPipe: Efficient Training of Giant Neural Networks using Pipeline Parallelism</v>
      </c>
      <c r="J205" s="337" t="str">
        <f>'ALL ML SYSTEMS'!J205</f>
        <v>https://arxiv.org/abs/1811.06965</v>
      </c>
      <c r="K205" s="338">
        <f>'ALL ML SYSTEMS'!K205</f>
        <v>486</v>
      </c>
      <c r="L205" s="325">
        <f>'ALL ML SYSTEMS'!L205</f>
        <v>0</v>
      </c>
      <c r="M205" s="338" t="str">
        <f>'ALL ML SYSTEMS'!M205</f>
        <v>No</v>
      </c>
      <c r="N205" s="338">
        <f>'ALL ML SYSTEMS'!N205</f>
        <v>557000000</v>
      </c>
      <c r="O205" s="338">
        <f>'ALL ML SYSTEMS'!O205</f>
        <v>0</v>
      </c>
      <c r="P205" s="339" t="str">
        <f>'ALL ML SYSTEMS'!P205</f>
        <v>ImageNet</v>
      </c>
      <c r="Q205" s="338">
        <f>'ALL ML SYSTEMS'!Q205</f>
        <v>1281167</v>
      </c>
      <c r="R205" s="325">
        <f>'ALL ML SYSTEMS'!R205</f>
        <v>0</v>
      </c>
      <c r="S205" s="338">
        <f>'ALL ML SYSTEMS'!S205</f>
        <v>0</v>
      </c>
      <c r="T205" s="325">
        <f>'ALL ML SYSTEMS'!T205</f>
        <v>0</v>
      </c>
      <c r="U205" s="325">
        <f>'ALL ML SYSTEMS'!U205</f>
        <v>0</v>
      </c>
      <c r="V205" s="325">
        <f>'ALL ML SYSTEMS'!V205</f>
        <v>0</v>
      </c>
      <c r="W205" s="325">
        <f>'ALL ML SYSTEMS'!W205</f>
        <v>0</v>
      </c>
      <c r="X205" s="325">
        <f>'ALL ML SYSTEMS'!X205</f>
        <v>0</v>
      </c>
      <c r="Y205" s="325">
        <f>'ALL ML SYSTEMS'!Y205</f>
        <v>0</v>
      </c>
      <c r="Z205" s="325">
        <f>'ALL ML SYSTEMS'!Z205</f>
        <v>0</v>
      </c>
      <c r="AA205" s="341" t="str">
        <f>'ALL ML SYSTEMS'!AA205</f>
        <v/>
      </c>
      <c r="AB205" s="325"/>
      <c r="AC205" s="325">
        <f>'ALL ML SYSTEMS'!AB205</f>
        <v>0</v>
      </c>
      <c r="AD205" s="325">
        <f>'ALL ML SYSTEMS'!AC205</f>
        <v>0</v>
      </c>
    </row>
    <row r="206" hidden="1" customHeight="1" spans="1:30">
      <c r="A206" s="323" t="str">
        <f>'ALL ML SYSTEMS'!A206</f>
        <v>GPipe (Transformer)</v>
      </c>
      <c r="B206" s="323" t="str">
        <f>'ALL ML SYSTEMS'!B206</f>
        <v>Language</v>
      </c>
      <c r="C206" s="323" t="str">
        <f>'ALL ML SYSTEMS'!C206</f>
        <v>Translation</v>
      </c>
      <c r="D206" s="323" t="str">
        <f>'ALL ML SYSTEMS'!D206</f>
        <v>Google</v>
      </c>
      <c r="E206" s="323" t="str">
        <f>'ALL ML SYSTEMS'!E206</f>
        <v>Industry</v>
      </c>
      <c r="F206" s="323" t="str">
        <f>'ALL ML SYSTEMS'!F206</f>
        <v>Y Huang, Y Cheng, A Bapna, O Firat</v>
      </c>
      <c r="G206" s="324">
        <f>'ALL ML SYSTEMS'!G206</f>
        <v>43420</v>
      </c>
      <c r="H206" s="329">
        <f>'ALL ML SYSTEMS'!H206</f>
        <v>3420</v>
      </c>
      <c r="I206" s="323" t="str">
        <f>'ALL ML SYSTEMS'!I206</f>
        <v>GPipe: Efficient Training of Giant Neural Networks using Pipeline Parallelism</v>
      </c>
      <c r="J206" s="334" t="str">
        <f>'ALL ML SYSTEMS'!J206</f>
        <v>https://arxiv.org/abs/1811.06965</v>
      </c>
      <c r="K206" s="335">
        <f>'ALL ML SYSTEMS'!K206</f>
        <v>486</v>
      </c>
      <c r="L206" s="323">
        <f>'ALL ML SYSTEMS'!L206</f>
        <v>0</v>
      </c>
      <c r="M206" s="335" t="str">
        <f>'ALL ML SYSTEMS'!M206</f>
        <v>No</v>
      </c>
      <c r="N206" s="335">
        <f>'ALL ML SYSTEMS'!N206</f>
        <v>6000000000</v>
      </c>
      <c r="O206" s="335">
        <f>'ALL ML SYSTEMS'!O206</f>
        <v>0</v>
      </c>
      <c r="P206" s="336">
        <f>'ALL ML SYSTEMS'!P206</f>
        <v>0</v>
      </c>
      <c r="Q206" s="342">
        <f>'ALL ML SYSTEMS'!Q206</f>
        <v>20000000000</v>
      </c>
      <c r="R206" s="323">
        <f>'ALL ML SYSTEMS'!R206</f>
        <v>0</v>
      </c>
      <c r="S206" s="335">
        <f>'ALL ML SYSTEMS'!S206</f>
        <v>0</v>
      </c>
      <c r="T206" s="323">
        <f>'ALL ML SYSTEMS'!T206</f>
        <v>0</v>
      </c>
      <c r="U206" s="323">
        <f>'ALL ML SYSTEMS'!U206</f>
        <v>0</v>
      </c>
      <c r="V206" s="323">
        <f>'ALL ML SYSTEMS'!V206</f>
        <v>0</v>
      </c>
      <c r="W206" s="323">
        <f>'ALL ML SYSTEMS'!W206</f>
        <v>0</v>
      </c>
      <c r="X206" s="323">
        <f>'ALL ML SYSTEMS'!X206</f>
        <v>0</v>
      </c>
      <c r="Y206" s="323">
        <f>'ALL ML SYSTEMS'!Y206</f>
        <v>0</v>
      </c>
      <c r="Z206" s="323">
        <f>'ALL ML SYSTEMS'!Z206</f>
        <v>0</v>
      </c>
      <c r="AA206" s="340" t="str">
        <f>'ALL ML SYSTEMS'!AA206</f>
        <v/>
      </c>
      <c r="AB206" s="323"/>
      <c r="AC206" s="323" t="str">
        <f>'ALL ML SYSTEMS'!AB206</f>
        <v>Yes</v>
      </c>
      <c r="AD206" s="323">
        <f>'ALL ML SYSTEMS'!AC206</f>
        <v>0</v>
      </c>
    </row>
    <row r="207" customHeight="1" spans="1:30">
      <c r="A207" s="325" t="str">
        <f>'ALL ML SYSTEMS'!A207</f>
        <v>AlphaGo Zero</v>
      </c>
      <c r="B207" s="325" t="str">
        <f>'ALL ML SYSTEMS'!B207</f>
        <v>Games</v>
      </c>
      <c r="C207" s="325" t="str">
        <f>'ALL ML SYSTEMS'!C207</f>
        <v>Go</v>
      </c>
      <c r="D207" s="325" t="str">
        <f>'ALL ML SYSTEMS'!D207</f>
        <v>DeepMind</v>
      </c>
      <c r="E207" s="325" t="str">
        <f>'ALL ML SYSTEMS'!E207</f>
        <v>Industry</v>
      </c>
      <c r="F207" s="325" t="str">
        <f>'ALL ML SYSTEMS'!F207</f>
        <v>D Silver, J Schrittwieser, K Simonyan, I Antonoglou</v>
      </c>
      <c r="G207" s="326">
        <f>'ALL ML SYSTEMS'!G207</f>
        <v>43027</v>
      </c>
      <c r="H207" s="327">
        <f>'ALL ML SYSTEMS'!H207</f>
        <v>3027</v>
      </c>
      <c r="I207" s="325" t="str">
        <f>'ALL ML SYSTEMS'!I207</f>
        <v>Mastering the game of Go without human knowledge</v>
      </c>
      <c r="J207" s="337" t="str">
        <f>'ALL ML SYSTEMS'!J207</f>
        <v>https://www.researchgate.net/publication/320473480_Mastering_the_game_of_Go_without_human_knowledge</v>
      </c>
      <c r="K207" s="338">
        <f>'ALL ML SYSTEMS'!K207</f>
        <v>5809</v>
      </c>
      <c r="L207" s="325" t="str">
        <f>'ALL ML SYSTEMS'!L207</f>
        <v>Highly cited</v>
      </c>
      <c r="M207" s="338" t="str">
        <f>'ALL ML SYSTEMS'!M207</f>
        <v>Yes</v>
      </c>
      <c r="N207" s="338">
        <f>'ALL ML SYSTEMS'!N207</f>
        <v>46400244</v>
      </c>
      <c r="O207" s="338">
        <f>'ALL ML SYSTEMS'!O207</f>
        <v>3.41e+23</v>
      </c>
      <c r="P207" s="339">
        <f>'ALL ML SYSTEMS'!P207</f>
        <v>0</v>
      </c>
      <c r="Q207" s="338">
        <f>'ALL ML SYSTEMS'!Q207</f>
        <v>5800000000</v>
      </c>
      <c r="R207" s="325">
        <f>'ALL ML SYSTEMS'!R207</f>
        <v>0</v>
      </c>
      <c r="S207" s="338">
        <f>'ALL ML SYSTEMS'!S207</f>
        <v>0</v>
      </c>
      <c r="T207" s="325">
        <f>'ALL ML SYSTEMS'!T207</f>
        <v>0</v>
      </c>
      <c r="U207" s="325">
        <f>'ALL ML SYSTEMS'!U207</f>
        <v>0</v>
      </c>
      <c r="V207" s="325">
        <f>'ALL ML SYSTEMS'!V207</f>
        <v>0</v>
      </c>
      <c r="W207" s="325">
        <f>'ALL ML SYSTEMS'!W207</f>
        <v>0</v>
      </c>
      <c r="X207" s="325">
        <f>'ALL ML SYSTEMS'!X207</f>
        <v>0</v>
      </c>
      <c r="Y207" s="325">
        <f>'ALL ML SYSTEMS'!Y207</f>
        <v>0</v>
      </c>
      <c r="Z207" s="325">
        <f>'ALL ML SYSTEMS'!Z207</f>
        <v>0</v>
      </c>
      <c r="AA207" s="341">
        <f>'ALL ML SYSTEMS'!AA207</f>
        <v>1544149.41763173</v>
      </c>
      <c r="AB207" s="325" t="str">
        <f>'ALL ML SYSTEMS'!AB207</f>
        <v>Yes</v>
      </c>
      <c r="AC207" s="325">
        <f>'ALL ML SYSTEMS'!AC207</f>
        <v>0</v>
      </c>
      <c r="AD207" s="325" t="str">
        <f>'ALL ML SYSTEMS'!AD207</f>
        <v>Industry</v>
      </c>
    </row>
    <row r="208" customHeight="1" spans="1:30">
      <c r="A208" s="323" t="str">
        <f>'ALL ML SYSTEMS'!A208</f>
        <v>AlphaGo Master</v>
      </c>
      <c r="B208" s="323" t="str">
        <f>'ALL ML SYSTEMS'!B208</f>
        <v>Games</v>
      </c>
      <c r="C208" s="323" t="str">
        <f>'ALL ML SYSTEMS'!C208</f>
        <v>Go</v>
      </c>
      <c r="D208" s="323" t="str">
        <f>'ALL ML SYSTEMS'!D208</f>
        <v>DeepMind</v>
      </c>
      <c r="E208" s="323" t="str">
        <f>'ALL ML SYSTEMS'!E208</f>
        <v>Industry</v>
      </c>
      <c r="F208" s="323" t="str">
        <f>'ALL ML SYSTEMS'!F208</f>
        <v>D Silver, J Schrittwieser, K Simonyan, I Antonoglou</v>
      </c>
      <c r="G208" s="324">
        <f>'ALL ML SYSTEMS'!G208</f>
        <v>42736</v>
      </c>
      <c r="H208" s="329">
        <f>'ALL ML SYSTEMS'!H208</f>
        <v>2017</v>
      </c>
      <c r="I208" s="323" t="str">
        <f>'ALL ML SYSTEMS'!I208</f>
        <v>Mastering the game of Go without human knowledge</v>
      </c>
      <c r="J208" s="334" t="str">
        <f>'ALL ML SYSTEMS'!J208</f>
        <v>https://www.researchgate.net/publication/320473480_Mastering_the_game_of_Go_without_human_knowledge</v>
      </c>
      <c r="K208" s="335">
        <f>'ALL ML SYSTEMS'!K208</f>
        <v>5809</v>
      </c>
      <c r="L208" s="323" t="str">
        <f>'ALL ML SYSTEMS'!L208</f>
        <v>Highly cited</v>
      </c>
      <c r="M208" s="335" t="str">
        <f>'ALL ML SYSTEMS'!M208</f>
        <v>Yes</v>
      </c>
      <c r="N208" s="335">
        <f>'ALL ML SYSTEMS'!N208</f>
        <v>0</v>
      </c>
      <c r="O208" s="335">
        <f>'ALL ML SYSTEMS'!O208</f>
        <v>1.5e+23</v>
      </c>
      <c r="P208" s="336">
        <f>'ALL ML SYSTEMS'!P208</f>
        <v>0</v>
      </c>
      <c r="Q208" s="335">
        <f>'ALL ML SYSTEMS'!Q208</f>
        <v>0</v>
      </c>
      <c r="R208" s="323">
        <f>'ALL ML SYSTEMS'!R208</f>
        <v>0</v>
      </c>
      <c r="S208" s="335">
        <f>'ALL ML SYSTEMS'!S208</f>
        <v>0</v>
      </c>
      <c r="T208" s="323">
        <f>'ALL ML SYSTEMS'!T208</f>
        <v>0</v>
      </c>
      <c r="U208" s="323">
        <f>'ALL ML SYSTEMS'!U208</f>
        <v>0</v>
      </c>
      <c r="V208" s="323">
        <f>'ALL ML SYSTEMS'!V208</f>
        <v>0</v>
      </c>
      <c r="W208" s="323">
        <f>'ALL ML SYSTEMS'!W208</f>
        <v>0</v>
      </c>
      <c r="X208" s="323">
        <f>'ALL ML SYSTEMS'!X208</f>
        <v>0</v>
      </c>
      <c r="Y208" s="323">
        <f>'ALL ML SYSTEMS'!Y208</f>
        <v>0</v>
      </c>
      <c r="Z208" s="323">
        <f>'ALL ML SYSTEMS'!Z208</f>
        <v>0</v>
      </c>
      <c r="AA208" s="340">
        <f>'ALL ML SYSTEMS'!AA208</f>
        <v>852748.081042578</v>
      </c>
      <c r="AB208" s="323">
        <f>'ALL ML SYSTEMS'!AB208</f>
        <v>0</v>
      </c>
      <c r="AC208" s="323">
        <f>'ALL ML SYSTEMS'!AC208</f>
        <v>0</v>
      </c>
      <c r="AD208" s="323" t="str">
        <f>'ALL ML SYSTEMS'!AD208</f>
        <v>Industry</v>
      </c>
    </row>
    <row r="209" customHeight="1" spans="1:30">
      <c r="A209" s="325" t="str">
        <f>'ALL ML SYSTEMS'!A209</f>
        <v>AlphaZero</v>
      </c>
      <c r="B209" s="325" t="str">
        <f>'ALL ML SYSTEMS'!B209</f>
        <v>Games</v>
      </c>
      <c r="C209" s="325">
        <f>'ALL ML SYSTEMS'!C209</f>
        <v>0</v>
      </c>
      <c r="D209" s="325" t="str">
        <f>'ALL ML SYSTEMS'!D209</f>
        <v>DeepMind</v>
      </c>
      <c r="E209" s="325" t="str">
        <f>'ALL ML SYSTEMS'!E209</f>
        <v>Industry</v>
      </c>
      <c r="F209" s="325" t="str">
        <f>'ALL ML SYSTEMS'!F209</f>
        <v>D Silver, T Hubert, J Schrittwieser, I Antonoglou</v>
      </c>
      <c r="G209" s="326">
        <f>'ALL ML SYSTEMS'!G209</f>
        <v>43074</v>
      </c>
      <c r="H209" s="327">
        <f>'ALL ML SYSTEMS'!H209</f>
        <v>3074</v>
      </c>
      <c r="I209" s="325" t="str">
        <f>'ALL ML SYSTEMS'!I209</f>
        <v>Mastering Chess and Shogi by Self-Play with a General Reinforcement Learning Algorithm</v>
      </c>
      <c r="J209" s="337" t="str">
        <f>'ALL ML SYSTEMS'!J209</f>
        <v>https://arxiv.org/abs/1712.01815</v>
      </c>
      <c r="K209" s="338">
        <f>'ALL ML SYSTEMS'!K209</f>
        <v>1076</v>
      </c>
      <c r="L209" s="325" t="str">
        <f>'ALL ML SYSTEMS'!L209</f>
        <v>Highly cited</v>
      </c>
      <c r="M209" s="338" t="str">
        <f>'ALL ML SYSTEMS'!M209</f>
        <v>Yes</v>
      </c>
      <c r="N209" s="338">
        <f>'ALL ML SYSTEMS'!N209</f>
        <v>0</v>
      </c>
      <c r="O209" s="338">
        <f>'ALL ML SYSTEMS'!O209</f>
        <v>3.66792730046829e+22</v>
      </c>
      <c r="P209" s="339">
        <f>'ALL ML SYSTEMS'!P209</f>
        <v>0</v>
      </c>
      <c r="Q209" s="338">
        <f>'ALL ML SYSTEMS'!Q209</f>
        <v>700000</v>
      </c>
      <c r="R209" s="325">
        <f>'ALL ML SYSTEMS'!R209</f>
        <v>0</v>
      </c>
      <c r="S209" s="338">
        <f>'ALL ML SYSTEMS'!S209</f>
        <v>0</v>
      </c>
      <c r="T209" s="325">
        <f>'ALL ML SYSTEMS'!T209</f>
        <v>0</v>
      </c>
      <c r="U209" s="325">
        <f>'ALL ML SYSTEMS'!U209</f>
        <v>0</v>
      </c>
      <c r="V209" s="325">
        <f>'ALL ML SYSTEMS'!V209</f>
        <v>0</v>
      </c>
      <c r="W209" s="325">
        <f>'ALL ML SYSTEMS'!W209</f>
        <v>0</v>
      </c>
      <c r="X209" s="325">
        <f>'ALL ML SYSTEMS'!X209</f>
        <v>0</v>
      </c>
      <c r="Y209" s="325">
        <f>'ALL ML SYSTEMS'!Y209</f>
        <v>0</v>
      </c>
      <c r="Z209" s="325" t="str">
        <f>'ALL ML SYSTEMS'!Z209</f>
        <v>Score</v>
      </c>
      <c r="AA209" s="341">
        <f>'ALL ML SYSTEMS'!AA209</f>
        <v>162054.697156363</v>
      </c>
      <c r="AB209" s="325" t="str">
        <f>'ALL ML SYSTEMS'!AB209</f>
        <v>Yes</v>
      </c>
      <c r="AC209" s="325">
        <f>'ALL ML SYSTEMS'!AC209</f>
        <v>0</v>
      </c>
      <c r="AD209" s="325" t="str">
        <f>'ALL ML SYSTEMS'!AD209</f>
        <v>Industry</v>
      </c>
    </row>
    <row r="210" customHeight="1" spans="1:30">
      <c r="A210" s="323" t="str">
        <f>'ALL ML SYSTEMS'!A210</f>
        <v>Libratus</v>
      </c>
      <c r="B210" s="323" t="str">
        <f>'ALL ML SYSTEMS'!B210</f>
        <v>Games</v>
      </c>
      <c r="C210" s="323" t="str">
        <f>'ALL ML SYSTEMS'!C210</f>
        <v>Poker</v>
      </c>
      <c r="D210" s="323" t="str">
        <f>'ALL ML SYSTEMS'!D210</f>
        <v>Carnegie Mellon University</v>
      </c>
      <c r="E210" s="323" t="str">
        <f>'ALL ML SYSTEMS'!E210</f>
        <v>Academia</v>
      </c>
      <c r="F210" s="323" t="str">
        <f>'ALL ML SYSTEMS'!F210</f>
        <v>N Brown, T Sandholm, S Machine</v>
      </c>
      <c r="G210" s="324">
        <f>'ALL ML SYSTEMS'!G210</f>
        <v>42736</v>
      </c>
      <c r="H210" s="329">
        <f>'ALL ML SYSTEMS'!H210</f>
        <v>2736</v>
      </c>
      <c r="I210" s="323" t="str">
        <f>'ALL ML SYSTEMS'!I210</f>
        <v>Libratus: The Superhuman AI for No-Limit Poker</v>
      </c>
      <c r="J210" s="334" t="str">
        <f>'ALL ML SYSTEMS'!J210</f>
        <v>https://www.cs.cmu.edu/~noamb/papers/17-IJCAI-Libratus.pdf</v>
      </c>
      <c r="K210" s="335">
        <f>'ALL ML SYSTEMS'!K210</f>
        <v>97</v>
      </c>
      <c r="L210" s="323" t="str">
        <f>'ALL ML SYSTEMS'!L210</f>
        <v>SOTA improvement</v>
      </c>
      <c r="M210" s="335" t="str">
        <f>'ALL ML SYSTEMS'!M210</f>
        <v>Yes</v>
      </c>
      <c r="N210" s="335">
        <f>'ALL ML SYSTEMS'!N210</f>
        <v>0</v>
      </c>
      <c r="O210" s="335">
        <f>'ALL ML SYSTEMS'!O210</f>
        <v>1.1475e+21</v>
      </c>
      <c r="P210" s="336">
        <f>'ALL ML SYSTEMS'!P210</f>
        <v>0</v>
      </c>
      <c r="Q210" s="335">
        <f>'ALL ML SYSTEMS'!Q210</f>
        <v>0</v>
      </c>
      <c r="R210" s="323">
        <f>'ALL ML SYSTEMS'!R210</f>
        <v>0</v>
      </c>
      <c r="S210" s="335">
        <f>'ALL ML SYSTEMS'!S210</f>
        <v>0</v>
      </c>
      <c r="T210" s="323">
        <f>'ALL ML SYSTEMS'!T210</f>
        <v>0</v>
      </c>
      <c r="U210" s="323">
        <f>'ALL ML SYSTEMS'!U210</f>
        <v>3000000</v>
      </c>
      <c r="V210" s="323">
        <f>'ALL ML SYSTEMS'!V210</f>
        <v>0</v>
      </c>
      <c r="W210" s="323">
        <f>'ALL ML SYSTEMS'!W210</f>
        <v>0</v>
      </c>
      <c r="X210" s="323">
        <f>'ALL ML SYSTEMS'!X210</f>
        <v>0</v>
      </c>
      <c r="Y210" s="323">
        <f>'ALL ML SYSTEMS'!Y210</f>
        <v>0</v>
      </c>
      <c r="Z210" s="323">
        <f>'ALL ML SYSTEMS'!Z210</f>
        <v>0</v>
      </c>
      <c r="AA210" s="340">
        <f>'ALL ML SYSTEMS'!AA210</f>
        <v>6253.48592764557</v>
      </c>
      <c r="AB210" s="323">
        <f>'ALL ML SYSTEMS'!AB210</f>
        <v>0</v>
      </c>
      <c r="AC210" s="323">
        <f>'ALL ML SYSTEMS'!AC210</f>
        <v>0</v>
      </c>
      <c r="AD210" s="323" t="str">
        <f>'ALL ML SYSTEMS'!AD210</f>
        <v>Academia</v>
      </c>
    </row>
    <row r="211" customHeight="1" spans="1:30">
      <c r="A211" s="325" t="str">
        <f>'ALL ML SYSTEMS'!A211</f>
        <v>OpenAI TI7 DOTA 1v1</v>
      </c>
      <c r="B211" s="325" t="str">
        <f>'ALL ML SYSTEMS'!B211</f>
        <v>Games</v>
      </c>
      <c r="C211" s="325" t="str">
        <f>'ALL ML SYSTEMS'!C211</f>
        <v>DOTA</v>
      </c>
      <c r="D211" s="325" t="str">
        <f>'ALL ML SYSTEMS'!D211</f>
        <v>OpenAI</v>
      </c>
      <c r="E211" s="325" t="str">
        <f>'ALL ML SYSTEMS'!E211</f>
        <v>Industry</v>
      </c>
      <c r="F211" s="325" t="str">
        <f>'ALL ML SYSTEMS'!F211</f>
        <v>A Radford, K Narasimhan, T Salimans, I Sutskever</v>
      </c>
      <c r="G211" s="326">
        <f>'ALL ML SYSTEMS'!G211</f>
        <v>42958</v>
      </c>
      <c r="H211" s="327">
        <f>'ALL ML SYSTEMS'!H211</f>
        <v>2958</v>
      </c>
      <c r="I211" s="325" t="str">
        <f>'ALL ML SYSTEMS'!I211</f>
        <v>Dota 2 </v>
      </c>
      <c r="J211" s="337" t="str">
        <f>'ALL ML SYSTEMS'!J211</f>
        <v>https://openai.com/five/</v>
      </c>
      <c r="K211" s="338">
        <f>'ALL ML SYSTEMS'!K211</f>
        <v>1001</v>
      </c>
      <c r="L211" s="325">
        <f>'ALL ML SYSTEMS'!L211</f>
        <v>0</v>
      </c>
      <c r="M211" s="338" t="str">
        <f>'ALL ML SYSTEMS'!M211</f>
        <v>Yes</v>
      </c>
      <c r="N211" s="338">
        <f>'ALL ML SYSTEMS'!N211</f>
        <v>150000000</v>
      </c>
      <c r="O211" s="338">
        <f>'ALL ML SYSTEMS'!O211</f>
        <v>6.046095222592e+20</v>
      </c>
      <c r="P211" s="339">
        <f>'ALL ML SYSTEMS'!P211</f>
        <v>0</v>
      </c>
      <c r="Q211" s="338">
        <f>'ALL ML SYSTEMS'!Q211</f>
        <v>0</v>
      </c>
      <c r="R211" s="325">
        <f>'ALL ML SYSTEMS'!R211</f>
        <v>0</v>
      </c>
      <c r="S211" s="338">
        <f>'ALL ML SYSTEMS'!S211</f>
        <v>0</v>
      </c>
      <c r="T211" s="325">
        <f>'ALL ML SYSTEMS'!T211</f>
        <v>0</v>
      </c>
      <c r="U211" s="325">
        <f>'ALL ML SYSTEMS'!U211</f>
        <v>0</v>
      </c>
      <c r="V211" s="325">
        <f>'ALL ML SYSTEMS'!V211</f>
        <v>0</v>
      </c>
      <c r="W211" s="325">
        <f>'ALL ML SYSTEMS'!W211</f>
        <v>0</v>
      </c>
      <c r="X211" s="325">
        <f>'ALL ML SYSTEMS'!X211</f>
        <v>0</v>
      </c>
      <c r="Y211" s="325">
        <f>'ALL ML SYSTEMS'!Y211</f>
        <v>0</v>
      </c>
      <c r="Z211" s="325">
        <f>'ALL ML SYSTEMS'!Z211</f>
        <v>0</v>
      </c>
      <c r="AA211" s="341">
        <f>'ALL ML SYSTEMS'!AA211</f>
        <v>2873.98659242643</v>
      </c>
      <c r="AB211" s="325">
        <f>'ALL ML SYSTEMS'!AB211</f>
        <v>0</v>
      </c>
      <c r="AC211" s="325">
        <f>'ALL ML SYSTEMS'!AC211</f>
        <v>0</v>
      </c>
      <c r="AD211" s="325" t="str">
        <f>'ALL ML SYSTEMS'!AD211</f>
        <v>Industry</v>
      </c>
    </row>
    <row r="212" customHeight="1" spans="1:30">
      <c r="A212" s="323" t="str">
        <f>'ALL ML SYSTEMS'!A212</f>
        <v>JFT</v>
      </c>
      <c r="B212" s="323" t="str">
        <f>'ALL ML SYSTEMS'!B212</f>
        <v>Vision</v>
      </c>
      <c r="C212" s="323">
        <f>'ALL ML SYSTEMS'!C212</f>
        <v>0</v>
      </c>
      <c r="D212" s="323" t="str">
        <f>'ALL ML SYSTEMS'!D212</f>
        <v>Google Research, CMU</v>
      </c>
      <c r="E212" s="323" t="str">
        <f>'ALL ML SYSTEMS'!E212</f>
        <v>Industry - Academia Collaboration</v>
      </c>
      <c r="F212" s="323" t="str">
        <f>'ALL ML SYSTEMS'!F212</f>
        <v>ChenSun,AbhinavShrivastava,SaurabhSingh,andAbhinavGupta</v>
      </c>
      <c r="G212" s="324">
        <f>'ALL ML SYSTEMS'!G212</f>
        <v>42951</v>
      </c>
      <c r="H212" s="329">
        <f>'ALL ML SYSTEMS'!H212</f>
        <v>2951</v>
      </c>
      <c r="I212" s="323" t="str">
        <f>'ALL ML SYSTEMS'!I212</f>
        <v>Revisiting Unreasonable Effectiveness of Data in Deep Learning Era.</v>
      </c>
      <c r="J212" s="334" t="str">
        <f>'ALL ML SYSTEMS'!J212</f>
        <v>https://arxiv.org/abs/1707.02968</v>
      </c>
      <c r="K212" s="335">
        <f>'ALL ML SYSTEMS'!K212</f>
        <v>1142</v>
      </c>
      <c r="L212" s="323" t="str">
        <f>'ALL ML SYSTEMS'!L212</f>
        <v>Highly cited</v>
      </c>
      <c r="M212" s="335" t="str">
        <f>'ALL ML SYSTEMS'!M212</f>
        <v>Yes</v>
      </c>
      <c r="N212" s="335">
        <f>'ALL ML SYSTEMS'!N212</f>
        <v>0</v>
      </c>
      <c r="O212" s="335">
        <f>'ALL ML SYSTEMS'!O212</f>
        <v>4.79e+20</v>
      </c>
      <c r="P212" s="336" t="str">
        <f>'ALL ML SYSTEMS'!P212</f>
        <v>JFT-300M</v>
      </c>
      <c r="Q212" s="335">
        <f>'ALL ML SYSTEMS'!Q212</f>
        <v>300000000</v>
      </c>
      <c r="R212" s="323">
        <f>'ALL ML SYSTEMS'!R212</f>
        <v>0</v>
      </c>
      <c r="S212" s="335">
        <f>'ALL ML SYSTEMS'!S212</f>
        <v>0</v>
      </c>
      <c r="T212" s="323">
        <f>'ALL ML SYSTEMS'!T212</f>
        <v>0</v>
      </c>
      <c r="U212" s="323">
        <f>'ALL ML SYSTEMS'!U212</f>
        <v>0</v>
      </c>
      <c r="V212" s="323">
        <f>'ALL ML SYSTEMS'!V212</f>
        <v>0</v>
      </c>
      <c r="W212" s="323">
        <f>'ALL ML SYSTEMS'!W212</f>
        <v>0</v>
      </c>
      <c r="X212" s="323">
        <f>'ALL ML SYSTEMS'!X212</f>
        <v>0</v>
      </c>
      <c r="Y212" s="323">
        <f>'ALL ML SYSTEMS'!Y212</f>
        <v>0</v>
      </c>
      <c r="Z212" s="323">
        <f>'ALL ML SYSTEMS'!Z212</f>
        <v>0</v>
      </c>
      <c r="AA212" s="340">
        <f>'ALL ML SYSTEMS'!AA212</f>
        <v>21396.4173183048</v>
      </c>
      <c r="AB212" s="323">
        <f>'ALL ML SYSTEMS'!AB212</f>
        <v>0</v>
      </c>
      <c r="AC212" s="323">
        <f>'ALL ML SYSTEMS'!AC212</f>
        <v>0</v>
      </c>
      <c r="AD212" s="323" t="str">
        <f>'ALL ML SYSTEMS'!AD212</f>
        <v>Industry</v>
      </c>
    </row>
    <row r="213" hidden="1" customHeight="1" spans="1:30">
      <c r="A213" s="325" t="str">
        <f>'ALL ML SYSTEMS'!A213</f>
        <v>MoE</v>
      </c>
      <c r="B213" s="325" t="str">
        <f>'ALL ML SYSTEMS'!B213</f>
        <v>Language</v>
      </c>
      <c r="C213" s="325" t="str">
        <f>'ALL ML SYSTEMS'!C213</f>
        <v>Language modelling / Machine translation</v>
      </c>
      <c r="D213" s="325" t="str">
        <f>'ALL ML SYSTEMS'!D213</f>
        <v>Google Brain, Jagiellonian University, Cracow</v>
      </c>
      <c r="E213" s="325" t="str">
        <f>'ALL ML SYSTEMS'!E213</f>
        <v>Industry - Academia Collaboration (Industry leaning)</v>
      </c>
      <c r="F213" s="325" t="str">
        <f>'ALL ML SYSTEMS'!F213</f>
        <v>N Shazeer, A Mirhoseini, K Maziarz, A Davis</v>
      </c>
      <c r="G213" s="326">
        <f>'ALL ML SYSTEMS'!G213</f>
        <v>42758</v>
      </c>
      <c r="H213" s="327">
        <f>'ALL ML SYSTEMS'!H213</f>
        <v>2758</v>
      </c>
      <c r="I213" s="325" t="str">
        <f>'ALL ML SYSTEMS'!I213</f>
        <v>Outrageously Large Neural Networks: The Sparsely-Gated Mixture-of-Experts Layer</v>
      </c>
      <c r="J213" s="337" t="str">
        <f>'ALL ML SYSTEMS'!J213</f>
        <v>https://arxiv.org/abs/1701.06538</v>
      </c>
      <c r="K213" s="338">
        <f>'ALL ML SYSTEMS'!K213</f>
        <v>687</v>
      </c>
      <c r="L213" s="325">
        <f>'ALL ML SYSTEMS'!L213</f>
        <v>0</v>
      </c>
      <c r="M213" s="338" t="str">
        <f>'ALL ML SYSTEMS'!M213</f>
        <v>No</v>
      </c>
      <c r="N213" s="338">
        <f>'ALL ML SYSTEMS'!N213</f>
        <v>8700000000</v>
      </c>
      <c r="O213" s="338">
        <f>'ALL ML SYSTEMS'!O213</f>
        <v>9.393905664e+19</v>
      </c>
      <c r="P213" s="339">
        <f>'ALL ML SYSTEMS'!P213</f>
        <v>0</v>
      </c>
      <c r="Q213" s="338">
        <f>'ALL ML SYSTEMS'!Q213</f>
        <v>100000000000</v>
      </c>
      <c r="R213" s="325">
        <f>'ALL ML SYSTEMS'!R213</f>
        <v>0</v>
      </c>
      <c r="S213" s="338">
        <f>'ALL ML SYSTEMS'!S213</f>
        <v>0</v>
      </c>
      <c r="T213" s="325">
        <f>'ALL ML SYSTEMS'!T213</f>
        <v>0</v>
      </c>
      <c r="U213" s="325">
        <f>'ALL ML SYSTEMS'!U213</f>
        <v>0</v>
      </c>
      <c r="V213" s="325">
        <f>'ALL ML SYSTEMS'!V213</f>
        <v>0</v>
      </c>
      <c r="W213" s="325">
        <f>'ALL ML SYSTEMS'!W213</f>
        <v>0</v>
      </c>
      <c r="X213" s="325">
        <f>'ALL ML SYSTEMS'!X213</f>
        <v>0</v>
      </c>
      <c r="Y213" s="325" t="str">
        <f>'ALL ML SYSTEMS'!Y213</f>
        <v>Sparse</v>
      </c>
      <c r="Z213" s="325">
        <f>'ALL ML SYSTEMS'!Z213</f>
        <v>0</v>
      </c>
      <c r="AA213" s="341">
        <f>'ALL ML SYSTEMS'!AA213</f>
        <v>8484.354244363</v>
      </c>
      <c r="AB213" s="325"/>
      <c r="AC213" s="325">
        <f>'ALL ML SYSTEMS'!AB213</f>
        <v>0</v>
      </c>
      <c r="AD213" s="325" t="str">
        <f>'ALL ML SYSTEMS'!AC213</f>
        <v>Long Short-Term Memory Mixture-Of-Experts</v>
      </c>
    </row>
    <row r="214" customHeight="1" spans="1:30">
      <c r="A214" s="323" t="str">
        <f>'ALL ML SYSTEMS'!A214</f>
        <v>PNASNet-5</v>
      </c>
      <c r="B214" s="323">
        <f>'ALL ML SYSTEMS'!B214</f>
        <v>0</v>
      </c>
      <c r="C214" s="323">
        <f>'ALL ML SYSTEMS'!C214</f>
        <v>0</v>
      </c>
      <c r="D214" s="323" t="str">
        <f>'ALL ML SYSTEMS'!D214</f>
        <v>Johns Hopkins University, Stanford, Google AI</v>
      </c>
      <c r="E214" s="323" t="str">
        <f>'ALL ML SYSTEMS'!E214</f>
        <v>Industry - Academia Collaboration (Industry leaning)</v>
      </c>
      <c r="F214" s="323" t="str">
        <f>'ALL ML SYSTEMS'!F214</f>
        <v>C Liu, B Zoph, M Neumann, J Shlens</v>
      </c>
      <c r="G214" s="324">
        <f>'ALL ML SYSTEMS'!G214</f>
        <v>43071</v>
      </c>
      <c r="H214" s="329">
        <f>'ALL ML SYSTEMS'!H214</f>
        <v>3071</v>
      </c>
      <c r="I214" s="323" t="str">
        <f>'ALL ML SYSTEMS'!I214</f>
        <v>Progressive Neural Architecture Search</v>
      </c>
      <c r="J214" s="334" t="str">
        <f>'ALL ML SYSTEMS'!J214</f>
        <v>https://arxiv.org/abs/1712.00559</v>
      </c>
      <c r="K214" s="335">
        <f>'ALL ML SYSTEMS'!K214</f>
        <v>1341</v>
      </c>
      <c r="L214" s="323" t="str">
        <f>'ALL ML SYSTEMS'!L214</f>
        <v>Highly cited</v>
      </c>
      <c r="M214" s="335" t="str">
        <f>'ALL ML SYSTEMS'!M214</f>
        <v>Yes</v>
      </c>
      <c r="N214" s="335">
        <f>'ALL ML SYSTEMS'!N214</f>
        <v>0</v>
      </c>
      <c r="O214" s="335">
        <f>'ALL ML SYSTEMS'!O214</f>
        <v>6.62904e+19</v>
      </c>
      <c r="P214" s="336" t="str">
        <f>'ALL ML SYSTEMS'!P214</f>
        <v>Imagenet-1k</v>
      </c>
      <c r="Q214" s="335">
        <f>'ALL ML SYSTEMS'!Q214</f>
        <v>1280000</v>
      </c>
      <c r="R214" s="323">
        <f>'ALL ML SYSTEMS'!R214</f>
        <v>0</v>
      </c>
      <c r="S214" s="335">
        <f>'ALL ML SYSTEMS'!S214</f>
        <v>0</v>
      </c>
      <c r="T214" s="323">
        <f>'ALL ML SYSTEMS'!T214</f>
        <v>0</v>
      </c>
      <c r="U214" s="323">
        <f>'ALL ML SYSTEMS'!U214</f>
        <v>0</v>
      </c>
      <c r="V214" s="323">
        <f>'ALL ML SYSTEMS'!V214</f>
        <v>0</v>
      </c>
      <c r="W214" s="323">
        <f>'ALL ML SYSTEMS'!W214</f>
        <v>0</v>
      </c>
      <c r="X214" s="323">
        <f>'ALL ML SYSTEMS'!X214</f>
        <v>0</v>
      </c>
      <c r="Y214" s="323">
        <f>'ALL ML SYSTEMS'!Y214</f>
        <v>0</v>
      </c>
      <c r="Z214" s="323">
        <f>'ALL ML SYSTEMS'!Z214</f>
        <v>0</v>
      </c>
      <c r="AA214" s="340">
        <f>'ALL ML SYSTEMS'!AA214</f>
        <v>991.481511071839</v>
      </c>
      <c r="AB214" s="323">
        <f>'ALL ML SYSTEMS'!AB214</f>
        <v>0</v>
      </c>
      <c r="AC214" s="323">
        <f>'ALL ML SYSTEMS'!AC214</f>
        <v>0</v>
      </c>
      <c r="AD214" s="323" t="str">
        <f>'ALL ML SYSTEMS'!AD214</f>
        <v>Industry</v>
      </c>
    </row>
    <row r="215" customHeight="1" spans="1:30">
      <c r="A215" s="325" t="str">
        <f>'ALL ML SYSTEMS'!A215</f>
        <v>Transformer</v>
      </c>
      <c r="B215" s="325" t="str">
        <f>'ALL ML SYSTEMS'!B215</f>
        <v>Language</v>
      </c>
      <c r="C215" s="325" t="str">
        <f>'ALL ML SYSTEMS'!C215</f>
        <v>Translation</v>
      </c>
      <c r="D215" s="325" t="str">
        <f>'ALL ML SYSTEMS'!D215</f>
        <v>Google Brain ; Google Research</v>
      </c>
      <c r="E215" s="325" t="str">
        <f>'ALL ML SYSTEMS'!E215</f>
        <v>Industry</v>
      </c>
      <c r="F215" s="325" t="str">
        <f>'ALL ML SYSTEMS'!F215</f>
        <v>Ashish Vaswani, Noam Shazeer, Niki Parmar, Jakob Uszkoreit, Llion Jones, Aidan N. Gomez, Lukasz Kaiser, Illia Polosukhin</v>
      </c>
      <c r="G215" s="326">
        <f>'ALL ML SYSTEMS'!G215</f>
        <v>42898</v>
      </c>
      <c r="H215" s="327">
        <f>'ALL ML SYSTEMS'!H215</f>
        <v>2898</v>
      </c>
      <c r="I215" s="325" t="str">
        <f>'ALL ML SYSTEMS'!I215</f>
        <v>Attention Is All You Need</v>
      </c>
      <c r="J215" s="337" t="str">
        <f>'ALL ML SYSTEMS'!J215</f>
        <v>https://proceedings.neurips.cc/paper/2017/file/3f5ee243547dee91fbd053c1c4a845aa-Paper.pdf</v>
      </c>
      <c r="K215" s="338">
        <f>'ALL ML SYSTEMS'!K215</f>
        <v>25230</v>
      </c>
      <c r="L215" s="325" t="str">
        <f>'ALL ML SYSTEMS'!L215</f>
        <v>Highly cited</v>
      </c>
      <c r="M215" s="338" t="str">
        <f>'ALL ML SYSTEMS'!M215</f>
        <v>Yes</v>
      </c>
      <c r="N215" s="338">
        <f>'ALL ML SYSTEMS'!N215</f>
        <v>213000000</v>
      </c>
      <c r="O215" s="338">
        <f>'ALL ML SYSTEMS'!O215</f>
        <v>7.4245248e+18</v>
      </c>
      <c r="P215" s="339">
        <f>'ALL ML SYSTEMS'!P215</f>
        <v>0</v>
      </c>
      <c r="Q215" s="338">
        <f>'ALL ML SYSTEMS'!Q215</f>
        <v>360000000</v>
      </c>
      <c r="R215" s="325">
        <f>'ALL ML SYSTEMS'!R215</f>
        <v>0</v>
      </c>
      <c r="S215" s="338">
        <f>'ALL ML SYSTEMS'!S215</f>
        <v>54000000000</v>
      </c>
      <c r="T215" s="325">
        <f>'ALL ML SYSTEMS'!T215</f>
        <v>0</v>
      </c>
      <c r="U215" s="325">
        <f>'ALL ML SYSTEMS'!U215</f>
        <v>672</v>
      </c>
      <c r="V215" s="325">
        <f>'ALL ML SYSTEMS'!V215</f>
        <v>0</v>
      </c>
      <c r="W215" s="325">
        <f>'ALL ML SYSTEMS'!W215</f>
        <v>0</v>
      </c>
      <c r="X215" s="325">
        <f>'ALL ML SYSTEMS'!X215</f>
        <v>0</v>
      </c>
      <c r="Y215" s="325">
        <f>'ALL ML SYSTEMS'!Y215</f>
        <v>0</v>
      </c>
      <c r="Z215" s="325">
        <f>'ALL ML SYSTEMS'!Z215</f>
        <v>0</v>
      </c>
      <c r="AA215" s="341">
        <f>'ALL ML SYSTEMS'!AA215</f>
        <v>111.166108817145</v>
      </c>
      <c r="AB215" s="325" t="str">
        <f>'ALL ML SYSTEMS'!AB215</f>
        <v>Yes</v>
      </c>
      <c r="AC215" s="325">
        <f>'ALL ML SYSTEMS'!AC215</f>
        <v>0</v>
      </c>
      <c r="AD215" s="325" t="str">
        <f>'ALL ML SYSTEMS'!AD215</f>
        <v>Industry</v>
      </c>
    </row>
    <row r="216" hidden="1" customHeight="1" spans="1:30">
      <c r="A216" s="323" t="str">
        <f>'ALL ML SYSTEMS'!A216</f>
        <v>DeepStack</v>
      </c>
      <c r="B216" s="323" t="str">
        <f>'ALL ML SYSTEMS'!B216</f>
        <v>Games</v>
      </c>
      <c r="C216" s="323" t="str">
        <f>'ALL ML SYSTEMS'!C216</f>
        <v>Poker</v>
      </c>
      <c r="D216" s="323" t="str">
        <f>'ALL ML SYSTEMS'!D216</f>
        <v>University of Alberta, Charles University, Czech Technical University</v>
      </c>
      <c r="E216" s="323" t="str">
        <f>'ALL ML SYSTEMS'!E216</f>
        <v>Academia</v>
      </c>
      <c r="F216" s="323" t="str">
        <f>'ALL ML SYSTEMS'!F216</f>
        <v>Matej Moravčík, Martin Schmid, Neil Burch, Viliam Lisý, Dustin Morrill, Nolan Bard, Trevor Davis, Kevin Waugh, Michael Johanson, Michael Bowling</v>
      </c>
      <c r="G216" s="324">
        <f>'ALL ML SYSTEMS'!G216</f>
        <v>42741</v>
      </c>
      <c r="H216" s="329">
        <f>'ALL ML SYSTEMS'!H216</f>
        <v>2741</v>
      </c>
      <c r="I216" s="323" t="str">
        <f>'ALL ML SYSTEMS'!I216</f>
        <v>DeepStack: Expert-Level Artificial Intelligence in No-Limit Poker</v>
      </c>
      <c r="J216" s="334" t="str">
        <f>'ALL ML SYSTEMS'!J216</f>
        <v>https://arxiv.org/abs/1701.01724</v>
      </c>
      <c r="K216" s="335">
        <f>'ALL ML SYSTEMS'!K216</f>
        <v>618</v>
      </c>
      <c r="L216" s="323">
        <f>'ALL ML SYSTEMS'!L216</f>
        <v>0</v>
      </c>
      <c r="M216" s="335" t="str">
        <f>'ALL ML SYSTEMS'!M216</f>
        <v>No</v>
      </c>
      <c r="N216" s="335">
        <f>'ALL ML SYSTEMS'!N216</f>
        <v>2500000</v>
      </c>
      <c r="O216" s="335">
        <f>'ALL ML SYSTEMS'!O216</f>
        <v>150000000000000</v>
      </c>
      <c r="P216" s="336">
        <f>'ALL ML SYSTEMS'!P216</f>
        <v>0</v>
      </c>
      <c r="Q216" s="335">
        <f>'ALL ML SYSTEMS'!Q216</f>
        <v>10000000</v>
      </c>
      <c r="R216" s="323">
        <f>'ALL ML SYSTEMS'!R216</f>
        <v>0</v>
      </c>
      <c r="S216" s="335">
        <f>'ALL ML SYSTEMS'!S216</f>
        <v>0</v>
      </c>
      <c r="T216" s="323">
        <f>'ALL ML SYSTEMS'!T216</f>
        <v>0</v>
      </c>
      <c r="U216" s="323">
        <f>'ALL ML SYSTEMS'!U216</f>
        <v>0</v>
      </c>
      <c r="V216" s="323">
        <f>'ALL ML SYSTEMS'!V216</f>
        <v>0</v>
      </c>
      <c r="W216" s="323">
        <f>'ALL ML SYSTEMS'!W216</f>
        <v>0</v>
      </c>
      <c r="X216" s="323">
        <f>'ALL ML SYSTEMS'!X216</f>
        <v>0</v>
      </c>
      <c r="Y216" s="323">
        <f>'ALL ML SYSTEMS'!Y216</f>
        <v>0</v>
      </c>
      <c r="Z216" s="323">
        <f>'ALL ML SYSTEMS'!Z216</f>
        <v>0</v>
      </c>
      <c r="AA216" s="340">
        <f>'ALL ML SYSTEMS'!AA216</f>
        <v>0.000849464365284835</v>
      </c>
      <c r="AB216" s="323"/>
      <c r="AC216" s="323">
        <f>'ALL ML SYSTEMS'!AB216</f>
        <v>0</v>
      </c>
      <c r="AD216" s="323">
        <f>'ALL ML SYSTEMS'!AC216</f>
        <v>0</v>
      </c>
    </row>
    <row r="217" customHeight="1" spans="1:30">
      <c r="A217" s="325">
        <f>'ALL ML SYSTEMS'!A217</f>
        <v>0</v>
      </c>
      <c r="B217" s="325" t="str">
        <f>'ALL ML SYSTEMS'!B217</f>
        <v>VIsion</v>
      </c>
      <c r="C217" s="325" t="str">
        <f>'ALL ML SYSTEMS'!C217</f>
        <v>Image super-resolution</v>
      </c>
      <c r="D217" s="325" t="str">
        <f>'ALL ML SYSTEMS'!D217</f>
        <v>Harbin Institute of Technology, Hong Kong Polytechnic University, ULSee Inc., Xi’an Jiaotong University</v>
      </c>
      <c r="E217" s="325" t="str">
        <f>'ALL ML SYSTEMS'!E217</f>
        <v>Industry - Academia Collaboration (Academia leaning)</v>
      </c>
      <c r="F217" s="325" t="str">
        <f>'ALL ML SYSTEMS'!F217</f>
        <v>Kai Zhang, Wangmeng Zuo, Yunjin Chen, Deyu Meng, Lei Zhang</v>
      </c>
      <c r="G217" s="326">
        <f>'ALL ML SYSTEMS'!G217</f>
        <v>42767</v>
      </c>
      <c r="H217" s="327">
        <f>'ALL ML SYSTEMS'!H217</f>
        <v>2767</v>
      </c>
      <c r="I217" s="325" t="str">
        <f>'ALL ML SYSTEMS'!I217</f>
        <v>Beyond a Gaussian Denoiser: Residual Learning of Deep CNN for Image Denoising</v>
      </c>
      <c r="J217" s="337" t="str">
        <f>'ALL ML SYSTEMS'!J217</f>
        <v>https://ieeexplore.ieee.org/abstract/document/7839189</v>
      </c>
      <c r="K217" s="338">
        <f>'ALL ML SYSTEMS'!K217</f>
        <v>3997</v>
      </c>
      <c r="L217" s="325" t="str">
        <f>'ALL ML SYSTEMS'!L217</f>
        <v>Highly cited</v>
      </c>
      <c r="M217" s="338" t="str">
        <f>'ALL ML SYSTEMS'!M217</f>
        <v>Yes</v>
      </c>
      <c r="N217" s="338">
        <f>'ALL ML SYSTEMS'!N217</f>
        <v>0</v>
      </c>
      <c r="O217" s="338">
        <f>'ALL ML SYSTEMS'!O217</f>
        <v>0</v>
      </c>
      <c r="P217" s="339">
        <f>'ALL ML SYSTEMS'!P217</f>
        <v>0</v>
      </c>
      <c r="Q217" s="338">
        <f>'ALL ML SYSTEMS'!Q217</f>
        <v>0</v>
      </c>
      <c r="R217" s="325">
        <f>'ALL ML SYSTEMS'!R217</f>
        <v>0</v>
      </c>
      <c r="S217" s="338">
        <f>'ALL ML SYSTEMS'!S217</f>
        <v>0</v>
      </c>
      <c r="T217" s="325">
        <f>'ALL ML SYSTEMS'!T217</f>
        <v>0</v>
      </c>
      <c r="U217" s="325">
        <f>'ALL ML SYSTEMS'!U217</f>
        <v>0</v>
      </c>
      <c r="V217" s="325">
        <f>'ALL ML SYSTEMS'!V217</f>
        <v>0</v>
      </c>
      <c r="W217" s="325">
        <f>'ALL ML SYSTEMS'!W217</f>
        <v>0</v>
      </c>
      <c r="X217" s="325">
        <f>'ALL ML SYSTEMS'!X217</f>
        <v>0</v>
      </c>
      <c r="Y217" s="325">
        <f>'ALL ML SYSTEMS'!Y217</f>
        <v>0</v>
      </c>
      <c r="Z217" s="325">
        <f>'ALL ML SYSTEMS'!Z217</f>
        <v>0</v>
      </c>
      <c r="AA217" s="341" t="str">
        <f>'ALL ML SYSTEMS'!AA217</f>
        <v/>
      </c>
      <c r="AB217" s="325">
        <f>'ALL ML SYSTEMS'!AB217</f>
        <v>0</v>
      </c>
      <c r="AC217" s="325">
        <f>'ALL ML SYSTEMS'!AC217</f>
        <v>0</v>
      </c>
      <c r="AD217" s="325" t="str">
        <f>'ALL ML SYSTEMS'!AD217</f>
        <v>Industry</v>
      </c>
    </row>
    <row r="218" customHeight="1" spans="1:30">
      <c r="A218" s="323">
        <f>'ALL ML SYSTEMS'!A218</f>
        <v>0</v>
      </c>
      <c r="B218" s="323" t="str">
        <f>'ALL ML SYSTEMS'!B218</f>
        <v>Vision</v>
      </c>
      <c r="C218" s="323" t="str">
        <f>'ALL ML SYSTEMS'!C218</f>
        <v>Image classification</v>
      </c>
      <c r="D218" s="323" t="str">
        <f>'ALL ML SYSTEMS'!D218</f>
        <v>University of Toronto, Twitter</v>
      </c>
      <c r="E218" s="323" t="str">
        <f>'ALL ML SYSTEMS'!E218</f>
        <v>Industry - Academia Collaboration</v>
      </c>
      <c r="F218" s="323" t="str">
        <f>'ALL ML SYSTEMS'!F218</f>
        <v> Jake Snell, Kevin Swersky, Richard S. Zemel</v>
      </c>
      <c r="G218" s="324">
        <f>'ALL ML SYSTEMS'!G218</f>
        <v>42809</v>
      </c>
      <c r="H218" s="329">
        <f>'ALL ML SYSTEMS'!H218</f>
        <v>2809</v>
      </c>
      <c r="I218" s="323" t="str">
        <f>'ALL ML SYSTEMS'!I218</f>
        <v>Prototypical Networks for Few-shot Learning</v>
      </c>
      <c r="J218" s="334" t="str">
        <f>'ALL ML SYSTEMS'!J218</f>
        <v>https://arxiv.org/abs/1703.05175</v>
      </c>
      <c r="K218" s="335">
        <f>'ALL ML SYSTEMS'!K218</f>
        <v>3567</v>
      </c>
      <c r="L218" s="323" t="str">
        <f>'ALL ML SYSTEMS'!L218</f>
        <v>Highly cited</v>
      </c>
      <c r="M218" s="335" t="str">
        <f>'ALL ML SYSTEMS'!M218</f>
        <v>Yes</v>
      </c>
      <c r="N218" s="335">
        <f>'ALL ML SYSTEMS'!N218</f>
        <v>0</v>
      </c>
      <c r="O218" s="335">
        <f>'ALL ML SYSTEMS'!O218</f>
        <v>0</v>
      </c>
      <c r="P218" s="336">
        <f>'ALL ML SYSTEMS'!P218</f>
        <v>0</v>
      </c>
      <c r="Q218" s="335">
        <f>'ALL ML SYSTEMS'!Q218</f>
        <v>0</v>
      </c>
      <c r="R218" s="323">
        <f>'ALL ML SYSTEMS'!R218</f>
        <v>0</v>
      </c>
      <c r="S218" s="335">
        <f>'ALL ML SYSTEMS'!S218</f>
        <v>0</v>
      </c>
      <c r="T218" s="323">
        <f>'ALL ML SYSTEMS'!T218</f>
        <v>0</v>
      </c>
      <c r="U218" s="323">
        <f>'ALL ML SYSTEMS'!U218</f>
        <v>0</v>
      </c>
      <c r="V218" s="323">
        <f>'ALL ML SYSTEMS'!V218</f>
        <v>0</v>
      </c>
      <c r="W218" s="323">
        <f>'ALL ML SYSTEMS'!W218</f>
        <v>0</v>
      </c>
      <c r="X218" s="323">
        <f>'ALL ML SYSTEMS'!X218</f>
        <v>0</v>
      </c>
      <c r="Y218" s="323">
        <f>'ALL ML SYSTEMS'!Y218</f>
        <v>0</v>
      </c>
      <c r="Z218" s="323">
        <f>'ALL ML SYSTEMS'!Z218</f>
        <v>0</v>
      </c>
      <c r="AA218" s="340" t="str">
        <f>'ALL ML SYSTEMS'!AA218</f>
        <v/>
      </c>
      <c r="AB218" s="323">
        <f>'ALL ML SYSTEMS'!AB218</f>
        <v>0</v>
      </c>
      <c r="AC218" s="323">
        <f>'ALL ML SYSTEMS'!AC218</f>
        <v>0</v>
      </c>
      <c r="AD218" s="323" t="str">
        <f>'ALL ML SYSTEMS'!AD218</f>
        <v>Industry</v>
      </c>
    </row>
    <row r="219" customHeight="1" spans="1:30">
      <c r="A219" s="325" t="str">
        <f>'ALL ML SYSTEMS'!A219</f>
        <v>Mask R-CNN</v>
      </c>
      <c r="B219" s="325" t="str">
        <f>'ALL ML SYSTEMS'!B219</f>
        <v>Vision</v>
      </c>
      <c r="C219" s="325" t="str">
        <f>'ALL ML SYSTEMS'!C219</f>
        <v>Image segmentation</v>
      </c>
      <c r="D219" s="325" t="str">
        <f>'ALL ML SYSTEMS'!D219</f>
        <v>Facebook AI Research</v>
      </c>
      <c r="E219" s="325" t="str">
        <f>'ALL ML SYSTEMS'!E219</f>
        <v>Industry</v>
      </c>
      <c r="F219" s="325" t="str">
        <f>'ALL ML SYSTEMS'!F219</f>
        <v>Kaiming He, Georgia Gkioxari, Piotr Dollár, Ross Girshick</v>
      </c>
      <c r="G219" s="326">
        <f>'ALL ML SYSTEMS'!G219</f>
        <v>42824</v>
      </c>
      <c r="H219" s="327">
        <f>'ALL ML SYSTEMS'!H219</f>
        <v>2824</v>
      </c>
      <c r="I219" s="325" t="str">
        <f>'ALL ML SYSTEMS'!I219</f>
        <v>Mask R-CNN</v>
      </c>
      <c r="J219" s="337" t="str">
        <f>'ALL ML SYSTEMS'!J219</f>
        <v>https://arxiv.org/abs/1703.06870</v>
      </c>
      <c r="K219" s="338">
        <f>'ALL ML SYSTEMS'!K219</f>
        <v>14951</v>
      </c>
      <c r="L219" s="325" t="str">
        <f>'ALL ML SYSTEMS'!L219</f>
        <v>Highly cited</v>
      </c>
      <c r="M219" s="338" t="str">
        <f>'ALL ML SYSTEMS'!M219</f>
        <v>Yes</v>
      </c>
      <c r="N219" s="338">
        <f>'ALL ML SYSTEMS'!N219</f>
        <v>0</v>
      </c>
      <c r="O219" s="338">
        <f>'ALL ML SYSTEMS'!O219</f>
        <v>0</v>
      </c>
      <c r="P219" s="339" t="str">
        <f>'ALL ML SYSTEMS'!P219</f>
        <v>COCO</v>
      </c>
      <c r="Q219" s="338">
        <f>'ALL ML SYSTEMS'!Q219</f>
        <v>0</v>
      </c>
      <c r="R219" s="325">
        <f>'ALL ML SYSTEMS'!R219</f>
        <v>0</v>
      </c>
      <c r="S219" s="338">
        <f>'ALL ML SYSTEMS'!S219</f>
        <v>0</v>
      </c>
      <c r="T219" s="325">
        <f>'ALL ML SYSTEMS'!T219</f>
        <v>0</v>
      </c>
      <c r="U219" s="325">
        <f>'ALL ML SYSTEMS'!U219</f>
        <v>352</v>
      </c>
      <c r="V219" s="325">
        <f>'ALL ML SYSTEMS'!V219</f>
        <v>195</v>
      </c>
      <c r="W219" s="325">
        <f>'ALL ML SYSTEMS'!W219</f>
        <v>0</v>
      </c>
      <c r="X219" s="325">
        <f>'ALL ML SYSTEMS'!X219</f>
        <v>0</v>
      </c>
      <c r="Y219" s="325">
        <f>'ALL ML SYSTEMS'!Y219</f>
        <v>0</v>
      </c>
      <c r="Z219" s="325">
        <f>'ALL ML SYSTEMS'!Z219</f>
        <v>0</v>
      </c>
      <c r="AA219" s="341" t="str">
        <f>'ALL ML SYSTEMS'!AA219</f>
        <v/>
      </c>
      <c r="AB219" s="325">
        <f>'ALL ML SYSTEMS'!AB219</f>
        <v>0</v>
      </c>
      <c r="AC219" s="325">
        <f>'ALL ML SYSTEMS'!AC219</f>
        <v>0</v>
      </c>
      <c r="AD219" s="325" t="str">
        <f>'ALL ML SYSTEMS'!AD219</f>
        <v>Industry</v>
      </c>
    </row>
    <row r="220" customHeight="1" spans="1:30">
      <c r="A220" s="323">
        <f>'ALL ML SYSTEMS'!A220</f>
        <v>0</v>
      </c>
      <c r="B220" s="323" t="str">
        <f>'ALL ML SYSTEMS'!B220</f>
        <v>Vision</v>
      </c>
      <c r="C220" s="323" t="str">
        <f>'ALL ML SYSTEMS'!C220</f>
        <v>Image generation</v>
      </c>
      <c r="D220" s="323" t="str">
        <f>'ALL ML SYSTEMS'!D220</f>
        <v>Montreal Institute for learning Algorithms, Courant Institute of Mathematical Sciences</v>
      </c>
      <c r="E220" s="323" t="str">
        <f>'ALL ML SYSTEMS'!E220</f>
        <v>Academia</v>
      </c>
      <c r="F220" s="323" t="str">
        <f>'ALL ML SYSTEMS'!F220</f>
        <v>Ishaan Gulrajani, Faruk Ahmed, Martin Arjovsky, Vincent Dumoulin, Aaron Courville</v>
      </c>
      <c r="G220" s="324">
        <f>'ALL ML SYSTEMS'!G220</f>
        <v>42825</v>
      </c>
      <c r="H220" s="329">
        <f>'ALL ML SYSTEMS'!H220</f>
        <v>2825</v>
      </c>
      <c r="I220" s="323" t="str">
        <f>'ALL ML SYSTEMS'!I220</f>
        <v>Improved Training of Wasserstein GANs</v>
      </c>
      <c r="J220" s="334" t="str">
        <f>'ALL ML SYSTEMS'!J220</f>
        <v>https://arxiv.org/abs/1704.00028</v>
      </c>
      <c r="K220" s="335">
        <f>'ALL ML SYSTEMS'!K220</f>
        <v>6042</v>
      </c>
      <c r="L220" s="323" t="str">
        <f>'ALL ML SYSTEMS'!L220</f>
        <v>Highly cited</v>
      </c>
      <c r="M220" s="335" t="str">
        <f>'ALL ML SYSTEMS'!M220</f>
        <v>Yes</v>
      </c>
      <c r="N220" s="335">
        <f>'ALL ML SYSTEMS'!N220</f>
        <v>0</v>
      </c>
      <c r="O220" s="335">
        <f>'ALL ML SYSTEMS'!O220</f>
        <v>0</v>
      </c>
      <c r="P220" s="336">
        <f>'ALL ML SYSTEMS'!P220</f>
        <v>0</v>
      </c>
      <c r="Q220" s="335">
        <f>'ALL ML SYSTEMS'!Q220</f>
        <v>0</v>
      </c>
      <c r="R220" s="323">
        <f>'ALL ML SYSTEMS'!R220</f>
        <v>0</v>
      </c>
      <c r="S220" s="335">
        <f>'ALL ML SYSTEMS'!S220</f>
        <v>0</v>
      </c>
      <c r="T220" s="323">
        <f>'ALL ML SYSTEMS'!T220</f>
        <v>0</v>
      </c>
      <c r="U220" s="323">
        <f>'ALL ML SYSTEMS'!U220</f>
        <v>0</v>
      </c>
      <c r="V220" s="323">
        <f>'ALL ML SYSTEMS'!V220</f>
        <v>0</v>
      </c>
      <c r="W220" s="323">
        <f>'ALL ML SYSTEMS'!W220</f>
        <v>0</v>
      </c>
      <c r="X220" s="323">
        <f>'ALL ML SYSTEMS'!X220</f>
        <v>0</v>
      </c>
      <c r="Y220" s="323">
        <f>'ALL ML SYSTEMS'!Y220</f>
        <v>0</v>
      </c>
      <c r="Z220" s="323">
        <f>'ALL ML SYSTEMS'!Z220</f>
        <v>0</v>
      </c>
      <c r="AA220" s="340" t="str">
        <f>'ALL ML SYSTEMS'!AA220</f>
        <v/>
      </c>
      <c r="AB220" s="323">
        <f>'ALL ML SYSTEMS'!AB220</f>
        <v>0</v>
      </c>
      <c r="AC220" s="323">
        <f>'ALL ML SYSTEMS'!AC220</f>
        <v>0</v>
      </c>
      <c r="AD220" s="323" t="str">
        <f>'ALL ML SYSTEMS'!AD220</f>
        <v>Academia</v>
      </c>
    </row>
    <row r="221" customHeight="1" spans="1:30">
      <c r="A221" s="325" t="str">
        <f>'ALL ML SYSTEMS'!A221</f>
        <v>MobileNet</v>
      </c>
      <c r="B221" s="325" t="str">
        <f>'ALL ML SYSTEMS'!B221</f>
        <v>Vision</v>
      </c>
      <c r="C221" s="325">
        <f>'ALL ML SYSTEMS'!C221</f>
        <v>0</v>
      </c>
      <c r="D221" s="325" t="str">
        <f>'ALL ML SYSTEMS'!D221</f>
        <v>Google Inc.</v>
      </c>
      <c r="E221" s="325" t="str">
        <f>'ALL ML SYSTEMS'!E221</f>
        <v>Industry</v>
      </c>
      <c r="F221" s="325" t="str">
        <f>'ALL ML SYSTEMS'!F221</f>
        <v>AG Howard, M Zhu, B Chen, D Kalenichenko</v>
      </c>
      <c r="G221" s="326">
        <f>'ALL ML SYSTEMS'!G221</f>
        <v>42842</v>
      </c>
      <c r="H221" s="327">
        <f>'ALL ML SYSTEMS'!H221</f>
        <v>2842</v>
      </c>
      <c r="I221" s="325" t="str">
        <f>'ALL ML SYSTEMS'!I221</f>
        <v>MobileNets: Efficient Convolutional Neural Networks for Mobile Vision Applications</v>
      </c>
      <c r="J221" s="337" t="str">
        <f>'ALL ML SYSTEMS'!J221</f>
        <v>https://arxiv.org/abs/1704.04861</v>
      </c>
      <c r="K221" s="338">
        <f>'ALL ML SYSTEMS'!K221</f>
        <v>9188</v>
      </c>
      <c r="L221" s="325" t="str">
        <f>'ALL ML SYSTEMS'!L221</f>
        <v>Highly cited</v>
      </c>
      <c r="M221" s="338" t="str">
        <f>'ALL ML SYSTEMS'!M221</f>
        <v>Yes</v>
      </c>
      <c r="N221" s="338">
        <f>'ALL ML SYSTEMS'!N221</f>
        <v>4200000</v>
      </c>
      <c r="O221" s="338">
        <f>'ALL ML SYSTEMS'!O221</f>
        <v>0</v>
      </c>
      <c r="P221" s="339">
        <f>'ALL ML SYSTEMS'!P221</f>
        <v>0</v>
      </c>
      <c r="Q221" s="338">
        <f>'ALL ML SYSTEMS'!Q221</f>
        <v>0</v>
      </c>
      <c r="R221" s="325">
        <f>'ALL ML SYSTEMS'!R221</f>
        <v>0</v>
      </c>
      <c r="S221" s="338">
        <f>'ALL ML SYSTEMS'!S221</f>
        <v>1140000000</v>
      </c>
      <c r="T221" s="325">
        <f>'ALL ML SYSTEMS'!T221</f>
        <v>0</v>
      </c>
      <c r="U221" s="325">
        <f>'ALL ML SYSTEMS'!U221</f>
        <v>0</v>
      </c>
      <c r="V221" s="325">
        <f>'ALL ML SYSTEMS'!V221</f>
        <v>0</v>
      </c>
      <c r="W221" s="325">
        <f>'ALL ML SYSTEMS'!W221</f>
        <v>0</v>
      </c>
      <c r="X221" s="325">
        <f>'ALL ML SYSTEMS'!X221</f>
        <v>0</v>
      </c>
      <c r="Y221" s="325">
        <f>'ALL ML SYSTEMS'!Y221</f>
        <v>0</v>
      </c>
      <c r="Z221" s="325">
        <f>'ALL ML SYSTEMS'!Z221</f>
        <v>0</v>
      </c>
      <c r="AA221" s="341" t="str">
        <f>'ALL ML SYSTEMS'!AA221</f>
        <v/>
      </c>
      <c r="AB221" s="325">
        <f>'ALL ML SYSTEMS'!AB221</f>
        <v>0</v>
      </c>
      <c r="AC221" s="325">
        <f>'ALL ML SYSTEMS'!AC221</f>
        <v>0</v>
      </c>
      <c r="AD221" s="325" t="str">
        <f>'ALL ML SYSTEMS'!AD221</f>
        <v>Industry</v>
      </c>
    </row>
    <row r="222" customHeight="1" spans="1:30">
      <c r="A222" s="323">
        <f>'ALL ML SYSTEMS'!A222</f>
        <v>0</v>
      </c>
      <c r="B222" s="323" t="str">
        <f>'ALL ML SYSTEMS'!B222</f>
        <v>Vision</v>
      </c>
      <c r="C222" s="323" t="str">
        <f>'ALL ML SYSTEMS'!C222</f>
        <v>Image segmentation</v>
      </c>
      <c r="D222" s="323" t="str">
        <f>'ALL ML SYSTEMS'!D222</f>
        <v>Google Inc., University King College, Johns Hopkins University</v>
      </c>
      <c r="E222" s="323" t="str">
        <f>'ALL ML SYSTEMS'!E222</f>
        <v>Industry - Academia Collaboration</v>
      </c>
      <c r="F222" s="323" t="str">
        <f>'ALL ML SYSTEMS'!F222</f>
        <v>Liang-Chieh Chen, George Papandreou, Iasonas Kokkinos, Kevin Murphy, Alan L. Yuille</v>
      </c>
      <c r="G222" s="324">
        <f>'ALL ML SYSTEMS'!G222</f>
        <v>42852</v>
      </c>
      <c r="H222" s="329">
        <f>'ALL ML SYSTEMS'!H222</f>
        <v>2852</v>
      </c>
      <c r="I222" s="323" t="str">
        <f>'ALL ML SYSTEMS'!I222</f>
        <v>DeepLab: Semantic Image Segmentation with Deep Convolutional Nets, Atrous Convolution, and Fully Connected CRFs</v>
      </c>
      <c r="J222" s="334" t="str">
        <f>'ALL ML SYSTEMS'!J222</f>
        <v>https://ieeexplore.ieee.org/abstract/document/7913730</v>
      </c>
      <c r="K222" s="335">
        <f>'ALL ML SYSTEMS'!K222</f>
        <v>10149</v>
      </c>
      <c r="L222" s="323" t="str">
        <f>'ALL ML SYSTEMS'!L222</f>
        <v>Highly cited</v>
      </c>
      <c r="M222" s="335" t="str">
        <f>'ALL ML SYSTEMS'!M222</f>
        <v>Yes</v>
      </c>
      <c r="N222" s="335">
        <f>'ALL ML SYSTEMS'!N222</f>
        <v>0</v>
      </c>
      <c r="O222" s="335">
        <f>'ALL ML SYSTEMS'!O222</f>
        <v>0</v>
      </c>
      <c r="P222" s="336">
        <f>'ALL ML SYSTEMS'!P222</f>
        <v>0</v>
      </c>
      <c r="Q222" s="335">
        <f>'ALL ML SYSTEMS'!Q222</f>
        <v>0</v>
      </c>
      <c r="R222" s="323">
        <f>'ALL ML SYSTEMS'!R222</f>
        <v>0</v>
      </c>
      <c r="S222" s="335">
        <f>'ALL ML SYSTEMS'!S222</f>
        <v>0</v>
      </c>
      <c r="T222" s="323">
        <f>'ALL ML SYSTEMS'!T222</f>
        <v>0</v>
      </c>
      <c r="U222" s="323">
        <f>'ALL ML SYSTEMS'!U222</f>
        <v>0</v>
      </c>
      <c r="V222" s="323">
        <f>'ALL ML SYSTEMS'!V222</f>
        <v>0</v>
      </c>
      <c r="W222" s="323">
        <f>'ALL ML SYSTEMS'!W222</f>
        <v>0</v>
      </c>
      <c r="X222" s="323">
        <f>'ALL ML SYSTEMS'!X222</f>
        <v>0</v>
      </c>
      <c r="Y222" s="323">
        <f>'ALL ML SYSTEMS'!Y222</f>
        <v>0</v>
      </c>
      <c r="Z222" s="323">
        <f>'ALL ML SYSTEMS'!Z222</f>
        <v>0</v>
      </c>
      <c r="AA222" s="340" t="str">
        <f>'ALL ML SYSTEMS'!AA222</f>
        <v/>
      </c>
      <c r="AB222" s="323">
        <f>'ALL ML SYSTEMS'!AB222</f>
        <v>0</v>
      </c>
      <c r="AC222" s="323">
        <f>'ALL ML SYSTEMS'!AC222</f>
        <v>0</v>
      </c>
      <c r="AD222" s="323" t="str">
        <f>'ALL ML SYSTEMS'!AD222</f>
        <v>Industry</v>
      </c>
    </row>
    <row r="223" customHeight="1" spans="1:30">
      <c r="A223" s="325">
        <f>'ALL ML SYSTEMS'!A223</f>
        <v>0</v>
      </c>
      <c r="B223" s="325" t="str">
        <f>'ALL ML SYSTEMS'!B223</f>
        <v>Vision</v>
      </c>
      <c r="C223" s="325" t="str">
        <f>'ALL ML SYSTEMS'!C223</f>
        <v>Image super-resolution</v>
      </c>
      <c r="D223" s="325" t="str">
        <f>'ALL ML SYSTEMS'!D223</f>
        <v>Twitter</v>
      </c>
      <c r="E223" s="325" t="str">
        <f>'ALL ML SYSTEMS'!E223</f>
        <v>Industry</v>
      </c>
      <c r="F223" s="325" t="str">
        <f>'ALL ML SYSTEMS'!F223</f>
        <v>Christian Ledig, Lucas Theis, Ferenc Huszar, Jose Caballero, Andrew Cunningham, Alejandro Acosta, Andrew Aitken, Alykhan Tejani, Johannes Totz, Zehan Wang, Wenzhe Shi</v>
      </c>
      <c r="G223" s="326">
        <f>'ALL ML SYSTEMS'!G223</f>
        <v>42880</v>
      </c>
      <c r="H223" s="327">
        <f>'ALL ML SYSTEMS'!H223</f>
        <v>2880</v>
      </c>
      <c r="I223" s="325" t="str">
        <f>'ALL ML SYSTEMS'!I223</f>
        <v>Photo-Realistic Single Image Super-Resolution Using a Generative Adversarial Network</v>
      </c>
      <c r="J223" s="337" t="str">
        <f>'ALL ML SYSTEMS'!J223</f>
        <v>https://openaccess.thecvf.com/content_cvpr_2017/html/Ledig_Photo-Realistic_Single_Image_CVPR_2017_paper.html</v>
      </c>
      <c r="K223" s="338">
        <f>'ALL ML SYSTEMS'!K223</f>
        <v>7177</v>
      </c>
      <c r="L223" s="325" t="str">
        <f>'ALL ML SYSTEMS'!L223</f>
        <v>Highly cited</v>
      </c>
      <c r="M223" s="338" t="str">
        <f>'ALL ML SYSTEMS'!M223</f>
        <v>Yes</v>
      </c>
      <c r="N223" s="338">
        <f>'ALL ML SYSTEMS'!N223</f>
        <v>0</v>
      </c>
      <c r="O223" s="338">
        <f>'ALL ML SYSTEMS'!O223</f>
        <v>0</v>
      </c>
      <c r="P223" s="339">
        <f>'ALL ML SYSTEMS'!P223</f>
        <v>0</v>
      </c>
      <c r="Q223" s="338">
        <f>'ALL ML SYSTEMS'!Q223</f>
        <v>0</v>
      </c>
      <c r="R223" s="325">
        <f>'ALL ML SYSTEMS'!R223</f>
        <v>0</v>
      </c>
      <c r="S223" s="338">
        <f>'ALL ML SYSTEMS'!S223</f>
        <v>0</v>
      </c>
      <c r="T223" s="325">
        <f>'ALL ML SYSTEMS'!T223</f>
        <v>0</v>
      </c>
      <c r="U223" s="325">
        <f>'ALL ML SYSTEMS'!U223</f>
        <v>0</v>
      </c>
      <c r="V223" s="325">
        <f>'ALL ML SYSTEMS'!V223</f>
        <v>0</v>
      </c>
      <c r="W223" s="325">
        <f>'ALL ML SYSTEMS'!W223</f>
        <v>0</v>
      </c>
      <c r="X223" s="325">
        <f>'ALL ML SYSTEMS'!X223</f>
        <v>0</v>
      </c>
      <c r="Y223" s="325">
        <f>'ALL ML SYSTEMS'!Y223</f>
        <v>0</v>
      </c>
      <c r="Z223" s="325">
        <f>'ALL ML SYSTEMS'!Z223</f>
        <v>0</v>
      </c>
      <c r="AA223" s="341" t="str">
        <f>'ALL ML SYSTEMS'!AA223</f>
        <v/>
      </c>
      <c r="AB223" s="325">
        <f>'ALL ML SYSTEMS'!AB223</f>
        <v>0</v>
      </c>
      <c r="AC223" s="325">
        <f>'ALL ML SYSTEMS'!AC223</f>
        <v>0</v>
      </c>
      <c r="AD223" s="325" t="str">
        <f>'ALL ML SYSTEMS'!AD223</f>
        <v>Industry</v>
      </c>
    </row>
    <row r="224" customHeight="1" spans="1:30">
      <c r="A224" s="323">
        <f>'ALL ML SYSTEMS'!A224</f>
        <v>0</v>
      </c>
      <c r="B224" s="323" t="str">
        <f>'ALL ML SYSTEMS'!B224</f>
        <v>Vision</v>
      </c>
      <c r="C224" s="323" t="str">
        <f>'ALL ML SYSTEMS'!C224</f>
        <v>Action recognition</v>
      </c>
      <c r="D224" s="323" t="str">
        <f>'ALL ML SYSTEMS'!D224</f>
        <v>DeepMind, University of Oxford</v>
      </c>
      <c r="E224" s="323" t="str">
        <f>'ALL ML SYSTEMS'!E224</f>
        <v>Industry - Academia Collaboration</v>
      </c>
      <c r="F224" s="323" t="str">
        <f>'ALL ML SYSTEMS'!F224</f>
        <v>Joao Carreira, Andrew Zisserman</v>
      </c>
      <c r="G224" s="324">
        <f>'ALL ML SYSTEMS'!G224</f>
        <v>42887</v>
      </c>
      <c r="H224" s="329">
        <f>'ALL ML SYSTEMS'!H224</f>
        <v>2887</v>
      </c>
      <c r="I224" s="323" t="str">
        <f>'ALL ML SYSTEMS'!I224</f>
        <v>Quo Vadis, Action Recognition? A New Model and the Kinetics Dataset</v>
      </c>
      <c r="J224" s="334" t="str">
        <f>'ALL ML SYSTEMS'!J224</f>
        <v>https://arxiv.org/abs/1705.07750</v>
      </c>
      <c r="K224" s="335">
        <f>'ALL ML SYSTEMS'!K224</f>
        <v>3982</v>
      </c>
      <c r="L224" s="323" t="str">
        <f>'ALL ML SYSTEMS'!L224</f>
        <v>Highly cited</v>
      </c>
      <c r="M224" s="335" t="str">
        <f>'ALL ML SYSTEMS'!M224</f>
        <v>Yes</v>
      </c>
      <c r="N224" s="335">
        <f>'ALL ML SYSTEMS'!N224</f>
        <v>0</v>
      </c>
      <c r="O224" s="335">
        <f>'ALL ML SYSTEMS'!O224</f>
        <v>0</v>
      </c>
      <c r="P224" s="336">
        <f>'ALL ML SYSTEMS'!P224</f>
        <v>0</v>
      </c>
      <c r="Q224" s="335">
        <f>'ALL ML SYSTEMS'!Q224</f>
        <v>0</v>
      </c>
      <c r="R224" s="323">
        <f>'ALL ML SYSTEMS'!R224</f>
        <v>0</v>
      </c>
      <c r="S224" s="335">
        <f>'ALL ML SYSTEMS'!S224</f>
        <v>0</v>
      </c>
      <c r="T224" s="323">
        <f>'ALL ML SYSTEMS'!T224</f>
        <v>0</v>
      </c>
      <c r="U224" s="323">
        <f>'ALL ML SYSTEMS'!U224</f>
        <v>0</v>
      </c>
      <c r="V224" s="323">
        <f>'ALL ML SYSTEMS'!V224</f>
        <v>0</v>
      </c>
      <c r="W224" s="323">
        <f>'ALL ML SYSTEMS'!W224</f>
        <v>0</v>
      </c>
      <c r="X224" s="323">
        <f>'ALL ML SYSTEMS'!X224</f>
        <v>0</v>
      </c>
      <c r="Y224" s="323">
        <f>'ALL ML SYSTEMS'!Y224</f>
        <v>0</v>
      </c>
      <c r="Z224" s="323">
        <f>'ALL ML SYSTEMS'!Z224</f>
        <v>0</v>
      </c>
      <c r="AA224" s="340" t="str">
        <f>'ALL ML SYSTEMS'!AA224</f>
        <v/>
      </c>
      <c r="AB224" s="323">
        <f>'ALL ML SYSTEMS'!AB224</f>
        <v>0</v>
      </c>
      <c r="AC224" s="323">
        <f>'ALL ML SYSTEMS'!AC224</f>
        <v>0</v>
      </c>
      <c r="AD224" s="323" t="str">
        <f>'ALL ML SYSTEMS'!AD224</f>
        <v>Industry</v>
      </c>
    </row>
    <row r="225" customHeight="1" spans="1:30">
      <c r="A225" s="325" t="str">
        <f>'ALL ML SYSTEMS'!A225</f>
        <v>PointNet++</v>
      </c>
      <c r="B225" s="325">
        <f>'ALL ML SYSTEMS'!B225</f>
        <v>0</v>
      </c>
      <c r="C225" s="325" t="str">
        <f>'ALL ML SYSTEMS'!C225</f>
        <v>3D segmentation</v>
      </c>
      <c r="D225" s="325" t="str">
        <f>'ALL ML SYSTEMS'!D225</f>
        <v>Stanford University</v>
      </c>
      <c r="E225" s="325" t="str">
        <f>'ALL ML SYSTEMS'!E225</f>
        <v>Academia</v>
      </c>
      <c r="F225" s="325" t="str">
        <f>'ALL ML SYSTEMS'!F225</f>
        <v>Charles R. Qi, Li Yi, Hao Su, Leonidas J. Guibas</v>
      </c>
      <c r="G225" s="326">
        <f>'ALL ML SYSTEMS'!G225</f>
        <v>42893</v>
      </c>
      <c r="H225" s="327">
        <f>'ALL ML SYSTEMS'!H225</f>
        <v>2893</v>
      </c>
      <c r="I225" s="325" t="str">
        <f>'ALL ML SYSTEMS'!I225</f>
        <v>PointNet++: Deep Hierarchical Feature Learning on Point Sets in a Metric Space</v>
      </c>
      <c r="J225" s="337" t="str">
        <f>'ALL ML SYSTEMS'!J225</f>
        <v>https://arxiv.org/abs/1706.02413</v>
      </c>
      <c r="K225" s="338">
        <f>'ALL ML SYSTEMS'!K225</f>
        <v>4021</v>
      </c>
      <c r="L225" s="325" t="str">
        <f>'ALL ML SYSTEMS'!L225</f>
        <v>Highly cited</v>
      </c>
      <c r="M225" s="338" t="str">
        <f>'ALL ML SYSTEMS'!M225</f>
        <v>Yes</v>
      </c>
      <c r="N225" s="338">
        <f>'ALL ML SYSTEMS'!N225</f>
        <v>0</v>
      </c>
      <c r="O225" s="338">
        <f>'ALL ML SYSTEMS'!O225</f>
        <v>0</v>
      </c>
      <c r="P225" s="339">
        <f>'ALL ML SYSTEMS'!P225</f>
        <v>0</v>
      </c>
      <c r="Q225" s="338">
        <f>'ALL ML SYSTEMS'!Q225</f>
        <v>0</v>
      </c>
      <c r="R225" s="325">
        <f>'ALL ML SYSTEMS'!R225</f>
        <v>0</v>
      </c>
      <c r="S225" s="338">
        <f>'ALL ML SYSTEMS'!S225</f>
        <v>0</v>
      </c>
      <c r="T225" s="325">
        <f>'ALL ML SYSTEMS'!T225</f>
        <v>0</v>
      </c>
      <c r="U225" s="325">
        <f>'ALL ML SYSTEMS'!U225</f>
        <v>0</v>
      </c>
      <c r="V225" s="325">
        <f>'ALL ML SYSTEMS'!V225</f>
        <v>0</v>
      </c>
      <c r="W225" s="325">
        <f>'ALL ML SYSTEMS'!W225</f>
        <v>0</v>
      </c>
      <c r="X225" s="325">
        <f>'ALL ML SYSTEMS'!X225</f>
        <v>0</v>
      </c>
      <c r="Y225" s="325">
        <f>'ALL ML SYSTEMS'!Y225</f>
        <v>0</v>
      </c>
      <c r="Z225" s="325">
        <f>'ALL ML SYSTEMS'!Z225</f>
        <v>0</v>
      </c>
      <c r="AA225" s="341" t="str">
        <f>'ALL ML SYSTEMS'!AA225</f>
        <v/>
      </c>
      <c r="AB225" s="325">
        <f>'ALL ML SYSTEMS'!AB225</f>
        <v>0</v>
      </c>
      <c r="AC225" s="325">
        <f>'ALL ML SYSTEMS'!AC225</f>
        <v>0</v>
      </c>
      <c r="AD225" s="325" t="str">
        <f>'ALL ML SYSTEMS'!AD225</f>
        <v>Academia</v>
      </c>
    </row>
    <row r="226" customHeight="1" spans="1:30">
      <c r="A226" s="323">
        <f>'ALL ML SYSTEMS'!A226</f>
        <v>0</v>
      </c>
      <c r="B226" s="323" t="str">
        <f>'ALL ML SYSTEMS'!B226</f>
        <v>Vision</v>
      </c>
      <c r="C226" s="323" t="str">
        <f>'ALL ML SYSTEMS'!C226</f>
        <v>Image super-resolution</v>
      </c>
      <c r="D226" s="323" t="str">
        <f>'ALL ML SYSTEMS'!D226</f>
        <v>Seoul National University</v>
      </c>
      <c r="E226" s="323" t="str">
        <f>'ALL ML SYSTEMS'!E226</f>
        <v>Academia</v>
      </c>
      <c r="F226" s="323" t="str">
        <f>'ALL ML SYSTEMS'!F226</f>
        <v>Bee Lim, Sanghyun Son, Heewon Kim, Seungjun Nah, Kyoung Mu Lee</v>
      </c>
      <c r="G226" s="324">
        <f>'ALL ML SYSTEMS'!G226</f>
        <v>42896</v>
      </c>
      <c r="H226" s="329">
        <f>'ALL ML SYSTEMS'!H226</f>
        <v>2896</v>
      </c>
      <c r="I226" s="323" t="str">
        <f>'ALL ML SYSTEMS'!I226</f>
        <v>Enhanced Deep Residual Networks for Single Image Super-Resolution</v>
      </c>
      <c r="J226" s="334" t="str">
        <f>'ALL ML SYSTEMS'!J226</f>
        <v>https://arxiv.org/abs/1707.02921</v>
      </c>
      <c r="K226" s="335">
        <f>'ALL ML SYSTEMS'!K226</f>
        <v>3074</v>
      </c>
      <c r="L226" s="323" t="str">
        <f>'ALL ML SYSTEMS'!L226</f>
        <v>Highly cited</v>
      </c>
      <c r="M226" s="335" t="str">
        <f>'ALL ML SYSTEMS'!M226</f>
        <v>Yes</v>
      </c>
      <c r="N226" s="335">
        <f>'ALL ML SYSTEMS'!N226</f>
        <v>0</v>
      </c>
      <c r="O226" s="335">
        <f>'ALL ML SYSTEMS'!O226</f>
        <v>0</v>
      </c>
      <c r="P226" s="336">
        <f>'ALL ML SYSTEMS'!P226</f>
        <v>0</v>
      </c>
      <c r="Q226" s="335">
        <f>'ALL ML SYSTEMS'!Q226</f>
        <v>0</v>
      </c>
      <c r="R226" s="323">
        <f>'ALL ML SYSTEMS'!R226</f>
        <v>0</v>
      </c>
      <c r="S226" s="335">
        <f>'ALL ML SYSTEMS'!S226</f>
        <v>0</v>
      </c>
      <c r="T226" s="323">
        <f>'ALL ML SYSTEMS'!T226</f>
        <v>0</v>
      </c>
      <c r="U226" s="323">
        <f>'ALL ML SYSTEMS'!U226</f>
        <v>0</v>
      </c>
      <c r="V226" s="323">
        <f>'ALL ML SYSTEMS'!V226</f>
        <v>0</v>
      </c>
      <c r="W226" s="323">
        <f>'ALL ML SYSTEMS'!W226</f>
        <v>0</v>
      </c>
      <c r="X226" s="323">
        <f>'ALL ML SYSTEMS'!X226</f>
        <v>0</v>
      </c>
      <c r="Y226" s="323">
        <f>'ALL ML SYSTEMS'!Y226</f>
        <v>0</v>
      </c>
      <c r="Z226" s="323">
        <f>'ALL ML SYSTEMS'!Z226</f>
        <v>0</v>
      </c>
      <c r="AA226" s="340" t="str">
        <f>'ALL ML SYSTEMS'!AA226</f>
        <v/>
      </c>
      <c r="AB226" s="323">
        <f>'ALL ML SYSTEMS'!AB226</f>
        <v>0</v>
      </c>
      <c r="AC226" s="323">
        <f>'ALL ML SYSTEMS'!AC226</f>
        <v>0</v>
      </c>
      <c r="AD226" s="323" t="str">
        <f>'ALL ML SYSTEMS'!AD226</f>
        <v>Academia</v>
      </c>
    </row>
    <row r="227" hidden="1" customHeight="1" spans="1:30">
      <c r="A227" s="325" t="str">
        <f>'ALL ML SYSTEMS'!A227</f>
        <v>HRA</v>
      </c>
      <c r="B227" s="325" t="str">
        <f>'ALL ML SYSTEMS'!B227</f>
        <v>Games</v>
      </c>
      <c r="C227" s="325" t="str">
        <f>'ALL ML SYSTEMS'!C227</f>
        <v>Ms Pacman</v>
      </c>
      <c r="D227" s="325" t="str">
        <f>'ALL ML SYSTEMS'!D227</f>
        <v>Microsoft Maluuba</v>
      </c>
      <c r="E227" s="325" t="str">
        <f>'ALL ML SYSTEMS'!E227</f>
        <v>Industry - Academia Collaboration (Industry leaning)</v>
      </c>
      <c r="F227" s="325" t="str">
        <f>'ALL ML SYSTEMS'!F227</f>
        <v>H Van Seijen, M Fatemi, J Romoff, R Laroche</v>
      </c>
      <c r="G227" s="326">
        <f>'ALL ML SYSTEMS'!G227</f>
        <v>42899</v>
      </c>
      <c r="H227" s="327">
        <f>'ALL ML SYSTEMS'!H227</f>
        <v>2899</v>
      </c>
      <c r="I227" s="325" t="str">
        <f>'ALL ML SYSTEMS'!I227</f>
        <v>Hybrid Reward Architecture for Reinforcement Learning</v>
      </c>
      <c r="J227" s="337" t="str">
        <f>'ALL ML SYSTEMS'!J227</f>
        <v>https://arxiv.org/abs/1706.04208</v>
      </c>
      <c r="K227" s="338">
        <f>'ALL ML SYSTEMS'!K227</f>
        <v>222</v>
      </c>
      <c r="L227" s="325">
        <f>'ALL ML SYSTEMS'!L227</f>
        <v>0</v>
      </c>
      <c r="M227" s="338" t="str">
        <f>'ALL ML SYSTEMS'!M227</f>
        <v>No</v>
      </c>
      <c r="N227" s="338">
        <f>'ALL ML SYSTEMS'!N227</f>
        <v>0</v>
      </c>
      <c r="O227" s="338">
        <f>'ALL ML SYSTEMS'!O227</f>
        <v>0</v>
      </c>
      <c r="P227" s="339">
        <f>'ALL ML SYSTEMS'!P227</f>
        <v>0</v>
      </c>
      <c r="Q227" s="338">
        <f>'ALL ML SYSTEMS'!Q227</f>
        <v>0</v>
      </c>
      <c r="R227" s="325">
        <f>'ALL ML SYSTEMS'!R227</f>
        <v>0</v>
      </c>
      <c r="S227" s="338">
        <f>'ALL ML SYSTEMS'!S227</f>
        <v>0</v>
      </c>
      <c r="T227" s="325">
        <f>'ALL ML SYSTEMS'!T227</f>
        <v>0</v>
      </c>
      <c r="U227" s="325">
        <f>'ALL ML SYSTEMS'!U227</f>
        <v>0</v>
      </c>
      <c r="V227" s="325">
        <f>'ALL ML SYSTEMS'!V227</f>
        <v>0</v>
      </c>
      <c r="W227" s="325">
        <f>'ALL ML SYSTEMS'!W227</f>
        <v>0</v>
      </c>
      <c r="X227" s="325">
        <f>'ALL ML SYSTEMS'!X227</f>
        <v>0</v>
      </c>
      <c r="Y227" s="325">
        <f>'ALL ML SYSTEMS'!Y227</f>
        <v>0</v>
      </c>
      <c r="Z227" s="325">
        <f>'ALL ML SYSTEMS'!Z227</f>
        <v>0</v>
      </c>
      <c r="AA227" s="341" t="str">
        <f>'ALL ML SYSTEMS'!AA227</f>
        <v/>
      </c>
      <c r="AB227" s="325"/>
      <c r="AC227" s="325">
        <f>'ALL ML SYSTEMS'!AB227</f>
        <v>0</v>
      </c>
      <c r="AD227" s="325">
        <f>'ALL ML SYSTEMS'!AC227</f>
        <v>0</v>
      </c>
    </row>
    <row r="228" customHeight="1" spans="1:30">
      <c r="A228" s="323" t="str">
        <f>'ALL ML SYSTEMS'!A228</f>
        <v>DeepLabV3</v>
      </c>
      <c r="B228" s="323" t="str">
        <f>'ALL ML SYSTEMS'!B228</f>
        <v>Vision</v>
      </c>
      <c r="C228" s="323" t="str">
        <f>'ALL ML SYSTEMS'!C228</f>
        <v>Semantic segmentation</v>
      </c>
      <c r="D228" s="323" t="str">
        <f>'ALL ML SYSTEMS'!D228</f>
        <v>Google Inc</v>
      </c>
      <c r="E228" s="323" t="str">
        <f>'ALL ML SYSTEMS'!E228</f>
        <v>Industry</v>
      </c>
      <c r="F228" s="323" t="str">
        <f>'ALL ML SYSTEMS'!F228</f>
        <v>Liang-Chieh Chen, Yukun Zhu, George Papandreou, Florian Schroff, Hartwig Adam</v>
      </c>
      <c r="G228" s="324">
        <f>'ALL ML SYSTEMS'!G228</f>
        <v>42903</v>
      </c>
      <c r="H228" s="329">
        <f>'ALL ML SYSTEMS'!H228</f>
        <v>2903</v>
      </c>
      <c r="I228" s="323" t="str">
        <f>'ALL ML SYSTEMS'!I228</f>
        <v>Rethinking Atrous Convolution for Semantic Image Segmentation</v>
      </c>
      <c r="J228" s="334" t="str">
        <f>'ALL ML SYSTEMS'!J228</f>
        <v>https://arxiv.org/abs/1706.05587</v>
      </c>
      <c r="K228" s="335">
        <f>'ALL ML SYSTEMS'!K228</f>
        <v>3903</v>
      </c>
      <c r="L228" s="323" t="str">
        <f>'ALL ML SYSTEMS'!L228</f>
        <v>Highly cited</v>
      </c>
      <c r="M228" s="335" t="str">
        <f>'ALL ML SYSTEMS'!M228</f>
        <v>Yes</v>
      </c>
      <c r="N228" s="335">
        <f>'ALL ML SYSTEMS'!N228</f>
        <v>0</v>
      </c>
      <c r="O228" s="335">
        <f>'ALL ML SYSTEMS'!O228</f>
        <v>0</v>
      </c>
      <c r="P228" s="336">
        <f>'ALL ML SYSTEMS'!P228</f>
        <v>0</v>
      </c>
      <c r="Q228" s="335">
        <f>'ALL ML SYSTEMS'!Q228</f>
        <v>0</v>
      </c>
      <c r="R228" s="323">
        <f>'ALL ML SYSTEMS'!R228</f>
        <v>0</v>
      </c>
      <c r="S228" s="335">
        <f>'ALL ML SYSTEMS'!S228</f>
        <v>0</v>
      </c>
      <c r="T228" s="323">
        <f>'ALL ML SYSTEMS'!T228</f>
        <v>0</v>
      </c>
      <c r="U228" s="323">
        <f>'ALL ML SYSTEMS'!U228</f>
        <v>0</v>
      </c>
      <c r="V228" s="323">
        <f>'ALL ML SYSTEMS'!V228</f>
        <v>0</v>
      </c>
      <c r="W228" s="323">
        <f>'ALL ML SYSTEMS'!W228</f>
        <v>0</v>
      </c>
      <c r="X228" s="323">
        <f>'ALL ML SYSTEMS'!X228</f>
        <v>0</v>
      </c>
      <c r="Y228" s="323">
        <f>'ALL ML SYSTEMS'!Y228</f>
        <v>0</v>
      </c>
      <c r="Z228" s="323">
        <f>'ALL ML SYSTEMS'!Z228</f>
        <v>0</v>
      </c>
      <c r="AA228" s="340" t="str">
        <f>'ALL ML SYSTEMS'!AA228</f>
        <v/>
      </c>
      <c r="AB228" s="323">
        <f>'ALL ML SYSTEMS'!AB228</f>
        <v>0</v>
      </c>
      <c r="AC228" s="323">
        <f>'ALL ML SYSTEMS'!AC228</f>
        <v>0</v>
      </c>
      <c r="AD228" s="323" t="str">
        <f>'ALL ML SYSTEMS'!AD228</f>
        <v>Industry</v>
      </c>
    </row>
    <row r="229" customHeight="1" spans="1:30">
      <c r="A229" s="325">
        <f>'ALL ML SYSTEMS'!A229</f>
        <v>0</v>
      </c>
      <c r="B229" s="325" t="str">
        <f>'ALL ML SYSTEMS'!B229</f>
        <v>Vision</v>
      </c>
      <c r="C229" s="325" t="str">
        <f>'ALL ML SYSTEMS'!C229</f>
        <v>Image generation</v>
      </c>
      <c r="D229" s="325" t="str">
        <f>'ALL ML SYSTEMS'!D229</f>
        <v>Johannes Kepler University Linz</v>
      </c>
      <c r="E229" s="325" t="str">
        <f>'ALL ML SYSTEMS'!E229</f>
        <v>Academia</v>
      </c>
      <c r="F229" s="325" t="str">
        <f>'ALL ML SYSTEMS'!F229</f>
        <v>Martin Heusel, Hubert Ramsauer, Thomas Unterthiner, Bernhard Nessler, Günter Klambauer, Sepp Hochreiter</v>
      </c>
      <c r="G229" s="326">
        <f>'ALL ML SYSTEMS'!G229</f>
        <v>42912</v>
      </c>
      <c r="H229" s="327">
        <f>'ALL ML SYSTEMS'!H229</f>
        <v>2912</v>
      </c>
      <c r="I229" s="325" t="str">
        <f>'ALL ML SYSTEMS'!I229</f>
        <v>GANs Trained by a Two Time-Scale Update Rule Converge to a Local Nash Equilibrium</v>
      </c>
      <c r="J229" s="337" t="str">
        <f>'ALL ML SYSTEMS'!J229</f>
        <v>https://arxiv.org/abs/1706.08500v1</v>
      </c>
      <c r="K229" s="338">
        <f>'ALL ML SYSTEMS'!K229</f>
        <v>4170</v>
      </c>
      <c r="L229" s="325" t="str">
        <f>'ALL ML SYSTEMS'!L229</f>
        <v>Highly cited</v>
      </c>
      <c r="M229" s="338" t="str">
        <f>'ALL ML SYSTEMS'!M229</f>
        <v>Yes</v>
      </c>
      <c r="N229" s="338">
        <f>'ALL ML SYSTEMS'!N229</f>
        <v>0</v>
      </c>
      <c r="O229" s="338">
        <f>'ALL ML SYSTEMS'!O229</f>
        <v>0</v>
      </c>
      <c r="P229" s="339">
        <f>'ALL ML SYSTEMS'!P229</f>
        <v>0</v>
      </c>
      <c r="Q229" s="338">
        <f>'ALL ML SYSTEMS'!Q229</f>
        <v>0</v>
      </c>
      <c r="R229" s="325">
        <f>'ALL ML SYSTEMS'!R229</f>
        <v>0</v>
      </c>
      <c r="S229" s="338">
        <f>'ALL ML SYSTEMS'!S229</f>
        <v>0</v>
      </c>
      <c r="T229" s="325">
        <f>'ALL ML SYSTEMS'!T229</f>
        <v>0</v>
      </c>
      <c r="U229" s="325">
        <f>'ALL ML SYSTEMS'!U229</f>
        <v>0</v>
      </c>
      <c r="V229" s="325">
        <f>'ALL ML SYSTEMS'!V229</f>
        <v>0</v>
      </c>
      <c r="W229" s="325">
        <f>'ALL ML SYSTEMS'!W229</f>
        <v>0</v>
      </c>
      <c r="X229" s="325">
        <f>'ALL ML SYSTEMS'!X229</f>
        <v>0</v>
      </c>
      <c r="Y229" s="325">
        <f>'ALL ML SYSTEMS'!Y229</f>
        <v>0</v>
      </c>
      <c r="Z229" s="325">
        <f>'ALL ML SYSTEMS'!Z229</f>
        <v>0</v>
      </c>
      <c r="AA229" s="341" t="str">
        <f>'ALL ML SYSTEMS'!AA229</f>
        <v/>
      </c>
      <c r="AB229" s="325">
        <f>'ALL ML SYSTEMS'!AB229</f>
        <v>0</v>
      </c>
      <c r="AC229" s="325">
        <f>'ALL ML SYSTEMS'!AC229</f>
        <v>0</v>
      </c>
      <c r="AD229" s="325" t="str">
        <f>'ALL ML SYSTEMS'!AD229</f>
        <v>Academia</v>
      </c>
    </row>
    <row r="230" customHeight="1" spans="1:30">
      <c r="A230" s="323" t="str">
        <f>'ALL ML SYSTEMS'!A230</f>
        <v>NoisyNet-Dueling</v>
      </c>
      <c r="B230" s="323" t="str">
        <f>'ALL ML SYSTEMS'!B230</f>
        <v>Games</v>
      </c>
      <c r="C230" s="323" t="str">
        <f>'ALL ML SYSTEMS'!C230</f>
        <v>Atari Games</v>
      </c>
      <c r="D230" s="323" t="str">
        <f>'ALL ML SYSTEMS'!D230</f>
        <v>DeepMind</v>
      </c>
      <c r="E230" s="323" t="str">
        <f>'ALL ML SYSTEMS'!E230</f>
        <v>Industry</v>
      </c>
      <c r="F230" s="323" t="str">
        <f>'ALL ML SYSTEMS'!F230</f>
        <v>M Fortunato, MG Azar, B Piot, J Menick</v>
      </c>
      <c r="G230" s="324">
        <f>'ALL ML SYSTEMS'!G230</f>
        <v>42916</v>
      </c>
      <c r="H230" s="329">
        <f>'ALL ML SYSTEMS'!H230</f>
        <v>2916</v>
      </c>
      <c r="I230" s="323" t="str">
        <f>'ALL ML SYSTEMS'!I230</f>
        <v>Noisy Networks for Exploration</v>
      </c>
      <c r="J230" s="334" t="str">
        <f>'ALL ML SYSTEMS'!J230</f>
        <v>https://arxiv.org/abs/1706.10295v3</v>
      </c>
      <c r="K230" s="335">
        <f>'ALL ML SYSTEMS'!K230</f>
        <v>480</v>
      </c>
      <c r="L230" s="323" t="str">
        <f>'ALL ML SYSTEMS'!L230</f>
        <v>SOTA improvement</v>
      </c>
      <c r="M230" s="335" t="str">
        <f>'ALL ML SYSTEMS'!M230</f>
        <v>Yes</v>
      </c>
      <c r="N230" s="335">
        <f>'ALL ML SYSTEMS'!N230</f>
        <v>0</v>
      </c>
      <c r="O230" s="335">
        <f>'ALL ML SYSTEMS'!O230</f>
        <v>0</v>
      </c>
      <c r="P230" s="336">
        <f>'ALL ML SYSTEMS'!P230</f>
        <v>0</v>
      </c>
      <c r="Q230" s="335">
        <f>'ALL ML SYSTEMS'!Q230</f>
        <v>0</v>
      </c>
      <c r="R230" s="323">
        <f>'ALL ML SYSTEMS'!R230</f>
        <v>0</v>
      </c>
      <c r="S230" s="335">
        <f>'ALL ML SYSTEMS'!S230</f>
        <v>0</v>
      </c>
      <c r="T230" s="323">
        <f>'ALL ML SYSTEMS'!T230</f>
        <v>0</v>
      </c>
      <c r="U230" s="323">
        <f>'ALL ML SYSTEMS'!U230</f>
        <v>0</v>
      </c>
      <c r="V230" s="323">
        <f>'ALL ML SYSTEMS'!V230</f>
        <v>0</v>
      </c>
      <c r="W230" s="323">
        <f>'ALL ML SYSTEMS'!W230</f>
        <v>0</v>
      </c>
      <c r="X230" s="323">
        <f>'ALL ML SYSTEMS'!X230</f>
        <v>0</v>
      </c>
      <c r="Y230" s="323">
        <f>'ALL ML SYSTEMS'!Y230</f>
        <v>0</v>
      </c>
      <c r="Z230" s="323">
        <f>'ALL ML SYSTEMS'!Z230</f>
        <v>0</v>
      </c>
      <c r="AA230" s="340" t="str">
        <f>'ALL ML SYSTEMS'!AA230</f>
        <v/>
      </c>
      <c r="AB230" s="323">
        <f>'ALL ML SYSTEMS'!AB230</f>
        <v>0</v>
      </c>
      <c r="AC230" s="323">
        <f>'ALL ML SYSTEMS'!AC230</f>
        <v>0</v>
      </c>
      <c r="AD230" s="323" t="str">
        <f>'ALL ML SYSTEMS'!AD230</f>
        <v>Industry</v>
      </c>
    </row>
    <row r="231" customHeight="1" spans="1:30">
      <c r="A231" s="325" t="str">
        <f>'ALL ML SYSTEMS'!A231</f>
        <v>ShuffleNet v1</v>
      </c>
      <c r="B231" s="325" t="str">
        <f>'ALL ML SYSTEMS'!B231</f>
        <v>Vision</v>
      </c>
      <c r="C231" s="325">
        <f>'ALL ML SYSTEMS'!C231</f>
        <v>0</v>
      </c>
      <c r="D231" s="325" t="str">
        <f>'ALL ML SYSTEMS'!D231</f>
        <v>Megvii Inc</v>
      </c>
      <c r="E231" s="325" t="str">
        <f>'ALL ML SYSTEMS'!E231</f>
        <v>Industry</v>
      </c>
      <c r="F231" s="325" t="str">
        <f>'ALL ML SYSTEMS'!F231</f>
        <v>X Zhang, X Zhou, M Lin, J Sun</v>
      </c>
      <c r="G231" s="326">
        <f>'ALL ML SYSTEMS'!G231</f>
        <v>42919</v>
      </c>
      <c r="H231" s="327">
        <f>'ALL ML SYSTEMS'!H231</f>
        <v>2919</v>
      </c>
      <c r="I231" s="325" t="str">
        <f>'ALL ML SYSTEMS'!I231</f>
        <v>ShuffleNet: An Extremely Efficient Convolutional Neural Network for Mobile Devices</v>
      </c>
      <c r="J231" s="337" t="str">
        <f>'ALL ML SYSTEMS'!J231</f>
        <v>https://arxiv.org/abs/1707.01083</v>
      </c>
      <c r="K231" s="338">
        <f>'ALL ML SYSTEMS'!K231</f>
        <v>2775</v>
      </c>
      <c r="L231" s="325" t="str">
        <f>'ALL ML SYSTEMS'!L231</f>
        <v>Highly cited</v>
      </c>
      <c r="M231" s="338" t="str">
        <f>'ALL ML SYSTEMS'!M231</f>
        <v>Yes</v>
      </c>
      <c r="N231" s="338">
        <f>'ALL ML SYSTEMS'!N231</f>
        <v>2430000</v>
      </c>
      <c r="O231" s="338">
        <f>'ALL ML SYSTEMS'!O231</f>
        <v>0</v>
      </c>
      <c r="P231" s="339">
        <f>'ALL ML SYSTEMS'!P231</f>
        <v>0</v>
      </c>
      <c r="Q231" s="338">
        <f>'ALL ML SYSTEMS'!Q231</f>
        <v>0</v>
      </c>
      <c r="R231" s="325">
        <f>'ALL ML SYSTEMS'!R231</f>
        <v>0</v>
      </c>
      <c r="S231" s="338">
        <f>'ALL ML SYSTEMS'!S231</f>
        <v>140000000</v>
      </c>
      <c r="T231" s="325">
        <f>'ALL ML SYSTEMS'!T231</f>
        <v>0</v>
      </c>
      <c r="U231" s="325">
        <f>'ALL ML SYSTEMS'!U231</f>
        <v>0</v>
      </c>
      <c r="V231" s="325">
        <f>'ALL ML SYSTEMS'!V231</f>
        <v>0</v>
      </c>
      <c r="W231" s="325">
        <f>'ALL ML SYSTEMS'!W231</f>
        <v>0</v>
      </c>
      <c r="X231" s="325">
        <f>'ALL ML SYSTEMS'!X231</f>
        <v>0</v>
      </c>
      <c r="Y231" s="325">
        <f>'ALL ML SYSTEMS'!Y231</f>
        <v>0</v>
      </c>
      <c r="Z231" s="325">
        <f>'ALL ML SYSTEMS'!Z231</f>
        <v>0</v>
      </c>
      <c r="AA231" s="341" t="str">
        <f>'ALL ML SYSTEMS'!AA231</f>
        <v/>
      </c>
      <c r="AB231" s="325">
        <f>'ALL ML SYSTEMS'!AB231</f>
        <v>0</v>
      </c>
      <c r="AC231" s="325">
        <f>'ALL ML SYSTEMS'!AC231</f>
        <v>0</v>
      </c>
      <c r="AD231" s="325" t="str">
        <f>'ALL ML SYSTEMS'!AD231</f>
        <v>Industry</v>
      </c>
    </row>
    <row r="232" customHeight="1" spans="1:30">
      <c r="A232" s="323" t="str">
        <f>'ALL ML SYSTEMS'!A232</f>
        <v>NASNet-A</v>
      </c>
      <c r="B232" s="323" t="str">
        <f>'ALL ML SYSTEMS'!B232</f>
        <v>Vision</v>
      </c>
      <c r="C232" s="323" t="str">
        <f>'ALL ML SYSTEMS'!C232</f>
        <v>Image classification</v>
      </c>
      <c r="D232" s="323" t="str">
        <f>'ALL ML SYSTEMS'!D232</f>
        <v>Google Brain</v>
      </c>
      <c r="E232" s="323" t="str">
        <f>'ALL ML SYSTEMS'!E232</f>
        <v>Industry</v>
      </c>
      <c r="F232" s="323" t="str">
        <f>'ALL ML SYSTEMS'!F232</f>
        <v>B Zoph, V Vasudevan, J Shlens</v>
      </c>
      <c r="G232" s="324">
        <f>'ALL ML SYSTEMS'!G232</f>
        <v>42937</v>
      </c>
      <c r="H232" s="329">
        <f>'ALL ML SYSTEMS'!H232</f>
        <v>2937</v>
      </c>
      <c r="I232" s="323" t="str">
        <f>'ALL ML SYSTEMS'!I232</f>
        <v>Learning Transferable Architectures for Scalable Image Recognition</v>
      </c>
      <c r="J232" s="334" t="str">
        <f>'ALL ML SYSTEMS'!J232</f>
        <v>https://arxiv.org/abs/1707.07012</v>
      </c>
      <c r="K232" s="335">
        <f>'ALL ML SYSTEMS'!K232</f>
        <v>3099</v>
      </c>
      <c r="L232" s="323" t="str">
        <f>'ALL ML SYSTEMS'!L232</f>
        <v>Highly cited</v>
      </c>
      <c r="M232" s="335" t="str">
        <f>'ALL ML SYSTEMS'!M232</f>
        <v>Yes</v>
      </c>
      <c r="N232" s="335">
        <f>'ALL ML SYSTEMS'!N232</f>
        <v>89000000</v>
      </c>
      <c r="O232" s="335">
        <f>'ALL ML SYSTEMS'!O232</f>
        <v>0</v>
      </c>
      <c r="P232" s="336">
        <f>'ALL ML SYSTEMS'!P232</f>
        <v>0</v>
      </c>
      <c r="Q232" s="335">
        <f>'ALL ML SYSTEMS'!Q232</f>
        <v>0</v>
      </c>
      <c r="R232" s="323">
        <f>'ALL ML SYSTEMS'!R232</f>
        <v>0</v>
      </c>
      <c r="S232" s="335">
        <f>'ALL ML SYSTEMS'!S232</f>
        <v>0</v>
      </c>
      <c r="T232" s="323">
        <f>'ALL ML SYSTEMS'!T232</f>
        <v>0</v>
      </c>
      <c r="U232" s="323">
        <f>'ALL ML SYSTEMS'!U232</f>
        <v>0</v>
      </c>
      <c r="V232" s="323">
        <f>'ALL ML SYSTEMS'!V232</f>
        <v>0</v>
      </c>
      <c r="W232" s="323">
        <f>'ALL ML SYSTEMS'!W232</f>
        <v>0</v>
      </c>
      <c r="X232" s="323">
        <f>'ALL ML SYSTEMS'!X232</f>
        <v>0</v>
      </c>
      <c r="Y232" s="323">
        <f>'ALL ML SYSTEMS'!Y232</f>
        <v>0</v>
      </c>
      <c r="Z232" s="323">
        <f>'ALL ML SYSTEMS'!Z232</f>
        <v>0</v>
      </c>
      <c r="AA232" s="340" t="str">
        <f>'ALL ML SYSTEMS'!AA232</f>
        <v/>
      </c>
      <c r="AB232" s="323">
        <f>'ALL ML SYSTEMS'!AB232</f>
        <v>0</v>
      </c>
      <c r="AC232" s="323">
        <f>'ALL ML SYSTEMS'!AC232</f>
        <v>0</v>
      </c>
      <c r="AD232" s="323" t="str">
        <f>'ALL ML SYSTEMS'!AD232</f>
        <v>Industry</v>
      </c>
    </row>
    <row r="233" customHeight="1" spans="1:30">
      <c r="A233" s="325">
        <f>'ALL ML SYSTEMS'!A233</f>
        <v>0</v>
      </c>
      <c r="B233" s="325" t="str">
        <f>'ALL ML SYSTEMS'!B233</f>
        <v>Vision</v>
      </c>
      <c r="C233" s="325" t="str">
        <f>'ALL ML SYSTEMS'!C233</f>
        <v>Image segmentation</v>
      </c>
      <c r="D233" s="325" t="str">
        <f>'ALL ML SYSTEMS'!D233</f>
        <v>Chinese University of Hong Kong</v>
      </c>
      <c r="E233" s="325" t="str">
        <f>'ALL ML SYSTEMS'!E233</f>
        <v>Industry - Academia Collaboration (Academia leaning)</v>
      </c>
      <c r="F233" s="325" t="str">
        <f>'ALL ML SYSTEMS'!F233</f>
        <v>Hengshuang Zhao, Jianping Shi, Xiaojuan Qi, Xiaogang Wang, Jiaya Jia</v>
      </c>
      <c r="G233" s="326">
        <f>'ALL ML SYSTEMS'!G233</f>
        <v>42937</v>
      </c>
      <c r="H233" s="327">
        <f>'ALL ML SYSTEMS'!H233</f>
        <v>2937</v>
      </c>
      <c r="I233" s="325" t="str">
        <f>'ALL ML SYSTEMS'!I233</f>
        <v>Pyramid Scene Parsing Network</v>
      </c>
      <c r="J233" s="337" t="str">
        <f>'ALL ML SYSTEMS'!J233</f>
        <v>https://ieeexplore.ieee.org/document/8100143</v>
      </c>
      <c r="K233" s="338">
        <f>'ALL ML SYSTEMS'!K233</f>
        <v>6070</v>
      </c>
      <c r="L233" s="325" t="str">
        <f>'ALL ML SYSTEMS'!L233</f>
        <v>Highly cited</v>
      </c>
      <c r="M233" s="338" t="str">
        <f>'ALL ML SYSTEMS'!M233</f>
        <v>Yes</v>
      </c>
      <c r="N233" s="338">
        <f>'ALL ML SYSTEMS'!N233</f>
        <v>0</v>
      </c>
      <c r="O233" s="338">
        <f>'ALL ML SYSTEMS'!O233</f>
        <v>0</v>
      </c>
      <c r="P233" s="339">
        <f>'ALL ML SYSTEMS'!P233</f>
        <v>0</v>
      </c>
      <c r="Q233" s="338">
        <f>'ALL ML SYSTEMS'!Q233</f>
        <v>0</v>
      </c>
      <c r="R233" s="325">
        <f>'ALL ML SYSTEMS'!R233</f>
        <v>0</v>
      </c>
      <c r="S233" s="338">
        <f>'ALL ML SYSTEMS'!S233</f>
        <v>0</v>
      </c>
      <c r="T233" s="325">
        <f>'ALL ML SYSTEMS'!T233</f>
        <v>0</v>
      </c>
      <c r="U233" s="325">
        <f>'ALL ML SYSTEMS'!U233</f>
        <v>0</v>
      </c>
      <c r="V233" s="325">
        <f>'ALL ML SYSTEMS'!V233</f>
        <v>0</v>
      </c>
      <c r="W233" s="325">
        <f>'ALL ML SYSTEMS'!W233</f>
        <v>0</v>
      </c>
      <c r="X233" s="325">
        <f>'ALL ML SYSTEMS'!X233</f>
        <v>0</v>
      </c>
      <c r="Y233" s="325">
        <f>'ALL ML SYSTEMS'!Y233</f>
        <v>0</v>
      </c>
      <c r="Z233" s="325">
        <f>'ALL ML SYSTEMS'!Z233</f>
        <v>0</v>
      </c>
      <c r="AA233" s="341" t="str">
        <f>'ALL ML SYSTEMS'!AA233</f>
        <v/>
      </c>
      <c r="AB233" s="325">
        <f>'ALL ML SYSTEMS'!AB233</f>
        <v>0</v>
      </c>
      <c r="AC233" s="325">
        <f>'ALL ML SYSTEMS'!AC233</f>
        <v>0</v>
      </c>
      <c r="AD233" s="325" t="str">
        <f>'ALL ML SYSTEMS'!AD233</f>
        <v>Industry</v>
      </c>
    </row>
    <row r="234" customHeight="1" spans="1:30">
      <c r="A234" s="323" t="str">
        <f>'ALL ML SYSTEMS'!A234</f>
        <v>RetinaNet-R50</v>
      </c>
      <c r="B234" s="323" t="str">
        <f>'ALL ML SYSTEMS'!B234</f>
        <v>Vision</v>
      </c>
      <c r="C234" s="323" t="str">
        <f>'ALL ML SYSTEMS'!C234</f>
        <v>Object detection</v>
      </c>
      <c r="D234" s="323" t="str">
        <f>'ALL ML SYSTEMS'!D234</f>
        <v>Facebook AI research</v>
      </c>
      <c r="E234" s="323" t="str">
        <f>'ALL ML SYSTEMS'!E234</f>
        <v>Industry</v>
      </c>
      <c r="F234" s="323" t="str">
        <f>'ALL ML SYSTEMS'!F234</f>
        <v>TY Lin, P Goyal, R Girshick, K He</v>
      </c>
      <c r="G234" s="324">
        <f>'ALL ML SYSTEMS'!G234</f>
        <v>42954</v>
      </c>
      <c r="H234" s="329">
        <f>'ALL ML SYSTEMS'!H234</f>
        <v>2954</v>
      </c>
      <c r="I234" s="323" t="str">
        <f>'ALL ML SYSTEMS'!I234</f>
        <v>Focal loss for dense object detection</v>
      </c>
      <c r="J234" s="334" t="str">
        <f>'ALL ML SYSTEMS'!J234</f>
        <v>https://arxiv.org/abs/1708.02002</v>
      </c>
      <c r="K234" s="335">
        <f>'ALL ML SYSTEMS'!K234</f>
        <v>8416</v>
      </c>
      <c r="L234" s="323" t="str">
        <f>'ALL ML SYSTEMS'!L234</f>
        <v>Highly cited</v>
      </c>
      <c r="M234" s="335" t="str">
        <f>'ALL ML SYSTEMS'!M234</f>
        <v>Yes</v>
      </c>
      <c r="N234" s="335">
        <f>'ALL ML SYSTEMS'!N234</f>
        <v>34000000</v>
      </c>
      <c r="O234" s="335">
        <f>'ALL ML SYSTEMS'!O234</f>
        <v>0</v>
      </c>
      <c r="P234" s="336">
        <f>'ALL ML SYSTEMS'!P234</f>
        <v>0</v>
      </c>
      <c r="Q234" s="335">
        <f>'ALL ML SYSTEMS'!Q234</f>
        <v>0</v>
      </c>
      <c r="R234" s="323">
        <f>'ALL ML SYSTEMS'!R234</f>
        <v>0</v>
      </c>
      <c r="S234" s="335">
        <f>'ALL ML SYSTEMS'!S234</f>
        <v>97000000000</v>
      </c>
      <c r="T234" s="323">
        <f>'ALL ML SYSTEMS'!T234</f>
        <v>0</v>
      </c>
      <c r="U234" s="323">
        <f>'ALL ML SYSTEMS'!U234</f>
        <v>0</v>
      </c>
      <c r="V234" s="323">
        <f>'ALL ML SYSTEMS'!V234</f>
        <v>0</v>
      </c>
      <c r="W234" s="323">
        <f>'ALL ML SYSTEMS'!W234</f>
        <v>0</v>
      </c>
      <c r="X234" s="323">
        <f>'ALL ML SYSTEMS'!X234</f>
        <v>0</v>
      </c>
      <c r="Y234" s="323">
        <f>'ALL ML SYSTEMS'!Y234</f>
        <v>0</v>
      </c>
      <c r="Z234" s="323">
        <f>'ALL ML SYSTEMS'!Z234</f>
        <v>0</v>
      </c>
      <c r="AA234" s="340" t="str">
        <f>'ALL ML SYSTEMS'!AA234</f>
        <v/>
      </c>
      <c r="AB234" s="323">
        <f>'ALL ML SYSTEMS'!AB234</f>
        <v>0</v>
      </c>
      <c r="AC234" s="323">
        <f>'ALL ML SYSTEMS'!AC234</f>
        <v>0</v>
      </c>
      <c r="AD234" s="323" t="str">
        <f>'ALL ML SYSTEMS'!AD234</f>
        <v>Industry</v>
      </c>
    </row>
    <row r="235" customHeight="1" spans="1:30">
      <c r="A235" s="325" t="str">
        <f>'ALL ML SYSTEMS'!A235</f>
        <v>RetinaNet-R101</v>
      </c>
      <c r="B235" s="325" t="str">
        <f>'ALL ML SYSTEMS'!B235</f>
        <v>Vision</v>
      </c>
      <c r="C235" s="325" t="str">
        <f>'ALL ML SYSTEMS'!C235</f>
        <v>Object detection</v>
      </c>
      <c r="D235" s="325" t="str">
        <f>'ALL ML SYSTEMS'!D235</f>
        <v>Facebook AI research</v>
      </c>
      <c r="E235" s="325" t="str">
        <f>'ALL ML SYSTEMS'!E235</f>
        <v>Industry</v>
      </c>
      <c r="F235" s="325" t="str">
        <f>'ALL ML SYSTEMS'!F235</f>
        <v>TY Lin, P Goyal, R Girshick, K He</v>
      </c>
      <c r="G235" s="326">
        <f>'ALL ML SYSTEMS'!G235</f>
        <v>42954</v>
      </c>
      <c r="H235" s="327">
        <f>'ALL ML SYSTEMS'!H235</f>
        <v>2954</v>
      </c>
      <c r="I235" s="325" t="str">
        <f>'ALL ML SYSTEMS'!I235</f>
        <v>Focal loss for dense object detection</v>
      </c>
      <c r="J235" s="337" t="str">
        <f>'ALL ML SYSTEMS'!J235</f>
        <v>https://arxiv.org/abs/1708.02002</v>
      </c>
      <c r="K235" s="338">
        <f>'ALL ML SYSTEMS'!K235</f>
        <v>8416</v>
      </c>
      <c r="L235" s="325" t="str">
        <f>'ALL ML SYSTEMS'!L235</f>
        <v>Highly cited</v>
      </c>
      <c r="M235" s="338" t="str">
        <f>'ALL ML SYSTEMS'!M235</f>
        <v>Yes</v>
      </c>
      <c r="N235" s="338">
        <f>'ALL ML SYSTEMS'!N235</f>
        <v>53000000</v>
      </c>
      <c r="O235" s="338">
        <f>'ALL ML SYSTEMS'!O235</f>
        <v>0</v>
      </c>
      <c r="P235" s="339">
        <f>'ALL ML SYSTEMS'!P235</f>
        <v>0</v>
      </c>
      <c r="Q235" s="338">
        <f>'ALL ML SYSTEMS'!Q235</f>
        <v>0</v>
      </c>
      <c r="R235" s="325">
        <f>'ALL ML SYSTEMS'!R235</f>
        <v>0</v>
      </c>
      <c r="S235" s="338">
        <f>'ALL ML SYSTEMS'!S235</f>
        <v>127000000000</v>
      </c>
      <c r="T235" s="325">
        <f>'ALL ML SYSTEMS'!T235</f>
        <v>0</v>
      </c>
      <c r="U235" s="325">
        <f>'ALL ML SYSTEMS'!U235</f>
        <v>0</v>
      </c>
      <c r="V235" s="325">
        <f>'ALL ML SYSTEMS'!V235</f>
        <v>0</v>
      </c>
      <c r="W235" s="325">
        <f>'ALL ML SYSTEMS'!W235</f>
        <v>0</v>
      </c>
      <c r="X235" s="325">
        <f>'ALL ML SYSTEMS'!X235</f>
        <v>0</v>
      </c>
      <c r="Y235" s="325">
        <f>'ALL ML SYSTEMS'!Y235</f>
        <v>0</v>
      </c>
      <c r="Z235" s="325">
        <f>'ALL ML SYSTEMS'!Z235</f>
        <v>0</v>
      </c>
      <c r="AA235" s="341" t="str">
        <f>'ALL ML SYSTEMS'!AA235</f>
        <v/>
      </c>
      <c r="AB235" s="325">
        <f>'ALL ML SYSTEMS'!AB235</f>
        <v>0</v>
      </c>
      <c r="AC235" s="325">
        <f>'ALL ML SYSTEMS'!AC235</f>
        <v>0</v>
      </c>
      <c r="AD235" s="325" t="str">
        <f>'ALL ML SYSTEMS'!AD235</f>
        <v>Industry</v>
      </c>
    </row>
    <row r="236" customHeight="1" spans="1:30">
      <c r="A236" s="323">
        <f>'ALL ML SYSTEMS'!A236</f>
        <v>0</v>
      </c>
      <c r="B236" s="323" t="str">
        <f>'ALL ML SYSTEMS'!B236</f>
        <v>Vision</v>
      </c>
      <c r="C236" s="323" t="str">
        <f>'ALL ML SYSTEMS'!C236</f>
        <v>Image classification</v>
      </c>
      <c r="D236" s="323" t="str">
        <f>'ALL ML SYSTEMS'!D236</f>
        <v>University of Guelph, Canadian Institute for Advanced Research and Vector Institute</v>
      </c>
      <c r="E236" s="323" t="str">
        <f>'ALL ML SYSTEMS'!E236</f>
        <v>Industry - Academia Collaboration</v>
      </c>
      <c r="F236" s="323" t="str">
        <f>'ALL ML SYSTEMS'!F236</f>
        <v> Terrance DeVries, Graham W. Taylor</v>
      </c>
      <c r="G236" s="324">
        <f>'ALL ML SYSTEMS'!G236</f>
        <v>42962</v>
      </c>
      <c r="H236" s="329">
        <f>'ALL ML SYSTEMS'!H236</f>
        <v>2962</v>
      </c>
      <c r="I236" s="323" t="str">
        <f>'ALL ML SYSTEMS'!I236</f>
        <v>Improved Regularization of Convolutional Neural Networks with Cutout</v>
      </c>
      <c r="J236" s="334" t="str">
        <f>'ALL ML SYSTEMS'!J236</f>
        <v>https://arxiv.org/abs/1708.04552</v>
      </c>
      <c r="K236" s="335">
        <f>'ALL ML SYSTEMS'!K236</f>
        <v>1448</v>
      </c>
      <c r="L236" s="323" t="str">
        <f>'ALL ML SYSTEMS'!L236</f>
        <v>Highly cited</v>
      </c>
      <c r="M236" s="335" t="str">
        <f>'ALL ML SYSTEMS'!M236</f>
        <v>Yes</v>
      </c>
      <c r="N236" s="335">
        <f>'ALL ML SYSTEMS'!N236</f>
        <v>0</v>
      </c>
      <c r="O236" s="335">
        <f>'ALL ML SYSTEMS'!O236</f>
        <v>0</v>
      </c>
      <c r="P236" s="336">
        <f>'ALL ML SYSTEMS'!P236</f>
        <v>0</v>
      </c>
      <c r="Q236" s="335">
        <f>'ALL ML SYSTEMS'!Q236</f>
        <v>0</v>
      </c>
      <c r="R236" s="323">
        <f>'ALL ML SYSTEMS'!R236</f>
        <v>0</v>
      </c>
      <c r="S236" s="335">
        <f>'ALL ML SYSTEMS'!S236</f>
        <v>0</v>
      </c>
      <c r="T236" s="323">
        <f>'ALL ML SYSTEMS'!T236</f>
        <v>0</v>
      </c>
      <c r="U236" s="323">
        <f>'ALL ML SYSTEMS'!U236</f>
        <v>0</v>
      </c>
      <c r="V236" s="323">
        <f>'ALL ML SYSTEMS'!V236</f>
        <v>0</v>
      </c>
      <c r="W236" s="323">
        <f>'ALL ML SYSTEMS'!W236</f>
        <v>0</v>
      </c>
      <c r="X236" s="323">
        <f>'ALL ML SYSTEMS'!X236</f>
        <v>0</v>
      </c>
      <c r="Y236" s="323">
        <f>'ALL ML SYSTEMS'!Y236</f>
        <v>0</v>
      </c>
      <c r="Z236" s="323">
        <f>'ALL ML SYSTEMS'!Z236</f>
        <v>0</v>
      </c>
      <c r="AA236" s="340" t="str">
        <f>'ALL ML SYSTEMS'!AA236</f>
        <v/>
      </c>
      <c r="AB236" s="323">
        <f>'ALL ML SYSTEMS'!AB236</f>
        <v>0</v>
      </c>
      <c r="AC236" s="323">
        <f>'ALL ML SYSTEMS'!AC236</f>
        <v>0</v>
      </c>
      <c r="AD236" s="323" t="str">
        <f>'ALL ML SYSTEMS'!AD236</f>
        <v>Industry</v>
      </c>
    </row>
    <row r="237" customHeight="1" spans="1:30">
      <c r="A237" s="325" t="str">
        <f>'ALL ML SYSTEMS'!A237</f>
        <v>NeuMF (Pinterest)</v>
      </c>
      <c r="B237" s="325" t="str">
        <f>'ALL ML SYSTEMS'!B237</f>
        <v>Recommendation</v>
      </c>
      <c r="C237" s="325" t="str">
        <f>'ALL ML SYSTEMS'!C237</f>
        <v>Collaborative filtering</v>
      </c>
      <c r="D237" s="325" t="str">
        <f>'ALL ML SYSTEMS'!D237</f>
        <v>NUS, Columbia, Shandong University, Texas A&amp;M</v>
      </c>
      <c r="E237" s="325" t="str">
        <f>'ALL ML SYSTEMS'!E237</f>
        <v>Academia</v>
      </c>
      <c r="F237" s="325" t="str">
        <f>'ALL ML SYSTEMS'!F237</f>
        <v>X He, L Liao, H Zhang, L Nie, X Hu</v>
      </c>
      <c r="G237" s="326">
        <f>'ALL ML SYSTEMS'!G237</f>
        <v>42963</v>
      </c>
      <c r="H237" s="327">
        <f>'ALL ML SYSTEMS'!H237</f>
        <v>2963</v>
      </c>
      <c r="I237" s="325" t="str">
        <f>'ALL ML SYSTEMS'!I237</f>
        <v>Neural Collaborative Filtering</v>
      </c>
      <c r="J237" s="337" t="str">
        <f>'ALL ML SYSTEMS'!J237</f>
        <v>https://arxiv.org/abs/1708.05031</v>
      </c>
      <c r="K237" s="338">
        <f>'ALL ML SYSTEMS'!K237</f>
        <v>2425</v>
      </c>
      <c r="L237" s="325" t="str">
        <f>'ALL ML SYSTEMS'!L237</f>
        <v>Highly cited</v>
      </c>
      <c r="M237" s="338" t="str">
        <f>'ALL ML SYSTEMS'!M237</f>
        <v>Yes</v>
      </c>
      <c r="N237" s="338">
        <f>'ALL ML SYSTEMS'!N237</f>
        <v>0</v>
      </c>
      <c r="O237" s="338">
        <f>'ALL ML SYSTEMS'!O237</f>
        <v>0</v>
      </c>
      <c r="P237" s="339">
        <f>'ALL ML SYSTEMS'!P237</f>
        <v>0</v>
      </c>
      <c r="Q237" s="338">
        <f>'ALL ML SYSTEMS'!Q237</f>
        <v>0</v>
      </c>
      <c r="R237" s="325">
        <f>'ALL ML SYSTEMS'!R237</f>
        <v>0</v>
      </c>
      <c r="S237" s="338">
        <f>'ALL ML SYSTEMS'!S237</f>
        <v>0</v>
      </c>
      <c r="T237" s="325">
        <f>'ALL ML SYSTEMS'!T237</f>
        <v>0</v>
      </c>
      <c r="U237" s="325">
        <f>'ALL ML SYSTEMS'!U237</f>
        <v>0</v>
      </c>
      <c r="V237" s="325">
        <f>'ALL ML SYSTEMS'!V237</f>
        <v>0</v>
      </c>
      <c r="W237" s="325">
        <f>'ALL ML SYSTEMS'!W237</f>
        <v>0</v>
      </c>
      <c r="X237" s="325">
        <f>'ALL ML SYSTEMS'!X237</f>
        <v>0</v>
      </c>
      <c r="Y237" s="325">
        <f>'ALL ML SYSTEMS'!Y237</f>
        <v>0</v>
      </c>
      <c r="Z237" s="325">
        <f>'ALL ML SYSTEMS'!Z237</f>
        <v>0</v>
      </c>
      <c r="AA237" s="341" t="str">
        <f>'ALL ML SYSTEMS'!AA237</f>
        <v/>
      </c>
      <c r="AB237" s="325">
        <f>'ALL ML SYSTEMS'!AB237</f>
        <v>0</v>
      </c>
      <c r="AC237" s="325">
        <f>'ALL ML SYSTEMS'!AC237</f>
        <v>0</v>
      </c>
      <c r="AD237" s="325" t="str">
        <f>'ALL ML SYSTEMS'!AD237</f>
        <v>Academia</v>
      </c>
    </row>
    <row r="238" customHeight="1" spans="1:30">
      <c r="A238" s="323" t="str">
        <f>'ALL ML SYSTEMS'!A238</f>
        <v>SENet (ImageNet)</v>
      </c>
      <c r="B238" s="323" t="str">
        <f>'ALL ML SYSTEMS'!B238</f>
        <v>Vision</v>
      </c>
      <c r="C238" s="323" t="str">
        <f>'ALL ML SYSTEMS'!C238</f>
        <v>Image classification</v>
      </c>
      <c r="D238" s="323" t="str">
        <f>'ALL ML SYSTEMS'!D238</f>
        <v>Chinese Academy of Sciences ; University of Oxford</v>
      </c>
      <c r="E238" s="323" t="str">
        <f>'ALL ML SYSTEMS'!E238</f>
        <v>Academia</v>
      </c>
      <c r="F238" s="323" t="str">
        <f>'ALL ML SYSTEMS'!F238</f>
        <v>Jie Hu, Li Shen, Samuel Albanie, Gang Sun, Enhua Wu</v>
      </c>
      <c r="G238" s="324">
        <f>'ALL ML SYSTEMS'!G238</f>
        <v>42983</v>
      </c>
      <c r="H238" s="329">
        <f>'ALL ML SYSTEMS'!H238</f>
        <v>2983</v>
      </c>
      <c r="I238" s="323" t="str">
        <f>'ALL ML SYSTEMS'!I238</f>
        <v>Squeeze-and-Excitation Networks</v>
      </c>
      <c r="J238" s="334" t="str">
        <f>'ALL ML SYSTEMS'!J238</f>
        <v>https://arxiv.org/abs/1709.01507</v>
      </c>
      <c r="K238" s="335">
        <f>'ALL ML SYSTEMS'!K238</f>
        <v>7943</v>
      </c>
      <c r="L238" s="323" t="str">
        <f>'ALL ML SYSTEMS'!L238</f>
        <v>Highly cited</v>
      </c>
      <c r="M238" s="335" t="str">
        <f>'ALL ML SYSTEMS'!M238</f>
        <v>Yes</v>
      </c>
      <c r="N238" s="335">
        <f>'ALL ML SYSTEMS'!N238</f>
        <v>28100000</v>
      </c>
      <c r="O238" s="335">
        <f>'ALL ML SYSTEMS'!O238</f>
        <v>0</v>
      </c>
      <c r="P238" s="336" t="str">
        <f>'ALL ML SYSTEMS'!P238</f>
        <v>ImageNet</v>
      </c>
      <c r="Q238" s="335">
        <f>'ALL ML SYSTEMS'!Q238</f>
        <v>0</v>
      </c>
      <c r="R238" s="323">
        <f>'ALL ML SYSTEMS'!R238</f>
        <v>0</v>
      </c>
      <c r="S238" s="335">
        <f>'ALL ML SYSTEMS'!S238</f>
        <v>3870000000</v>
      </c>
      <c r="T238" s="323">
        <f>'ALL ML SYSTEMS'!T238</f>
        <v>0</v>
      </c>
      <c r="U238" s="323">
        <f>'ALL ML SYSTEMS'!U238</f>
        <v>0</v>
      </c>
      <c r="V238" s="323">
        <f>'ALL ML SYSTEMS'!V238</f>
        <v>0</v>
      </c>
      <c r="W238" s="323">
        <f>'ALL ML SYSTEMS'!W238</f>
        <v>0</v>
      </c>
      <c r="X238" s="323">
        <f>'ALL ML SYSTEMS'!X238</f>
        <v>0</v>
      </c>
      <c r="Y238" s="323">
        <f>'ALL ML SYSTEMS'!Y238</f>
        <v>0</v>
      </c>
      <c r="Z238" s="323">
        <f>'ALL ML SYSTEMS'!Z238</f>
        <v>0</v>
      </c>
      <c r="AA238" s="340" t="str">
        <f>'ALL ML SYSTEMS'!AA238</f>
        <v/>
      </c>
      <c r="AB238" s="323">
        <f>'ALL ML SYSTEMS'!AB238</f>
        <v>0</v>
      </c>
      <c r="AC238" s="323">
        <f>'ALL ML SYSTEMS'!AC238</f>
        <v>0</v>
      </c>
      <c r="AD238" s="323" t="str">
        <f>'ALL ML SYSTEMS'!AD238</f>
        <v>Academia</v>
      </c>
    </row>
    <row r="239" customHeight="1" spans="1:30">
      <c r="A239" s="325">
        <f>'ALL ML SYSTEMS'!A239</f>
        <v>0</v>
      </c>
      <c r="B239" s="325" t="str">
        <f>'ALL ML SYSTEMS'!B239</f>
        <v>Vision</v>
      </c>
      <c r="C239" s="325" t="str">
        <f>'ALL ML SYSTEMS'!C239</f>
        <v>Person re-identification</v>
      </c>
      <c r="D239" s="325" t="str">
        <f>'ALL ML SYSTEMS'!D239</f>
        <v>University of Technology Sydney</v>
      </c>
      <c r="E239" s="325" t="str">
        <f>'ALL ML SYSTEMS'!E239</f>
        <v>Academia</v>
      </c>
      <c r="F239" s="325" t="str">
        <f>'ALL ML SYSTEMS'!F239</f>
        <v>Zhedong Zheng, Liang Zheng, Yi Yang</v>
      </c>
      <c r="G239" s="326">
        <f>'ALL ML SYSTEMS'!G239</f>
        <v>43030</v>
      </c>
      <c r="H239" s="327">
        <f>'ALL ML SYSTEMS'!H239</f>
        <v>3030</v>
      </c>
      <c r="I239" s="325" t="str">
        <f>'ALL ML SYSTEMS'!I239</f>
        <v>Unlabeled Samples Generated by GAN Improve the Person Re-identification Baseline in vitro</v>
      </c>
      <c r="J239" s="337" t="str">
        <f>'ALL ML SYSTEMS'!J239</f>
        <v>https://arxiv.org/abs/1701.07717</v>
      </c>
      <c r="K239" s="338">
        <f>'ALL ML SYSTEMS'!K239</f>
        <v>1399</v>
      </c>
      <c r="L239" s="325" t="str">
        <f>'ALL ML SYSTEMS'!L239</f>
        <v>Highly cited</v>
      </c>
      <c r="M239" s="338" t="str">
        <f>'ALL ML SYSTEMS'!M239</f>
        <v>Yes</v>
      </c>
      <c r="N239" s="338">
        <f>'ALL ML SYSTEMS'!N239</f>
        <v>0</v>
      </c>
      <c r="O239" s="338">
        <f>'ALL ML SYSTEMS'!O239</f>
        <v>0</v>
      </c>
      <c r="P239" s="339">
        <f>'ALL ML SYSTEMS'!P239</f>
        <v>0</v>
      </c>
      <c r="Q239" s="338">
        <f>'ALL ML SYSTEMS'!Q239</f>
        <v>0</v>
      </c>
      <c r="R239" s="325">
        <f>'ALL ML SYSTEMS'!R239</f>
        <v>0</v>
      </c>
      <c r="S239" s="338">
        <f>'ALL ML SYSTEMS'!S239</f>
        <v>0</v>
      </c>
      <c r="T239" s="325">
        <f>'ALL ML SYSTEMS'!T239</f>
        <v>0</v>
      </c>
      <c r="U239" s="325">
        <f>'ALL ML SYSTEMS'!U239</f>
        <v>0</v>
      </c>
      <c r="V239" s="325">
        <f>'ALL ML SYSTEMS'!V239</f>
        <v>0</v>
      </c>
      <c r="W239" s="325">
        <f>'ALL ML SYSTEMS'!W239</f>
        <v>0</v>
      </c>
      <c r="X239" s="325">
        <f>'ALL ML SYSTEMS'!X239</f>
        <v>0</v>
      </c>
      <c r="Y239" s="325">
        <f>'ALL ML SYSTEMS'!Y239</f>
        <v>0</v>
      </c>
      <c r="Z239" s="325">
        <f>'ALL ML SYSTEMS'!Z239</f>
        <v>0</v>
      </c>
      <c r="AA239" s="341" t="str">
        <f>'ALL ML SYSTEMS'!AA239</f>
        <v/>
      </c>
      <c r="AB239" s="325">
        <f>'ALL ML SYSTEMS'!AB239</f>
        <v>0</v>
      </c>
      <c r="AC239" s="325">
        <f>'ALL ML SYSTEMS'!AC239</f>
        <v>0</v>
      </c>
      <c r="AD239" s="325" t="str">
        <f>'ALL ML SYSTEMS'!AD239</f>
        <v>Academia</v>
      </c>
    </row>
    <row r="240" customHeight="1" spans="1:30">
      <c r="A240" s="323" t="str">
        <f>'ALL ML SYSTEMS'!A240</f>
        <v>CapsNet (MNIST)</v>
      </c>
      <c r="B240" s="323" t="str">
        <f>'ALL ML SYSTEMS'!B240</f>
        <v>Vision</v>
      </c>
      <c r="C240" s="323" t="str">
        <f>'ALL ML SYSTEMS'!C240</f>
        <v>Character recognition</v>
      </c>
      <c r="D240" s="323" t="str">
        <f>'ALL ML SYSTEMS'!D240</f>
        <v>Google Brain</v>
      </c>
      <c r="E240" s="323" t="str">
        <f>'ALL ML SYSTEMS'!E240</f>
        <v>Industry</v>
      </c>
      <c r="F240" s="323" t="str">
        <f>'ALL ML SYSTEMS'!F240</f>
        <v>S Sabour, N Frosst, GE Hinton</v>
      </c>
      <c r="G240" s="324">
        <f>'ALL ML SYSTEMS'!G240</f>
        <v>43034</v>
      </c>
      <c r="H240" s="329">
        <f>'ALL ML SYSTEMS'!H240</f>
        <v>3034</v>
      </c>
      <c r="I240" s="323" t="str">
        <f>'ALL ML SYSTEMS'!I240</f>
        <v>Dynamic Routing Between Capsules</v>
      </c>
      <c r="J240" s="334" t="str">
        <f>'ALL ML SYSTEMS'!J240</f>
        <v>https://arxiv.org/abs/1710.09829</v>
      </c>
      <c r="K240" s="335">
        <f>'ALL ML SYSTEMS'!K240</f>
        <v>2739</v>
      </c>
      <c r="L240" s="323" t="str">
        <f>'ALL ML SYSTEMS'!L240</f>
        <v>Highly cited</v>
      </c>
      <c r="M240" s="335" t="str">
        <f>'ALL ML SYSTEMS'!M240</f>
        <v>Yes</v>
      </c>
      <c r="N240" s="335">
        <f>'ALL ML SYSTEMS'!N240</f>
        <v>8200000</v>
      </c>
      <c r="O240" s="335">
        <f>'ALL ML SYSTEMS'!O240</f>
        <v>0</v>
      </c>
      <c r="P240" s="336">
        <f>'ALL ML SYSTEMS'!P240</f>
        <v>0</v>
      </c>
      <c r="Q240" s="335">
        <f>'ALL ML SYSTEMS'!Q240</f>
        <v>0</v>
      </c>
      <c r="R240" s="323">
        <f>'ALL ML SYSTEMS'!R240</f>
        <v>0</v>
      </c>
      <c r="S240" s="335">
        <f>'ALL ML SYSTEMS'!S240</f>
        <v>0</v>
      </c>
      <c r="T240" s="323">
        <f>'ALL ML SYSTEMS'!T240</f>
        <v>0</v>
      </c>
      <c r="U240" s="323">
        <f>'ALL ML SYSTEMS'!U240</f>
        <v>0</v>
      </c>
      <c r="V240" s="323">
        <f>'ALL ML SYSTEMS'!V240</f>
        <v>0</v>
      </c>
      <c r="W240" s="323">
        <f>'ALL ML SYSTEMS'!W240</f>
        <v>0</v>
      </c>
      <c r="X240" s="323">
        <f>'ALL ML SYSTEMS'!X240</f>
        <v>0</v>
      </c>
      <c r="Y240" s="323">
        <f>'ALL ML SYSTEMS'!Y240</f>
        <v>0</v>
      </c>
      <c r="Z240" s="323">
        <f>'ALL ML SYSTEMS'!Z240</f>
        <v>0</v>
      </c>
      <c r="AA240" s="340" t="str">
        <f>'ALL ML SYSTEMS'!AA240</f>
        <v/>
      </c>
      <c r="AB240" s="323">
        <f>'ALL ML SYSTEMS'!AB240</f>
        <v>0</v>
      </c>
      <c r="AC240" s="323">
        <f>'ALL ML SYSTEMS'!AC240</f>
        <v>0</v>
      </c>
      <c r="AD240" s="323" t="str">
        <f>'ALL ML SYSTEMS'!AD240</f>
        <v>Industry</v>
      </c>
    </row>
    <row r="241" customHeight="1" spans="1:30">
      <c r="A241" s="325" t="str">
        <f>'ALL ML SYSTEMS'!A241</f>
        <v>CapsNet (MultiMNIST)</v>
      </c>
      <c r="B241" s="325" t="str">
        <f>'ALL ML SYSTEMS'!B241</f>
        <v>Vision</v>
      </c>
      <c r="C241" s="325" t="str">
        <f>'ALL ML SYSTEMS'!C241</f>
        <v>Character recognition</v>
      </c>
      <c r="D241" s="325" t="str">
        <f>'ALL ML SYSTEMS'!D241</f>
        <v>Google Brain</v>
      </c>
      <c r="E241" s="325" t="str">
        <f>'ALL ML SYSTEMS'!E241</f>
        <v>Industry</v>
      </c>
      <c r="F241" s="325" t="str">
        <f>'ALL ML SYSTEMS'!F241</f>
        <v>S Sabour, N Frosst, GE Hinton</v>
      </c>
      <c r="G241" s="326">
        <f>'ALL ML SYSTEMS'!G241</f>
        <v>43034</v>
      </c>
      <c r="H241" s="327">
        <f>'ALL ML SYSTEMS'!H241</f>
        <v>3034</v>
      </c>
      <c r="I241" s="325" t="str">
        <f>'ALL ML SYSTEMS'!I241</f>
        <v>Dynamic Routing Between Capsules</v>
      </c>
      <c r="J241" s="337" t="str">
        <f>'ALL ML SYSTEMS'!J241</f>
        <v>https://arxiv.org/abs/1710.09829</v>
      </c>
      <c r="K241" s="338">
        <f>'ALL ML SYSTEMS'!K241</f>
        <v>2739</v>
      </c>
      <c r="L241" s="325" t="str">
        <f>'ALL ML SYSTEMS'!L241</f>
        <v>Highly cited</v>
      </c>
      <c r="M241" s="338" t="str">
        <f>'ALL ML SYSTEMS'!M241</f>
        <v>Yes</v>
      </c>
      <c r="N241" s="338">
        <f>'ALL ML SYSTEMS'!N241</f>
        <v>11360000</v>
      </c>
      <c r="O241" s="338">
        <f>'ALL ML SYSTEMS'!O241</f>
        <v>0</v>
      </c>
      <c r="P241" s="339">
        <f>'ALL ML SYSTEMS'!P241</f>
        <v>0</v>
      </c>
      <c r="Q241" s="338">
        <f>'ALL ML SYSTEMS'!Q241</f>
        <v>0</v>
      </c>
      <c r="R241" s="325">
        <f>'ALL ML SYSTEMS'!R241</f>
        <v>0</v>
      </c>
      <c r="S241" s="338">
        <f>'ALL ML SYSTEMS'!S241</f>
        <v>0</v>
      </c>
      <c r="T241" s="325">
        <f>'ALL ML SYSTEMS'!T241</f>
        <v>0</v>
      </c>
      <c r="U241" s="325">
        <f>'ALL ML SYSTEMS'!U241</f>
        <v>0</v>
      </c>
      <c r="V241" s="325">
        <f>'ALL ML SYSTEMS'!V241</f>
        <v>0</v>
      </c>
      <c r="W241" s="325">
        <f>'ALL ML SYSTEMS'!W241</f>
        <v>0</v>
      </c>
      <c r="X241" s="325">
        <f>'ALL ML SYSTEMS'!X241</f>
        <v>0</v>
      </c>
      <c r="Y241" s="325">
        <f>'ALL ML SYSTEMS'!Y241</f>
        <v>0</v>
      </c>
      <c r="Z241" s="325">
        <f>'ALL ML SYSTEMS'!Z241</f>
        <v>0</v>
      </c>
      <c r="AA241" s="341" t="str">
        <f>'ALL ML SYSTEMS'!AA241</f>
        <v/>
      </c>
      <c r="AB241" s="325">
        <f>'ALL ML SYSTEMS'!AB241</f>
        <v>0</v>
      </c>
      <c r="AC241" s="325">
        <f>'ALL ML SYSTEMS'!AC241</f>
        <v>0</v>
      </c>
      <c r="AD241" s="325" t="str">
        <f>'ALL ML SYSTEMS'!AD241</f>
        <v>Industry</v>
      </c>
    </row>
    <row r="242" customHeight="1" spans="1:30">
      <c r="A242" s="323">
        <f>'ALL ML SYSTEMS'!A242</f>
        <v>0</v>
      </c>
      <c r="B242" s="323" t="str">
        <f>'ALL ML SYSTEMS'!B242</f>
        <v>Vision</v>
      </c>
      <c r="C242" s="323" t="str">
        <f>'ALL ML SYSTEMS'!C242</f>
        <v>Image generation</v>
      </c>
      <c r="D242" s="323" t="str">
        <f>'ALL ML SYSTEMS'!D242</f>
        <v>Nvidia</v>
      </c>
      <c r="E242" s="323" t="str">
        <f>'ALL ML SYSTEMS'!E242</f>
        <v>Industry</v>
      </c>
      <c r="F242" s="323" t="str">
        <f>'ALL ML SYSTEMS'!F242</f>
        <v>Tero Karras, Timo Aila, Samuli Laine, Jaakko Lehtinen</v>
      </c>
      <c r="G242" s="324">
        <f>'ALL ML SYSTEMS'!G242</f>
        <v>43035</v>
      </c>
      <c r="H242" s="329">
        <f>'ALL ML SYSTEMS'!H242</f>
        <v>3035</v>
      </c>
      <c r="I242" s="323" t="str">
        <f>'ALL ML SYSTEMS'!I242</f>
        <v>Progressive Growing of GANs for Improved Quality, Stability, and Variation</v>
      </c>
      <c r="J242" s="334" t="str">
        <f>'ALL ML SYSTEMS'!J242</f>
        <v>https://arxiv.org/abs/1710.10196</v>
      </c>
      <c r="K242" s="335">
        <f>'ALL ML SYSTEMS'!K242</f>
        <v>3908</v>
      </c>
      <c r="L242" s="323" t="str">
        <f>'ALL ML SYSTEMS'!L242</f>
        <v>Highly cited</v>
      </c>
      <c r="M242" s="335" t="str">
        <f>'ALL ML SYSTEMS'!M242</f>
        <v>Yes</v>
      </c>
      <c r="N242" s="335">
        <f>'ALL ML SYSTEMS'!N242</f>
        <v>0</v>
      </c>
      <c r="O242" s="335">
        <f>'ALL ML SYSTEMS'!O242</f>
        <v>0</v>
      </c>
      <c r="P242" s="336">
        <f>'ALL ML SYSTEMS'!P242</f>
        <v>0</v>
      </c>
      <c r="Q242" s="335">
        <f>'ALL ML SYSTEMS'!Q242</f>
        <v>0</v>
      </c>
      <c r="R242" s="323">
        <f>'ALL ML SYSTEMS'!R242</f>
        <v>0</v>
      </c>
      <c r="S242" s="335">
        <f>'ALL ML SYSTEMS'!S242</f>
        <v>0</v>
      </c>
      <c r="T242" s="323">
        <f>'ALL ML SYSTEMS'!T242</f>
        <v>0</v>
      </c>
      <c r="U242" s="323">
        <f>'ALL ML SYSTEMS'!U242</f>
        <v>0</v>
      </c>
      <c r="V242" s="323">
        <f>'ALL ML SYSTEMS'!V242</f>
        <v>0</v>
      </c>
      <c r="W242" s="323">
        <f>'ALL ML SYSTEMS'!W242</f>
        <v>0</v>
      </c>
      <c r="X242" s="323">
        <f>'ALL ML SYSTEMS'!X242</f>
        <v>0</v>
      </c>
      <c r="Y242" s="323">
        <f>'ALL ML SYSTEMS'!Y242</f>
        <v>0</v>
      </c>
      <c r="Z242" s="323">
        <f>'ALL ML SYSTEMS'!Z242</f>
        <v>0</v>
      </c>
      <c r="AA242" s="340" t="str">
        <f>'ALL ML SYSTEMS'!AA242</f>
        <v/>
      </c>
      <c r="AB242" s="323">
        <f>'ALL ML SYSTEMS'!AB242</f>
        <v>0</v>
      </c>
      <c r="AC242" s="323">
        <f>'ALL ML SYSTEMS'!AC242</f>
        <v>0</v>
      </c>
      <c r="AD242" s="323" t="str">
        <f>'ALL ML SYSTEMS'!AD242</f>
        <v>Industry</v>
      </c>
    </row>
    <row r="243" customHeight="1" spans="1:30">
      <c r="A243" s="325">
        <f>'ALL ML SYSTEMS'!A243</f>
        <v>0</v>
      </c>
      <c r="B243" s="325" t="str">
        <f>'ALL ML SYSTEMS'!B243</f>
        <v>Vision</v>
      </c>
      <c r="C243" s="325" t="str">
        <f>'ALL ML SYSTEMS'!C243</f>
        <v>Person re-identification</v>
      </c>
      <c r="D243" s="325" t="str">
        <f>'ALL ML SYSTEMS'!D243</f>
        <v>Visual Computing Institute, Aachen University</v>
      </c>
      <c r="E243" s="325" t="str">
        <f>'ALL ML SYSTEMS'!E243</f>
        <v>Academia</v>
      </c>
      <c r="F243" s="325" t="str">
        <f>'ALL ML SYSTEMS'!F243</f>
        <v>Alexander Hermans, Lucas Beyer, Bastian Leibe</v>
      </c>
      <c r="G243" s="326">
        <f>'ALL ML SYSTEMS'!G243</f>
        <v>43060</v>
      </c>
      <c r="H243" s="327">
        <f>'ALL ML SYSTEMS'!H243</f>
        <v>3060</v>
      </c>
      <c r="I243" s="325" t="str">
        <f>'ALL ML SYSTEMS'!I243</f>
        <v>In Defense of the Triplet Loss for Person Re-Identification</v>
      </c>
      <c r="J243" s="337" t="str">
        <f>'ALL ML SYSTEMS'!J243</f>
        <v>https://arxiv.org/abs/1703.07737</v>
      </c>
      <c r="K243" s="338">
        <f>'ALL ML SYSTEMS'!K243</f>
        <v>1986</v>
      </c>
      <c r="L243" s="325" t="str">
        <f>'ALL ML SYSTEMS'!L243</f>
        <v>Highly cited</v>
      </c>
      <c r="M243" s="338" t="str">
        <f>'ALL ML SYSTEMS'!M243</f>
        <v>Yes</v>
      </c>
      <c r="N243" s="338">
        <f>'ALL ML SYSTEMS'!N243</f>
        <v>0</v>
      </c>
      <c r="O243" s="338">
        <f>'ALL ML SYSTEMS'!O243</f>
        <v>0</v>
      </c>
      <c r="P243" s="339">
        <f>'ALL ML SYSTEMS'!P243</f>
        <v>0</v>
      </c>
      <c r="Q243" s="338">
        <f>'ALL ML SYSTEMS'!Q243</f>
        <v>0</v>
      </c>
      <c r="R243" s="325">
        <f>'ALL ML SYSTEMS'!R243</f>
        <v>0</v>
      </c>
      <c r="S243" s="338">
        <f>'ALL ML SYSTEMS'!S243</f>
        <v>0</v>
      </c>
      <c r="T243" s="325">
        <f>'ALL ML SYSTEMS'!T243</f>
        <v>0</v>
      </c>
      <c r="U243" s="325">
        <f>'ALL ML SYSTEMS'!U243</f>
        <v>0</v>
      </c>
      <c r="V243" s="325">
        <f>'ALL ML SYSTEMS'!V243</f>
        <v>0</v>
      </c>
      <c r="W243" s="325">
        <f>'ALL ML SYSTEMS'!W243</f>
        <v>0</v>
      </c>
      <c r="X243" s="325">
        <f>'ALL ML SYSTEMS'!X243</f>
        <v>0</v>
      </c>
      <c r="Y243" s="325">
        <f>'ALL ML SYSTEMS'!Y243</f>
        <v>0</v>
      </c>
      <c r="Z243" s="325">
        <f>'ALL ML SYSTEMS'!Z243</f>
        <v>0</v>
      </c>
      <c r="AA243" s="341" t="str">
        <f>'ALL ML SYSTEMS'!AA243</f>
        <v/>
      </c>
      <c r="AB243" s="325">
        <f>'ALL ML SYSTEMS'!AB243</f>
        <v>0</v>
      </c>
      <c r="AC243" s="325">
        <f>'ALL ML SYSTEMS'!AC243</f>
        <v>0</v>
      </c>
      <c r="AD243" s="325" t="str">
        <f>'ALL ML SYSTEMS'!AD243</f>
        <v>Academia</v>
      </c>
    </row>
    <row r="244" customHeight="1" spans="1:30">
      <c r="A244" s="323" t="str">
        <f>'ALL ML SYSTEMS'!A244</f>
        <v>PNAS-net</v>
      </c>
      <c r="B244" s="323" t="str">
        <f>'ALL ML SYSTEMS'!B244</f>
        <v>Vision</v>
      </c>
      <c r="C244" s="323" t="str">
        <f>'ALL ML SYSTEMS'!C244</f>
        <v>Image classification</v>
      </c>
      <c r="D244" s="323" t="str">
        <f>'ALL ML SYSTEMS'!D244</f>
        <v>Johns Hopkins University, Stanford, Google AI</v>
      </c>
      <c r="E244" s="323" t="str">
        <f>'ALL ML SYSTEMS'!E244</f>
        <v>Industry - Academia Collaboration (Industry leaning)</v>
      </c>
      <c r="F244" s="323" t="str">
        <f>'ALL ML SYSTEMS'!F244</f>
        <v>C Liu, B Zoph, M Neumann, J Shlens</v>
      </c>
      <c r="G244" s="324">
        <f>'ALL ML SYSTEMS'!G244</f>
        <v>43071</v>
      </c>
      <c r="H244" s="329">
        <f>'ALL ML SYSTEMS'!H244</f>
        <v>3071</v>
      </c>
      <c r="I244" s="323" t="str">
        <f>'ALL ML SYSTEMS'!I244</f>
        <v>Progressive Neural Architecture Search</v>
      </c>
      <c r="J244" s="334" t="str">
        <f>'ALL ML SYSTEMS'!J244</f>
        <v>https://arxiv.org/abs/1712.00559</v>
      </c>
      <c r="K244" s="335">
        <f>'ALL ML SYSTEMS'!K244</f>
        <v>1154</v>
      </c>
      <c r="L244" s="323" t="str">
        <f>'ALL ML SYSTEMS'!L244</f>
        <v>Highly cited</v>
      </c>
      <c r="M244" s="335" t="str">
        <f>'ALL ML SYSTEMS'!M244</f>
        <v>Yes</v>
      </c>
      <c r="N244" s="335">
        <f>'ALL ML SYSTEMS'!N244</f>
        <v>86000000</v>
      </c>
      <c r="O244" s="335">
        <f>'ALL ML SYSTEMS'!O244</f>
        <v>0</v>
      </c>
      <c r="P244" s="336">
        <f>'ALL ML SYSTEMS'!P244</f>
        <v>0</v>
      </c>
      <c r="Q244" s="335">
        <f>'ALL ML SYSTEMS'!Q244</f>
        <v>0</v>
      </c>
      <c r="R244" s="323">
        <f>'ALL ML SYSTEMS'!R244</f>
        <v>0</v>
      </c>
      <c r="S244" s="335">
        <f>'ALL ML SYSTEMS'!S244</f>
        <v>0</v>
      </c>
      <c r="T244" s="323">
        <f>'ALL ML SYSTEMS'!T244</f>
        <v>0</v>
      </c>
      <c r="U244" s="323">
        <f>'ALL ML SYSTEMS'!U244</f>
        <v>0</v>
      </c>
      <c r="V244" s="323">
        <f>'ALL ML SYSTEMS'!V244</f>
        <v>0</v>
      </c>
      <c r="W244" s="323">
        <f>'ALL ML SYSTEMS'!W244</f>
        <v>0</v>
      </c>
      <c r="X244" s="323">
        <f>'ALL ML SYSTEMS'!X244</f>
        <v>0</v>
      </c>
      <c r="Y244" s="323">
        <f>'ALL ML SYSTEMS'!Y244</f>
        <v>0</v>
      </c>
      <c r="Z244" s="323">
        <f>'ALL ML SYSTEMS'!Z244</f>
        <v>0</v>
      </c>
      <c r="AA244" s="340" t="str">
        <f>'ALL ML SYSTEMS'!AA244</f>
        <v/>
      </c>
      <c r="AB244" s="323">
        <f>'ALL ML SYSTEMS'!AB244</f>
        <v>0</v>
      </c>
      <c r="AC244" s="323">
        <f>'ALL ML SYSTEMS'!AC244</f>
        <v>0</v>
      </c>
      <c r="AD244" s="323" t="str">
        <f>'ALL ML SYSTEMS'!AD244</f>
        <v>Industry</v>
      </c>
    </row>
    <row r="245" customHeight="1" spans="1:30">
      <c r="A245" s="325" t="str">
        <f>'ALL ML SYSTEMS'!A245</f>
        <v>GNMT</v>
      </c>
      <c r="B245" s="325" t="str">
        <f>'ALL ML SYSTEMS'!B245</f>
        <v>Language</v>
      </c>
      <c r="C245" s="325" t="str">
        <f>'ALL ML SYSTEMS'!C245</f>
        <v>Translation</v>
      </c>
      <c r="D245" s="325" t="str">
        <f>'ALL ML SYSTEMS'!D245</f>
        <v>Google</v>
      </c>
      <c r="E245" s="325" t="str">
        <f>'ALL ML SYSTEMS'!E245</f>
        <v>Industry</v>
      </c>
      <c r="F245" s="325" t="str">
        <f>'ALL ML SYSTEMS'!F245</f>
        <v>Yonghui Wu, Mike Schuster, Zhifeng Chen, Quoc V. Le, Mohammad Norouzi, Wolfgang Macherey, Maxim Krikun, Yuan Cao, Qin Gao, Klaus Macherey, Jeff Klingner, Apurva Shah, Melvin Johnson, Xiaobing Liu, Łukasz Kaiser, Stephan Gouws, Yoshikiyo Kato, Taku Kudo, Hideto Kazawa, Keith Stevens, George Kurian, Nishant Patil, Wei Wang, Cliff Young, Jason Smith, Jason Riesa, Alex Rudnick, Oriol Vinyals, Greg Corrado, Macduff Hughes, Jeffrey Dean</v>
      </c>
      <c r="G245" s="326">
        <f>'ALL ML SYSTEMS'!G245</f>
        <v>42639</v>
      </c>
      <c r="H245" s="327">
        <f>'ALL ML SYSTEMS'!H245</f>
        <v>2639</v>
      </c>
      <c r="I245" s="325" t="str">
        <f>'ALL ML SYSTEMS'!I245</f>
        <v>Google's Neural Machine Translation System: Bridging the Gap between Human and Machine Translation</v>
      </c>
      <c r="J245" s="337" t="str">
        <f>'ALL ML SYSTEMS'!J245</f>
        <v>https://research.google/pubs/pub45610/</v>
      </c>
      <c r="K245" s="338">
        <f>'ALL ML SYSTEMS'!K245</f>
        <v>4499</v>
      </c>
      <c r="L245" s="325" t="str">
        <f>'ALL ML SYSTEMS'!L245</f>
        <v>Highly cited</v>
      </c>
      <c r="M245" s="338" t="str">
        <f>'ALL ML SYSTEMS'!M245</f>
        <v>Yes</v>
      </c>
      <c r="N245" s="338">
        <f>'ALL ML SYSTEMS'!N245</f>
        <v>278000000</v>
      </c>
      <c r="O245" s="338">
        <f>'ALL ML SYSTEMS'!O245</f>
        <v>6.9e+21</v>
      </c>
      <c r="P245" s="339">
        <f>'ALL ML SYSTEMS'!P245</f>
        <v>0</v>
      </c>
      <c r="Q245" s="338">
        <f>'ALL ML SYSTEMS'!Q245</f>
        <v>360000000</v>
      </c>
      <c r="R245" s="325">
        <f>'ALL ML SYSTEMS'!R245</f>
        <v>0</v>
      </c>
      <c r="S245" s="338">
        <f>'ALL ML SYSTEMS'!S245</f>
        <v>0</v>
      </c>
      <c r="T245" s="325">
        <f>'ALL ML SYSTEMS'!T245</f>
        <v>0</v>
      </c>
      <c r="U245" s="325">
        <f>'ALL ML SYSTEMS'!U245</f>
        <v>0</v>
      </c>
      <c r="V245" s="325">
        <f>'ALL ML SYSTEMS'!V245</f>
        <v>0</v>
      </c>
      <c r="W245" s="325">
        <f>'ALL ML SYSTEMS'!W245</f>
        <v>0</v>
      </c>
      <c r="X245" s="325">
        <f>'ALL ML SYSTEMS'!X245</f>
        <v>0</v>
      </c>
      <c r="Y245" s="325">
        <f>'ALL ML SYSTEMS'!Y245</f>
        <v>0</v>
      </c>
      <c r="Z245" s="325">
        <f>'ALL ML SYSTEMS'!Z245</f>
        <v>0</v>
      </c>
      <c r="AA245" s="341">
        <f>'ALL ML SYSTEMS'!AA245</f>
        <v>307573.498950631</v>
      </c>
      <c r="AB245" s="325">
        <f>'ALL ML SYSTEMS'!AB245</f>
        <v>0</v>
      </c>
      <c r="AC245" s="325">
        <f>'ALL ML SYSTEMS'!AC245</f>
        <v>0</v>
      </c>
      <c r="AD245" s="325" t="str">
        <f>'ALL ML SYSTEMS'!AD245</f>
        <v>Industry</v>
      </c>
    </row>
    <row r="246" customHeight="1" spans="1:30">
      <c r="A246" s="323" t="str">
        <f>'ALL ML SYSTEMS'!A246</f>
        <v>NASv3 (CIFAR-10)</v>
      </c>
      <c r="B246" s="323" t="str">
        <f>'ALL ML SYSTEMS'!B246</f>
        <v>Vision</v>
      </c>
      <c r="C246" s="323">
        <f>'ALL ML SYSTEMS'!C246</f>
        <v>0</v>
      </c>
      <c r="D246" s="323" t="str">
        <f>'ALL ML SYSTEMS'!D246</f>
        <v>Google Brain</v>
      </c>
      <c r="E246" s="323" t="str">
        <f>'ALL ML SYSTEMS'!E246</f>
        <v>Industry</v>
      </c>
      <c r="F246" s="323" t="str">
        <f>'ALL ML SYSTEMS'!F246</f>
        <v>Barret Zoph, Quoc V. Le</v>
      </c>
      <c r="G246" s="324">
        <f>'ALL ML SYSTEMS'!G246</f>
        <v>42679</v>
      </c>
      <c r="H246" s="329">
        <f>'ALL ML SYSTEMS'!H246</f>
        <v>2679</v>
      </c>
      <c r="I246" s="323" t="str">
        <f>'ALL ML SYSTEMS'!I246</f>
        <v>Neural Architecture Search with Reinforcement Learning</v>
      </c>
      <c r="J246" s="334" t="str">
        <f>'ALL ML SYSTEMS'!J246</f>
        <v>https://arxiv.org/abs/1611.01578</v>
      </c>
      <c r="K246" s="335">
        <f>'ALL ML SYSTEMS'!K246</f>
        <v>2965</v>
      </c>
      <c r="L246" s="323" t="str">
        <f>'ALL ML SYSTEMS'!L246</f>
        <v>Highly cited</v>
      </c>
      <c r="M246" s="335" t="str">
        <f>'ALL ML SYSTEMS'!M246</f>
        <v>Yes</v>
      </c>
      <c r="N246" s="335">
        <f>'ALL ML SYSTEMS'!N246</f>
        <v>37400000</v>
      </c>
      <c r="O246" s="335">
        <f>'ALL ML SYSTEMS'!O246</f>
        <v>2.2e+21</v>
      </c>
      <c r="P246" s="336">
        <f>'ALL ML SYSTEMS'!P246</f>
        <v>0</v>
      </c>
      <c r="Q246" s="335">
        <f>'ALL ML SYSTEMS'!Q246</f>
        <v>0</v>
      </c>
      <c r="R246" s="323">
        <f>'ALL ML SYSTEMS'!R246</f>
        <v>39</v>
      </c>
      <c r="S246" s="335">
        <f>'ALL ML SYSTEMS'!S246</f>
        <v>0</v>
      </c>
      <c r="T246" s="323">
        <f>'ALL ML SYSTEMS'!T246</f>
        <v>0</v>
      </c>
      <c r="U246" s="323">
        <f>'ALL ML SYSTEMS'!U246</f>
        <v>0</v>
      </c>
      <c r="V246" s="323">
        <f>'ALL ML SYSTEMS'!V246</f>
        <v>0</v>
      </c>
      <c r="W246" s="323">
        <f>'ALL ML SYSTEMS'!W246</f>
        <v>0</v>
      </c>
      <c r="X246" s="323">
        <f>'ALL ML SYSTEMS'!X246</f>
        <v>0</v>
      </c>
      <c r="Y246" s="323">
        <f>'ALL ML SYSTEMS'!Y246</f>
        <v>0</v>
      </c>
      <c r="Z246" s="323">
        <f>'ALL ML SYSTEMS'!Z246</f>
        <v>0</v>
      </c>
      <c r="AA246" s="340">
        <f>'ALL ML SYSTEMS'!AA246</f>
        <v>13069.3458085824</v>
      </c>
      <c r="AB246" s="323">
        <f>'ALL ML SYSTEMS'!AB246</f>
        <v>0</v>
      </c>
      <c r="AC246" s="323">
        <f>'ALL ML SYSTEMS'!AC246</f>
        <v>0</v>
      </c>
      <c r="AD246" s="323" t="str">
        <f>'ALL ML SYSTEMS'!AD246</f>
        <v>Industry</v>
      </c>
    </row>
    <row r="247" customHeight="1" spans="1:30">
      <c r="A247" s="325" t="str">
        <f>'ALL ML SYSTEMS'!A247</f>
        <v>AlphaGo Lee</v>
      </c>
      <c r="B247" s="325" t="str">
        <f>'ALL ML SYSTEMS'!B247</f>
        <v>Games</v>
      </c>
      <c r="C247" s="325" t="str">
        <f>'ALL ML SYSTEMS'!C247</f>
        <v>Go</v>
      </c>
      <c r="D247" s="325" t="str">
        <f>'ALL ML SYSTEMS'!D247</f>
        <v>DeepMind</v>
      </c>
      <c r="E247" s="325" t="str">
        <f>'ALL ML SYSTEMS'!E247</f>
        <v>Industry</v>
      </c>
      <c r="F247" s="325" t="str">
        <f>'ALL ML SYSTEMS'!F247</f>
        <v>D Silver, A Huang, CJ Maddison, A Guez, L Sifre</v>
      </c>
      <c r="G247" s="326">
        <f>'ALL ML SYSTEMS'!G247</f>
        <v>42396</v>
      </c>
      <c r="H247" s="327">
        <f>'ALL ML SYSTEMS'!H247</f>
        <v>2396</v>
      </c>
      <c r="I247" s="325" t="str">
        <f>'ALL ML SYSTEMS'!I247</f>
        <v>Mastering the game of Go with deep neural networks and tree search</v>
      </c>
      <c r="J247" s="337" t="str">
        <f>'ALL ML SYSTEMS'!J247</f>
        <v>https://www.nature.com/articles/nature16961</v>
      </c>
      <c r="K247" s="338">
        <f>'ALL ML SYSTEMS'!K247</f>
        <v>10781</v>
      </c>
      <c r="L247" s="325" t="str">
        <f>'ALL ML SYSTEMS'!L247</f>
        <v>Highly cited</v>
      </c>
      <c r="M247" s="338" t="str">
        <f>'ALL ML SYSTEMS'!M247</f>
        <v>Yes</v>
      </c>
      <c r="N247" s="325">
        <f>'ALL ML SYSTEMS'!N247</f>
        <v>0</v>
      </c>
      <c r="O247" s="338">
        <f>'ALL ML SYSTEMS'!O247</f>
        <v>1.9e+21</v>
      </c>
      <c r="P247" s="339">
        <f>'ALL ML SYSTEMS'!P247</f>
        <v>0</v>
      </c>
      <c r="Q247" s="338">
        <f>'ALL ML SYSTEMS'!Q247</f>
        <v>29400000</v>
      </c>
      <c r="R247" s="325">
        <f>'ALL ML SYSTEMS'!R247</f>
        <v>0</v>
      </c>
      <c r="S247" s="338">
        <f>'ALL ML SYSTEMS'!S247</f>
        <v>0</v>
      </c>
      <c r="T247" s="325">
        <f>'ALL ML SYSTEMS'!T247</f>
        <v>0</v>
      </c>
      <c r="U247" s="325">
        <f>'ALL ML SYSTEMS'!U247</f>
        <v>0</v>
      </c>
      <c r="V247" s="325">
        <f>'ALL ML SYSTEMS'!V247</f>
        <v>0</v>
      </c>
      <c r="W247" s="325">
        <f>'ALL ML SYSTEMS'!W247</f>
        <v>0</v>
      </c>
      <c r="X247" s="325">
        <f>'ALL ML SYSTEMS'!X247</f>
        <v>0</v>
      </c>
      <c r="Y247" s="325">
        <f>'ALL ML SYSTEMS'!Y247</f>
        <v>0</v>
      </c>
      <c r="Z247" s="325">
        <f>'ALL ML SYSTEMS'!Z247</f>
        <v>0</v>
      </c>
      <c r="AA247" s="341">
        <f>'ALL ML SYSTEMS'!AA247</f>
        <v>14041.8044022234</v>
      </c>
      <c r="AB247" s="325">
        <f>'ALL ML SYSTEMS'!AB247</f>
        <v>0</v>
      </c>
      <c r="AC247" s="325">
        <f>'ALL ML SYSTEMS'!AC247</f>
        <v>0</v>
      </c>
      <c r="AD247" s="325" t="str">
        <f>'ALL ML SYSTEMS'!AD247</f>
        <v>Industry</v>
      </c>
    </row>
    <row r="248" customHeight="1" spans="1:30">
      <c r="A248" s="323" t="str">
        <f>'ALL ML SYSTEMS'!A248</f>
        <v>Xception</v>
      </c>
      <c r="B248" s="323" t="str">
        <f>'ALL ML SYSTEMS'!B248</f>
        <v>Vision</v>
      </c>
      <c r="C248" s="323" t="str">
        <f>'ALL ML SYSTEMS'!C248</f>
        <v>Image classification</v>
      </c>
      <c r="D248" s="323" t="str">
        <f>'ALL ML SYSTEMS'!D248</f>
        <v>Google</v>
      </c>
      <c r="E248" s="323" t="str">
        <f>'ALL ML SYSTEMS'!E248</f>
        <v>Industry</v>
      </c>
      <c r="F248" s="323" t="str">
        <f>'ALL ML SYSTEMS'!F248</f>
        <v>François Chollet</v>
      </c>
      <c r="G248" s="324">
        <f>'ALL ML SYSTEMS'!G248</f>
        <v>42650</v>
      </c>
      <c r="H248" s="329">
        <f>'ALL ML SYSTEMS'!H248</f>
        <v>2650</v>
      </c>
      <c r="I248" s="323" t="str">
        <f>'ALL ML SYSTEMS'!I248</f>
        <v>Xception: Deep Learning with Depthwise Separable Convolutions</v>
      </c>
      <c r="J248" s="334" t="str">
        <f>'ALL ML SYSTEMS'!J248</f>
        <v>https://arxiv.org/abs/1610.02357</v>
      </c>
      <c r="K248" s="335">
        <f>'ALL ML SYSTEMS'!K248</f>
        <v>5844</v>
      </c>
      <c r="L248" s="323" t="str">
        <f>'ALL ML SYSTEMS'!L248</f>
        <v>Highly cited</v>
      </c>
      <c r="M248" s="335" t="str">
        <f>'ALL ML SYSTEMS'!M248</f>
        <v>Yes</v>
      </c>
      <c r="N248" s="335">
        <f>'ALL ML SYSTEMS'!N248</f>
        <v>22855952</v>
      </c>
      <c r="O248" s="335">
        <f>'ALL ML SYSTEMS'!O248</f>
        <v>4.362336e+19</v>
      </c>
      <c r="P248" s="336" t="str">
        <f>'ALL ML SYSTEMS'!P248</f>
        <v>JFT</v>
      </c>
      <c r="Q248" s="335">
        <f>'ALL ML SYSTEMS'!Q248</f>
        <v>350000000</v>
      </c>
      <c r="R248" s="323">
        <f>'ALL ML SYSTEMS'!R248</f>
        <v>0</v>
      </c>
      <c r="S248" s="335">
        <f>'ALL ML SYSTEMS'!S248</f>
        <v>16800000000</v>
      </c>
      <c r="T248" s="323">
        <f>'ALL ML SYSTEMS'!T248</f>
        <v>0</v>
      </c>
      <c r="U248" s="323">
        <f>'ALL ML SYSTEMS'!U248</f>
        <v>0</v>
      </c>
      <c r="V248" s="323">
        <f>'ALL ML SYSTEMS'!V248</f>
        <v>0</v>
      </c>
      <c r="W248" s="323">
        <f>'ALL ML SYSTEMS'!W248</f>
        <v>0</v>
      </c>
      <c r="X248" s="323">
        <f>'ALL ML SYSTEMS'!X248</f>
        <v>0</v>
      </c>
      <c r="Y248" s="323">
        <f>'ALL ML SYSTEMS'!Y248</f>
        <v>0</v>
      </c>
      <c r="Z248" s="323">
        <f>'ALL ML SYSTEMS'!Z248</f>
        <v>0</v>
      </c>
      <c r="AA248" s="340">
        <f>'ALL ML SYSTEMS'!AA248</f>
        <v>1961.33825417794</v>
      </c>
      <c r="AB248" s="323">
        <f>'ALL ML SYSTEMS'!AB248</f>
        <v>0</v>
      </c>
      <c r="AC248" s="323">
        <f>'ALL ML SYSTEMS'!AC248</f>
        <v>0</v>
      </c>
      <c r="AD248" s="323" t="str">
        <f>'ALL ML SYSTEMS'!AD248</f>
        <v>Industry</v>
      </c>
    </row>
    <row r="249" customHeight="1" spans="1:30">
      <c r="A249" s="325" t="str">
        <f>'ALL ML SYSTEMS'!A249</f>
        <v>Part-of-sentence tagging model</v>
      </c>
      <c r="B249" s="325" t="str">
        <f>'ALL ML SYSTEMS'!B249</f>
        <v>Language</v>
      </c>
      <c r="C249" s="325" t="str">
        <f>'ALL ML SYSTEMS'!C249</f>
        <v>POS tagging</v>
      </c>
      <c r="D249" s="325" t="str">
        <f>'ALL ML SYSTEMS'!D249</f>
        <v>University of Toronto</v>
      </c>
      <c r="E249" s="325" t="str">
        <f>'ALL ML SYSTEMS'!E249</f>
        <v>Academia</v>
      </c>
      <c r="F249" s="325" t="str">
        <f>'ALL ML SYSTEMS'!F249</f>
        <v>Jimmy Lei Ba, Jamie Ryan Kiros, and Geoffrey E Hin- ton</v>
      </c>
      <c r="G249" s="326">
        <f>'ALL ML SYSTEMS'!G249</f>
        <v>42572</v>
      </c>
      <c r="H249" s="327">
        <f>'ALL ML SYSTEMS'!H249</f>
        <v>2572</v>
      </c>
      <c r="I249" s="325" t="str">
        <f>'ALL ML SYSTEMS'!I249</f>
        <v>Layer Normalization.</v>
      </c>
      <c r="J249" s="337" t="str">
        <f>'ALL ML SYSTEMS'!J249</f>
        <v>https://arxiv.org/abs/1607.06450</v>
      </c>
      <c r="K249" s="338">
        <f>'ALL ML SYSTEMS'!K249</f>
        <v>4125</v>
      </c>
      <c r="L249" s="325" t="str">
        <f>'ALL ML SYSTEMS'!L249</f>
        <v>Highly cited</v>
      </c>
      <c r="M249" s="338" t="str">
        <f>'ALL ML SYSTEMS'!M249</f>
        <v>Yes</v>
      </c>
      <c r="N249" s="338">
        <f>'ALL ML SYSTEMS'!N249</f>
        <v>0</v>
      </c>
      <c r="O249" s="338">
        <f>'ALL ML SYSTEMS'!O249</f>
        <v>1.454112e+17</v>
      </c>
      <c r="P249" s="339">
        <f>'ALL ML SYSTEMS'!P249</f>
        <v>0</v>
      </c>
      <c r="Q249" s="338">
        <f>'ALL ML SYSTEMS'!Q249</f>
        <v>0</v>
      </c>
      <c r="R249" s="325">
        <f>'ALL ML SYSTEMS'!R249</f>
        <v>0</v>
      </c>
      <c r="S249" s="338">
        <f>'ALL ML SYSTEMS'!S249</f>
        <v>0</v>
      </c>
      <c r="T249" s="325">
        <f>'ALL ML SYSTEMS'!T249</f>
        <v>0</v>
      </c>
      <c r="U249" s="325">
        <f>'ALL ML SYSTEMS'!U249</f>
        <v>12</v>
      </c>
      <c r="V249" s="325">
        <f>'ALL ML SYSTEMS'!V249</f>
        <v>0</v>
      </c>
      <c r="W249" s="325">
        <f>'ALL ML SYSTEMS'!W249</f>
        <v>0</v>
      </c>
      <c r="X249" s="325">
        <f>'ALL ML SYSTEMS'!X249</f>
        <v>0</v>
      </c>
      <c r="Y249" s="325">
        <f>'ALL ML SYSTEMS'!Y249</f>
        <v>0</v>
      </c>
      <c r="Z249" s="325">
        <f>'ALL ML SYSTEMS'!Z249</f>
        <v>0</v>
      </c>
      <c r="AA249" s="341">
        <f>'ALL ML SYSTEMS'!AA249</f>
        <v>0.96778739473914</v>
      </c>
      <c r="AB249" s="325">
        <f>'ALL ML SYSTEMS'!AB249</f>
        <v>0</v>
      </c>
      <c r="AC249" s="325">
        <f>'ALL ML SYSTEMS'!AC249</f>
        <v>0</v>
      </c>
      <c r="AD249" s="325" t="str">
        <f>'ALL ML SYSTEMS'!AD249</f>
        <v>Academia</v>
      </c>
    </row>
    <row r="250" customHeight="1" spans="1:30">
      <c r="A250" s="323" t="str">
        <f>'ALL ML SYSTEMS'!A250</f>
        <v>Named Entity Recognition model</v>
      </c>
      <c r="B250" s="323" t="str">
        <f>'ALL ML SYSTEMS'!B250</f>
        <v>Language</v>
      </c>
      <c r="C250" s="323" t="str">
        <f>'ALL ML SYSTEMS'!C250</f>
        <v>Named Entity Recognition model</v>
      </c>
      <c r="D250" s="323" t="str">
        <f>'ALL ML SYSTEMS'!D250</f>
        <v>University of Toronto</v>
      </c>
      <c r="E250" s="323" t="str">
        <f>'ALL ML SYSTEMS'!E250</f>
        <v>Academia</v>
      </c>
      <c r="F250" s="323" t="str">
        <f>'ALL ML SYSTEMS'!F250</f>
        <v>Jimmy Lei Ba, Jamie Ryan Kiros, and Geoffrey E Hin- ton</v>
      </c>
      <c r="G250" s="324">
        <f>'ALL ML SYSTEMS'!G250</f>
        <v>42572</v>
      </c>
      <c r="H250" s="329">
        <f>'ALL ML SYSTEMS'!H250</f>
        <v>2572</v>
      </c>
      <c r="I250" s="323" t="str">
        <f>'ALL ML SYSTEMS'!I250</f>
        <v>Layer Normalization</v>
      </c>
      <c r="J250" s="334" t="str">
        <f>'ALL ML SYSTEMS'!J250</f>
        <v>https://arxiv.org/abs/1607.06450</v>
      </c>
      <c r="K250" s="335">
        <f>'ALL ML SYSTEMS'!K250</f>
        <v>4125</v>
      </c>
      <c r="L250" s="323" t="str">
        <f>'ALL ML SYSTEMS'!L250</f>
        <v>Highly cited</v>
      </c>
      <c r="M250" s="335" t="str">
        <f>'ALL ML SYSTEMS'!M250</f>
        <v>Yes</v>
      </c>
      <c r="N250" s="335">
        <f>'ALL ML SYSTEMS'!N250</f>
        <v>0</v>
      </c>
      <c r="O250" s="335">
        <f>'ALL ML SYSTEMS'!O250</f>
        <v>9.69408e+16</v>
      </c>
      <c r="P250" s="336">
        <f>'ALL ML SYSTEMS'!P250</f>
        <v>0</v>
      </c>
      <c r="Q250" s="335">
        <f>'ALL ML SYSTEMS'!Q250</f>
        <v>0</v>
      </c>
      <c r="R250" s="323">
        <f>'ALL ML SYSTEMS'!R250</f>
        <v>0</v>
      </c>
      <c r="S250" s="335">
        <f>'ALL ML SYSTEMS'!S250</f>
        <v>0</v>
      </c>
      <c r="T250" s="323">
        <f>'ALL ML SYSTEMS'!T250</f>
        <v>0</v>
      </c>
      <c r="U250" s="323">
        <f>'ALL ML SYSTEMS'!U250</f>
        <v>8</v>
      </c>
      <c r="V250" s="323">
        <f>'ALL ML SYSTEMS'!V250</f>
        <v>0</v>
      </c>
      <c r="W250" s="323">
        <f>'ALL ML SYSTEMS'!W250</f>
        <v>0</v>
      </c>
      <c r="X250" s="323">
        <f>'ALL ML SYSTEMS'!X250</f>
        <v>0</v>
      </c>
      <c r="Y250" s="323">
        <f>'ALL ML SYSTEMS'!Y250</f>
        <v>0</v>
      </c>
      <c r="Z250" s="323">
        <f>'ALL ML SYSTEMS'!Z250</f>
        <v>0</v>
      </c>
      <c r="AA250" s="340">
        <f>'ALL ML SYSTEMS'!AA250</f>
        <v>0.625835848597977</v>
      </c>
      <c r="AB250" s="323">
        <f>'ALL ML SYSTEMS'!AB250</f>
        <v>0</v>
      </c>
      <c r="AC250" s="323">
        <f>'ALL ML SYSTEMS'!AC250</f>
        <v>0</v>
      </c>
      <c r="AD250" s="323" t="str">
        <f>'ALL ML SYSTEMS'!AD250</f>
        <v>Academia</v>
      </c>
    </row>
    <row r="251" customHeight="1" spans="1:30">
      <c r="A251" s="325" t="str">
        <f>'ALL ML SYSTEMS'!A251</f>
        <v>R-FCN</v>
      </c>
      <c r="B251" s="325" t="str">
        <f>'ALL ML SYSTEMS'!B251</f>
        <v>Vision</v>
      </c>
      <c r="C251" s="325" t="str">
        <f>'ALL ML SYSTEMS'!C251</f>
        <v>Object detection</v>
      </c>
      <c r="D251" s="325" t="str">
        <f>'ALL ML SYSTEMS'!D251</f>
        <v>Microsoft research, Tsinghua university</v>
      </c>
      <c r="E251" s="325" t="str">
        <f>'ALL ML SYSTEMS'!E251</f>
        <v>Industry - Academia Collaboration (Industry leaning)</v>
      </c>
      <c r="F251" s="325" t="str">
        <f>'ALL ML SYSTEMS'!F251</f>
        <v>Jifeng Dai, Y. Li, Kaiming He, and Jian Sun</v>
      </c>
      <c r="G251" s="326">
        <f>'ALL ML SYSTEMS'!G251</f>
        <v>42542</v>
      </c>
      <c r="H251" s="327">
        <f>'ALL ML SYSTEMS'!H251</f>
        <v>2542</v>
      </c>
      <c r="I251" s="325" t="str">
        <f>'ALL ML SYSTEMS'!I251</f>
        <v>R-fcn: Object detection via region-based fully convolutional networks.</v>
      </c>
      <c r="J251" s="337" t="str">
        <f>'ALL ML SYSTEMS'!J251</f>
        <v>https://arxiv.org/abs/1605.06409</v>
      </c>
      <c r="K251" s="338">
        <f>'ALL ML SYSTEMS'!K251</f>
        <v>4492</v>
      </c>
      <c r="L251" s="325" t="str">
        <f>'ALL ML SYSTEMS'!L251</f>
        <v>Highly cited</v>
      </c>
      <c r="M251" s="338" t="str">
        <f>'ALL ML SYSTEMS'!M251</f>
        <v>Yes</v>
      </c>
      <c r="N251" s="338">
        <f>'ALL ML SYSTEMS'!N251</f>
        <v>0</v>
      </c>
      <c r="O251" s="338">
        <f>'ALL ML SYSTEMS'!O251</f>
        <v>6.1492939794e+16</v>
      </c>
      <c r="P251" s="339" t="str">
        <f>'ALL ML SYSTEMS'!P251</f>
        <v>PASCAL VOC (2007 and 2012 vesrions) + MS COCO</v>
      </c>
      <c r="Q251" s="338">
        <f>'ALL ML SYSTEMS'!Q251</f>
        <v>94427</v>
      </c>
      <c r="R251" s="325">
        <f>'ALL ML SYSTEMS'!R251</f>
        <v>0</v>
      </c>
      <c r="S251" s="338">
        <f>'ALL ML SYSTEMS'!S251</f>
        <v>0</v>
      </c>
      <c r="T251" s="325">
        <f>'ALL ML SYSTEMS'!T251</f>
        <v>0</v>
      </c>
      <c r="U251" s="325">
        <f>'ALL ML SYSTEMS'!U251</f>
        <v>12.0656722222222</v>
      </c>
      <c r="V251" s="325">
        <f>'ALL ML SYSTEMS'!V251</f>
        <v>170</v>
      </c>
      <c r="W251" s="325">
        <f>'ALL ML SYSTEMS'!W251</f>
        <v>0</v>
      </c>
      <c r="X251" s="325">
        <f>'ALL ML SYSTEMS'!X251</f>
        <v>0</v>
      </c>
      <c r="Y251" s="325">
        <f>'ALL ML SYSTEMS'!Y251</f>
        <v>0</v>
      </c>
      <c r="Z251" s="325">
        <f>'ALL ML SYSTEMS'!Z251</f>
        <v>0</v>
      </c>
      <c r="AA251" s="341">
        <f>'ALL ML SYSTEMS'!AA251</f>
        <v>5.50580435006535</v>
      </c>
      <c r="AB251" s="325">
        <f>'ALL ML SYSTEMS'!AB251</f>
        <v>0</v>
      </c>
      <c r="AC251" s="325">
        <f>'ALL ML SYSTEMS'!AC251</f>
        <v>0</v>
      </c>
      <c r="AD251" s="325" t="str">
        <f>'ALL ML SYSTEMS'!AD251</f>
        <v>Industry</v>
      </c>
    </row>
    <row r="252" customHeight="1" spans="1:30">
      <c r="A252" s="323">
        <f>'ALL ML SYSTEMS'!A252</f>
        <v>0</v>
      </c>
      <c r="B252" s="323" t="str">
        <f>'ALL ML SYSTEMS'!B252</f>
        <v>Vision</v>
      </c>
      <c r="C252" s="323" t="str">
        <f>'ALL ML SYSTEMS'!C252</f>
        <v>Pose estimation</v>
      </c>
      <c r="D252" s="323" t="str">
        <f>'ALL ML SYSTEMS'!D252</f>
        <v>The Robotics Institute, Carnegie Mellon University</v>
      </c>
      <c r="E252" s="323" t="str">
        <f>'ALL ML SYSTEMS'!E252</f>
        <v>Academia</v>
      </c>
      <c r="F252" s="323" t="str">
        <f>'ALL ML SYSTEMS'!F252</f>
        <v>Shih-En Wei, Varun Ramakrishna, Takeo Kanade, Yaser Sheikh</v>
      </c>
      <c r="G252" s="324">
        <f>'ALL ML SYSTEMS'!G252</f>
        <v>42399</v>
      </c>
      <c r="H252" s="329">
        <f>'ALL ML SYSTEMS'!H252</f>
        <v>2399</v>
      </c>
      <c r="I252" s="323" t="str">
        <f>'ALL ML SYSTEMS'!I252</f>
        <v>Convolutional Pose Machines</v>
      </c>
      <c r="J252" s="334" t="str">
        <f>'ALL ML SYSTEMS'!J252</f>
        <v>https://arxiv.org/abs/1602.00134</v>
      </c>
      <c r="K252" s="335">
        <f>'ALL ML SYSTEMS'!K252</f>
        <v>2417</v>
      </c>
      <c r="L252" s="323" t="str">
        <f>'ALL ML SYSTEMS'!L252</f>
        <v>Highly cited</v>
      </c>
      <c r="M252" s="335" t="str">
        <f>'ALL ML SYSTEMS'!M252</f>
        <v>Yes</v>
      </c>
      <c r="N252" s="335">
        <f>'ALL ML SYSTEMS'!N252</f>
        <v>0</v>
      </c>
      <c r="O252" s="335">
        <f>'ALL ML SYSTEMS'!O252</f>
        <v>0</v>
      </c>
      <c r="P252" s="336">
        <f>'ALL ML SYSTEMS'!P252</f>
        <v>0</v>
      </c>
      <c r="Q252" s="335">
        <f>'ALL ML SYSTEMS'!Q252</f>
        <v>0</v>
      </c>
      <c r="R252" s="323">
        <f>'ALL ML SYSTEMS'!R252</f>
        <v>0</v>
      </c>
      <c r="S252" s="335">
        <f>'ALL ML SYSTEMS'!S252</f>
        <v>0</v>
      </c>
      <c r="T252" s="323">
        <f>'ALL ML SYSTEMS'!T252</f>
        <v>0</v>
      </c>
      <c r="U252" s="323">
        <f>'ALL ML SYSTEMS'!U252</f>
        <v>0</v>
      </c>
      <c r="V252" s="323">
        <f>'ALL ML SYSTEMS'!V252</f>
        <v>0</v>
      </c>
      <c r="W252" s="323">
        <f>'ALL ML SYSTEMS'!W252</f>
        <v>0</v>
      </c>
      <c r="X252" s="323">
        <f>'ALL ML SYSTEMS'!X252</f>
        <v>0</v>
      </c>
      <c r="Y252" s="323">
        <f>'ALL ML SYSTEMS'!Y252</f>
        <v>0</v>
      </c>
      <c r="Z252" s="323">
        <f>'ALL ML SYSTEMS'!Z252</f>
        <v>0</v>
      </c>
      <c r="AA252" s="340" t="str">
        <f>'ALL ML SYSTEMS'!AA252</f>
        <v/>
      </c>
      <c r="AB252" s="323">
        <f>'ALL ML SYSTEMS'!AB252</f>
        <v>0</v>
      </c>
      <c r="AC252" s="323">
        <f>'ALL ML SYSTEMS'!AC252</f>
        <v>0</v>
      </c>
      <c r="AD252" s="323" t="str">
        <f>'ALL ML SYSTEMS'!AD252</f>
        <v>Academia</v>
      </c>
    </row>
    <row r="253" customHeight="1" spans="1:30">
      <c r="A253" s="325" t="str">
        <f>'ALL ML SYSTEMS'!A253</f>
        <v>A3C FF hs</v>
      </c>
      <c r="B253" s="325" t="str">
        <f>'ALL ML SYSTEMS'!B253</f>
        <v>Games</v>
      </c>
      <c r="C253" s="325" t="str">
        <f>'ALL ML SYSTEMS'!C253</f>
        <v>Atari Games</v>
      </c>
      <c r="D253" s="325" t="str">
        <f>'ALL ML SYSTEMS'!D253</f>
        <v>Google, University of Montreal</v>
      </c>
      <c r="E253" s="325" t="str">
        <f>'ALL ML SYSTEMS'!E253</f>
        <v>Industry - Academia Collaboration (Industry leaning)</v>
      </c>
      <c r="F253" s="325" t="str">
        <f>'ALL ML SYSTEMS'!F253</f>
        <v>V Mnih, AP Badia, M Mirza, A Graves</v>
      </c>
      <c r="G253" s="326">
        <f>'ALL ML SYSTEMS'!G253</f>
        <v>42404</v>
      </c>
      <c r="H253" s="327">
        <f>'ALL ML SYSTEMS'!H253</f>
        <v>2404</v>
      </c>
      <c r="I253" s="325" t="str">
        <f>'ALL ML SYSTEMS'!I253</f>
        <v>Asynchronous Methods for Deep Reinforcement Learning</v>
      </c>
      <c r="J253" s="337" t="str">
        <f>'ALL ML SYSTEMS'!J253</f>
        <v>http://arxiv.org/abs/1602.01783v2</v>
      </c>
      <c r="K253" s="338">
        <f>'ALL ML SYSTEMS'!K253</f>
        <v>5284</v>
      </c>
      <c r="L253" s="325" t="str">
        <f>'ALL ML SYSTEMS'!L253</f>
        <v>SOTA improvement</v>
      </c>
      <c r="M253" s="338" t="str">
        <f>'ALL ML SYSTEMS'!M253</f>
        <v>Yes</v>
      </c>
      <c r="N253" s="338">
        <f>'ALL ML SYSTEMS'!N253</f>
        <v>0</v>
      </c>
      <c r="O253" s="338">
        <f>'ALL ML SYSTEMS'!O253</f>
        <v>0</v>
      </c>
      <c r="P253" s="339">
        <f>'ALL ML SYSTEMS'!P253</f>
        <v>0</v>
      </c>
      <c r="Q253" s="338">
        <f>'ALL ML SYSTEMS'!Q253</f>
        <v>0</v>
      </c>
      <c r="R253" s="325">
        <f>'ALL ML SYSTEMS'!R253</f>
        <v>0</v>
      </c>
      <c r="S253" s="338">
        <f>'ALL ML SYSTEMS'!S253</f>
        <v>0</v>
      </c>
      <c r="T253" s="325">
        <f>'ALL ML SYSTEMS'!T253</f>
        <v>0</v>
      </c>
      <c r="U253" s="325">
        <f>'ALL ML SYSTEMS'!U253</f>
        <v>0</v>
      </c>
      <c r="V253" s="325">
        <f>'ALL ML SYSTEMS'!V253</f>
        <v>0</v>
      </c>
      <c r="W253" s="325">
        <f>'ALL ML SYSTEMS'!W253</f>
        <v>0</v>
      </c>
      <c r="X253" s="325">
        <f>'ALL ML SYSTEMS'!X253</f>
        <v>0</v>
      </c>
      <c r="Y253" s="325">
        <f>'ALL ML SYSTEMS'!Y253</f>
        <v>0</v>
      </c>
      <c r="Z253" s="325">
        <f>'ALL ML SYSTEMS'!Z253</f>
        <v>0</v>
      </c>
      <c r="AA253" s="341" t="str">
        <f>'ALL ML SYSTEMS'!AA253</f>
        <v/>
      </c>
      <c r="AB253" s="325">
        <f>'ALL ML SYSTEMS'!AB253</f>
        <v>0</v>
      </c>
      <c r="AC253" s="325">
        <f>'ALL ML SYSTEMS'!AC253</f>
        <v>0</v>
      </c>
      <c r="AD253" s="325" t="str">
        <f>'ALL ML SYSTEMS'!AD253</f>
        <v>Industry</v>
      </c>
    </row>
    <row r="254" customHeight="1" spans="1:30">
      <c r="A254" s="323" t="str">
        <f>'ALL ML SYSTEMS'!A254</f>
        <v>Inceptionv4</v>
      </c>
      <c r="B254" s="323" t="str">
        <f>'ALL ML SYSTEMS'!B254</f>
        <v>Vision</v>
      </c>
      <c r="C254" s="323" t="str">
        <f>'ALL ML SYSTEMS'!C254</f>
        <v>Image classification</v>
      </c>
      <c r="D254" s="323" t="str">
        <f>'ALL ML SYSTEMS'!D254</f>
        <v>Google</v>
      </c>
      <c r="E254" s="323" t="str">
        <f>'ALL ML SYSTEMS'!E254</f>
        <v>Industry</v>
      </c>
      <c r="F254" s="323" t="str">
        <f>'ALL ML SYSTEMS'!F254</f>
        <v>Christian Szegedy, Sergey Ioffe, Vincent Vanhoucke, Alex Alemi</v>
      </c>
      <c r="G254" s="324">
        <f>'ALL ML SYSTEMS'!G254</f>
        <v>42423</v>
      </c>
      <c r="H254" s="329">
        <f>'ALL ML SYSTEMS'!H254</f>
        <v>2423</v>
      </c>
      <c r="I254" s="323" t="str">
        <f>'ALL ML SYSTEMS'!I254</f>
        <v>Inception-v4, Inception-ResNet and the Impact of Residual Connections on Learning</v>
      </c>
      <c r="J254" s="334" t="str">
        <f>'ALL ML SYSTEMS'!J254</f>
        <v>https://arxiv.org/abs/1602.07261</v>
      </c>
      <c r="K254" s="335">
        <f>'ALL ML SYSTEMS'!K254</f>
        <v>8213</v>
      </c>
      <c r="L254" s="323" t="str">
        <f>'ALL ML SYSTEMS'!L254</f>
        <v>Highly cited</v>
      </c>
      <c r="M254" s="335" t="str">
        <f>'ALL ML SYSTEMS'!M254</f>
        <v>Yes</v>
      </c>
      <c r="N254" s="335">
        <f>'ALL ML SYSTEMS'!N254</f>
        <v>43000000</v>
      </c>
      <c r="O254" s="335">
        <f>'ALL ML SYSTEMS'!O254</f>
        <v>0</v>
      </c>
      <c r="P254" s="336">
        <f>'ALL ML SYSTEMS'!P254</f>
        <v>0</v>
      </c>
      <c r="Q254" s="335">
        <f>'ALL ML SYSTEMS'!Q254</f>
        <v>0</v>
      </c>
      <c r="R254" s="323">
        <f>'ALL ML SYSTEMS'!R254</f>
        <v>0</v>
      </c>
      <c r="S254" s="335">
        <f>'ALL ML SYSTEMS'!S254</f>
        <v>24600000000</v>
      </c>
      <c r="T254" s="323">
        <f>'ALL ML SYSTEMS'!T254</f>
        <v>0</v>
      </c>
      <c r="U254" s="323">
        <f>'ALL ML SYSTEMS'!U254</f>
        <v>0</v>
      </c>
      <c r="V254" s="323">
        <f>'ALL ML SYSTEMS'!V254</f>
        <v>0</v>
      </c>
      <c r="W254" s="323">
        <f>'ALL ML SYSTEMS'!W254</f>
        <v>0</v>
      </c>
      <c r="X254" s="323">
        <f>'ALL ML SYSTEMS'!X254</f>
        <v>0</v>
      </c>
      <c r="Y254" s="323">
        <f>'ALL ML SYSTEMS'!Y254</f>
        <v>0</v>
      </c>
      <c r="Z254" s="323">
        <f>'ALL ML SYSTEMS'!Z254</f>
        <v>0</v>
      </c>
      <c r="AA254" s="340" t="str">
        <f>'ALL ML SYSTEMS'!AA254</f>
        <v/>
      </c>
      <c r="AB254" s="323">
        <f>'ALL ML SYSTEMS'!AB254</f>
        <v>0</v>
      </c>
      <c r="AC254" s="323">
        <f>'ALL ML SYSTEMS'!AC254</f>
        <v>0</v>
      </c>
      <c r="AD254" s="323" t="str">
        <f>'ALL ML SYSTEMS'!AD254</f>
        <v>Industry</v>
      </c>
    </row>
    <row r="255" customHeight="1" spans="1:30">
      <c r="A255" s="325" t="str">
        <f>'ALL ML SYSTEMS'!A255</f>
        <v>Inception-ResNet-V2</v>
      </c>
      <c r="B255" s="325" t="str">
        <f>'ALL ML SYSTEMS'!B255</f>
        <v>Vision</v>
      </c>
      <c r="C255" s="325" t="str">
        <f>'ALL ML SYSTEMS'!C255</f>
        <v>Image classification</v>
      </c>
      <c r="D255" s="325" t="str">
        <f>'ALL ML SYSTEMS'!D255</f>
        <v>Google</v>
      </c>
      <c r="E255" s="325" t="str">
        <f>'ALL ML SYSTEMS'!E255</f>
        <v>Industry</v>
      </c>
      <c r="F255" s="325" t="str">
        <f>'ALL ML SYSTEMS'!F255</f>
        <v>Christian Szegedy, Sergey Ioffe, Vincent Vanhoucke, Alex Alemi</v>
      </c>
      <c r="G255" s="326">
        <f>'ALL ML SYSTEMS'!G255</f>
        <v>42423</v>
      </c>
      <c r="H255" s="327">
        <f>'ALL ML SYSTEMS'!H255</f>
        <v>2423</v>
      </c>
      <c r="I255" s="325" t="str">
        <f>'ALL ML SYSTEMS'!I255</f>
        <v>Inception-v4, Inception-ResNet and the Impact of Residual Connections on Learning</v>
      </c>
      <c r="J255" s="337" t="str">
        <f>'ALL ML SYSTEMS'!J255</f>
        <v>https://arxiv.org/abs/1602.07261</v>
      </c>
      <c r="K255" s="338">
        <f>'ALL ML SYSTEMS'!K255</f>
        <v>8213</v>
      </c>
      <c r="L255" s="325" t="str">
        <f>'ALL ML SYSTEMS'!L255</f>
        <v>Highly cited</v>
      </c>
      <c r="M255" s="338" t="str">
        <f>'ALL ML SYSTEMS'!M255</f>
        <v>Yes</v>
      </c>
      <c r="N255" s="338">
        <f>'ALL ML SYSTEMS'!N255</f>
        <v>56000000</v>
      </c>
      <c r="O255" s="338">
        <f>'ALL ML SYSTEMS'!O255</f>
        <v>0</v>
      </c>
      <c r="P255" s="339">
        <f>'ALL ML SYSTEMS'!P255</f>
        <v>0</v>
      </c>
      <c r="Q255" s="338">
        <f>'ALL ML SYSTEMS'!Q255</f>
        <v>0</v>
      </c>
      <c r="R255" s="325">
        <f>'ALL ML SYSTEMS'!R255</f>
        <v>0</v>
      </c>
      <c r="S255" s="338">
        <f>'ALL ML SYSTEMS'!S255</f>
        <v>2638000000</v>
      </c>
      <c r="T255" s="325">
        <f>'ALL ML SYSTEMS'!T255</f>
        <v>0</v>
      </c>
      <c r="U255" s="325">
        <f>'ALL ML SYSTEMS'!U255</f>
        <v>0</v>
      </c>
      <c r="V255" s="325">
        <f>'ALL ML SYSTEMS'!V255</f>
        <v>0</v>
      </c>
      <c r="W255" s="325">
        <f>'ALL ML SYSTEMS'!W255</f>
        <v>0</v>
      </c>
      <c r="X255" s="325">
        <f>'ALL ML SYSTEMS'!X255</f>
        <v>0</v>
      </c>
      <c r="Y255" s="325">
        <f>'ALL ML SYSTEMS'!Y255</f>
        <v>0</v>
      </c>
      <c r="Z255" s="325">
        <f>'ALL ML SYSTEMS'!Z255</f>
        <v>0</v>
      </c>
      <c r="AA255" s="341" t="str">
        <f>'ALL ML SYSTEMS'!AA255</f>
        <v/>
      </c>
      <c r="AB255" s="325">
        <f>'ALL ML SYSTEMS'!AB255</f>
        <v>0</v>
      </c>
      <c r="AC255" s="325">
        <f>'ALL ML SYSTEMS'!AC255</f>
        <v>0</v>
      </c>
      <c r="AD255" s="325" t="str">
        <f>'ALL ML SYSTEMS'!AD255</f>
        <v>Industry</v>
      </c>
    </row>
    <row r="256" customHeight="1" spans="1:30">
      <c r="A256" s="323" t="str">
        <f>'ALL ML SYSTEMS'!A256</f>
        <v>SqueezeNet</v>
      </c>
      <c r="B256" s="323" t="str">
        <f>'ALL ML SYSTEMS'!B256</f>
        <v>Vision</v>
      </c>
      <c r="C256" s="323" t="str">
        <f>'ALL ML SYSTEMS'!C256</f>
        <v>Image classification</v>
      </c>
      <c r="D256" s="323" t="str">
        <f>'ALL ML SYSTEMS'!D256</f>
        <v>DeepScale, UC Berkeley, Stanford</v>
      </c>
      <c r="E256" s="323" t="str">
        <f>'ALL ML SYSTEMS'!E256</f>
        <v>Industry - Academia Collaboration</v>
      </c>
      <c r="F256" s="323" t="str">
        <f>'ALL ML SYSTEMS'!F256</f>
        <v>Forrest N. Iandola, Song Han, Matthew W. Moskewicz, Khalid Ashraf, William J. Dally, Kurt Keutzer</v>
      </c>
      <c r="G256" s="324">
        <f>'ALL ML SYSTEMS'!G256</f>
        <v>42424</v>
      </c>
      <c r="H256" s="329">
        <f>'ALL ML SYSTEMS'!H256</f>
        <v>2424</v>
      </c>
      <c r="I256" s="323" t="str">
        <f>'ALL ML SYSTEMS'!I256</f>
        <v>SqueezeNet: AlexNet-level accuracy with 50x fewer parameters and &lt;0.5MB model size</v>
      </c>
      <c r="J256" s="334" t="str">
        <f>'ALL ML SYSTEMS'!J256</f>
        <v>https://arxiv.org/abs/1602.07360</v>
      </c>
      <c r="K256" s="335">
        <f>'ALL ML SYSTEMS'!K256</f>
        <v>4396</v>
      </c>
      <c r="L256" s="323" t="str">
        <f>'ALL ML SYSTEMS'!L256</f>
        <v>Highly cited</v>
      </c>
      <c r="M256" s="335" t="str">
        <f>'ALL ML SYSTEMS'!M256</f>
        <v>Yes</v>
      </c>
      <c r="N256" s="335">
        <f>'ALL ML SYSTEMS'!N256</f>
        <v>1200000</v>
      </c>
      <c r="O256" s="335">
        <f>'ALL ML SYSTEMS'!O256</f>
        <v>0</v>
      </c>
      <c r="P256" s="336">
        <f>'ALL ML SYSTEMS'!P256</f>
        <v>0</v>
      </c>
      <c r="Q256" s="335">
        <f>'ALL ML SYSTEMS'!Q256</f>
        <v>0</v>
      </c>
      <c r="R256" s="323">
        <f>'ALL ML SYSTEMS'!R256</f>
        <v>0</v>
      </c>
      <c r="S256" s="335">
        <f>'ALL ML SYSTEMS'!S256</f>
        <v>0</v>
      </c>
      <c r="T256" s="323">
        <f>'ALL ML SYSTEMS'!T256</f>
        <v>0</v>
      </c>
      <c r="U256" s="323">
        <f>'ALL ML SYSTEMS'!U256</f>
        <v>0</v>
      </c>
      <c r="V256" s="323">
        <f>'ALL ML SYSTEMS'!V256</f>
        <v>0</v>
      </c>
      <c r="W256" s="323">
        <f>'ALL ML SYSTEMS'!W256</f>
        <v>0</v>
      </c>
      <c r="X256" s="323">
        <f>'ALL ML SYSTEMS'!X256</f>
        <v>0</v>
      </c>
      <c r="Y256" s="323">
        <f>'ALL ML SYSTEMS'!Y256</f>
        <v>0</v>
      </c>
      <c r="Z256" s="323">
        <f>'ALL ML SYSTEMS'!Z256</f>
        <v>0</v>
      </c>
      <c r="AA256" s="340" t="str">
        <f>'ALL ML SYSTEMS'!AA256</f>
        <v/>
      </c>
      <c r="AB256" s="323">
        <f>'ALL ML SYSTEMS'!AB256</f>
        <v>0</v>
      </c>
      <c r="AC256" s="323">
        <f>'ALL ML SYSTEMS'!AC256</f>
        <v>0</v>
      </c>
      <c r="AD256" s="323" t="str">
        <f>'ALL ML SYSTEMS'!AD256</f>
        <v>Industry</v>
      </c>
    </row>
    <row r="257" customHeight="1" spans="1:30">
      <c r="A257" s="325">
        <f>'ALL ML SYSTEMS'!A257</f>
        <v>0</v>
      </c>
      <c r="B257" s="325" t="str">
        <f>'ALL ML SYSTEMS'!B257</f>
        <v>Vision</v>
      </c>
      <c r="C257" s="325" t="str">
        <f>'ALL ML SYSTEMS'!C257</f>
        <v>Image super-resolution</v>
      </c>
      <c r="D257" s="325" t="str">
        <f>'ALL ML SYSTEMS'!D257</f>
        <v>Nanjing University, University of Adelaide</v>
      </c>
      <c r="E257" s="325" t="str">
        <f>'ALL ML SYSTEMS'!E257</f>
        <v>Academia</v>
      </c>
      <c r="F257" s="325" t="str">
        <f>'ALL ML SYSTEMS'!F257</f>
        <v>Xiao-Jiao Mao, Chunhua Shen, Yu-Bin Yang</v>
      </c>
      <c r="G257" s="326">
        <f>'ALL ML SYSTEMS'!G257</f>
        <v>42459</v>
      </c>
      <c r="H257" s="327">
        <f>'ALL ML SYSTEMS'!H257</f>
        <v>2459</v>
      </c>
      <c r="I257" s="325" t="str">
        <f>'ALL ML SYSTEMS'!I257</f>
        <v>Image Restoration Using Very Deep Convolutional Encoder-Decoder Networks with Symmetric Skip Connections</v>
      </c>
      <c r="J257" s="337" t="str">
        <f>'ALL ML SYSTEMS'!J257</f>
        <v>https://arxiv.org/abs/1603.09056v2</v>
      </c>
      <c r="K257" s="338">
        <f>'ALL ML SYSTEMS'!K257</f>
        <v>1184</v>
      </c>
      <c r="L257" s="325" t="str">
        <f>'ALL ML SYSTEMS'!L257</f>
        <v>Highly cited</v>
      </c>
      <c r="M257" s="338" t="str">
        <f>'ALL ML SYSTEMS'!M257</f>
        <v>Yes</v>
      </c>
      <c r="N257" s="338">
        <f>'ALL ML SYSTEMS'!N257</f>
        <v>0</v>
      </c>
      <c r="O257" s="338">
        <f>'ALL ML SYSTEMS'!O257</f>
        <v>0</v>
      </c>
      <c r="P257" s="339">
        <f>'ALL ML SYSTEMS'!P257</f>
        <v>0</v>
      </c>
      <c r="Q257" s="338">
        <f>'ALL ML SYSTEMS'!Q257</f>
        <v>0</v>
      </c>
      <c r="R257" s="325">
        <f>'ALL ML SYSTEMS'!R257</f>
        <v>0</v>
      </c>
      <c r="S257" s="338">
        <f>'ALL ML SYSTEMS'!S257</f>
        <v>0</v>
      </c>
      <c r="T257" s="325">
        <f>'ALL ML SYSTEMS'!T257</f>
        <v>0</v>
      </c>
      <c r="U257" s="325">
        <f>'ALL ML SYSTEMS'!U257</f>
        <v>0</v>
      </c>
      <c r="V257" s="325">
        <f>'ALL ML SYSTEMS'!V257</f>
        <v>0</v>
      </c>
      <c r="W257" s="325">
        <f>'ALL ML SYSTEMS'!W257</f>
        <v>0</v>
      </c>
      <c r="X257" s="325">
        <f>'ALL ML SYSTEMS'!X257</f>
        <v>0</v>
      </c>
      <c r="Y257" s="325">
        <f>'ALL ML SYSTEMS'!Y257</f>
        <v>0</v>
      </c>
      <c r="Z257" s="325">
        <f>'ALL ML SYSTEMS'!Z257</f>
        <v>0</v>
      </c>
      <c r="AA257" s="341" t="str">
        <f>'ALL ML SYSTEMS'!AA257</f>
        <v/>
      </c>
      <c r="AB257" s="325">
        <f>'ALL ML SYSTEMS'!AB257</f>
        <v>0</v>
      </c>
      <c r="AC257" s="325">
        <f>'ALL ML SYSTEMS'!AC257</f>
        <v>0</v>
      </c>
      <c r="AD257" s="325" t="str">
        <f>'ALL ML SYSTEMS'!AD257</f>
        <v>Academia</v>
      </c>
    </row>
    <row r="258" customHeight="1" spans="1:30">
      <c r="A258" s="323">
        <f>'ALL ML SYSTEMS'!A258</f>
        <v>0</v>
      </c>
      <c r="B258" s="323" t="str">
        <f>'ALL ML SYSTEMS'!B258</f>
        <v>Vision</v>
      </c>
      <c r="C258" s="323" t="str">
        <f>'ALL ML SYSTEMS'!C258</f>
        <v>Video</v>
      </c>
      <c r="D258" s="323" t="str">
        <f>'ALL ML SYSTEMS'!D258</f>
        <v>Graz University of Technology, University of Oxford</v>
      </c>
      <c r="E258" s="323" t="str">
        <f>'ALL ML SYSTEMS'!E258</f>
        <v>Academia</v>
      </c>
      <c r="F258" s="323" t="str">
        <f>'ALL ML SYSTEMS'!F258</f>
        <v>Christoph Feichtenhofer, Axel Pinz, Andrew Zisserman</v>
      </c>
      <c r="G258" s="324">
        <f>'ALL ML SYSTEMS'!G258</f>
        <v>42522</v>
      </c>
      <c r="H258" s="329">
        <f>'ALL ML SYSTEMS'!H258</f>
        <v>2522</v>
      </c>
      <c r="I258" s="323" t="str">
        <f>'ALL ML SYSTEMS'!I258</f>
        <v>Convolutional Two-Stream Network Fusion for Video Action Recognition</v>
      </c>
      <c r="J258" s="334" t="str">
        <f>'ALL ML SYSTEMS'!J258</f>
        <v>https://openaccess.thecvf.com/content_cvpr_2016/html/Feichtenhofer_Convolutional_Two-Stream_Network_CVPR_2016_paper.html</v>
      </c>
      <c r="K258" s="335">
        <f>'ALL ML SYSTEMS'!K258</f>
        <v>2277</v>
      </c>
      <c r="L258" s="323" t="str">
        <f>'ALL ML SYSTEMS'!L258</f>
        <v>Highly cited</v>
      </c>
      <c r="M258" s="335" t="str">
        <f>'ALL ML SYSTEMS'!M258</f>
        <v>Yes</v>
      </c>
      <c r="N258" s="335">
        <f>'ALL ML SYSTEMS'!N258</f>
        <v>0</v>
      </c>
      <c r="O258" s="335">
        <f>'ALL ML SYSTEMS'!O258</f>
        <v>0</v>
      </c>
      <c r="P258" s="336" t="str">
        <f>'ALL ML SYSTEMS'!P258</f>
        <v>UCF101</v>
      </c>
      <c r="Q258" s="335">
        <f>'ALL ML SYSTEMS'!Q258</f>
        <v>97200</v>
      </c>
      <c r="R258" s="323">
        <f>'ALL ML SYSTEMS'!R258</f>
        <v>0</v>
      </c>
      <c r="S258" s="335">
        <f>'ALL ML SYSTEMS'!S258</f>
        <v>0</v>
      </c>
      <c r="T258" s="323">
        <f>'ALL ML SYSTEMS'!T258</f>
        <v>0</v>
      </c>
      <c r="U258" s="323">
        <f>'ALL ML SYSTEMS'!U258</f>
        <v>0</v>
      </c>
      <c r="V258" s="323">
        <f>'ALL ML SYSTEMS'!V258</f>
        <v>0</v>
      </c>
      <c r="W258" s="323">
        <f>'ALL ML SYSTEMS'!W258</f>
        <v>0</v>
      </c>
      <c r="X258" s="323">
        <f>'ALL ML SYSTEMS'!X258</f>
        <v>0</v>
      </c>
      <c r="Y258" s="323">
        <f>'ALL ML SYSTEMS'!Y258</f>
        <v>0</v>
      </c>
      <c r="Z258" s="323">
        <f>'ALL ML SYSTEMS'!Z258</f>
        <v>0</v>
      </c>
      <c r="AA258" s="340" t="str">
        <f>'ALL ML SYSTEMS'!AA258</f>
        <v/>
      </c>
      <c r="AB258" s="323">
        <f>'ALL ML SYSTEMS'!AB258</f>
        <v>0</v>
      </c>
      <c r="AC258" s="323">
        <f>'ALL ML SYSTEMS'!AC258</f>
        <v>0</v>
      </c>
      <c r="AD258" s="323" t="str">
        <f>'ALL ML SYSTEMS'!AD258</f>
        <v>Academia</v>
      </c>
    </row>
    <row r="259" customHeight="1" spans="1:30">
      <c r="A259" s="325" t="str">
        <f>'ALL ML SYSTEMS'!A259</f>
        <v>DMN</v>
      </c>
      <c r="B259" s="325" t="str">
        <f>'ALL ML SYSTEMS'!B259</f>
        <v>Language</v>
      </c>
      <c r="C259" s="325">
        <f>'ALL ML SYSTEMS'!C259</f>
        <v>0</v>
      </c>
      <c r="D259" s="325" t="str">
        <f>'ALL ML SYSTEMS'!D259</f>
        <v>Salesforce</v>
      </c>
      <c r="E259" s="325" t="str">
        <f>'ALL ML SYSTEMS'!E259</f>
        <v>Industry</v>
      </c>
      <c r="F259" s="325" t="str">
        <f>'ALL ML SYSTEMS'!F259</f>
        <v>Ankit Kumar, Ozan Irsoy, Peter Ondruska, Mohit Iyyer, James Bradbury, Ishaan Gulrajani, Victor Zhong, Romain Paulus, Richard Socher</v>
      </c>
      <c r="G259" s="326">
        <f>'ALL ML SYSTEMS'!G259</f>
        <v>42541</v>
      </c>
      <c r="H259" s="327">
        <f>'ALL ML SYSTEMS'!H259</f>
        <v>2541</v>
      </c>
      <c r="I259" s="325" t="str">
        <f>'ALL ML SYSTEMS'!I259</f>
        <v>Ask Me Anything: Dynamic Memory Networks for Natural Language Processing</v>
      </c>
      <c r="J259" s="337" t="str">
        <f>'ALL ML SYSTEMS'!J259</f>
        <v>https://arxiv.org/abs/1506.07285</v>
      </c>
      <c r="K259" s="338">
        <f>'ALL ML SYSTEMS'!K259</f>
        <v>1187</v>
      </c>
      <c r="L259" s="325" t="str">
        <f>'ALL ML SYSTEMS'!L259</f>
        <v>Highly cited</v>
      </c>
      <c r="M259" s="338" t="str">
        <f>'ALL ML SYSTEMS'!M259</f>
        <v>Yes</v>
      </c>
      <c r="N259" s="338">
        <f>'ALL ML SYSTEMS'!N259</f>
        <v>0</v>
      </c>
      <c r="O259" s="338">
        <f>'ALL ML SYSTEMS'!O259</f>
        <v>0</v>
      </c>
      <c r="P259" s="339">
        <f>'ALL ML SYSTEMS'!P259</f>
        <v>0</v>
      </c>
      <c r="Q259" s="338">
        <f>'ALL ML SYSTEMS'!Q259</f>
        <v>0</v>
      </c>
      <c r="R259" s="325">
        <f>'ALL ML SYSTEMS'!R259</f>
        <v>0</v>
      </c>
      <c r="S259" s="338">
        <f>'ALL ML SYSTEMS'!S259</f>
        <v>0</v>
      </c>
      <c r="T259" s="325">
        <f>'ALL ML SYSTEMS'!T259</f>
        <v>0</v>
      </c>
      <c r="U259" s="325">
        <f>'ALL ML SYSTEMS'!U259</f>
        <v>0</v>
      </c>
      <c r="V259" s="325">
        <f>'ALL ML SYSTEMS'!V259</f>
        <v>0</v>
      </c>
      <c r="W259" s="325">
        <f>'ALL ML SYSTEMS'!W259</f>
        <v>0</v>
      </c>
      <c r="X259" s="325">
        <f>'ALL ML SYSTEMS'!X259</f>
        <v>0</v>
      </c>
      <c r="Y259" s="325">
        <f>'ALL ML SYSTEMS'!Y259</f>
        <v>0</v>
      </c>
      <c r="Z259" s="325">
        <f>'ALL ML SYSTEMS'!Z259</f>
        <v>0</v>
      </c>
      <c r="AA259" s="341" t="str">
        <f>'ALL ML SYSTEMS'!AA259</f>
        <v/>
      </c>
      <c r="AB259" s="325">
        <f>'ALL ML SYSTEMS'!AB259</f>
        <v>0</v>
      </c>
      <c r="AC259" s="325">
        <f>'ALL ML SYSTEMS'!AC259</f>
        <v>0</v>
      </c>
      <c r="AD259" s="325" t="str">
        <f>'ALL ML SYSTEMS'!AD259</f>
        <v>Industry</v>
      </c>
    </row>
    <row r="260" customHeight="1" spans="1:30">
      <c r="A260" s="323">
        <f>'ALL ML SYSTEMS'!A260</f>
        <v>0</v>
      </c>
      <c r="B260" s="323" t="str">
        <f>'ALL ML SYSTEMS'!B260</f>
        <v>Recommendation</v>
      </c>
      <c r="C260" s="323">
        <f>'ALL ML SYSTEMS'!C260</f>
        <v>0</v>
      </c>
      <c r="D260" s="323" t="str">
        <f>'ALL ML SYSTEMS'!D260</f>
        <v>Google</v>
      </c>
      <c r="E260" s="323" t="str">
        <f>'ALL ML SYSTEMS'!E260</f>
        <v>Industry</v>
      </c>
      <c r="F260" s="323" t="str">
        <f>'ALL ML SYSTEMS'!F260</f>
        <v>HT Cheng, L Koc, J Harmsen, T Shaked</v>
      </c>
      <c r="G260" s="324">
        <f>'ALL ML SYSTEMS'!G260</f>
        <v>42545</v>
      </c>
      <c r="H260" s="329">
        <f>'ALL ML SYSTEMS'!H260</f>
        <v>2545</v>
      </c>
      <c r="I260" s="323" t="str">
        <f>'ALL ML SYSTEMS'!I260</f>
        <v>Wide &amp; Deep Learning for Recommender Systems</v>
      </c>
      <c r="J260" s="334" t="str">
        <f>'ALL ML SYSTEMS'!J260</f>
        <v>https://arxiv.org/abs/1606.07792</v>
      </c>
      <c r="K260" s="335">
        <f>'ALL ML SYSTEMS'!K260</f>
        <v>1613</v>
      </c>
      <c r="L260" s="323" t="str">
        <f>'ALL ML SYSTEMS'!L260</f>
        <v>Highly cited</v>
      </c>
      <c r="M260" s="335" t="str">
        <f>'ALL ML SYSTEMS'!M260</f>
        <v>Yes</v>
      </c>
      <c r="N260" s="335">
        <f>'ALL ML SYSTEMS'!N260</f>
        <v>0</v>
      </c>
      <c r="O260" s="335">
        <f>'ALL ML SYSTEMS'!O260</f>
        <v>0</v>
      </c>
      <c r="P260" s="336">
        <f>'ALL ML SYSTEMS'!P260</f>
        <v>0</v>
      </c>
      <c r="Q260" s="335">
        <f>'ALL ML SYSTEMS'!Q260</f>
        <v>0</v>
      </c>
      <c r="R260" s="323">
        <f>'ALL ML SYSTEMS'!R260</f>
        <v>0</v>
      </c>
      <c r="S260" s="335">
        <f>'ALL ML SYSTEMS'!S260</f>
        <v>0</v>
      </c>
      <c r="T260" s="323">
        <f>'ALL ML SYSTEMS'!T260</f>
        <v>0</v>
      </c>
      <c r="U260" s="323">
        <f>'ALL ML SYSTEMS'!U260</f>
        <v>0</v>
      </c>
      <c r="V260" s="323">
        <f>'ALL ML SYSTEMS'!V260</f>
        <v>0</v>
      </c>
      <c r="W260" s="323">
        <f>'ALL ML SYSTEMS'!W260</f>
        <v>0</v>
      </c>
      <c r="X260" s="323">
        <f>'ALL ML SYSTEMS'!X260</f>
        <v>0</v>
      </c>
      <c r="Y260" s="323">
        <f>'ALL ML SYSTEMS'!Y260</f>
        <v>0</v>
      </c>
      <c r="Z260" s="323">
        <f>'ALL ML SYSTEMS'!Z260</f>
        <v>0</v>
      </c>
      <c r="AA260" s="340" t="str">
        <f>'ALL ML SYSTEMS'!AA260</f>
        <v/>
      </c>
      <c r="AB260" s="323">
        <f>'ALL ML SYSTEMS'!AB260</f>
        <v>0</v>
      </c>
      <c r="AC260" s="323">
        <f>'ALL ML SYSTEMS'!AC260</f>
        <v>0</v>
      </c>
      <c r="AD260" s="323" t="str">
        <f>'ALL ML SYSTEMS'!AD260</f>
        <v>Industry</v>
      </c>
    </row>
    <row r="261" customHeight="1" spans="1:30">
      <c r="A261" s="325">
        <f>'ALL ML SYSTEMS'!A261</f>
        <v>0</v>
      </c>
      <c r="B261" s="325" t="str">
        <f>'ALL ML SYSTEMS'!B261</f>
        <v>Language</v>
      </c>
      <c r="C261" s="325">
        <f>'ALL ML SYSTEMS'!C261</f>
        <v>0</v>
      </c>
      <c r="D261" s="325" t="str">
        <f>'ALL ML SYSTEMS'!D261</f>
        <v>Facebook AI research</v>
      </c>
      <c r="E261" s="325" t="str">
        <f>'ALL ML SYSTEMS'!E261</f>
        <v>Industry</v>
      </c>
      <c r="F261" s="325" t="str">
        <f>'ALL ML SYSTEMS'!F261</f>
        <v>A Joulin, E Grave, P Bojanowski, T Mikolov</v>
      </c>
      <c r="G261" s="326">
        <f>'ALL ML SYSTEMS'!G261</f>
        <v>42557</v>
      </c>
      <c r="H261" s="327">
        <f>'ALL ML SYSTEMS'!H261</f>
        <v>2557</v>
      </c>
      <c r="I261" s="325" t="str">
        <f>'ALL ML SYSTEMS'!I261</f>
        <v>Bag of Tricks for Efficient Text Classification</v>
      </c>
      <c r="J261" s="337" t="str">
        <f>'ALL ML SYSTEMS'!J261</f>
        <v>https://arxiv.org/abs/1607.01759</v>
      </c>
      <c r="K261" s="338">
        <f>'ALL ML SYSTEMS'!K261</f>
        <v>3090</v>
      </c>
      <c r="L261" s="325" t="str">
        <f>'ALL ML SYSTEMS'!L261</f>
        <v>Highly cited</v>
      </c>
      <c r="M261" s="338" t="str">
        <f>'ALL ML SYSTEMS'!M261</f>
        <v>Yes</v>
      </c>
      <c r="N261" s="338">
        <f>'ALL ML SYSTEMS'!N261</f>
        <v>0</v>
      </c>
      <c r="O261" s="338">
        <f>'ALL ML SYSTEMS'!O261</f>
        <v>0</v>
      </c>
      <c r="P261" s="339">
        <f>'ALL ML SYSTEMS'!P261</f>
        <v>0</v>
      </c>
      <c r="Q261" s="338">
        <f>'ALL ML SYSTEMS'!Q261</f>
        <v>0</v>
      </c>
      <c r="R261" s="325">
        <f>'ALL ML SYSTEMS'!R261</f>
        <v>0</v>
      </c>
      <c r="S261" s="338">
        <f>'ALL ML SYSTEMS'!S261</f>
        <v>0</v>
      </c>
      <c r="T261" s="325">
        <f>'ALL ML SYSTEMS'!T261</f>
        <v>0</v>
      </c>
      <c r="U261" s="325">
        <f>'ALL ML SYSTEMS'!U261</f>
        <v>0</v>
      </c>
      <c r="V261" s="325">
        <f>'ALL ML SYSTEMS'!V261</f>
        <v>0</v>
      </c>
      <c r="W261" s="325">
        <f>'ALL ML SYSTEMS'!W261</f>
        <v>0</v>
      </c>
      <c r="X261" s="325">
        <f>'ALL ML SYSTEMS'!X261</f>
        <v>0</v>
      </c>
      <c r="Y261" s="325">
        <f>'ALL ML SYSTEMS'!Y261</f>
        <v>0</v>
      </c>
      <c r="Z261" s="325">
        <f>'ALL ML SYSTEMS'!Z261</f>
        <v>0</v>
      </c>
      <c r="AA261" s="341" t="str">
        <f>'ALL ML SYSTEMS'!AA261</f>
        <v/>
      </c>
      <c r="AB261" s="325">
        <f>'ALL ML SYSTEMS'!AB261</f>
        <v>0</v>
      </c>
      <c r="AC261" s="325" t="str">
        <f>'ALL ML SYSTEMS'!AC261</f>
        <v>Continuous Bag-Of-Words Model</v>
      </c>
      <c r="AD261" s="325" t="str">
        <f>'ALL ML SYSTEMS'!AD261</f>
        <v>Industry</v>
      </c>
    </row>
    <row r="262" customHeight="1" spans="1:30">
      <c r="A262" s="323">
        <f>'ALL ML SYSTEMS'!A262</f>
        <v>0</v>
      </c>
      <c r="B262" s="323" t="str">
        <f>'ALL ML SYSTEMS'!B262</f>
        <v>Language</v>
      </c>
      <c r="C262" s="323">
        <f>'ALL ML SYSTEMS'!C262</f>
        <v>0</v>
      </c>
      <c r="D262" s="323" t="str">
        <f>'ALL ML SYSTEMS'!D262</f>
        <v>Facebook AI research</v>
      </c>
      <c r="E262" s="323" t="str">
        <f>'ALL ML SYSTEMS'!E262</f>
        <v>Industry</v>
      </c>
      <c r="F262" s="323" t="str">
        <f>'ALL ML SYSTEMS'!F262</f>
        <v>P Bojanowski, E Grave, A Joulin</v>
      </c>
      <c r="G262" s="324">
        <f>'ALL ML SYSTEMS'!G262</f>
        <v>42566</v>
      </c>
      <c r="H262" s="329">
        <f>'ALL ML SYSTEMS'!H262</f>
        <v>2566</v>
      </c>
      <c r="I262" s="323" t="str">
        <f>'ALL ML SYSTEMS'!I262</f>
        <v>Enriching Word Vectors with Subword Information</v>
      </c>
      <c r="J262" s="334" t="str">
        <f>'ALL ML SYSTEMS'!J262</f>
        <v>https://arxiv.org/abs/1607.04606</v>
      </c>
      <c r="K262" s="335">
        <f>'ALL ML SYSTEMS'!K262</f>
        <v>6354</v>
      </c>
      <c r="L262" s="323" t="str">
        <f>'ALL ML SYSTEMS'!L262</f>
        <v>Highly cited</v>
      </c>
      <c r="M262" s="335" t="str">
        <f>'ALL ML SYSTEMS'!M262</f>
        <v>Yes</v>
      </c>
      <c r="N262" s="335">
        <f>'ALL ML SYSTEMS'!N262</f>
        <v>0</v>
      </c>
      <c r="O262" s="335">
        <f>'ALL ML SYSTEMS'!O262</f>
        <v>0</v>
      </c>
      <c r="P262" s="336">
        <f>'ALL ML SYSTEMS'!P262</f>
        <v>0</v>
      </c>
      <c r="Q262" s="335">
        <f>'ALL ML SYSTEMS'!Q262</f>
        <v>0</v>
      </c>
      <c r="R262" s="323">
        <f>'ALL ML SYSTEMS'!R262</f>
        <v>0</v>
      </c>
      <c r="S262" s="335">
        <f>'ALL ML SYSTEMS'!S262</f>
        <v>0</v>
      </c>
      <c r="T262" s="323">
        <f>'ALL ML SYSTEMS'!T262</f>
        <v>0</v>
      </c>
      <c r="U262" s="323">
        <f>'ALL ML SYSTEMS'!U262</f>
        <v>0</v>
      </c>
      <c r="V262" s="323">
        <f>'ALL ML SYSTEMS'!V262</f>
        <v>0</v>
      </c>
      <c r="W262" s="323">
        <f>'ALL ML SYSTEMS'!W262</f>
        <v>0</v>
      </c>
      <c r="X262" s="323">
        <f>'ALL ML SYSTEMS'!X262</f>
        <v>0</v>
      </c>
      <c r="Y262" s="323">
        <f>'ALL ML SYSTEMS'!Y262</f>
        <v>0</v>
      </c>
      <c r="Z262" s="323">
        <f>'ALL ML SYSTEMS'!Z262</f>
        <v>0</v>
      </c>
      <c r="AA262" s="340" t="str">
        <f>'ALL ML SYSTEMS'!AA262</f>
        <v/>
      </c>
      <c r="AB262" s="323">
        <f>'ALL ML SYSTEMS'!AB262</f>
        <v>0</v>
      </c>
      <c r="AC262" s="323">
        <f>'ALL ML SYSTEMS'!AC262</f>
        <v>0</v>
      </c>
      <c r="AD262" s="323" t="str">
        <f>'ALL ML SYSTEMS'!AD262</f>
        <v>Industry</v>
      </c>
    </row>
    <row r="263" customHeight="1" spans="1:30">
      <c r="A263" s="325" t="str">
        <f>'ALL ML SYSTEMS'!A263</f>
        <v>DenseNet-264</v>
      </c>
      <c r="B263" s="325" t="str">
        <f>'ALL ML SYSTEMS'!B263</f>
        <v>Vision</v>
      </c>
      <c r="C263" s="325" t="str">
        <f>'ALL ML SYSTEMS'!C263</f>
        <v>Image classification</v>
      </c>
      <c r="D263" s="325" t="str">
        <f>'ALL ML SYSTEMS'!D263</f>
        <v>Tsinghua University, Cornell, Facebook AI research</v>
      </c>
      <c r="E263" s="325" t="str">
        <f>'ALL ML SYSTEMS'!E263</f>
        <v>Industry - Academia Collaboration (Academia leaning)</v>
      </c>
      <c r="F263" s="325" t="str">
        <f>'ALL ML SYSTEMS'!F263</f>
        <v>G Huang, Z Liu, L Van Der Maaten</v>
      </c>
      <c r="G263" s="326">
        <f>'ALL ML SYSTEMS'!G263</f>
        <v>42607</v>
      </c>
      <c r="H263" s="327">
        <f>'ALL ML SYSTEMS'!H263</f>
        <v>2607</v>
      </c>
      <c r="I263" s="325" t="str">
        <f>'ALL ML SYSTEMS'!I263</f>
        <v>Densely Connected Convolutional Networks</v>
      </c>
      <c r="J263" s="337" t="str">
        <f>'ALL ML SYSTEMS'!J263</f>
        <v>https://arxiv.org/abs/1608.06993</v>
      </c>
      <c r="K263" s="338">
        <f>'ALL ML SYSTEMS'!K263</f>
        <v>17786</v>
      </c>
      <c r="L263" s="325" t="str">
        <f>'ALL ML SYSTEMS'!L263</f>
        <v>Highly cited</v>
      </c>
      <c r="M263" s="338" t="str">
        <f>'ALL ML SYSTEMS'!M263</f>
        <v>Yes</v>
      </c>
      <c r="N263" s="338">
        <f>'ALL ML SYSTEMS'!N263</f>
        <v>34000000</v>
      </c>
      <c r="O263" s="338">
        <f>'ALL ML SYSTEMS'!O263</f>
        <v>0</v>
      </c>
      <c r="P263" s="339">
        <f>'ALL ML SYSTEMS'!P263</f>
        <v>0</v>
      </c>
      <c r="Q263" s="338">
        <f>'ALL ML SYSTEMS'!Q263</f>
        <v>0</v>
      </c>
      <c r="R263" s="325">
        <f>'ALL ML SYSTEMS'!R263</f>
        <v>0</v>
      </c>
      <c r="S263" s="338">
        <f>'ALL ML SYSTEMS'!S263</f>
        <v>0</v>
      </c>
      <c r="T263" s="325">
        <f>'ALL ML SYSTEMS'!T263</f>
        <v>0</v>
      </c>
      <c r="U263" s="325">
        <f>'ALL ML SYSTEMS'!U263</f>
        <v>0</v>
      </c>
      <c r="V263" s="325">
        <f>'ALL ML SYSTEMS'!V263</f>
        <v>0</v>
      </c>
      <c r="W263" s="325">
        <f>'ALL ML SYSTEMS'!W263</f>
        <v>0</v>
      </c>
      <c r="X263" s="325">
        <f>'ALL ML SYSTEMS'!X263</f>
        <v>0</v>
      </c>
      <c r="Y263" s="325">
        <f>'ALL ML SYSTEMS'!Y263</f>
        <v>0</v>
      </c>
      <c r="Z263" s="325">
        <f>'ALL ML SYSTEMS'!Z263</f>
        <v>0</v>
      </c>
      <c r="AA263" s="341" t="str">
        <f>'ALL ML SYSTEMS'!AA263</f>
        <v/>
      </c>
      <c r="AB263" s="325">
        <f>'ALL ML SYSTEMS'!AB263</f>
        <v>0</v>
      </c>
      <c r="AC263" s="325">
        <f>'ALL ML SYSTEMS'!AC263</f>
        <v>0</v>
      </c>
      <c r="AD263" s="325" t="str">
        <f>'ALL ML SYSTEMS'!AD263</f>
        <v>Industry</v>
      </c>
    </row>
    <row r="264" customHeight="1" spans="1:30">
      <c r="A264" s="323">
        <f>'ALL ML SYSTEMS'!A264</f>
        <v>0</v>
      </c>
      <c r="B264" s="323" t="str">
        <f>'ALL ML SYSTEMS'!B264</f>
        <v>Vision</v>
      </c>
      <c r="C264" s="323" t="str">
        <f>'ALL ML SYSTEMS'!C264</f>
        <v>Face detection</v>
      </c>
      <c r="D264" s="323" t="str">
        <f>'ALL ML SYSTEMS'!D264</f>
        <v>Chinese Academy of Sciences, Chinese University of Hong Kong</v>
      </c>
      <c r="E264" s="323" t="str">
        <f>'ALL ML SYSTEMS'!E264</f>
        <v>Academia</v>
      </c>
      <c r="F264" s="323" t="str">
        <f>'ALL ML SYSTEMS'!F264</f>
        <v>Kaipeng Zhang, Zhanpeng Zhang, Zhifeng Li, Yu Qiao</v>
      </c>
      <c r="G264" s="324">
        <f>'ALL ML SYSTEMS'!G264</f>
        <v>42608</v>
      </c>
      <c r="H264" s="329">
        <f>'ALL ML SYSTEMS'!H264</f>
        <v>2608</v>
      </c>
      <c r="I264" s="323" t="str">
        <f>'ALL ML SYSTEMS'!I264</f>
        <v>Joint Face Detection and Alignment using Multitask cascaded convolutional networks</v>
      </c>
      <c r="J264" s="334" t="str">
        <f>'ALL ML SYSTEMS'!J264</f>
        <v>https://arxiv.org/abs/1604.02878</v>
      </c>
      <c r="K264" s="335">
        <f>'ALL ML SYSTEMS'!K264</f>
        <v>3401</v>
      </c>
      <c r="L264" s="323" t="str">
        <f>'ALL ML SYSTEMS'!L264</f>
        <v>Highly cited</v>
      </c>
      <c r="M264" s="335" t="str">
        <f>'ALL ML SYSTEMS'!M264</f>
        <v>Yes</v>
      </c>
      <c r="N264" s="335">
        <f>'ALL ML SYSTEMS'!N264</f>
        <v>0</v>
      </c>
      <c r="O264" s="335">
        <f>'ALL ML SYSTEMS'!O264</f>
        <v>0</v>
      </c>
      <c r="P264" s="336">
        <f>'ALL ML SYSTEMS'!P264</f>
        <v>0</v>
      </c>
      <c r="Q264" s="335">
        <f>'ALL ML SYSTEMS'!Q264</f>
        <v>0</v>
      </c>
      <c r="R264" s="323">
        <f>'ALL ML SYSTEMS'!R264</f>
        <v>0</v>
      </c>
      <c r="S264" s="335">
        <f>'ALL ML SYSTEMS'!S264</f>
        <v>0</v>
      </c>
      <c r="T264" s="323">
        <f>'ALL ML SYSTEMS'!T264</f>
        <v>0</v>
      </c>
      <c r="U264" s="323">
        <f>'ALL ML SYSTEMS'!U264</f>
        <v>0</v>
      </c>
      <c r="V264" s="323">
        <f>'ALL ML SYSTEMS'!V264</f>
        <v>0</v>
      </c>
      <c r="W264" s="323">
        <f>'ALL ML SYSTEMS'!W264</f>
        <v>0</v>
      </c>
      <c r="X264" s="323">
        <f>'ALL ML SYSTEMS'!X264</f>
        <v>0</v>
      </c>
      <c r="Y264" s="323">
        <f>'ALL ML SYSTEMS'!Y264</f>
        <v>0</v>
      </c>
      <c r="Z264" s="323">
        <f>'ALL ML SYSTEMS'!Z264</f>
        <v>0</v>
      </c>
      <c r="AA264" s="340" t="str">
        <f>'ALL ML SYSTEMS'!AA264</f>
        <v/>
      </c>
      <c r="AB264" s="323">
        <f>'ALL ML SYSTEMS'!AB264</f>
        <v>0</v>
      </c>
      <c r="AC264" s="323">
        <f>'ALL ML SYSTEMS'!AC264</f>
        <v>0</v>
      </c>
      <c r="AD264" s="323" t="str">
        <f>'ALL ML SYSTEMS'!AD264</f>
        <v>Academia</v>
      </c>
    </row>
    <row r="265" customHeight="1" spans="1:30">
      <c r="A265" s="325">
        <f>'ALL ML SYSTEMS'!A265</f>
        <v>0</v>
      </c>
      <c r="B265" s="325" t="str">
        <f>'ALL ML SYSTEMS'!B265</f>
        <v>Speech</v>
      </c>
      <c r="C265" s="325">
        <f>'ALL ML SYSTEMS'!C265</f>
        <v>0</v>
      </c>
      <c r="D265" s="325" t="str">
        <f>'ALL ML SYSTEMS'!D265</f>
        <v>Google DeepMind</v>
      </c>
      <c r="E265" s="325" t="str">
        <f>'ALL ML SYSTEMS'!E265</f>
        <v>Industry</v>
      </c>
      <c r="F265" s="325" t="str">
        <f>'ALL ML SYSTEMS'!F265</f>
        <v>A Oord, S Dieleman, H Zen, K Simonyan</v>
      </c>
      <c r="G265" s="326">
        <f>'ALL ML SYSTEMS'!G265</f>
        <v>42625</v>
      </c>
      <c r="H265" s="327">
        <f>'ALL ML SYSTEMS'!H265</f>
        <v>2625</v>
      </c>
      <c r="I265" s="325" t="str">
        <f>'ALL ML SYSTEMS'!I265</f>
        <v>WaveNet: A Generative Model for Raw Audio</v>
      </c>
      <c r="J265" s="337" t="str">
        <f>'ALL ML SYSTEMS'!J265</f>
        <v>https://arxiv.org/abs/1609.03499</v>
      </c>
      <c r="K265" s="338">
        <f>'ALL ML SYSTEMS'!K265</f>
        <v>3118</v>
      </c>
      <c r="L265" s="325" t="str">
        <f>'ALL ML SYSTEMS'!L265</f>
        <v>Highly cited</v>
      </c>
      <c r="M265" s="338" t="str">
        <f>'ALL ML SYSTEMS'!M265</f>
        <v>Yes</v>
      </c>
      <c r="N265" s="338">
        <f>'ALL ML SYSTEMS'!N265</f>
        <v>0</v>
      </c>
      <c r="O265" s="338">
        <f>'ALL ML SYSTEMS'!O265</f>
        <v>0</v>
      </c>
      <c r="P265" s="339">
        <f>'ALL ML SYSTEMS'!P265</f>
        <v>0</v>
      </c>
      <c r="Q265" s="338">
        <f>'ALL ML SYSTEMS'!Q265</f>
        <v>0</v>
      </c>
      <c r="R265" s="325">
        <f>'ALL ML SYSTEMS'!R265</f>
        <v>0</v>
      </c>
      <c r="S265" s="338">
        <f>'ALL ML SYSTEMS'!S265</f>
        <v>0</v>
      </c>
      <c r="T265" s="325">
        <f>'ALL ML SYSTEMS'!T265</f>
        <v>0</v>
      </c>
      <c r="U265" s="325">
        <f>'ALL ML SYSTEMS'!U265</f>
        <v>0</v>
      </c>
      <c r="V265" s="325">
        <f>'ALL ML SYSTEMS'!V265</f>
        <v>0</v>
      </c>
      <c r="W265" s="325">
        <f>'ALL ML SYSTEMS'!W265</f>
        <v>0</v>
      </c>
      <c r="X265" s="325">
        <f>'ALL ML SYSTEMS'!X265</f>
        <v>0</v>
      </c>
      <c r="Y265" s="325">
        <f>'ALL ML SYSTEMS'!Y265</f>
        <v>0</v>
      </c>
      <c r="Z265" s="325">
        <f>'ALL ML SYSTEMS'!Z265</f>
        <v>0</v>
      </c>
      <c r="AA265" s="341" t="str">
        <f>'ALL ML SYSTEMS'!AA265</f>
        <v/>
      </c>
      <c r="AB265" s="325">
        <f>'ALL ML SYSTEMS'!AB265</f>
        <v>0</v>
      </c>
      <c r="AC265" s="325">
        <f>'ALL ML SYSTEMS'!AC265</f>
        <v>0</v>
      </c>
      <c r="AD265" s="325" t="str">
        <f>'ALL ML SYSTEMS'!AD265</f>
        <v>Industry</v>
      </c>
    </row>
    <row r="266" customHeight="1" spans="1:30">
      <c r="A266" s="323">
        <f>'ALL ML SYSTEMS'!A266</f>
        <v>0</v>
      </c>
      <c r="B266" s="323" t="str">
        <f>'ALL ML SYSTEMS'!B266</f>
        <v>Recommendation</v>
      </c>
      <c r="C266" s="323">
        <f>'ALL ML SYSTEMS'!C266</f>
        <v>0</v>
      </c>
      <c r="D266" s="323" t="str">
        <f>'ALL ML SYSTEMS'!D266</f>
        <v>Google</v>
      </c>
      <c r="E266" s="323" t="str">
        <f>'ALL ML SYSTEMS'!E266</f>
        <v>Industry</v>
      </c>
      <c r="F266" s="323" t="str">
        <f>'ALL ML SYSTEMS'!F266</f>
        <v>Paul Covington, Jay Adams, and Emre Sargin</v>
      </c>
      <c r="G266" s="324">
        <f>'ALL ML SYSTEMS'!G266</f>
        <v>42628</v>
      </c>
      <c r="H266" s="329">
        <f>'ALL ML SYSTEMS'!H266</f>
        <v>2628</v>
      </c>
      <c r="I266" s="323" t="str">
        <f>'ALL ML SYSTEMS'!I266</f>
        <v>Deep Neural Networks for YouTube Recommendations</v>
      </c>
      <c r="J266" s="334" t="str">
        <f>'ALL ML SYSTEMS'!J266</f>
        <v>https://research.google/pubs/pub45530/</v>
      </c>
      <c r="K266" s="335">
        <f>'ALL ML SYSTEMS'!K266</f>
        <v>1554</v>
      </c>
      <c r="L266" s="323" t="str">
        <f>'ALL ML SYSTEMS'!L266</f>
        <v>Highly cited</v>
      </c>
      <c r="M266" s="335" t="str">
        <f>'ALL ML SYSTEMS'!M266</f>
        <v>Yes</v>
      </c>
      <c r="N266" s="335">
        <f>'ALL ML SYSTEMS'!N266</f>
        <v>0</v>
      </c>
      <c r="O266" s="335">
        <f>'ALL ML SYSTEMS'!O266</f>
        <v>0</v>
      </c>
      <c r="P266" s="336">
        <f>'ALL ML SYSTEMS'!P266</f>
        <v>0</v>
      </c>
      <c r="Q266" s="335">
        <f>'ALL ML SYSTEMS'!Q266</f>
        <v>0</v>
      </c>
      <c r="R266" s="323">
        <f>'ALL ML SYSTEMS'!R266</f>
        <v>0</v>
      </c>
      <c r="S266" s="335">
        <f>'ALL ML SYSTEMS'!S266</f>
        <v>0</v>
      </c>
      <c r="T266" s="323">
        <f>'ALL ML SYSTEMS'!T266</f>
        <v>0</v>
      </c>
      <c r="U266" s="323">
        <f>'ALL ML SYSTEMS'!U266</f>
        <v>0</v>
      </c>
      <c r="V266" s="323">
        <f>'ALL ML SYSTEMS'!V266</f>
        <v>0</v>
      </c>
      <c r="W266" s="323">
        <f>'ALL ML SYSTEMS'!W266</f>
        <v>0</v>
      </c>
      <c r="X266" s="323">
        <f>'ALL ML SYSTEMS'!X266</f>
        <v>0</v>
      </c>
      <c r="Y266" s="323">
        <f>'ALL ML SYSTEMS'!Y266</f>
        <v>0</v>
      </c>
      <c r="Z266" s="323">
        <f>'ALL ML SYSTEMS'!Z266</f>
        <v>0</v>
      </c>
      <c r="AA266" s="340" t="str">
        <f>'ALL ML SYSTEMS'!AA266</f>
        <v/>
      </c>
      <c r="AB266" s="323">
        <f>'ALL ML SYSTEMS'!AB266</f>
        <v>0</v>
      </c>
      <c r="AC266" s="323">
        <f>'ALL ML SYSTEMS'!AC266</f>
        <v>0</v>
      </c>
      <c r="AD266" s="323" t="str">
        <f>'ALL ML SYSTEMS'!AD266</f>
        <v>Industry</v>
      </c>
    </row>
    <row r="267" customHeight="1" spans="1:30">
      <c r="A267" s="325" t="str">
        <f>'ALL ML SYSTEMS'!A267</f>
        <v>Stacked hourglass network</v>
      </c>
      <c r="B267" s="325" t="str">
        <f>'ALL ML SYSTEMS'!B267</f>
        <v>Vision</v>
      </c>
      <c r="C267" s="325" t="str">
        <f>'ALL ML SYSTEMS'!C267</f>
        <v>Pose estimation</v>
      </c>
      <c r="D267" s="325" t="str">
        <f>'ALL ML SYSTEMS'!D267</f>
        <v>University of Michigan</v>
      </c>
      <c r="E267" s="325" t="str">
        <f>'ALL ML SYSTEMS'!E267</f>
        <v>Academia</v>
      </c>
      <c r="F267" s="325" t="str">
        <f>'ALL ML SYSTEMS'!F267</f>
        <v>Alejandro Newell, Kaiyu Yang, Jia Deng</v>
      </c>
      <c r="G267" s="326">
        <f>'ALL ML SYSTEMS'!G267</f>
        <v>42630</v>
      </c>
      <c r="H267" s="327">
        <f>'ALL ML SYSTEMS'!H267</f>
        <v>2630</v>
      </c>
      <c r="I267" s="325" t="str">
        <f>'ALL ML SYSTEMS'!I267</f>
        <v>Stacked Hourglass Networks for Human Pose Estimation</v>
      </c>
      <c r="J267" s="337" t="str">
        <f>'ALL ML SYSTEMS'!J267</f>
        <v>https://link.springer.com/chapter/10.1007/978-3-319-46484-8_29</v>
      </c>
      <c r="K267" s="338">
        <f>'ALL ML SYSTEMS'!K267</f>
        <v>3600</v>
      </c>
      <c r="L267" s="325" t="str">
        <f>'ALL ML SYSTEMS'!L267</f>
        <v>Highly cited</v>
      </c>
      <c r="M267" s="338" t="str">
        <f>'ALL ML SYSTEMS'!M267</f>
        <v>Yes</v>
      </c>
      <c r="N267" s="338">
        <f>'ALL ML SYSTEMS'!N267</f>
        <v>0</v>
      </c>
      <c r="O267" s="338">
        <f>'ALL ML SYSTEMS'!O267</f>
        <v>0</v>
      </c>
      <c r="P267" s="339">
        <f>'ALL ML SYSTEMS'!P267</f>
        <v>0</v>
      </c>
      <c r="Q267" s="338">
        <f>'ALL ML SYSTEMS'!Q267</f>
        <v>0</v>
      </c>
      <c r="R267" s="325">
        <f>'ALL ML SYSTEMS'!R267</f>
        <v>0</v>
      </c>
      <c r="S267" s="338">
        <f>'ALL ML SYSTEMS'!S267</f>
        <v>0</v>
      </c>
      <c r="T267" s="325">
        <f>'ALL ML SYSTEMS'!T267</f>
        <v>0</v>
      </c>
      <c r="U267" s="325">
        <f>'ALL ML SYSTEMS'!U267</f>
        <v>0</v>
      </c>
      <c r="V267" s="325">
        <f>'ALL ML SYSTEMS'!V267</f>
        <v>0</v>
      </c>
      <c r="W267" s="325">
        <f>'ALL ML SYSTEMS'!W267</f>
        <v>0</v>
      </c>
      <c r="X267" s="325">
        <f>'ALL ML SYSTEMS'!X267</f>
        <v>0</v>
      </c>
      <c r="Y267" s="325">
        <f>'ALL ML SYSTEMS'!Y267</f>
        <v>0</v>
      </c>
      <c r="Z267" s="325">
        <f>'ALL ML SYSTEMS'!Z267</f>
        <v>0</v>
      </c>
      <c r="AA267" s="341" t="str">
        <f>'ALL ML SYSTEMS'!AA267</f>
        <v/>
      </c>
      <c r="AB267" s="325">
        <f>'ALL ML SYSTEMS'!AB267</f>
        <v>0</v>
      </c>
      <c r="AC267" s="325">
        <f>'ALL ML SYSTEMS'!AC267</f>
        <v>0</v>
      </c>
      <c r="AD267" s="325" t="str">
        <f>'ALL ML SYSTEMS'!AD267</f>
        <v>Academia</v>
      </c>
    </row>
    <row r="268" customHeight="1" spans="1:30">
      <c r="A268" s="323">
        <f>'ALL ML SYSTEMS'!A268</f>
        <v>0</v>
      </c>
      <c r="B268" s="323" t="str">
        <f>'ALL ML SYSTEMS'!B268</f>
        <v>Vision</v>
      </c>
      <c r="C268" s="323" t="str">
        <f>'ALL ML SYSTEMS'!C268</f>
        <v>Image classification</v>
      </c>
      <c r="D268" s="323" t="str">
        <f>'ALL ML SYSTEMS'!D268</f>
        <v>Microsoft</v>
      </c>
      <c r="E268" s="323" t="str">
        <f>'ALL ML SYSTEMS'!E268</f>
        <v>Industry</v>
      </c>
      <c r="F268" s="323" t="str">
        <f>'ALL ML SYSTEMS'!F268</f>
        <v>Kaiming He, Xiangyu Zhang, Shaoqing Ren, Jian Sun</v>
      </c>
      <c r="G268" s="324">
        <f>'ALL ML SYSTEMS'!G268</f>
        <v>42630</v>
      </c>
      <c r="H268" s="329">
        <f>'ALL ML SYSTEMS'!H268</f>
        <v>2630</v>
      </c>
      <c r="I268" s="323" t="str">
        <f>'ALL ML SYSTEMS'!I268</f>
        <v>Identity Mappings in Deep Residual Networks</v>
      </c>
      <c r="J268" s="334" t="str">
        <f>'ALL ML SYSTEMS'!J268</f>
        <v>https://link.springer.com/chapter/10.1007/978-3-319-46493-0_38</v>
      </c>
      <c r="K268" s="335">
        <f>'ALL ML SYSTEMS'!K268</f>
        <v>6894</v>
      </c>
      <c r="L268" s="323" t="str">
        <f>'ALL ML SYSTEMS'!L268</f>
        <v>Highly cited</v>
      </c>
      <c r="M268" s="335" t="str">
        <f>'ALL ML SYSTEMS'!M268</f>
        <v>Yes</v>
      </c>
      <c r="N268" s="335">
        <f>'ALL ML SYSTEMS'!N268</f>
        <v>0</v>
      </c>
      <c r="O268" s="335">
        <f>'ALL ML SYSTEMS'!O268</f>
        <v>0</v>
      </c>
      <c r="P268" s="336">
        <f>'ALL ML SYSTEMS'!P268</f>
        <v>0</v>
      </c>
      <c r="Q268" s="335">
        <f>'ALL ML SYSTEMS'!Q268</f>
        <v>0</v>
      </c>
      <c r="R268" s="323">
        <f>'ALL ML SYSTEMS'!R268</f>
        <v>0</v>
      </c>
      <c r="S268" s="335">
        <f>'ALL ML SYSTEMS'!S268</f>
        <v>0</v>
      </c>
      <c r="T268" s="323">
        <f>'ALL ML SYSTEMS'!T268</f>
        <v>0</v>
      </c>
      <c r="U268" s="323">
        <f>'ALL ML SYSTEMS'!U268</f>
        <v>0</v>
      </c>
      <c r="V268" s="323">
        <f>'ALL ML SYSTEMS'!V268</f>
        <v>0</v>
      </c>
      <c r="W268" s="323">
        <f>'ALL ML SYSTEMS'!W268</f>
        <v>0</v>
      </c>
      <c r="X268" s="323">
        <f>'ALL ML SYSTEMS'!X268</f>
        <v>0</v>
      </c>
      <c r="Y268" s="323">
        <f>'ALL ML SYSTEMS'!Y268</f>
        <v>0</v>
      </c>
      <c r="Z268" s="323">
        <f>'ALL ML SYSTEMS'!Z268</f>
        <v>0</v>
      </c>
      <c r="AA268" s="340" t="str">
        <f>'ALL ML SYSTEMS'!AA268</f>
        <v/>
      </c>
      <c r="AB268" s="323">
        <f>'ALL ML SYSTEMS'!AB268</f>
        <v>0</v>
      </c>
      <c r="AC268" s="323">
        <f>'ALL ML SYSTEMS'!AC268</f>
        <v>0</v>
      </c>
      <c r="AD268" s="323" t="str">
        <f>'ALL ML SYSTEMS'!AD268</f>
        <v>Industry</v>
      </c>
    </row>
    <row r="269" customHeight="1" spans="1:30">
      <c r="A269" s="325">
        <f>'ALL ML SYSTEMS'!A269</f>
        <v>0</v>
      </c>
      <c r="B269" s="325" t="str">
        <f>'ALL ML SYSTEMS'!B269</f>
        <v>Vision</v>
      </c>
      <c r="C269" s="325" t="str">
        <f>'ALL ML SYSTEMS'!C269</f>
        <v>Action recognition</v>
      </c>
      <c r="D269" s="325" t="str">
        <f>'ALL ML SYSTEMS'!D269</f>
        <v>ETH Zurich, The Chinese University of Hong Kong, Shenzhen Institute of Advanced Technology</v>
      </c>
      <c r="E269" s="325" t="str">
        <f>'ALL ML SYSTEMS'!E269</f>
        <v>Academia</v>
      </c>
      <c r="F269" s="325" t="str">
        <f>'ALL ML SYSTEMS'!F269</f>
        <v>Limin Wang, Yuanjun Xiong, Zhe Wang, Yu Qiao, Dahua Lin, Xiaoou Tang, Luc Van Gool</v>
      </c>
      <c r="G269" s="326">
        <f>'ALL ML SYSTEMS'!G269</f>
        <v>42630</v>
      </c>
      <c r="H269" s="327">
        <f>'ALL ML SYSTEMS'!H269</f>
        <v>2630</v>
      </c>
      <c r="I269" s="325" t="str">
        <f>'ALL ML SYSTEMS'!I269</f>
        <v>Temporal Segment Networks: Towards Good Practices for Deep Action Recognition</v>
      </c>
      <c r="J269" s="337" t="str">
        <f>'ALL ML SYSTEMS'!J269</f>
        <v>https://link.springer.com/chapter/10.1007/978-3-319-46484-8_2</v>
      </c>
      <c r="K269" s="338">
        <f>'ALL ML SYSTEMS'!K269</f>
        <v>2619</v>
      </c>
      <c r="L269" s="325" t="str">
        <f>'ALL ML SYSTEMS'!L269</f>
        <v>Highly cited</v>
      </c>
      <c r="M269" s="338" t="str">
        <f>'ALL ML SYSTEMS'!M269</f>
        <v>Yes</v>
      </c>
      <c r="N269" s="338">
        <f>'ALL ML SYSTEMS'!N269</f>
        <v>0</v>
      </c>
      <c r="O269" s="338">
        <f>'ALL ML SYSTEMS'!O269</f>
        <v>0</v>
      </c>
      <c r="P269" s="339">
        <f>'ALL ML SYSTEMS'!P269</f>
        <v>0</v>
      </c>
      <c r="Q269" s="338">
        <f>'ALL ML SYSTEMS'!Q269</f>
        <v>0</v>
      </c>
      <c r="R269" s="325">
        <f>'ALL ML SYSTEMS'!R269</f>
        <v>0</v>
      </c>
      <c r="S269" s="338">
        <f>'ALL ML SYSTEMS'!S269</f>
        <v>0</v>
      </c>
      <c r="T269" s="325">
        <f>'ALL ML SYSTEMS'!T269</f>
        <v>0</v>
      </c>
      <c r="U269" s="325">
        <f>'ALL ML SYSTEMS'!U269</f>
        <v>0</v>
      </c>
      <c r="V269" s="325">
        <f>'ALL ML SYSTEMS'!V269</f>
        <v>0</v>
      </c>
      <c r="W269" s="325">
        <f>'ALL ML SYSTEMS'!W269</f>
        <v>0</v>
      </c>
      <c r="X269" s="325">
        <f>'ALL ML SYSTEMS'!X269</f>
        <v>0</v>
      </c>
      <c r="Y269" s="325">
        <f>'ALL ML SYSTEMS'!Y269</f>
        <v>0</v>
      </c>
      <c r="Z269" s="325">
        <f>'ALL ML SYSTEMS'!Z269</f>
        <v>0</v>
      </c>
      <c r="AA269" s="341" t="str">
        <f>'ALL ML SYSTEMS'!AA269</f>
        <v/>
      </c>
      <c r="AB269" s="325">
        <f>'ALL ML SYSTEMS'!AB269</f>
        <v>0</v>
      </c>
      <c r="AC269" s="325">
        <f>'ALL ML SYSTEMS'!AC269</f>
        <v>0</v>
      </c>
      <c r="AD269" s="325" t="str">
        <f>'ALL ML SYSTEMS'!AD269</f>
        <v>Academia</v>
      </c>
    </row>
    <row r="270" customHeight="1" spans="1:30">
      <c r="A270" s="323" t="str">
        <f>'ALL ML SYSTEMS'!A270</f>
        <v>MS-CNN</v>
      </c>
      <c r="B270" s="323" t="str">
        <f>'ALL ML SYSTEMS'!B270</f>
        <v>Vision</v>
      </c>
      <c r="C270" s="323" t="str">
        <f>'ALL ML SYSTEMS'!C270</f>
        <v>Object detection</v>
      </c>
      <c r="D270" s="323" t="str">
        <f>'ALL ML SYSTEMS'!D270</f>
        <v>SVCL UC San Diego, IBM</v>
      </c>
      <c r="E270" s="323" t="str">
        <f>'ALL ML SYSTEMS'!E270</f>
        <v>Industry - Academia Collaboration</v>
      </c>
      <c r="F270" s="323" t="str">
        <f>'ALL ML SYSTEMS'!F270</f>
        <v>Zhaowei Cai, Quanfu Fan, Rogerio S. Feris, Nuno Vasconcelos</v>
      </c>
      <c r="G270" s="324">
        <f>'ALL ML SYSTEMS'!G270</f>
        <v>42630</v>
      </c>
      <c r="H270" s="329">
        <f>'ALL ML SYSTEMS'!H270</f>
        <v>2630</v>
      </c>
      <c r="I270" s="323" t="str">
        <f>'ALL ML SYSTEMS'!I270</f>
        <v>A Unified Multi-scale Deep Convolutional Neural Network for Fast Object Detection</v>
      </c>
      <c r="J270" s="334" t="str">
        <f>'ALL ML SYSTEMS'!J270</f>
        <v>https://link.springer.com/chapter/10.1007/978-3-319-46493-0_22</v>
      </c>
      <c r="K270" s="335">
        <f>'ALL ML SYSTEMS'!K270</f>
        <v>1319</v>
      </c>
      <c r="L270" s="323" t="str">
        <f>'ALL ML SYSTEMS'!L270</f>
        <v>Highly cited</v>
      </c>
      <c r="M270" s="335" t="str">
        <f>'ALL ML SYSTEMS'!M270</f>
        <v>Yes</v>
      </c>
      <c r="N270" s="335">
        <f>'ALL ML SYSTEMS'!N270</f>
        <v>0</v>
      </c>
      <c r="O270" s="335">
        <f>'ALL ML SYSTEMS'!O270</f>
        <v>0</v>
      </c>
      <c r="P270" s="336">
        <f>'ALL ML SYSTEMS'!P270</f>
        <v>0</v>
      </c>
      <c r="Q270" s="335">
        <f>'ALL ML SYSTEMS'!Q270</f>
        <v>0</v>
      </c>
      <c r="R270" s="323">
        <f>'ALL ML SYSTEMS'!R270</f>
        <v>0</v>
      </c>
      <c r="S270" s="335">
        <f>'ALL ML SYSTEMS'!S270</f>
        <v>0</v>
      </c>
      <c r="T270" s="323">
        <f>'ALL ML SYSTEMS'!T270</f>
        <v>0</v>
      </c>
      <c r="U270" s="323">
        <f>'ALL ML SYSTEMS'!U270</f>
        <v>0</v>
      </c>
      <c r="V270" s="323">
        <f>'ALL ML SYSTEMS'!V270</f>
        <v>0</v>
      </c>
      <c r="W270" s="323">
        <f>'ALL ML SYSTEMS'!W270</f>
        <v>0</v>
      </c>
      <c r="X270" s="323">
        <f>'ALL ML SYSTEMS'!X270</f>
        <v>0</v>
      </c>
      <c r="Y270" s="323">
        <f>'ALL ML SYSTEMS'!Y270</f>
        <v>0</v>
      </c>
      <c r="Z270" s="323">
        <f>'ALL ML SYSTEMS'!Z270</f>
        <v>0</v>
      </c>
      <c r="AA270" s="340" t="str">
        <f>'ALL ML SYSTEMS'!AA270</f>
        <v/>
      </c>
      <c r="AB270" s="323">
        <f>'ALL ML SYSTEMS'!AB270</f>
        <v>0</v>
      </c>
      <c r="AC270" s="323">
        <f>'ALL ML SYSTEMS'!AC270</f>
        <v>0</v>
      </c>
      <c r="AD270" s="323" t="str">
        <f>'ALL ML SYSTEMS'!AD270</f>
        <v>Industry</v>
      </c>
    </row>
    <row r="271" customHeight="1" spans="1:30">
      <c r="A271" s="325" t="str">
        <f>'ALL ML SYSTEMS'!A271</f>
        <v>Wide Residual Network</v>
      </c>
      <c r="B271" s="325" t="str">
        <f>'ALL ML SYSTEMS'!B271</f>
        <v>Vision</v>
      </c>
      <c r="C271" s="325" t="str">
        <f>'ALL ML SYSTEMS'!C271</f>
        <v>Image classification</v>
      </c>
      <c r="D271" s="325" t="str">
        <f>'ALL ML SYSTEMS'!D271</f>
        <v>Université Paris-Est</v>
      </c>
      <c r="E271" s="325" t="str">
        <f>'ALL ML SYSTEMS'!E271</f>
        <v>Academia</v>
      </c>
      <c r="F271" s="325" t="str">
        <f>'ALL ML SYSTEMS'!F271</f>
        <v>Sergey Zagoruyko, Nikos Komodakis</v>
      </c>
      <c r="G271" s="326">
        <f>'ALL ML SYSTEMS'!G271</f>
        <v>42632</v>
      </c>
      <c r="H271" s="327">
        <f>'ALL ML SYSTEMS'!H271</f>
        <v>2632</v>
      </c>
      <c r="I271" s="325" t="str">
        <f>'ALL ML SYSTEMS'!I271</f>
        <v>Wide Residual Networks</v>
      </c>
      <c r="J271" s="337" t="str">
        <f>'ALL ML SYSTEMS'!J271</f>
        <v>https://arxiv.org/abs/1605.07146</v>
      </c>
      <c r="K271" s="338">
        <f>'ALL ML SYSTEMS'!K271</f>
        <v>4523</v>
      </c>
      <c r="L271" s="325" t="str">
        <f>'ALL ML SYSTEMS'!L271</f>
        <v>Highly cited</v>
      </c>
      <c r="M271" s="338" t="str">
        <f>'ALL ML SYSTEMS'!M271</f>
        <v>Yes</v>
      </c>
      <c r="N271" s="338">
        <f>'ALL ML SYSTEMS'!N271</f>
        <v>0</v>
      </c>
      <c r="O271" s="338">
        <f>'ALL ML SYSTEMS'!O271</f>
        <v>0</v>
      </c>
      <c r="P271" s="339">
        <f>'ALL ML SYSTEMS'!P271</f>
        <v>0</v>
      </c>
      <c r="Q271" s="338">
        <f>'ALL ML SYSTEMS'!Q271</f>
        <v>0</v>
      </c>
      <c r="R271" s="325">
        <f>'ALL ML SYSTEMS'!R271</f>
        <v>0</v>
      </c>
      <c r="S271" s="338">
        <f>'ALL ML SYSTEMS'!S271</f>
        <v>0</v>
      </c>
      <c r="T271" s="325">
        <f>'ALL ML SYSTEMS'!T271</f>
        <v>0</v>
      </c>
      <c r="U271" s="325">
        <f>'ALL ML SYSTEMS'!U271</f>
        <v>0</v>
      </c>
      <c r="V271" s="325">
        <f>'ALL ML SYSTEMS'!V271</f>
        <v>0</v>
      </c>
      <c r="W271" s="325">
        <f>'ALL ML SYSTEMS'!W271</f>
        <v>0</v>
      </c>
      <c r="X271" s="325">
        <f>'ALL ML SYSTEMS'!X271</f>
        <v>0</v>
      </c>
      <c r="Y271" s="325">
        <f>'ALL ML SYSTEMS'!Y271</f>
        <v>0</v>
      </c>
      <c r="Z271" s="325">
        <f>'ALL ML SYSTEMS'!Z271</f>
        <v>0</v>
      </c>
      <c r="AA271" s="341" t="str">
        <f>'ALL ML SYSTEMS'!AA271</f>
        <v/>
      </c>
      <c r="AB271" s="325">
        <f>'ALL ML SYSTEMS'!AB271</f>
        <v>0</v>
      </c>
      <c r="AC271" s="325">
        <f>'ALL ML SYSTEMS'!AC271</f>
        <v>0</v>
      </c>
      <c r="AD271" s="325" t="str">
        <f>'ALL ML SYSTEMS'!AD271</f>
        <v>Academia</v>
      </c>
    </row>
    <row r="272" customHeight="1" spans="1:30">
      <c r="A272" s="323">
        <f>'ALL ML SYSTEMS'!A272</f>
        <v>0</v>
      </c>
      <c r="B272" s="323">
        <f>'ALL ML SYSTEMS'!B272</f>
        <v>0</v>
      </c>
      <c r="C272" s="323">
        <f>'ALL ML SYSTEMS'!C272</f>
        <v>0</v>
      </c>
      <c r="D272" s="323" t="str">
        <f>'ALL ML SYSTEMS'!D272</f>
        <v>Google DeepMind</v>
      </c>
      <c r="E272" s="323" t="str">
        <f>'ALL ML SYSTEMS'!E272</f>
        <v>Industry</v>
      </c>
      <c r="F272" s="323" t="str">
        <f>'ALL ML SYSTEMS'!F272</f>
        <v>Alex Graves, Greg Wayne, Malcolm Reynolds, Tim Harley, Ivo Danihelka, Agnieszka Grabska-Barwińska, Sergio Gómez Colmenarejo, Edward Grefenstette, Tiago Ramalho, John Agapiou, Adrià Puigdomènech Badia, Karl Moritz Hermann, Yori Zwols, Georg Ostrovski, Adam Cain, Helen King, Christopher Summerfield, Phil Blunsom, Koray Kavukcuoglu &amp; Demis Hassabis</v>
      </c>
      <c r="G272" s="324">
        <f>'ALL ML SYSTEMS'!G272</f>
        <v>42655</v>
      </c>
      <c r="H272" s="329">
        <f>'ALL ML SYSTEMS'!H272</f>
        <v>2655</v>
      </c>
      <c r="I272" s="323" t="str">
        <f>'ALL ML SYSTEMS'!I272</f>
        <v>Hybrid computing using a neural network with dynamic external memory</v>
      </c>
      <c r="J272" s="334" t="str">
        <f>'ALL ML SYSTEMS'!J272</f>
        <v>https://www.nature.com/articles/nature20101</v>
      </c>
      <c r="K272" s="335">
        <f>'ALL ML SYSTEMS'!K272</f>
        <v>1240</v>
      </c>
      <c r="L272" s="323" t="str">
        <f>'ALL ML SYSTEMS'!L272</f>
        <v>Highly cited</v>
      </c>
      <c r="M272" s="335" t="str">
        <f>'ALL ML SYSTEMS'!M272</f>
        <v>Yes</v>
      </c>
      <c r="N272" s="335">
        <f>'ALL ML SYSTEMS'!N272</f>
        <v>0</v>
      </c>
      <c r="O272" s="335">
        <f>'ALL ML SYSTEMS'!O272</f>
        <v>0</v>
      </c>
      <c r="P272" s="336">
        <f>'ALL ML SYSTEMS'!P272</f>
        <v>0</v>
      </c>
      <c r="Q272" s="335">
        <f>'ALL ML SYSTEMS'!Q272</f>
        <v>0</v>
      </c>
      <c r="R272" s="323">
        <f>'ALL ML SYSTEMS'!R272</f>
        <v>0</v>
      </c>
      <c r="S272" s="335">
        <f>'ALL ML SYSTEMS'!S272</f>
        <v>0</v>
      </c>
      <c r="T272" s="323">
        <f>'ALL ML SYSTEMS'!T272</f>
        <v>0</v>
      </c>
      <c r="U272" s="323">
        <f>'ALL ML SYSTEMS'!U272</f>
        <v>0</v>
      </c>
      <c r="V272" s="323">
        <f>'ALL ML SYSTEMS'!V272</f>
        <v>0</v>
      </c>
      <c r="W272" s="323">
        <f>'ALL ML SYSTEMS'!W272</f>
        <v>0</v>
      </c>
      <c r="X272" s="323">
        <f>'ALL ML SYSTEMS'!X272</f>
        <v>0</v>
      </c>
      <c r="Y272" s="323">
        <f>'ALL ML SYSTEMS'!Y272</f>
        <v>0</v>
      </c>
      <c r="Z272" s="323">
        <f>'ALL ML SYSTEMS'!Z272</f>
        <v>0</v>
      </c>
      <c r="AA272" s="340" t="str">
        <f>'ALL ML SYSTEMS'!AA272</f>
        <v/>
      </c>
      <c r="AB272" s="323">
        <f>'ALL ML SYSTEMS'!AB272</f>
        <v>0</v>
      </c>
      <c r="AC272" s="323">
        <f>'ALL ML SYSTEMS'!AC272</f>
        <v>0</v>
      </c>
      <c r="AD272" s="323" t="str">
        <f>'ALL ML SYSTEMS'!AD272</f>
        <v>Industry</v>
      </c>
    </row>
    <row r="273" customHeight="1" spans="1:30">
      <c r="A273" s="325">
        <f>'ALL ML SYSTEMS'!A273</f>
        <v>0</v>
      </c>
      <c r="B273" s="325" t="str">
        <f>'ALL ML SYSTEMS'!B273</f>
        <v>Vision</v>
      </c>
      <c r="C273" s="325" t="str">
        <f>'ALL ML SYSTEMS'!C273</f>
        <v>Image super-resolution</v>
      </c>
      <c r="D273" s="325" t="str">
        <f>'ALL ML SYSTEMS'!D273</f>
        <v>Seoul National University</v>
      </c>
      <c r="E273" s="325" t="str">
        <f>'ALL ML SYSTEMS'!E273</f>
        <v>Academia</v>
      </c>
      <c r="F273" s="325" t="str">
        <f>'ALL ML SYSTEMS'!F273</f>
        <v>Jiwon Kim, Jung Kwon Lee, Kyoung Mu Lee</v>
      </c>
      <c r="G273" s="326">
        <f>'ALL ML SYSTEMS'!G273</f>
        <v>42685</v>
      </c>
      <c r="H273" s="327">
        <f>'ALL ML SYSTEMS'!H273</f>
        <v>2685</v>
      </c>
      <c r="I273" s="325" t="str">
        <f>'ALL ML SYSTEMS'!I273</f>
        <v>Deeply-Recursive Convolutional Network for Image Super-Resolution</v>
      </c>
      <c r="J273" s="337" t="str">
        <f>'ALL ML SYSTEMS'!J273</f>
        <v>https://arxiv.org/abs/1511.04491</v>
      </c>
      <c r="K273" s="338">
        <f>'ALL ML SYSTEMS'!K273</f>
        <v>1965</v>
      </c>
      <c r="L273" s="325" t="str">
        <f>'ALL ML SYSTEMS'!L273</f>
        <v>Highly cited</v>
      </c>
      <c r="M273" s="338" t="str">
        <f>'ALL ML SYSTEMS'!M273</f>
        <v>Yes</v>
      </c>
      <c r="N273" s="338">
        <f>'ALL ML SYSTEMS'!N273</f>
        <v>0</v>
      </c>
      <c r="O273" s="338">
        <f>'ALL ML SYSTEMS'!O273</f>
        <v>0</v>
      </c>
      <c r="P273" s="339">
        <f>'ALL ML SYSTEMS'!P273</f>
        <v>0</v>
      </c>
      <c r="Q273" s="338">
        <f>'ALL ML SYSTEMS'!Q273</f>
        <v>0</v>
      </c>
      <c r="R273" s="325">
        <f>'ALL ML SYSTEMS'!R273</f>
        <v>0</v>
      </c>
      <c r="S273" s="338">
        <f>'ALL ML SYSTEMS'!S273</f>
        <v>0</v>
      </c>
      <c r="T273" s="325">
        <f>'ALL ML SYSTEMS'!T273</f>
        <v>0</v>
      </c>
      <c r="U273" s="325">
        <f>'ALL ML SYSTEMS'!U273</f>
        <v>0</v>
      </c>
      <c r="V273" s="325">
        <f>'ALL ML SYSTEMS'!V273</f>
        <v>0</v>
      </c>
      <c r="W273" s="325">
        <f>'ALL ML SYSTEMS'!W273</f>
        <v>0</v>
      </c>
      <c r="X273" s="325">
        <f>'ALL ML SYSTEMS'!X273</f>
        <v>0</v>
      </c>
      <c r="Y273" s="325">
        <f>'ALL ML SYSTEMS'!Y273</f>
        <v>0</v>
      </c>
      <c r="Z273" s="325">
        <f>'ALL ML SYSTEMS'!Z273</f>
        <v>0</v>
      </c>
      <c r="AA273" s="341" t="str">
        <f>'ALL ML SYSTEMS'!AA273</f>
        <v/>
      </c>
      <c r="AB273" s="325">
        <f>'ALL ML SYSTEMS'!AB273</f>
        <v>0</v>
      </c>
      <c r="AC273" s="325">
        <f>'ALL ML SYSTEMS'!AC273</f>
        <v>0</v>
      </c>
      <c r="AD273" s="325" t="str">
        <f>'ALL ML SYSTEMS'!AD273</f>
        <v>Academia</v>
      </c>
    </row>
    <row r="274" customHeight="1" spans="1:30">
      <c r="A274" s="323" t="str">
        <f>'ALL ML SYSTEMS'!A274</f>
        <v>ResNeXt-50</v>
      </c>
      <c r="B274" s="323" t="str">
        <f>'ALL ML SYSTEMS'!B274</f>
        <v>Vision</v>
      </c>
      <c r="C274" s="323" t="str">
        <f>'ALL ML SYSTEMS'!C274</f>
        <v>Image classification</v>
      </c>
      <c r="D274" s="323" t="str">
        <f>'ALL ML SYSTEMS'!D274</f>
        <v>UC San Diego, Facebook</v>
      </c>
      <c r="E274" s="323" t="str">
        <f>'ALL ML SYSTEMS'!E274</f>
        <v>Industry - Academia Collaboration</v>
      </c>
      <c r="F274" s="323" t="str">
        <f>'ALL ML SYSTEMS'!F274</f>
        <v>Saining Xie, Ross Girshick, Piotr Dollár, Zhuowen Tu, Kaiming He</v>
      </c>
      <c r="G274" s="324">
        <f>'ALL ML SYSTEMS'!G274</f>
        <v>42690</v>
      </c>
      <c r="H274" s="329">
        <f>'ALL ML SYSTEMS'!H274</f>
        <v>2690</v>
      </c>
      <c r="I274" s="323" t="str">
        <f>'ALL ML SYSTEMS'!I274</f>
        <v>Aggregated Residual Transformations for Deep Neural Networks</v>
      </c>
      <c r="J274" s="334" t="str">
        <f>'ALL ML SYSTEMS'!J274</f>
        <v>https://arxiv.org/abs/1611.05431</v>
      </c>
      <c r="K274" s="335">
        <f>'ALL ML SYSTEMS'!K274</f>
        <v>4800</v>
      </c>
      <c r="L274" s="323" t="str">
        <f>'ALL ML SYSTEMS'!L274</f>
        <v>Highly cited</v>
      </c>
      <c r="M274" s="335" t="str">
        <f>'ALL ML SYSTEMS'!M274</f>
        <v>Yes</v>
      </c>
      <c r="N274" s="335">
        <f>'ALL ML SYSTEMS'!N274</f>
        <v>25000000</v>
      </c>
      <c r="O274" s="335">
        <f>'ALL ML SYSTEMS'!O274</f>
        <v>0</v>
      </c>
      <c r="P274" s="336">
        <f>'ALL ML SYSTEMS'!P274</f>
        <v>0</v>
      </c>
      <c r="Q274" s="335">
        <f>'ALL ML SYSTEMS'!Q274</f>
        <v>0</v>
      </c>
      <c r="R274" s="323">
        <f>'ALL ML SYSTEMS'!R274</f>
        <v>0</v>
      </c>
      <c r="S274" s="335">
        <f>'ALL ML SYSTEMS'!S274</f>
        <v>8400000000</v>
      </c>
      <c r="T274" s="323">
        <f>'ALL ML SYSTEMS'!T274</f>
        <v>0</v>
      </c>
      <c r="U274" s="323">
        <f>'ALL ML SYSTEMS'!U274</f>
        <v>0</v>
      </c>
      <c r="V274" s="323">
        <f>'ALL ML SYSTEMS'!V274</f>
        <v>0</v>
      </c>
      <c r="W274" s="323">
        <f>'ALL ML SYSTEMS'!W274</f>
        <v>0</v>
      </c>
      <c r="X274" s="323">
        <f>'ALL ML SYSTEMS'!X274</f>
        <v>0</v>
      </c>
      <c r="Y274" s="323">
        <f>'ALL ML SYSTEMS'!Y274</f>
        <v>0</v>
      </c>
      <c r="Z274" s="323">
        <f>'ALL ML SYSTEMS'!Z274</f>
        <v>0</v>
      </c>
      <c r="AA274" s="340" t="str">
        <f>'ALL ML SYSTEMS'!AA274</f>
        <v/>
      </c>
      <c r="AB274" s="323">
        <f>'ALL ML SYSTEMS'!AB274</f>
        <v>0</v>
      </c>
      <c r="AC274" s="323">
        <f>'ALL ML SYSTEMS'!AC274</f>
        <v>0</v>
      </c>
      <c r="AD274" s="323" t="str">
        <f>'ALL ML SYSTEMS'!AD274</f>
        <v>Industry</v>
      </c>
    </row>
    <row r="275" hidden="1" customHeight="1" spans="1:30">
      <c r="A275" s="325" t="str">
        <f>'ALL ML SYSTEMS'!A275</f>
        <v>PolyNet</v>
      </c>
      <c r="B275" s="325" t="str">
        <f>'ALL ML SYSTEMS'!B275</f>
        <v>Vision</v>
      </c>
      <c r="C275" s="325" t="str">
        <f>'ALL ML SYSTEMS'!C275</f>
        <v>Image classification</v>
      </c>
      <c r="D275" s="325" t="str">
        <f>'ALL ML SYSTEMS'!D275</f>
        <v>The Chinese University of Hong Kong</v>
      </c>
      <c r="E275" s="325" t="str">
        <f>'ALL ML SYSTEMS'!E275</f>
        <v>Academia</v>
      </c>
      <c r="F275" s="325" t="str">
        <f>'ALL ML SYSTEMS'!F275</f>
        <v>X Zhang, Z Li, C Change Loy</v>
      </c>
      <c r="G275" s="326">
        <f>'ALL ML SYSTEMS'!G275</f>
        <v>42691</v>
      </c>
      <c r="H275" s="327">
        <f>'ALL ML SYSTEMS'!H275</f>
        <v>2691</v>
      </c>
      <c r="I275" s="325" t="str">
        <f>'ALL ML SYSTEMS'!I275</f>
        <v>PolyNet: A Pursuit of Structural Diversity in Very Deep Networks</v>
      </c>
      <c r="J275" s="337" t="str">
        <f>'ALL ML SYSTEMS'!J275</f>
        <v>https://arxiv.org/abs/1611.05725</v>
      </c>
      <c r="K275" s="338">
        <f>'ALL ML SYSTEMS'!K275</f>
        <v>188</v>
      </c>
      <c r="L275" s="325">
        <f>'ALL ML SYSTEMS'!L275</f>
        <v>0</v>
      </c>
      <c r="M275" s="338" t="str">
        <f>'ALL ML SYSTEMS'!M275</f>
        <v>No</v>
      </c>
      <c r="N275" s="338">
        <f>'ALL ML SYSTEMS'!N275</f>
        <v>92000000</v>
      </c>
      <c r="O275" s="338">
        <f>'ALL ML SYSTEMS'!O275</f>
        <v>0</v>
      </c>
      <c r="P275" s="339">
        <f>'ALL ML SYSTEMS'!P275</f>
        <v>0</v>
      </c>
      <c r="Q275" s="338">
        <f>'ALL ML SYSTEMS'!Q275</f>
        <v>0</v>
      </c>
      <c r="R275" s="325">
        <f>'ALL ML SYSTEMS'!R275</f>
        <v>0</v>
      </c>
      <c r="S275" s="338">
        <f>'ALL ML SYSTEMS'!S275</f>
        <v>0</v>
      </c>
      <c r="T275" s="325">
        <f>'ALL ML SYSTEMS'!T275</f>
        <v>0</v>
      </c>
      <c r="U275" s="325">
        <f>'ALL ML SYSTEMS'!U275</f>
        <v>0</v>
      </c>
      <c r="V275" s="325">
        <f>'ALL ML SYSTEMS'!V275</f>
        <v>0</v>
      </c>
      <c r="W275" s="325">
        <f>'ALL ML SYSTEMS'!W275</f>
        <v>0</v>
      </c>
      <c r="X275" s="325">
        <f>'ALL ML SYSTEMS'!X275</f>
        <v>0</v>
      </c>
      <c r="Y275" s="325">
        <f>'ALL ML SYSTEMS'!Y275</f>
        <v>0</v>
      </c>
      <c r="Z275" s="325">
        <f>'ALL ML SYSTEMS'!Z275</f>
        <v>0</v>
      </c>
      <c r="AA275" s="341" t="str">
        <f>'ALL ML SYSTEMS'!AA275</f>
        <v/>
      </c>
      <c r="AB275" s="325"/>
      <c r="AC275" s="325">
        <f>'ALL ML SYSTEMS'!AB275</f>
        <v>0</v>
      </c>
      <c r="AD275" s="325">
        <f>'ALL ML SYSTEMS'!AC275</f>
        <v>0</v>
      </c>
    </row>
    <row r="276" customHeight="1" spans="1:30">
      <c r="A276" s="323" t="str">
        <f>'ALL ML SYSTEMS'!A276</f>
        <v>RefineNet</v>
      </c>
      <c r="B276" s="323" t="str">
        <f>'ALL ML SYSTEMS'!B276</f>
        <v>Vision</v>
      </c>
      <c r="C276" s="323" t="str">
        <f>'ALL ML SYSTEMS'!C276</f>
        <v>Object detection</v>
      </c>
      <c r="D276" s="323" t="str">
        <f>'ALL ML SYSTEMS'!D276</f>
        <v>University of Adelaide, Australian Centre for Robotic Vision</v>
      </c>
      <c r="E276" s="323" t="str">
        <f>'ALL ML SYSTEMS'!E276</f>
        <v>Industry - Academia Collaboration</v>
      </c>
      <c r="F276" s="323" t="str">
        <f>'ALL ML SYSTEMS'!F276</f>
        <v>Guosheng Lin, Anton Milan, Chunhua Shen, Ian Reid</v>
      </c>
      <c r="G276" s="324">
        <f>'ALL ML SYSTEMS'!G276</f>
        <v>42694</v>
      </c>
      <c r="H276" s="329">
        <f>'ALL ML SYSTEMS'!H276</f>
        <v>2694</v>
      </c>
      <c r="I276" s="323" t="str">
        <f>'ALL ML SYSTEMS'!I276</f>
        <v>RefineNet: Multi-Path Refinement Networks for High-Resolution Semantic Segmentation</v>
      </c>
      <c r="J276" s="334" t="str">
        <f>'ALL ML SYSTEMS'!J276</f>
        <v>https://arxiv.org/abs/1611.06612v3</v>
      </c>
      <c r="K276" s="335">
        <f>'ALL ML SYSTEMS'!K276</f>
        <v>2059</v>
      </c>
      <c r="L276" s="323" t="str">
        <f>'ALL ML SYSTEMS'!L276</f>
        <v>Highly cited</v>
      </c>
      <c r="M276" s="335" t="str">
        <f>'ALL ML SYSTEMS'!M276</f>
        <v>Yes</v>
      </c>
      <c r="N276" s="335">
        <f>'ALL ML SYSTEMS'!N276</f>
        <v>0</v>
      </c>
      <c r="O276" s="335">
        <f>'ALL ML SYSTEMS'!O276</f>
        <v>0</v>
      </c>
      <c r="P276" s="336">
        <f>'ALL ML SYSTEMS'!P276</f>
        <v>0</v>
      </c>
      <c r="Q276" s="335">
        <f>'ALL ML SYSTEMS'!Q276</f>
        <v>0</v>
      </c>
      <c r="R276" s="323">
        <f>'ALL ML SYSTEMS'!R276</f>
        <v>0</v>
      </c>
      <c r="S276" s="335">
        <f>'ALL ML SYSTEMS'!S276</f>
        <v>0</v>
      </c>
      <c r="T276" s="323">
        <f>'ALL ML SYSTEMS'!T276</f>
        <v>0</v>
      </c>
      <c r="U276" s="323">
        <f>'ALL ML SYSTEMS'!U276</f>
        <v>0</v>
      </c>
      <c r="V276" s="323">
        <f>'ALL ML SYSTEMS'!V276</f>
        <v>0</v>
      </c>
      <c r="W276" s="323">
        <f>'ALL ML SYSTEMS'!W276</f>
        <v>0</v>
      </c>
      <c r="X276" s="323">
        <f>'ALL ML SYSTEMS'!X276</f>
        <v>0</v>
      </c>
      <c r="Y276" s="323">
        <f>'ALL ML SYSTEMS'!Y276</f>
        <v>0</v>
      </c>
      <c r="Z276" s="323">
        <f>'ALL ML SYSTEMS'!Z276</f>
        <v>0</v>
      </c>
      <c r="AA276" s="340" t="str">
        <f>'ALL ML SYSTEMS'!AA276</f>
        <v/>
      </c>
      <c r="AB276" s="323">
        <f>'ALL ML SYSTEMS'!AB276</f>
        <v>0</v>
      </c>
      <c r="AC276" s="323">
        <f>'ALL ML SYSTEMS'!AC276</f>
        <v>0</v>
      </c>
      <c r="AD276" s="323" t="str">
        <f>'ALL ML SYSTEMS'!AD276</f>
        <v>Industry</v>
      </c>
    </row>
    <row r="277" customHeight="1" spans="1:30">
      <c r="A277" s="325">
        <f>'ALL ML SYSTEMS'!A277</f>
        <v>0</v>
      </c>
      <c r="B277" s="325">
        <f>'ALL ML SYSTEMS'!B277</f>
        <v>0</v>
      </c>
      <c r="C277" s="325">
        <f>'ALL ML SYSTEMS'!C277</f>
        <v>0</v>
      </c>
      <c r="D277" s="325" t="str">
        <f>'ALL ML SYSTEMS'!D277</f>
        <v>UC Berkeley</v>
      </c>
      <c r="E277" s="325" t="str">
        <f>'ALL ML SYSTEMS'!E277</f>
        <v>Academia</v>
      </c>
      <c r="F277" s="325" t="str">
        <f>'ALL ML SYSTEMS'!F277</f>
        <v>P Isola, JY Zhu, T Zhou</v>
      </c>
      <c r="G277" s="326">
        <f>'ALL ML SYSTEMS'!G277</f>
        <v>42695</v>
      </c>
      <c r="H277" s="327">
        <f>'ALL ML SYSTEMS'!H277</f>
        <v>2695</v>
      </c>
      <c r="I277" s="325" t="str">
        <f>'ALL ML SYSTEMS'!I277</f>
        <v>Image-to-Image Translation with Conditional Adversarial Networks</v>
      </c>
      <c r="J277" s="337" t="str">
        <f>'ALL ML SYSTEMS'!J277</f>
        <v>https://arxiv.org/abs/1611.07004</v>
      </c>
      <c r="K277" s="338">
        <f>'ALL ML SYSTEMS'!K277</f>
        <v>9859</v>
      </c>
      <c r="L277" s="325" t="str">
        <f>'ALL ML SYSTEMS'!L277</f>
        <v>Highly cited</v>
      </c>
      <c r="M277" s="338" t="str">
        <f>'ALL ML SYSTEMS'!M277</f>
        <v>Yes</v>
      </c>
      <c r="N277" s="338">
        <f>'ALL ML SYSTEMS'!N277</f>
        <v>0</v>
      </c>
      <c r="O277" s="338">
        <f>'ALL ML SYSTEMS'!O277</f>
        <v>0</v>
      </c>
      <c r="P277" s="339">
        <f>'ALL ML SYSTEMS'!P277</f>
        <v>0</v>
      </c>
      <c r="Q277" s="338">
        <f>'ALL ML SYSTEMS'!Q277</f>
        <v>0</v>
      </c>
      <c r="R277" s="325">
        <f>'ALL ML SYSTEMS'!R277</f>
        <v>0</v>
      </c>
      <c r="S277" s="338">
        <f>'ALL ML SYSTEMS'!S277</f>
        <v>0</v>
      </c>
      <c r="T277" s="325">
        <f>'ALL ML SYSTEMS'!T277</f>
        <v>0</v>
      </c>
      <c r="U277" s="325">
        <f>'ALL ML SYSTEMS'!U277</f>
        <v>0</v>
      </c>
      <c r="V277" s="325">
        <f>'ALL ML SYSTEMS'!V277</f>
        <v>0</v>
      </c>
      <c r="W277" s="325">
        <f>'ALL ML SYSTEMS'!W277</f>
        <v>0</v>
      </c>
      <c r="X277" s="325">
        <f>'ALL ML SYSTEMS'!X277</f>
        <v>0</v>
      </c>
      <c r="Y277" s="325">
        <f>'ALL ML SYSTEMS'!Y277</f>
        <v>0</v>
      </c>
      <c r="Z277" s="325">
        <f>'ALL ML SYSTEMS'!Z277</f>
        <v>0</v>
      </c>
      <c r="AA277" s="341" t="str">
        <f>'ALL ML SYSTEMS'!AA277</f>
        <v/>
      </c>
      <c r="AB277" s="325">
        <f>'ALL ML SYSTEMS'!AB277</f>
        <v>0</v>
      </c>
      <c r="AC277" s="325">
        <f>'ALL ML SYSTEMS'!AC277</f>
        <v>0</v>
      </c>
      <c r="AD277" s="325" t="str">
        <f>'ALL ML SYSTEMS'!AD277</f>
        <v>Academia</v>
      </c>
    </row>
    <row r="278" customHeight="1" spans="1:30">
      <c r="A278" s="323">
        <f>'ALL ML SYSTEMS'!A278</f>
        <v>0</v>
      </c>
      <c r="B278" s="323">
        <f>'ALL ML SYSTEMS'!B278</f>
        <v>0</v>
      </c>
      <c r="C278" s="323">
        <f>'ALL ML SYSTEMS'!C278</f>
        <v>0</v>
      </c>
      <c r="D278" s="323" t="str">
        <f>'ALL ML SYSTEMS'!D278</f>
        <v>DeepMind</v>
      </c>
      <c r="E278" s="323" t="str">
        <f>'ALL ML SYSTEMS'!E278</f>
        <v>Industry</v>
      </c>
      <c r="F278" s="323" t="str">
        <f>'ALL ML SYSTEMS'!F278</f>
        <v>J Kirkpatrick, R Pascanu</v>
      </c>
      <c r="G278" s="324">
        <f>'ALL ML SYSTEMS'!G278</f>
        <v>42706</v>
      </c>
      <c r="H278" s="329">
        <f>'ALL ML SYSTEMS'!H278</f>
        <v>2706</v>
      </c>
      <c r="I278" s="323" t="str">
        <f>'ALL ML SYSTEMS'!I278</f>
        <v>Overcoming catastrophic forgetting in neural networks</v>
      </c>
      <c r="J278" s="334" t="str">
        <f>'ALL ML SYSTEMS'!J278</f>
        <v>https://arxiv.org/abs/1612.00796</v>
      </c>
      <c r="K278" s="335">
        <f>'ALL ML SYSTEMS'!K278</f>
        <v>2156</v>
      </c>
      <c r="L278" s="323" t="str">
        <f>'ALL ML SYSTEMS'!L278</f>
        <v>Highly cited</v>
      </c>
      <c r="M278" s="335" t="str">
        <f>'ALL ML SYSTEMS'!M278</f>
        <v>Yes</v>
      </c>
      <c r="N278" s="335">
        <f>'ALL ML SYSTEMS'!N278</f>
        <v>0</v>
      </c>
      <c r="O278" s="335">
        <f>'ALL ML SYSTEMS'!O278</f>
        <v>0</v>
      </c>
      <c r="P278" s="336">
        <f>'ALL ML SYSTEMS'!P278</f>
        <v>0</v>
      </c>
      <c r="Q278" s="335">
        <f>'ALL ML SYSTEMS'!Q278</f>
        <v>0</v>
      </c>
      <c r="R278" s="323">
        <f>'ALL ML SYSTEMS'!R278</f>
        <v>0</v>
      </c>
      <c r="S278" s="335">
        <f>'ALL ML SYSTEMS'!S278</f>
        <v>0</v>
      </c>
      <c r="T278" s="323">
        <f>'ALL ML SYSTEMS'!T278</f>
        <v>0</v>
      </c>
      <c r="U278" s="323">
        <f>'ALL ML SYSTEMS'!U278</f>
        <v>0</v>
      </c>
      <c r="V278" s="323">
        <f>'ALL ML SYSTEMS'!V278</f>
        <v>0</v>
      </c>
      <c r="W278" s="323">
        <f>'ALL ML SYSTEMS'!W278</f>
        <v>0</v>
      </c>
      <c r="X278" s="323">
        <f>'ALL ML SYSTEMS'!X278</f>
        <v>0</v>
      </c>
      <c r="Y278" s="323">
        <f>'ALL ML SYSTEMS'!Y278</f>
        <v>0</v>
      </c>
      <c r="Z278" s="323">
        <f>'ALL ML SYSTEMS'!Z278</f>
        <v>0</v>
      </c>
      <c r="AA278" s="340" t="str">
        <f>'ALL ML SYSTEMS'!AA278</f>
        <v/>
      </c>
      <c r="AB278" s="323">
        <f>'ALL ML SYSTEMS'!AB278</f>
        <v>0</v>
      </c>
      <c r="AC278" s="323">
        <f>'ALL ML SYSTEMS'!AC278</f>
        <v>0</v>
      </c>
      <c r="AD278" s="323" t="str">
        <f>'ALL ML SYSTEMS'!AD278</f>
        <v>Industry</v>
      </c>
    </row>
    <row r="279" customHeight="1" spans="1:30">
      <c r="A279" s="325" t="str">
        <f>'ALL ML SYSTEMS'!A279</f>
        <v>PointNet</v>
      </c>
      <c r="B279" s="325" t="str">
        <f>'ALL ML SYSTEMS'!B279</f>
        <v>Other</v>
      </c>
      <c r="C279" s="325" t="str">
        <f>'ALL ML SYSTEMS'!C279</f>
        <v>3d segmentation</v>
      </c>
      <c r="D279" s="325" t="str">
        <f>'ALL ML SYSTEMS'!D279</f>
        <v>Stanford</v>
      </c>
      <c r="E279" s="325" t="str">
        <f>'ALL ML SYSTEMS'!E279</f>
        <v>Academia</v>
      </c>
      <c r="F279" s="325" t="str">
        <f>'ALL ML SYSTEMS'!F279</f>
        <v>CR Qi, H Su, K Mo, LJ Guibas</v>
      </c>
      <c r="G279" s="326">
        <f>'ALL ML SYSTEMS'!G279</f>
        <v>42706</v>
      </c>
      <c r="H279" s="327">
        <f>'ALL ML SYSTEMS'!H279</f>
        <v>2706</v>
      </c>
      <c r="I279" s="325" t="str">
        <f>'ALL ML SYSTEMS'!I279</f>
        <v>PointNet: Deep Learning on Point Sets for 3D Classification and Segmentation</v>
      </c>
      <c r="J279" s="337" t="str">
        <f>'ALL ML SYSTEMS'!J279</f>
        <v>https://arxiv.org/abs/1612.00593</v>
      </c>
      <c r="K279" s="338">
        <f>'ALL ML SYSTEMS'!K279</f>
        <v>5040</v>
      </c>
      <c r="L279" s="325" t="str">
        <f>'ALL ML SYSTEMS'!L279</f>
        <v>Highly cited</v>
      </c>
      <c r="M279" s="338" t="str">
        <f>'ALL ML SYSTEMS'!M279</f>
        <v>Yes</v>
      </c>
      <c r="N279" s="338">
        <f>'ALL ML SYSTEMS'!N279</f>
        <v>0</v>
      </c>
      <c r="O279" s="338">
        <f>'ALL ML SYSTEMS'!O279</f>
        <v>0</v>
      </c>
      <c r="P279" s="339">
        <f>'ALL ML SYSTEMS'!P279</f>
        <v>0</v>
      </c>
      <c r="Q279" s="338">
        <f>'ALL ML SYSTEMS'!Q279</f>
        <v>0</v>
      </c>
      <c r="R279" s="325">
        <f>'ALL ML SYSTEMS'!R279</f>
        <v>0</v>
      </c>
      <c r="S279" s="338">
        <f>'ALL ML SYSTEMS'!S279</f>
        <v>0</v>
      </c>
      <c r="T279" s="325">
        <f>'ALL ML SYSTEMS'!T279</f>
        <v>0</v>
      </c>
      <c r="U279" s="325">
        <f>'ALL ML SYSTEMS'!U279</f>
        <v>0</v>
      </c>
      <c r="V279" s="325">
        <f>'ALL ML SYSTEMS'!V279</f>
        <v>0</v>
      </c>
      <c r="W279" s="325">
        <f>'ALL ML SYSTEMS'!W279</f>
        <v>0</v>
      </c>
      <c r="X279" s="325">
        <f>'ALL ML SYSTEMS'!X279</f>
        <v>0</v>
      </c>
      <c r="Y279" s="325">
        <f>'ALL ML SYSTEMS'!Y279</f>
        <v>0</v>
      </c>
      <c r="Z279" s="325">
        <f>'ALL ML SYSTEMS'!Z279</f>
        <v>0</v>
      </c>
      <c r="AA279" s="341" t="str">
        <f>'ALL ML SYSTEMS'!AA279</f>
        <v/>
      </c>
      <c r="AB279" s="325">
        <f>'ALL ML SYSTEMS'!AB279</f>
        <v>0</v>
      </c>
      <c r="AC279" s="325">
        <f>'ALL ML SYSTEMS'!AC279</f>
        <v>0</v>
      </c>
      <c r="AD279" s="325" t="str">
        <f>'ALL ML SYSTEMS'!AD279</f>
        <v>Academia</v>
      </c>
    </row>
    <row r="280" customHeight="1" spans="1:30">
      <c r="A280" s="323">
        <f>'ALL ML SYSTEMS'!A280</f>
        <v>0</v>
      </c>
      <c r="B280" s="323" t="str">
        <f>'ALL ML SYSTEMS'!B280</f>
        <v>Vision</v>
      </c>
      <c r="C280" s="323" t="str">
        <f>'ALL ML SYSTEMS'!C280</f>
        <v>Image classification</v>
      </c>
      <c r="D280" s="323" t="str">
        <f>'ALL ML SYSTEMS'!D280</f>
        <v>OpenAI</v>
      </c>
      <c r="E280" s="323" t="str">
        <f>'ALL ML SYSTEMS'!E280</f>
        <v>Industry</v>
      </c>
      <c r="F280" s="323" t="str">
        <f>'ALL ML SYSTEMS'!F280</f>
        <v>Tim Salimans, Ian Goodfellow, Wojciech Zaremba, Vicki Cheung, Alec Radford, Xi Chen</v>
      </c>
      <c r="G280" s="324">
        <f>'ALL ML SYSTEMS'!G280</f>
        <v>42709</v>
      </c>
      <c r="H280" s="329">
        <f>'ALL ML SYSTEMS'!H280</f>
        <v>2709</v>
      </c>
      <c r="I280" s="323" t="str">
        <f>'ALL ML SYSTEMS'!I280</f>
        <v>Improved Techniques for Training GANs</v>
      </c>
      <c r="J280" s="334" t="str">
        <f>'ALL ML SYSTEMS'!J280</f>
        <v>https://dl.acm.org/doi/10.5555/3157096.3157346</v>
      </c>
      <c r="K280" s="335">
        <f>'ALL ML SYSTEMS'!K280</f>
        <v>6055</v>
      </c>
      <c r="L280" s="323" t="str">
        <f>'ALL ML SYSTEMS'!L280</f>
        <v>Highly cited</v>
      </c>
      <c r="M280" s="335" t="str">
        <f>'ALL ML SYSTEMS'!M280</f>
        <v>Yes</v>
      </c>
      <c r="N280" s="335">
        <f>'ALL ML SYSTEMS'!N280</f>
        <v>0</v>
      </c>
      <c r="O280" s="335">
        <f>'ALL ML SYSTEMS'!O280</f>
        <v>0</v>
      </c>
      <c r="P280" s="336">
        <f>'ALL ML SYSTEMS'!P280</f>
        <v>0</v>
      </c>
      <c r="Q280" s="335">
        <f>'ALL ML SYSTEMS'!Q280</f>
        <v>0</v>
      </c>
      <c r="R280" s="323">
        <f>'ALL ML SYSTEMS'!R280</f>
        <v>0</v>
      </c>
      <c r="S280" s="335">
        <f>'ALL ML SYSTEMS'!S280</f>
        <v>0</v>
      </c>
      <c r="T280" s="323">
        <f>'ALL ML SYSTEMS'!T280</f>
        <v>0</v>
      </c>
      <c r="U280" s="323">
        <f>'ALL ML SYSTEMS'!U280</f>
        <v>0</v>
      </c>
      <c r="V280" s="323">
        <f>'ALL ML SYSTEMS'!V280</f>
        <v>0</v>
      </c>
      <c r="W280" s="323">
        <f>'ALL ML SYSTEMS'!W280</f>
        <v>0</v>
      </c>
      <c r="X280" s="323">
        <f>'ALL ML SYSTEMS'!X280</f>
        <v>0</v>
      </c>
      <c r="Y280" s="323">
        <f>'ALL ML SYSTEMS'!Y280</f>
        <v>0</v>
      </c>
      <c r="Z280" s="323">
        <f>'ALL ML SYSTEMS'!Z280</f>
        <v>0</v>
      </c>
      <c r="AA280" s="340" t="str">
        <f>'ALL ML SYSTEMS'!AA280</f>
        <v/>
      </c>
      <c r="AB280" s="323">
        <f>'ALL ML SYSTEMS'!AB280</f>
        <v>0</v>
      </c>
      <c r="AC280" s="323">
        <f>'ALL ML SYSTEMS'!AC280</f>
        <v>0</v>
      </c>
      <c r="AD280" s="323" t="str">
        <f>'ALL ML SYSTEMS'!AD280</f>
        <v>Industry</v>
      </c>
    </row>
    <row r="281" customHeight="1" spans="1:30">
      <c r="A281" s="325">
        <f>'ALL ML SYSTEMS'!A281</f>
        <v>0</v>
      </c>
      <c r="B281" s="325" t="str">
        <f>'ALL ML SYSTEMS'!B281</f>
        <v>Vision</v>
      </c>
      <c r="C281" s="325">
        <f>'ALL ML SYSTEMS'!C281</f>
        <v>0</v>
      </c>
      <c r="D281" s="325" t="str">
        <f>'ALL ML SYSTEMS'!D281</f>
        <v>UT Austin, Google Inc, UC Berkeley</v>
      </c>
      <c r="E281" s="325" t="str">
        <f>'ALL ML SYSTEMS'!E281</f>
        <v>Industry - Academia Collaboration</v>
      </c>
      <c r="F281" s="325" t="str">
        <f>'ALL ML SYSTEMS'!F281</f>
        <v>V Gulshan, L Peng, M Coram, MC Stumpe, D Wu</v>
      </c>
      <c r="G281" s="326">
        <f>'ALL ML SYSTEMS'!G281</f>
        <v>42717</v>
      </c>
      <c r="H281" s="327">
        <f>'ALL ML SYSTEMS'!H281</f>
        <v>2717</v>
      </c>
      <c r="I281" s="325" t="str">
        <f>'ALL ML SYSTEMS'!I281</f>
        <v>Development and Validation of a Deep Learning Algorithm for Detection of Diabetic Retinopathy in Retinal Fundus Photographs</v>
      </c>
      <c r="J281" s="337" t="str">
        <f>'ALL ML SYSTEMS'!J281</f>
        <v>https://jamanetwork.com/journals/jama/article-abstract/2588763</v>
      </c>
      <c r="K281" s="338">
        <f>'ALL ML SYSTEMS'!K281</f>
        <v>3540</v>
      </c>
      <c r="L281" s="325" t="str">
        <f>'ALL ML SYSTEMS'!L281</f>
        <v>Highly cited</v>
      </c>
      <c r="M281" s="338" t="str">
        <f>'ALL ML SYSTEMS'!M281</f>
        <v>Yes</v>
      </c>
      <c r="N281" s="338">
        <f>'ALL ML SYSTEMS'!N281</f>
        <v>0</v>
      </c>
      <c r="O281" s="338">
        <f>'ALL ML SYSTEMS'!O281</f>
        <v>0</v>
      </c>
      <c r="P281" s="339">
        <f>'ALL ML SYSTEMS'!P281</f>
        <v>0</v>
      </c>
      <c r="Q281" s="338">
        <f>'ALL ML SYSTEMS'!Q281</f>
        <v>0</v>
      </c>
      <c r="R281" s="325">
        <f>'ALL ML SYSTEMS'!R281</f>
        <v>0</v>
      </c>
      <c r="S281" s="338">
        <f>'ALL ML SYSTEMS'!S281</f>
        <v>0</v>
      </c>
      <c r="T281" s="325">
        <f>'ALL ML SYSTEMS'!T281</f>
        <v>0</v>
      </c>
      <c r="U281" s="325">
        <f>'ALL ML SYSTEMS'!U281</f>
        <v>0</v>
      </c>
      <c r="V281" s="325">
        <f>'ALL ML SYSTEMS'!V281</f>
        <v>0</v>
      </c>
      <c r="W281" s="325">
        <f>'ALL ML SYSTEMS'!W281</f>
        <v>0</v>
      </c>
      <c r="X281" s="325">
        <f>'ALL ML SYSTEMS'!X281</f>
        <v>0</v>
      </c>
      <c r="Y281" s="325">
        <f>'ALL ML SYSTEMS'!Y281</f>
        <v>0</v>
      </c>
      <c r="Z281" s="325">
        <f>'ALL ML SYSTEMS'!Z281</f>
        <v>0</v>
      </c>
      <c r="AA281" s="341" t="str">
        <f>'ALL ML SYSTEMS'!AA281</f>
        <v/>
      </c>
      <c r="AB281" s="325">
        <f>'ALL ML SYSTEMS'!AB281</f>
        <v>0</v>
      </c>
      <c r="AC281" s="325">
        <f>'ALL ML SYSTEMS'!AC281</f>
        <v>0</v>
      </c>
      <c r="AD281" s="325" t="str">
        <f>'ALL ML SYSTEMS'!AD281</f>
        <v>Industry</v>
      </c>
    </row>
    <row r="282" customHeight="1" spans="1:30">
      <c r="A282" s="323" t="str">
        <f>'ALL ML SYSTEMS'!A282</f>
        <v>YOLOv2</v>
      </c>
      <c r="B282" s="323" t="str">
        <f>'ALL ML SYSTEMS'!B282</f>
        <v>Vision</v>
      </c>
      <c r="C282" s="323" t="str">
        <f>'ALL ML SYSTEMS'!C282</f>
        <v>Object detection</v>
      </c>
      <c r="D282" s="323" t="str">
        <f>'ALL ML SYSTEMS'!D282</f>
        <v>University of Washington, Allen Institute for AI</v>
      </c>
      <c r="E282" s="323" t="str">
        <f>'ALL ML SYSTEMS'!E282</f>
        <v>Industry - Academia Collaboration</v>
      </c>
      <c r="F282" s="323" t="str">
        <f>'ALL ML SYSTEMS'!F282</f>
        <v>Joseph Redmon, Ali Farhadi</v>
      </c>
      <c r="G282" s="324">
        <f>'ALL ML SYSTEMS'!G282</f>
        <v>42729</v>
      </c>
      <c r="H282" s="329">
        <f>'ALL ML SYSTEMS'!H282</f>
        <v>2729</v>
      </c>
      <c r="I282" s="323" t="str">
        <f>'ALL ML SYSTEMS'!I282</f>
        <v>YOLO9000: Better, Faster, Stronger</v>
      </c>
      <c r="J282" s="334" t="str">
        <f>'ALL ML SYSTEMS'!J282</f>
        <v>https://arxiv.org/abs/1612.08242</v>
      </c>
      <c r="K282" s="335">
        <f>'ALL ML SYSTEMS'!K282</f>
        <v>9368</v>
      </c>
      <c r="L282" s="323" t="str">
        <f>'ALL ML SYSTEMS'!L282</f>
        <v>Highly cited</v>
      </c>
      <c r="M282" s="335" t="str">
        <f>'ALL ML SYSTEMS'!M282</f>
        <v>Yes</v>
      </c>
      <c r="N282" s="335">
        <f>'ALL ML SYSTEMS'!N282</f>
        <v>51000000</v>
      </c>
      <c r="O282" s="335">
        <f>'ALL ML SYSTEMS'!O282</f>
        <v>0</v>
      </c>
      <c r="P282" s="336">
        <f>'ALL ML SYSTEMS'!P282</f>
        <v>0</v>
      </c>
      <c r="Q282" s="335">
        <f>'ALL ML SYSTEMS'!Q282</f>
        <v>0</v>
      </c>
      <c r="R282" s="323">
        <f>'ALL ML SYSTEMS'!R282</f>
        <v>0</v>
      </c>
      <c r="S282" s="335">
        <f>'ALL ML SYSTEMS'!S282</f>
        <v>0</v>
      </c>
      <c r="T282" s="323">
        <f>'ALL ML SYSTEMS'!T282</f>
        <v>0</v>
      </c>
      <c r="U282" s="323">
        <f>'ALL ML SYSTEMS'!U282</f>
        <v>0</v>
      </c>
      <c r="V282" s="323">
        <f>'ALL ML SYSTEMS'!V282</f>
        <v>0</v>
      </c>
      <c r="W282" s="323">
        <f>'ALL ML SYSTEMS'!W282</f>
        <v>0</v>
      </c>
      <c r="X282" s="323">
        <f>'ALL ML SYSTEMS'!X282</f>
        <v>0</v>
      </c>
      <c r="Y282" s="323">
        <f>'ALL ML SYSTEMS'!Y282</f>
        <v>0</v>
      </c>
      <c r="Z282" s="323">
        <f>'ALL ML SYSTEMS'!Z282</f>
        <v>0</v>
      </c>
      <c r="AA282" s="340" t="str">
        <f>'ALL ML SYSTEMS'!AA282</f>
        <v/>
      </c>
      <c r="AB282" s="323">
        <f>'ALL ML SYSTEMS'!AB282</f>
        <v>0</v>
      </c>
      <c r="AC282" s="323">
        <f>'ALL ML SYSTEMS'!AC282</f>
        <v>0</v>
      </c>
      <c r="AD282" s="323" t="str">
        <f>'ALL ML SYSTEMS'!AD282</f>
        <v>Industry</v>
      </c>
    </row>
    <row r="283" customHeight="1" spans="1:30">
      <c r="A283" s="325" t="str">
        <f>'ALL ML SYSTEMS'!A283</f>
        <v>AlphaGo Fan</v>
      </c>
      <c r="B283" s="325" t="str">
        <f>'ALL ML SYSTEMS'!B283</f>
        <v>Games</v>
      </c>
      <c r="C283" s="325" t="str">
        <f>'ALL ML SYSTEMS'!C283</f>
        <v>Go</v>
      </c>
      <c r="D283" s="325" t="str">
        <f>'ALL ML SYSTEMS'!D283</f>
        <v>Google DeepMind</v>
      </c>
      <c r="E283" s="325" t="str">
        <f>'ALL ML SYSTEMS'!E283</f>
        <v>Industry</v>
      </c>
      <c r="F283" s="325" t="str">
        <f>'ALL ML SYSTEMS'!F283</f>
        <v>D Silver, A Huang, CJ Maddison, A Guez, L Sifre</v>
      </c>
      <c r="G283" s="326">
        <f>'ALL ML SYSTEMS'!G283</f>
        <v>42278</v>
      </c>
      <c r="H283" s="327">
        <f>'ALL ML SYSTEMS'!H283</f>
        <v>2015</v>
      </c>
      <c r="I283" s="325" t="str">
        <f>'ALL ML SYSTEMS'!I283</f>
        <v>Mastering the game of Go with deep neural networks and tree search</v>
      </c>
      <c r="J283" s="337" t="str">
        <f>'ALL ML SYSTEMS'!J283</f>
        <v>https://www.nature.com/articles/nature24270.epdf?author_access_token=VJXbVjaSHxFoctQQ4p2k4tRgN0jAjWel9jnR3ZoTv0PVW4gB86EEpGqTRDtpIz-2rmo8-KG06gqVobU5NSCFeHILHcVFUeMsbvwS-lxjqQGg98faovwjxeTUgZAUMnRQ</v>
      </c>
      <c r="K283" s="338">
        <f>'ALL ML SYSTEMS'!K283</f>
        <v>5184</v>
      </c>
      <c r="L283" s="325" t="str">
        <f>'ALL ML SYSTEMS'!L283</f>
        <v>SOTA improvement</v>
      </c>
      <c r="M283" s="338" t="str">
        <f>'ALL ML SYSTEMS'!M283</f>
        <v>Yes</v>
      </c>
      <c r="N283" s="338">
        <f>'ALL ML SYSTEMS'!N283</f>
        <v>8209984</v>
      </c>
      <c r="O283" s="338">
        <f>'ALL ML SYSTEMS'!O283</f>
        <v>3.8e+20</v>
      </c>
      <c r="P283" s="339">
        <f>'ALL ML SYSTEMS'!P283</f>
        <v>0</v>
      </c>
      <c r="Q283" s="338">
        <f>'ALL ML SYSTEMS'!Q283</f>
        <v>0</v>
      </c>
      <c r="R283" s="325">
        <f>'ALL ML SYSTEMS'!R283</f>
        <v>0</v>
      </c>
      <c r="S283" s="338">
        <f>'ALL ML SYSTEMS'!S283</f>
        <v>0</v>
      </c>
      <c r="T283" s="325">
        <f>'ALL ML SYSTEMS'!T283</f>
        <v>0</v>
      </c>
      <c r="U283" s="325">
        <f>'ALL ML SYSTEMS'!U283</f>
        <v>0</v>
      </c>
      <c r="V283" s="325">
        <f>'ALL ML SYSTEMS'!V283</f>
        <v>0</v>
      </c>
      <c r="W283" s="325">
        <f>'ALL ML SYSTEMS'!W283</f>
        <v>0</v>
      </c>
      <c r="X283" s="325">
        <f>'ALL ML SYSTEMS'!X283</f>
        <v>0</v>
      </c>
      <c r="Y283" s="325">
        <f>'ALL ML SYSTEMS'!Y283</f>
        <v>0</v>
      </c>
      <c r="Z283" s="325">
        <f>'ALL ML SYSTEMS'!Z283</f>
        <v>0</v>
      </c>
      <c r="AA283" s="341">
        <f>'ALL ML SYSTEMS'!AA283</f>
        <v>3076.07370277232</v>
      </c>
      <c r="AB283" s="325">
        <f>'ALL ML SYSTEMS'!AB283</f>
        <v>0</v>
      </c>
      <c r="AC283" s="325">
        <f>'ALL ML SYSTEMS'!AC283</f>
        <v>0</v>
      </c>
      <c r="AD283" s="325" t="str">
        <f>'ALL ML SYSTEMS'!AD283</f>
        <v>Industry</v>
      </c>
    </row>
    <row r="284" customHeight="1" spans="1:30">
      <c r="A284" s="323" t="str">
        <f>'ALL ML SYSTEMS'!A284</f>
        <v>DeepSpeech2</v>
      </c>
      <c r="B284" s="323" t="str">
        <f>'ALL ML SYSTEMS'!B284</f>
        <v>Speech</v>
      </c>
      <c r="C284" s="323" t="str">
        <f>'ALL ML SYSTEMS'!C284</f>
        <v>Speech recognition</v>
      </c>
      <c r="D284" s="323" t="str">
        <f>'ALL ML SYSTEMS'!D284</f>
        <v>Baidu Research- Silicon Valley AI Lab</v>
      </c>
      <c r="E284" s="323" t="str">
        <f>'ALL ML SYSTEMS'!E284</f>
        <v>Industry</v>
      </c>
      <c r="F284" s="323" t="str">
        <f>'ALL ML SYSTEMS'!F284</f>
        <v>D Amodei, S Ananthanarayanan</v>
      </c>
      <c r="G284" s="324">
        <f>'ALL ML SYSTEMS'!G284</f>
        <v>42346</v>
      </c>
      <c r="H284" s="329">
        <f>'ALL ML SYSTEMS'!H284</f>
        <v>2346</v>
      </c>
      <c r="I284" s="323" t="str">
        <f>'ALL ML SYSTEMS'!I284</f>
        <v>Deep Speech 2: End-to-End Speech Recognition in English and Mandarin</v>
      </c>
      <c r="J284" s="334" t="str">
        <f>'ALL ML SYSTEMS'!J284</f>
        <v>https://arxiv.org/abs/1512.02595</v>
      </c>
      <c r="K284" s="335">
        <f>'ALL ML SYSTEMS'!K284</f>
        <v>2214</v>
      </c>
      <c r="L284" s="323" t="str">
        <f>'ALL ML SYSTEMS'!L284</f>
        <v>Highly cited</v>
      </c>
      <c r="M284" s="335" t="str">
        <f>'ALL ML SYSTEMS'!M284</f>
        <v>Yes</v>
      </c>
      <c r="N284" s="335">
        <f>'ALL ML SYSTEMS'!N284</f>
        <v>38000000</v>
      </c>
      <c r="O284" s="335">
        <f>'ALL ML SYSTEMS'!O284</f>
        <v>2.6e+19</v>
      </c>
      <c r="P284" s="336">
        <f>'ALL ML SYSTEMS'!P284</f>
        <v>0</v>
      </c>
      <c r="Q284" s="335">
        <f>'ALL ML SYSTEMS'!Q284</f>
        <v>163339200</v>
      </c>
      <c r="R284" s="323">
        <f>'ALL ML SYSTEMS'!R284</f>
        <v>11</v>
      </c>
      <c r="S284" s="335">
        <f>'ALL ML SYSTEMS'!S284</f>
        <v>1800000000</v>
      </c>
      <c r="T284" s="323">
        <f>'ALL ML SYSTEMS'!T284</f>
        <v>0</v>
      </c>
      <c r="U284" s="323">
        <f>'ALL ML SYSTEMS'!U284</f>
        <v>0</v>
      </c>
      <c r="V284" s="323">
        <f>'ALL ML SYSTEMS'!V284</f>
        <v>0</v>
      </c>
      <c r="W284" s="323">
        <f>'ALL ML SYSTEMS'!W284</f>
        <v>0</v>
      </c>
      <c r="X284" s="323">
        <f>'ALL ML SYSTEMS'!X284</f>
        <v>0</v>
      </c>
      <c r="Y284" s="323">
        <f>'ALL ML SYSTEMS'!Y284</f>
        <v>0</v>
      </c>
      <c r="Z284" s="323">
        <f>'ALL ML SYSTEMS'!Z284</f>
        <v>0</v>
      </c>
      <c r="AA284" s="340">
        <f>'ALL ML SYSTEMS'!AA284</f>
        <v>150.778479610371</v>
      </c>
      <c r="AB284" s="323">
        <f>'ALL ML SYSTEMS'!AB284</f>
        <v>0</v>
      </c>
      <c r="AC284" s="323">
        <f>'ALL ML SYSTEMS'!AC284</f>
        <v>0</v>
      </c>
      <c r="AD284" s="323" t="str">
        <f>'ALL ML SYSTEMS'!AD284</f>
        <v>Industry</v>
      </c>
    </row>
    <row r="285" customHeight="1" spans="1:30">
      <c r="A285" s="338" t="str">
        <f>'ALL ML SYSTEMS'!A285</f>
        <v>MSRA (C, PReLU)</v>
      </c>
      <c r="B285" s="325" t="str">
        <f>'ALL ML SYSTEMS'!B285</f>
        <v>Vision</v>
      </c>
      <c r="C285" s="325" t="str">
        <f>'ALL ML SYSTEMS'!C285</f>
        <v>Image classification</v>
      </c>
      <c r="D285" s="325" t="str">
        <f>'ALL ML SYSTEMS'!D285</f>
        <v>Microsoft research</v>
      </c>
      <c r="E285" s="325" t="str">
        <f>'ALL ML SYSTEMS'!E285</f>
        <v>Industry</v>
      </c>
      <c r="F285" s="325" t="str">
        <f>'ALL ML SYSTEMS'!F285</f>
        <v>Kaiming He, Xiangyu Zhang, Shaoqing Ren, Jian Sun</v>
      </c>
      <c r="G285" s="326">
        <f>'ALL ML SYSTEMS'!G285</f>
        <v>42013</v>
      </c>
      <c r="H285" s="327">
        <f>'ALL ML SYSTEMS'!H285</f>
        <v>2015</v>
      </c>
      <c r="I285" s="338" t="str">
        <f>'ALL ML SYSTEMS'!I285</f>
        <v>Spatial Pyramid Pooling in Deep Convolutional Networks for Visual Recognition</v>
      </c>
      <c r="J285" s="337" t="str">
        <f>'ALL ML SYSTEMS'!J285</f>
        <v>https://arxiv.org/abs/1406.4729</v>
      </c>
      <c r="K285" s="338">
        <f>'ALL ML SYSTEMS'!K285</f>
        <v>14087</v>
      </c>
      <c r="L285" s="325" t="str">
        <f>'ALL ML SYSTEMS'!L285</f>
        <v>Highly cited</v>
      </c>
      <c r="M285" s="338" t="str">
        <f>'ALL ML SYSTEMS'!M285</f>
        <v>Yes</v>
      </c>
      <c r="N285" s="338">
        <f>'ALL ML SYSTEMS'!N285</f>
        <v>87048800</v>
      </c>
      <c r="O285" s="338">
        <f>'ALL ML SYSTEMS'!O285</f>
        <v>2.397403008e+19</v>
      </c>
      <c r="P285" s="339" t="str">
        <f>'ALL ML SYSTEMS'!P285</f>
        <v>Imagenet-1k</v>
      </c>
      <c r="Q285" s="338">
        <f>'ALL ML SYSTEMS'!Q285</f>
        <v>1280000</v>
      </c>
      <c r="R285" s="325">
        <f>'ALL ML SYSTEMS'!R285</f>
        <v>0</v>
      </c>
      <c r="S285" s="338">
        <f>'ALL ML SYSTEMS'!S285</f>
        <v>0</v>
      </c>
      <c r="T285" s="325">
        <f>'ALL ML SYSTEMS'!T285</f>
        <v>0</v>
      </c>
      <c r="U285" s="325">
        <f>'ALL ML SYSTEMS'!U285</f>
        <v>0</v>
      </c>
      <c r="V285" s="325">
        <f>'ALL ML SYSTEMS'!V285</f>
        <v>0</v>
      </c>
      <c r="W285" s="325">
        <f>'ALL ML SYSTEMS'!W285</f>
        <v>0</v>
      </c>
      <c r="X285" s="325">
        <f>'ALL ML SYSTEMS'!X285</f>
        <v>0</v>
      </c>
      <c r="Y285" s="325">
        <f>'ALL ML SYSTEMS'!Y285</f>
        <v>0</v>
      </c>
      <c r="Z285" s="325">
        <f>'ALL ML SYSTEMS'!Z285</f>
        <v>0</v>
      </c>
      <c r="AA285" s="341">
        <f>'ALL ML SYSTEMS'!AA285</f>
        <v>2166.21810494374</v>
      </c>
      <c r="AB285" s="325">
        <f>'ALL ML SYSTEMS'!AB285</f>
        <v>0</v>
      </c>
      <c r="AC285" s="325">
        <f>'ALL ML SYSTEMS'!AC285</f>
        <v>0</v>
      </c>
      <c r="AD285" s="325" t="str">
        <f>'ALL ML SYSTEMS'!AD285</f>
        <v>Industry</v>
      </c>
    </row>
    <row r="286" customHeight="1" spans="1:30">
      <c r="A286" s="323" t="str">
        <f>'ALL ML SYSTEMS'!A286</f>
        <v>ResNet-152 (ImageNet)</v>
      </c>
      <c r="B286" s="323" t="str">
        <f>'ALL ML SYSTEMS'!B286</f>
        <v>Vision</v>
      </c>
      <c r="C286" s="323" t="str">
        <f>'ALL ML SYSTEMS'!C286</f>
        <v>Image classification</v>
      </c>
      <c r="D286" s="323" t="str">
        <f>'ALL ML SYSTEMS'!D286</f>
        <v>Microsoft</v>
      </c>
      <c r="E286" s="323" t="str">
        <f>'ALL ML SYSTEMS'!E286</f>
        <v>Industry</v>
      </c>
      <c r="F286" s="323" t="str">
        <f>'ALL ML SYSTEMS'!F286</f>
        <v>Kaiming He, Xiangyu Zhang, Shaoqing Ren, Jian Sun</v>
      </c>
      <c r="G286" s="324">
        <f>'ALL ML SYSTEMS'!G286</f>
        <v>42348</v>
      </c>
      <c r="H286" s="329">
        <f>'ALL ML SYSTEMS'!H286</f>
        <v>2348</v>
      </c>
      <c r="I286" s="323" t="str">
        <f>'ALL ML SYSTEMS'!I286</f>
        <v>Deep Residual Learning for Image Recognition</v>
      </c>
      <c r="J286" s="334" t="str">
        <f>'ALL ML SYSTEMS'!J286</f>
        <v>https://arxiv.org/abs/1512.03385</v>
      </c>
      <c r="K286" s="335">
        <f>'ALL ML SYSTEMS'!K286</f>
        <v>85753</v>
      </c>
      <c r="L286" s="323" t="str">
        <f>'ALL ML SYSTEMS'!L286</f>
        <v>Highly cited</v>
      </c>
      <c r="M286" s="335" t="str">
        <f>'ALL ML SYSTEMS'!M286</f>
        <v>Yes</v>
      </c>
      <c r="N286" s="335">
        <f>'ALL ML SYSTEMS'!N286</f>
        <v>60000000</v>
      </c>
      <c r="O286" s="335">
        <f>'ALL ML SYSTEMS'!O286</f>
        <v>1.21e+19</v>
      </c>
      <c r="P286" s="336" t="str">
        <f>'ALL ML SYSTEMS'!P286</f>
        <v>ILSVRC 2012</v>
      </c>
      <c r="Q286" s="335">
        <f>'ALL ML SYSTEMS'!Q286</f>
        <v>1200000</v>
      </c>
      <c r="R286" s="323">
        <f>'ALL ML SYSTEMS'!R286</f>
        <v>152</v>
      </c>
      <c r="S286" s="335">
        <f>'ALL ML SYSTEMS'!S286</f>
        <v>22600000000</v>
      </c>
      <c r="T286" s="335">
        <f>'ALL ML SYSTEMS'!T286</f>
        <v>0</v>
      </c>
      <c r="U286" s="335">
        <f>'ALL ML SYSTEMS'!U286</f>
        <v>0</v>
      </c>
      <c r="V286" s="323">
        <f>'ALL ML SYSTEMS'!V286</f>
        <v>0</v>
      </c>
      <c r="W286" s="323">
        <f>'ALL ML SYSTEMS'!W286</f>
        <v>138</v>
      </c>
      <c r="X286" s="323">
        <f>'ALL ML SYSTEMS'!X286</f>
        <v>0</v>
      </c>
      <c r="Y286" s="323">
        <f>'ALL ML SYSTEMS'!Y286</f>
        <v>0</v>
      </c>
      <c r="Z286" s="323">
        <f>'ALL ML SYSTEMS'!Z286</f>
        <v>0</v>
      </c>
      <c r="AA286" s="340">
        <f>'ALL ML SYSTEMS'!AA286</f>
        <v>92.031433516962</v>
      </c>
      <c r="AB286" s="323">
        <f>'ALL ML SYSTEMS'!AB286</f>
        <v>0</v>
      </c>
      <c r="AC286" s="323">
        <f>'ALL ML SYSTEMS'!AC286</f>
        <v>0</v>
      </c>
      <c r="AD286" s="323" t="str">
        <f>'ALL ML SYSTEMS'!AD286</f>
        <v>Industry</v>
      </c>
    </row>
    <row r="287" customHeight="1" spans="1:30">
      <c r="A287" s="325" t="str">
        <f>'ALL ML SYSTEMS'!A287</f>
        <v>GoogLeNet / InceptionV1</v>
      </c>
      <c r="B287" s="325" t="str">
        <f>'ALL ML SYSTEMS'!B287</f>
        <v>Vision</v>
      </c>
      <c r="C287" s="325" t="str">
        <f>'ALL ML SYSTEMS'!C287</f>
        <v>Image classification</v>
      </c>
      <c r="D287" s="325" t="str">
        <f>'ALL ML SYSTEMS'!D287</f>
        <v>Google, University of Michigan, University of North Carolina</v>
      </c>
      <c r="E287" s="325" t="str">
        <f>'ALL ML SYSTEMS'!E287</f>
        <v>Industry - Academia Collaboration (Industry leaning)</v>
      </c>
      <c r="F287" s="325" t="str">
        <f>'ALL ML SYSTEMS'!F287</f>
        <v>Christian Szegedy, Wei Liu, Yangqing Jia, Pierre Sermanet, Scott Reed, Dragomir Anguelov, Dumitru Erhan, Vincent Vanhoucke, Andrew Rabinovich</v>
      </c>
      <c r="G287" s="326">
        <f>'ALL ML SYSTEMS'!G287</f>
        <v>42162</v>
      </c>
      <c r="H287" s="327">
        <f>'ALL ML SYSTEMS'!H287</f>
        <v>2162</v>
      </c>
      <c r="I287" s="325" t="str">
        <f>'ALL ML SYSTEMS'!I287</f>
        <v>Going deeper with convolutions</v>
      </c>
      <c r="J287" s="337" t="str">
        <f>'ALL ML SYSTEMS'!J287</f>
        <v>https://arxiv.org/abs/1409.4842</v>
      </c>
      <c r="K287" s="338">
        <f>'ALL ML SYSTEMS'!K287</f>
        <v>32758</v>
      </c>
      <c r="L287" s="325" t="str">
        <f>'ALL ML SYSTEMS'!L287</f>
        <v>Highly cited</v>
      </c>
      <c r="M287" s="338" t="str">
        <f>'ALL ML SYSTEMS'!M287</f>
        <v>Yes</v>
      </c>
      <c r="N287" s="338">
        <f>'ALL ML SYSTEMS'!N287</f>
        <v>6797700</v>
      </c>
      <c r="O287" s="338">
        <f>'ALL ML SYSTEMS'!O287</f>
        <v>1.557140125176e+18</v>
      </c>
      <c r="P287" s="339" t="str">
        <f>'ALL ML SYSTEMS'!P287</f>
        <v>ILSVRC 2014</v>
      </c>
      <c r="Q287" s="338">
        <f>'ALL ML SYSTEMS'!Q287</f>
        <v>1200000</v>
      </c>
      <c r="R287" s="325">
        <f>'ALL ML SYSTEMS'!R287</f>
        <v>22</v>
      </c>
      <c r="S287" s="338">
        <f>'ALL ML SYSTEMS'!S287</f>
        <v>0</v>
      </c>
      <c r="T287" s="325">
        <f>'ALL ML SYSTEMS'!T287</f>
        <v>0</v>
      </c>
      <c r="U287" s="325">
        <f>'ALL ML SYSTEMS'!U287</f>
        <v>0</v>
      </c>
      <c r="V287" s="325">
        <f>'ALL ML SYSTEMS'!V287</f>
        <v>0</v>
      </c>
      <c r="W287" s="325">
        <f>'ALL ML SYSTEMS'!W287</f>
        <v>0</v>
      </c>
      <c r="X287" s="325">
        <f>'ALL ML SYSTEMS'!X287</f>
        <v>0</v>
      </c>
      <c r="Y287" s="325">
        <f>'ALL ML SYSTEMS'!Y287</f>
        <v>0</v>
      </c>
      <c r="Z287" s="325">
        <f>'ALL ML SYSTEMS'!Z287</f>
        <v>0</v>
      </c>
      <c r="AA287" s="341">
        <f>'ALL ML SYSTEMS'!AA287</f>
        <v>14.1646781477527</v>
      </c>
      <c r="AB287" s="325">
        <f>'ALL ML SYSTEMS'!AB287</f>
        <v>0</v>
      </c>
      <c r="AC287" s="325">
        <f>'ALL ML SYSTEMS'!AC287</f>
        <v>0</v>
      </c>
      <c r="AD287" s="325" t="str">
        <f>'ALL ML SYSTEMS'!AD287</f>
        <v>Industry</v>
      </c>
    </row>
    <row r="288" customHeight="1" spans="1:30">
      <c r="A288" s="323">
        <f>'ALL ML SYSTEMS'!A288</f>
        <v>0</v>
      </c>
      <c r="B288" s="323" t="str">
        <f>'ALL ML SYSTEMS'!B288</f>
        <v>Vision</v>
      </c>
      <c r="C288" s="323" t="str">
        <f>'ALL ML SYSTEMS'!C288</f>
        <v>Image segmentation</v>
      </c>
      <c r="D288" s="323" t="str">
        <f>'ALL ML SYSTEMS'!D288</f>
        <v>University of Oxford, Stanford University, Baidu</v>
      </c>
      <c r="E288" s="323" t="str">
        <f>'ALL ML SYSTEMS'!E288</f>
        <v>Industry - Academia Collaboration</v>
      </c>
      <c r="F288" s="323" t="str">
        <f>'ALL ML SYSTEMS'!F288</f>
        <v>Shuai Zheng, Sadeep Jayasumana, Bernardino Romera-Paredes, Vibhav Vineet, Zhizhong Su, Dalong Du, Chang Huang, Philip H. S. Torr</v>
      </c>
      <c r="G288" s="324">
        <f>'ALL ML SYSTEMS'!G288</f>
        <v>42046</v>
      </c>
      <c r="H288" s="329">
        <f>'ALL ML SYSTEMS'!H288</f>
        <v>2015</v>
      </c>
      <c r="I288" s="323" t="str">
        <f>'ALL ML SYSTEMS'!I288</f>
        <v>Conditional Random Fields as Recurrent Neural Networks</v>
      </c>
      <c r="J288" s="334" t="str">
        <f>'ALL ML SYSTEMS'!J288</f>
        <v>https://arxiv.org/abs/1502.03240</v>
      </c>
      <c r="K288" s="335">
        <f>'ALL ML SYSTEMS'!K288</f>
        <v>2661</v>
      </c>
      <c r="L288" s="323" t="str">
        <f>'ALL ML SYSTEMS'!L288</f>
        <v>Highly cited</v>
      </c>
      <c r="M288" s="335" t="str">
        <f>'ALL ML SYSTEMS'!M288</f>
        <v>Yes</v>
      </c>
      <c r="N288" s="335">
        <f>'ALL ML SYSTEMS'!N288</f>
        <v>0</v>
      </c>
      <c r="O288" s="335">
        <f>'ALL ML SYSTEMS'!O288</f>
        <v>0</v>
      </c>
      <c r="P288" s="336">
        <f>'ALL ML SYSTEMS'!P288</f>
        <v>0</v>
      </c>
      <c r="Q288" s="335">
        <f>'ALL ML SYSTEMS'!Q288</f>
        <v>0</v>
      </c>
      <c r="R288" s="323">
        <f>'ALL ML SYSTEMS'!R288</f>
        <v>0</v>
      </c>
      <c r="S288" s="335">
        <f>'ALL ML SYSTEMS'!S288</f>
        <v>0</v>
      </c>
      <c r="T288" s="323">
        <f>'ALL ML SYSTEMS'!T288</f>
        <v>0</v>
      </c>
      <c r="U288" s="323">
        <f>'ALL ML SYSTEMS'!U288</f>
        <v>0</v>
      </c>
      <c r="V288" s="323">
        <f>'ALL ML SYSTEMS'!V288</f>
        <v>0</v>
      </c>
      <c r="W288" s="323">
        <f>'ALL ML SYSTEMS'!W288</f>
        <v>0</v>
      </c>
      <c r="X288" s="323">
        <f>'ALL ML SYSTEMS'!X288</f>
        <v>0</v>
      </c>
      <c r="Y288" s="323">
        <f>'ALL ML SYSTEMS'!Y288</f>
        <v>0</v>
      </c>
      <c r="Z288" s="323">
        <f>'ALL ML SYSTEMS'!Z288</f>
        <v>0</v>
      </c>
      <c r="AA288" s="340" t="str">
        <f>'ALL ML SYSTEMS'!AA288</f>
        <v/>
      </c>
      <c r="AB288" s="323">
        <f>'ALL ML SYSTEMS'!AB288</f>
        <v>0</v>
      </c>
      <c r="AC288" s="323">
        <f>'ALL ML SYSTEMS'!AC288</f>
        <v>0</v>
      </c>
      <c r="AD288" s="323" t="str">
        <f>'ALL ML SYSTEMS'!AD288</f>
        <v>Industry</v>
      </c>
    </row>
    <row r="289" customHeight="1" spans="1:30">
      <c r="A289" s="325" t="str">
        <f>'ALL ML SYSTEMS'!A289</f>
        <v>DQN-2015</v>
      </c>
      <c r="B289" s="325" t="str">
        <f>'ALL ML SYSTEMS'!B289</f>
        <v>Games</v>
      </c>
      <c r="C289" s="325" t="str">
        <f>'ALL ML SYSTEMS'!C289</f>
        <v>Atari Games</v>
      </c>
      <c r="D289" s="325" t="str">
        <f>'ALL ML SYSTEMS'!D289</f>
        <v>Google</v>
      </c>
      <c r="E289" s="325" t="str">
        <f>'ALL ML SYSTEMS'!E289</f>
        <v>Industry</v>
      </c>
      <c r="F289" s="325" t="str">
        <f>'ALL ML SYSTEMS'!F289</f>
        <v>V Mnih, K Kavukcuoglu, D Silver, AA Rusu, J Veness</v>
      </c>
      <c r="G289" s="326">
        <f>'ALL ML SYSTEMS'!G289</f>
        <v>42060</v>
      </c>
      <c r="H289" s="327">
        <f>'ALL ML SYSTEMS'!H289</f>
        <v>2060</v>
      </c>
      <c r="I289" s="325" t="str">
        <f>'ALL ML SYSTEMS'!I289</f>
        <v>Human-level control through deep reinforcement learning</v>
      </c>
      <c r="J289" s="337" t="str">
        <f>'ALL ML SYSTEMS'!J289</f>
        <v>https://www.nature.com/articles/nature14236</v>
      </c>
      <c r="K289" s="338">
        <f>'ALL ML SYSTEMS'!K289</f>
        <v>15674</v>
      </c>
      <c r="L289" s="325" t="str">
        <f>'ALL ML SYSTEMS'!L289</f>
        <v>Highly cited</v>
      </c>
      <c r="M289" s="338" t="str">
        <f>'ALL ML SYSTEMS'!M289</f>
        <v>Yes</v>
      </c>
      <c r="N289" s="338">
        <f>'ALL ML SYSTEMS'!N289</f>
        <v>1618496</v>
      </c>
      <c r="O289" s="338">
        <f>'ALL ML SYSTEMS'!O289</f>
        <v>0</v>
      </c>
      <c r="P289" s="339">
        <f>'ALL ML SYSTEMS'!P289</f>
        <v>0</v>
      </c>
      <c r="Q289" s="338">
        <f>'ALL ML SYSTEMS'!Q289</f>
        <v>0</v>
      </c>
      <c r="R289" s="325">
        <f>'ALL ML SYSTEMS'!R289</f>
        <v>0</v>
      </c>
      <c r="S289" s="338">
        <f>'ALL ML SYSTEMS'!S289</f>
        <v>0</v>
      </c>
      <c r="T289" s="325">
        <f>'ALL ML SYSTEMS'!T289</f>
        <v>0</v>
      </c>
      <c r="U289" s="325">
        <f>'ALL ML SYSTEMS'!U289</f>
        <v>0</v>
      </c>
      <c r="V289" s="325">
        <f>'ALL ML SYSTEMS'!V289</f>
        <v>0</v>
      </c>
      <c r="W289" s="325">
        <f>'ALL ML SYSTEMS'!W289</f>
        <v>0</v>
      </c>
      <c r="X289" s="325">
        <f>'ALL ML SYSTEMS'!X289</f>
        <v>0</v>
      </c>
      <c r="Y289" s="325">
        <f>'ALL ML SYSTEMS'!Y289</f>
        <v>0</v>
      </c>
      <c r="Z289" s="325">
        <f>'ALL ML SYSTEMS'!Z289</f>
        <v>0</v>
      </c>
      <c r="AA289" s="341" t="str">
        <f>'ALL ML SYSTEMS'!AA289</f>
        <v/>
      </c>
      <c r="AB289" s="325">
        <f>'ALL ML SYSTEMS'!AB289</f>
        <v>0</v>
      </c>
      <c r="AC289" s="325">
        <f>'ALL ML SYSTEMS'!AC289</f>
        <v>0</v>
      </c>
      <c r="AD289" s="325" t="str">
        <f>'ALL ML SYSTEMS'!AD289</f>
        <v>Industry</v>
      </c>
    </row>
    <row r="290" customHeight="1" spans="1:30">
      <c r="A290" s="323" t="str">
        <f>'ALL ML SYSTEMS'!A290</f>
        <v>Constituency-Tree LSTM</v>
      </c>
      <c r="B290" s="323" t="str">
        <f>'ALL ML SYSTEMS'!B290</f>
        <v>Language</v>
      </c>
      <c r="C290" s="323" t="str">
        <f>'ALL ML SYSTEMS'!C290</f>
        <v>Semantic embedding</v>
      </c>
      <c r="D290" s="323" t="str">
        <f>'ALL ML SYSTEMS'!D290</f>
        <v>Stanford, MetaMind Inc</v>
      </c>
      <c r="E290" s="323" t="str">
        <f>'ALL ML SYSTEMS'!E290</f>
        <v>Industry - Academia Collaboration</v>
      </c>
      <c r="F290" s="323" t="str">
        <f>'ALL ML SYSTEMS'!F290</f>
        <v>KS Tai, R Socher, CD Manning</v>
      </c>
      <c r="G290" s="324">
        <f>'ALL ML SYSTEMS'!G290</f>
        <v>42063</v>
      </c>
      <c r="H290" s="329">
        <f>'ALL ML SYSTEMS'!H290</f>
        <v>2063</v>
      </c>
      <c r="I290" s="323" t="str">
        <f>'ALL ML SYSTEMS'!I290</f>
        <v>Improved Semantic Representations From Tree-Structured Long Short-Term Memory Networks</v>
      </c>
      <c r="J290" s="334" t="str">
        <f>'ALL ML SYSTEMS'!J290</f>
        <v>https://arxiv.org/abs/1503.00075</v>
      </c>
      <c r="K290" s="335">
        <f>'ALL ML SYSTEMS'!K290</f>
        <v>2616</v>
      </c>
      <c r="L290" s="323" t="str">
        <f>'ALL ML SYSTEMS'!L290</f>
        <v>Highly cited</v>
      </c>
      <c r="M290" s="335" t="str">
        <f>'ALL ML SYSTEMS'!M290</f>
        <v>Yes</v>
      </c>
      <c r="N290" s="335">
        <f>'ALL ML SYSTEMS'!N290</f>
        <v>205190</v>
      </c>
      <c r="O290" s="335">
        <f>'ALL ML SYSTEMS'!O290</f>
        <v>0</v>
      </c>
      <c r="P290" s="336">
        <f>'ALL ML SYSTEMS'!P290</f>
        <v>0</v>
      </c>
      <c r="Q290" s="335">
        <f>'ALL ML SYSTEMS'!Q290</f>
        <v>0</v>
      </c>
      <c r="R290" s="323">
        <f>'ALL ML SYSTEMS'!R290</f>
        <v>0</v>
      </c>
      <c r="S290" s="335">
        <f>'ALL ML SYSTEMS'!S290</f>
        <v>0</v>
      </c>
      <c r="T290" s="323">
        <f>'ALL ML SYSTEMS'!T290</f>
        <v>0</v>
      </c>
      <c r="U290" s="323">
        <f>'ALL ML SYSTEMS'!U290</f>
        <v>0</v>
      </c>
      <c r="V290" s="323">
        <f>'ALL ML SYSTEMS'!V290</f>
        <v>0</v>
      </c>
      <c r="W290" s="323">
        <f>'ALL ML SYSTEMS'!W290</f>
        <v>0</v>
      </c>
      <c r="X290" s="323">
        <f>'ALL ML SYSTEMS'!X290</f>
        <v>0</v>
      </c>
      <c r="Y290" s="323">
        <f>'ALL ML SYSTEMS'!Y290</f>
        <v>0</v>
      </c>
      <c r="Z290" s="323">
        <f>'ALL ML SYSTEMS'!Z290</f>
        <v>0</v>
      </c>
      <c r="AA290" s="340" t="str">
        <f>'ALL ML SYSTEMS'!AA290</f>
        <v/>
      </c>
      <c r="AB290" s="323">
        <f>'ALL ML SYSTEMS'!AB290</f>
        <v>0</v>
      </c>
      <c r="AC290" s="323" t="str">
        <f>'ALL ML SYSTEMS'!AC290</f>
        <v>Tree-LSTM RNN</v>
      </c>
      <c r="AD290" s="323" t="str">
        <f>'ALL ML SYSTEMS'!AD290</f>
        <v>Industry</v>
      </c>
    </row>
    <row r="291" customHeight="1" spans="1:30">
      <c r="A291" s="325" t="str">
        <f>'ALL ML SYSTEMS'!A291</f>
        <v>Fast R-CNN</v>
      </c>
      <c r="B291" s="325" t="str">
        <f>'ALL ML SYSTEMS'!B291</f>
        <v>Vision</v>
      </c>
      <c r="C291" s="325" t="str">
        <f>'ALL ML SYSTEMS'!C291</f>
        <v>Object detection</v>
      </c>
      <c r="D291" s="325" t="str">
        <f>'ALL ML SYSTEMS'!D291</f>
        <v>Microsoft Research</v>
      </c>
      <c r="E291" s="325" t="str">
        <f>'ALL ML SYSTEMS'!E291</f>
        <v>Industry</v>
      </c>
      <c r="F291" s="325" t="str">
        <f>'ALL ML SYSTEMS'!F291</f>
        <v>R Girshick</v>
      </c>
      <c r="G291" s="326">
        <f>'ALL ML SYSTEMS'!G291</f>
        <v>42124</v>
      </c>
      <c r="H291" s="327">
        <f>'ALL ML SYSTEMS'!H291</f>
        <v>2124</v>
      </c>
      <c r="I291" s="325" t="str">
        <f>'ALL ML SYSTEMS'!I291</f>
        <v>Fast R-CNN</v>
      </c>
      <c r="J291" s="337" t="str">
        <f>'ALL ML SYSTEMS'!J291</f>
        <v>https://arxiv.org/abs/1504.08083</v>
      </c>
      <c r="K291" s="338">
        <f>'ALL ML SYSTEMS'!K291</f>
        <v>15834</v>
      </c>
      <c r="L291" s="325" t="str">
        <f>'ALL ML SYSTEMS'!L291</f>
        <v>Highly cited</v>
      </c>
      <c r="M291" s="338" t="str">
        <f>'ALL ML SYSTEMS'!M291</f>
        <v>Yes</v>
      </c>
      <c r="N291" s="338">
        <f>'ALL ML SYSTEMS'!N291</f>
        <v>0</v>
      </c>
      <c r="O291" s="338">
        <f>'ALL ML SYSTEMS'!O291</f>
        <v>0</v>
      </c>
      <c r="P291" s="339">
        <f>'ALL ML SYSTEMS'!P291</f>
        <v>0</v>
      </c>
      <c r="Q291" s="338">
        <f>'ALL ML SYSTEMS'!Q291</f>
        <v>0</v>
      </c>
      <c r="R291" s="325">
        <f>'ALL ML SYSTEMS'!R291</f>
        <v>0</v>
      </c>
      <c r="S291" s="338">
        <f>'ALL ML SYSTEMS'!S291</f>
        <v>0</v>
      </c>
      <c r="T291" s="325">
        <f>'ALL ML SYSTEMS'!T291</f>
        <v>0</v>
      </c>
      <c r="U291" s="325">
        <f>'ALL ML SYSTEMS'!U291</f>
        <v>0</v>
      </c>
      <c r="V291" s="325">
        <f>'ALL ML SYSTEMS'!V291</f>
        <v>0</v>
      </c>
      <c r="W291" s="325">
        <f>'ALL ML SYSTEMS'!W291</f>
        <v>0</v>
      </c>
      <c r="X291" s="325">
        <f>'ALL ML SYSTEMS'!X291</f>
        <v>0</v>
      </c>
      <c r="Y291" s="325">
        <f>'ALL ML SYSTEMS'!Y291</f>
        <v>0</v>
      </c>
      <c r="Z291" s="325">
        <f>'ALL ML SYSTEMS'!Z291</f>
        <v>0</v>
      </c>
      <c r="AA291" s="341" t="str">
        <f>'ALL ML SYSTEMS'!AA291</f>
        <v/>
      </c>
      <c r="AB291" s="325">
        <f>'ALL ML SYSTEMS'!AB291</f>
        <v>0</v>
      </c>
      <c r="AC291" s="325">
        <f>'ALL ML SYSTEMS'!AC291</f>
        <v>0</v>
      </c>
      <c r="AD291" s="325" t="str">
        <f>'ALL ML SYSTEMS'!AD291</f>
        <v>Industry</v>
      </c>
    </row>
    <row r="292" customHeight="1" spans="1:30">
      <c r="A292" s="323">
        <f>'ALL ML SYSTEMS'!A292</f>
        <v>0</v>
      </c>
      <c r="B292" s="323" t="str">
        <f>'ALL ML SYSTEMS'!B292</f>
        <v>Vision</v>
      </c>
      <c r="C292" s="323" t="str">
        <f>'ALL ML SYSTEMS'!C292</f>
        <v>Video</v>
      </c>
      <c r="D292" s="323" t="str">
        <f>'ALL ML SYSTEMS'!D292</f>
        <v>University of Maryland, University of Texas, Google Inc.</v>
      </c>
      <c r="E292" s="323" t="str">
        <f>'ALL ML SYSTEMS'!E292</f>
        <v>Industry - Academia Collaboration</v>
      </c>
      <c r="F292" s="323" t="str">
        <f>'ALL ML SYSTEMS'!F292</f>
        <v>Joe Yue-Hei Ng, Matthew Hausknecht, Sudheendra Vijayanarasimhan, Oriol Vinyals, Rajat Monga, George Toderici</v>
      </c>
      <c r="G292" s="324">
        <f>'ALL ML SYSTEMS'!G292</f>
        <v>42125</v>
      </c>
      <c r="H292" s="329">
        <f>'ALL ML SYSTEMS'!H292</f>
        <v>2125</v>
      </c>
      <c r="I292" s="323" t="str">
        <f>'ALL ML SYSTEMS'!I292</f>
        <v>Beyond Short Snippets: Deep Networks for Video Classification</v>
      </c>
      <c r="J292" s="334" t="str">
        <f>'ALL ML SYSTEMS'!J292</f>
        <v>https://www.cv-foundation.org/openaccess/content_cvpr_2015/html/Ng_Beyond_Short_Snippets_2015_CVPR_paper.html</v>
      </c>
      <c r="K292" s="335">
        <f>'ALL ML SYSTEMS'!K292</f>
        <v>2260</v>
      </c>
      <c r="L292" s="323" t="str">
        <f>'ALL ML SYSTEMS'!L292</f>
        <v>Highly cited</v>
      </c>
      <c r="M292" s="335" t="str">
        <f>'ALL ML SYSTEMS'!M292</f>
        <v>Yes</v>
      </c>
      <c r="N292" s="335">
        <f>'ALL ML SYSTEMS'!N292</f>
        <v>0</v>
      </c>
      <c r="O292" s="335">
        <f>'ALL ML SYSTEMS'!O292</f>
        <v>0</v>
      </c>
      <c r="P292" s="336">
        <f>'ALL ML SYSTEMS'!P292</f>
        <v>0</v>
      </c>
      <c r="Q292" s="335">
        <f>'ALL ML SYSTEMS'!Q292</f>
        <v>0</v>
      </c>
      <c r="R292" s="323">
        <f>'ALL ML SYSTEMS'!R292</f>
        <v>0</v>
      </c>
      <c r="S292" s="335">
        <f>'ALL ML SYSTEMS'!S292</f>
        <v>0</v>
      </c>
      <c r="T292" s="323">
        <f>'ALL ML SYSTEMS'!T292</f>
        <v>0</v>
      </c>
      <c r="U292" s="323">
        <f>'ALL ML SYSTEMS'!U292</f>
        <v>0</v>
      </c>
      <c r="V292" s="323">
        <f>'ALL ML SYSTEMS'!V292</f>
        <v>0</v>
      </c>
      <c r="W292" s="323">
        <f>'ALL ML SYSTEMS'!W292</f>
        <v>0</v>
      </c>
      <c r="X292" s="323">
        <f>'ALL ML SYSTEMS'!X292</f>
        <v>0</v>
      </c>
      <c r="Y292" s="323">
        <f>'ALL ML SYSTEMS'!Y292</f>
        <v>0</v>
      </c>
      <c r="Z292" s="323">
        <f>'ALL ML SYSTEMS'!Z292</f>
        <v>0</v>
      </c>
      <c r="AA292" s="340" t="str">
        <f>'ALL ML SYSTEMS'!AA292</f>
        <v/>
      </c>
      <c r="AB292" s="323">
        <f>'ALL ML SYSTEMS'!AB292</f>
        <v>0</v>
      </c>
      <c r="AC292" s="323">
        <f>'ALL ML SYSTEMS'!AC292</f>
        <v>0</v>
      </c>
      <c r="AD292" s="323" t="str">
        <f>'ALL ML SYSTEMS'!AD292</f>
        <v>Industry</v>
      </c>
    </row>
    <row r="293" customHeight="1" spans="1:30">
      <c r="A293" s="325" t="str">
        <f>'ALL ML SYSTEMS'!A293</f>
        <v>DSN</v>
      </c>
      <c r="B293" s="325" t="str">
        <f>'ALL ML SYSTEMS'!B293</f>
        <v>VIsion</v>
      </c>
      <c r="C293" s="325" t="str">
        <f>'ALL ML SYSTEMS'!C293</f>
        <v>Image classification</v>
      </c>
      <c r="D293" s="325" t="str">
        <f>'ALL ML SYSTEMS'!D293</f>
        <v>University of California, Microsoft Research</v>
      </c>
      <c r="E293" s="325" t="str">
        <f>'ALL ML SYSTEMS'!E293</f>
        <v>Industry - Academia Collaboration (Academia leaning)</v>
      </c>
      <c r="F293" s="325" t="str">
        <f>'ALL ML SYSTEMS'!F293</f>
        <v>Chen-Yu Lee, Saining Xie, Patrick Gallagher, Zhengyou Zhang, Zhuowen Tu</v>
      </c>
      <c r="G293" s="326">
        <f>'ALL ML SYSTEMS'!G293</f>
        <v>42133</v>
      </c>
      <c r="H293" s="327">
        <f>'ALL ML SYSTEMS'!H293</f>
        <v>2133</v>
      </c>
      <c r="I293" s="325" t="str">
        <f>'ALL ML SYSTEMS'!I293</f>
        <v>Deeply-Supervised Nets</v>
      </c>
      <c r="J293" s="337" t="str">
        <f>'ALL ML SYSTEMS'!J293</f>
        <v>http://proceedings.mlr.press/v38/lee15a.html</v>
      </c>
      <c r="K293" s="338">
        <f>'ALL ML SYSTEMS'!K293</f>
        <v>1937</v>
      </c>
      <c r="L293" s="325" t="str">
        <f>'ALL ML SYSTEMS'!L293</f>
        <v>Highly cited</v>
      </c>
      <c r="M293" s="338" t="str">
        <f>'ALL ML SYSTEMS'!M293</f>
        <v>Yes</v>
      </c>
      <c r="N293" s="338">
        <f>'ALL ML SYSTEMS'!N293</f>
        <v>0</v>
      </c>
      <c r="O293" s="338">
        <f>'ALL ML SYSTEMS'!O293</f>
        <v>0</v>
      </c>
      <c r="P293" s="339">
        <f>'ALL ML SYSTEMS'!P293</f>
        <v>0</v>
      </c>
      <c r="Q293" s="338">
        <f>'ALL ML SYSTEMS'!Q293</f>
        <v>0</v>
      </c>
      <c r="R293" s="325">
        <f>'ALL ML SYSTEMS'!R293</f>
        <v>0</v>
      </c>
      <c r="S293" s="338">
        <f>'ALL ML SYSTEMS'!S293</f>
        <v>0</v>
      </c>
      <c r="T293" s="325">
        <f>'ALL ML SYSTEMS'!T293</f>
        <v>0</v>
      </c>
      <c r="U293" s="325">
        <f>'ALL ML SYSTEMS'!U293</f>
        <v>0</v>
      </c>
      <c r="V293" s="325">
        <f>'ALL ML SYSTEMS'!V293</f>
        <v>0</v>
      </c>
      <c r="W293" s="325">
        <f>'ALL ML SYSTEMS'!W293</f>
        <v>0</v>
      </c>
      <c r="X293" s="325">
        <f>'ALL ML SYSTEMS'!X293</f>
        <v>0</v>
      </c>
      <c r="Y293" s="325">
        <f>'ALL ML SYSTEMS'!Y293</f>
        <v>0</v>
      </c>
      <c r="Z293" s="325">
        <f>'ALL ML SYSTEMS'!Z293</f>
        <v>0</v>
      </c>
      <c r="AA293" s="341" t="str">
        <f>'ALL ML SYSTEMS'!AA293</f>
        <v/>
      </c>
      <c r="AB293" s="325">
        <f>'ALL ML SYSTEMS'!AB293</f>
        <v>0</v>
      </c>
      <c r="AC293" s="325">
        <f>'ALL ML SYSTEMS'!AC293</f>
        <v>0</v>
      </c>
      <c r="AD293" s="325" t="str">
        <f>'ALL ML SYSTEMS'!AD293</f>
        <v>Industry</v>
      </c>
    </row>
    <row r="294" customHeight="1" spans="1:30">
      <c r="A294" s="323">
        <f>'ALL ML SYSTEMS'!A294</f>
        <v>0</v>
      </c>
      <c r="B294" s="323" t="str">
        <f>'ALL ML SYSTEMS'!B294</f>
        <v>Vision</v>
      </c>
      <c r="C294" s="323" t="str">
        <f>'ALL ML SYSTEMS'!C294</f>
        <v>Action recognition</v>
      </c>
      <c r="D294" s="323" t="str">
        <f>'ALL ML SYSTEMS'!D294</f>
        <v>Chinese University of Hong Kong, Chinese Academy of Sciences</v>
      </c>
      <c r="E294" s="323" t="str">
        <f>'ALL ML SYSTEMS'!E294</f>
        <v>Academia</v>
      </c>
      <c r="F294" s="323" t="str">
        <f>'ALL ML SYSTEMS'!F294</f>
        <v>Limin Wang, Yu Qiao, Xiaoou Tang</v>
      </c>
      <c r="G294" s="324">
        <f>'ALL ML SYSTEMS'!G294</f>
        <v>42156</v>
      </c>
      <c r="H294" s="329">
        <f>'ALL ML SYSTEMS'!H294</f>
        <v>2156</v>
      </c>
      <c r="I294" s="323" t="str">
        <f>'ALL ML SYSTEMS'!I294</f>
        <v>Action Recognition with Trajectory-Pooled Deep-Convolutional Descriptors</v>
      </c>
      <c r="J294" s="334" t="str">
        <f>'ALL ML SYSTEMS'!J294</f>
        <v>https://www.cv-foundation.org/openaccess/content_cvpr_2015/html/Wang_Action_Recognition_With_2015_CVPR_paper.html</v>
      </c>
      <c r="K294" s="335">
        <f>'ALL ML SYSTEMS'!K294</f>
        <v>3466</v>
      </c>
      <c r="L294" s="323" t="str">
        <f>'ALL ML SYSTEMS'!L294</f>
        <v>Highly cited</v>
      </c>
      <c r="M294" s="335" t="str">
        <f>'ALL ML SYSTEMS'!M294</f>
        <v>Yes</v>
      </c>
      <c r="N294" s="335">
        <f>'ALL ML SYSTEMS'!N294</f>
        <v>0</v>
      </c>
      <c r="O294" s="335">
        <f>'ALL ML SYSTEMS'!O294</f>
        <v>0</v>
      </c>
      <c r="P294" s="336">
        <f>'ALL ML SYSTEMS'!P294</f>
        <v>0</v>
      </c>
      <c r="Q294" s="335">
        <f>'ALL ML SYSTEMS'!Q294</f>
        <v>0</v>
      </c>
      <c r="R294" s="323">
        <f>'ALL ML SYSTEMS'!R294</f>
        <v>0</v>
      </c>
      <c r="S294" s="335">
        <f>'ALL ML SYSTEMS'!S294</f>
        <v>0</v>
      </c>
      <c r="T294" s="323">
        <f>'ALL ML SYSTEMS'!T294</f>
        <v>0</v>
      </c>
      <c r="U294" s="323">
        <f>'ALL ML SYSTEMS'!U294</f>
        <v>0</v>
      </c>
      <c r="V294" s="323">
        <f>'ALL ML SYSTEMS'!V294</f>
        <v>0</v>
      </c>
      <c r="W294" s="323">
        <f>'ALL ML SYSTEMS'!W294</f>
        <v>0</v>
      </c>
      <c r="X294" s="323">
        <f>'ALL ML SYSTEMS'!X294</f>
        <v>0</v>
      </c>
      <c r="Y294" s="323">
        <f>'ALL ML SYSTEMS'!Y294</f>
        <v>0</v>
      </c>
      <c r="Z294" s="323">
        <f>'ALL ML SYSTEMS'!Z294</f>
        <v>0</v>
      </c>
      <c r="AA294" s="340" t="str">
        <f>'ALL ML SYSTEMS'!AA294</f>
        <v/>
      </c>
      <c r="AB294" s="323">
        <f>'ALL ML SYSTEMS'!AB294</f>
        <v>0</v>
      </c>
      <c r="AC294" s="323">
        <f>'ALL ML SYSTEMS'!AC294</f>
        <v>0</v>
      </c>
      <c r="AD294" s="323" t="str">
        <f>'ALL ML SYSTEMS'!AD294</f>
        <v>Academia</v>
      </c>
    </row>
    <row r="295" customHeight="1" spans="1:30">
      <c r="A295" s="325" t="str">
        <f>'ALL ML SYSTEMS'!A295</f>
        <v>Faster R-CNN</v>
      </c>
      <c r="B295" s="325" t="str">
        <f>'ALL ML SYSTEMS'!B295</f>
        <v>Vision</v>
      </c>
      <c r="C295" s="325" t="str">
        <f>'ALL ML SYSTEMS'!C295</f>
        <v>Object detection</v>
      </c>
      <c r="D295" s="325" t="str">
        <f>'ALL ML SYSTEMS'!D295</f>
        <v>Microsoft Research</v>
      </c>
      <c r="E295" s="325" t="str">
        <f>'ALL ML SYSTEMS'!E295</f>
        <v>Industry</v>
      </c>
      <c r="F295" s="325" t="str">
        <f>'ALL ML SYSTEMS'!F295</f>
        <v>S Ren, K He, R Girshick, J Sun</v>
      </c>
      <c r="G295" s="326">
        <f>'ALL ML SYSTEMS'!G295</f>
        <v>42159</v>
      </c>
      <c r="H295" s="327">
        <f>'ALL ML SYSTEMS'!H295</f>
        <v>2159</v>
      </c>
      <c r="I295" s="325" t="str">
        <f>'ALL ML SYSTEMS'!I295</f>
        <v>Faster R-CNN: Towards Real-Time Object Detection with Region Proposal Networks</v>
      </c>
      <c r="J295" s="337" t="str">
        <f>'ALL ML SYSTEMS'!J295</f>
        <v>https://arxiv.org/abs/1506.01497</v>
      </c>
      <c r="K295" s="338">
        <f>'ALL ML SYSTEMS'!K295</f>
        <v>22961</v>
      </c>
      <c r="L295" s="325" t="str">
        <f>'ALL ML SYSTEMS'!L295</f>
        <v>Highly cited</v>
      </c>
      <c r="M295" s="338" t="str">
        <f>'ALL ML SYSTEMS'!M295</f>
        <v>Yes</v>
      </c>
      <c r="N295" s="338">
        <f>'ALL ML SYSTEMS'!N295</f>
        <v>0</v>
      </c>
      <c r="O295" s="338">
        <f>'ALL ML SYSTEMS'!O295</f>
        <v>0</v>
      </c>
      <c r="P295" s="339">
        <f>'ALL ML SYSTEMS'!P295</f>
        <v>0</v>
      </c>
      <c r="Q295" s="338">
        <f>'ALL ML SYSTEMS'!Q295</f>
        <v>0</v>
      </c>
      <c r="R295" s="325">
        <f>'ALL ML SYSTEMS'!R295</f>
        <v>0</v>
      </c>
      <c r="S295" s="338">
        <f>'ALL ML SYSTEMS'!S295</f>
        <v>0</v>
      </c>
      <c r="T295" s="325">
        <f>'ALL ML SYSTEMS'!T295</f>
        <v>0</v>
      </c>
      <c r="U295" s="325">
        <f>'ALL ML SYSTEMS'!U295</f>
        <v>0</v>
      </c>
      <c r="V295" s="325">
        <f>'ALL ML SYSTEMS'!V295</f>
        <v>0</v>
      </c>
      <c r="W295" s="325">
        <f>'ALL ML SYSTEMS'!W295</f>
        <v>0</v>
      </c>
      <c r="X295" s="325">
        <f>'ALL ML SYSTEMS'!X295</f>
        <v>0</v>
      </c>
      <c r="Y295" s="325">
        <f>'ALL ML SYSTEMS'!Y295</f>
        <v>0</v>
      </c>
      <c r="Z295" s="325">
        <f>'ALL ML SYSTEMS'!Z295</f>
        <v>0</v>
      </c>
      <c r="AA295" s="341" t="str">
        <f>'ALL ML SYSTEMS'!AA295</f>
        <v/>
      </c>
      <c r="AB295" s="325">
        <f>'ALL ML SYSTEMS'!AB295</f>
        <v>0</v>
      </c>
      <c r="AC295" s="325">
        <f>'ALL ML SYSTEMS'!AC295</f>
        <v>0</v>
      </c>
      <c r="AD295" s="325" t="str">
        <f>'ALL ML SYSTEMS'!AD295</f>
        <v>Industry</v>
      </c>
    </row>
    <row r="296" customHeight="1" spans="1:30">
      <c r="A296" s="323" t="str">
        <f>'ALL ML SYSTEMS'!A296</f>
        <v>YOLO</v>
      </c>
      <c r="B296" s="323" t="str">
        <f>'ALL ML SYSTEMS'!B296</f>
        <v>Vision</v>
      </c>
      <c r="C296" s="323" t="str">
        <f>'ALL ML SYSTEMS'!C296</f>
        <v>Object detection</v>
      </c>
      <c r="D296" s="323" t="str">
        <f>'ALL ML SYSTEMS'!D296</f>
        <v>University of Washington</v>
      </c>
      <c r="E296" s="323" t="str">
        <f>'ALL ML SYSTEMS'!E296</f>
        <v>Industry - Academia Collaboration</v>
      </c>
      <c r="F296" s="323" t="str">
        <f>'ALL ML SYSTEMS'!F296</f>
        <v>J Redmon, S Divvala, R Girshick</v>
      </c>
      <c r="G296" s="324">
        <f>'ALL ML SYSTEMS'!G296</f>
        <v>42163</v>
      </c>
      <c r="H296" s="329">
        <f>'ALL ML SYSTEMS'!H296</f>
        <v>2163</v>
      </c>
      <c r="I296" s="323" t="str">
        <f>'ALL ML SYSTEMS'!I296</f>
        <v>You Only Look Once: Unified, Real-Time Object Detection</v>
      </c>
      <c r="J296" s="334" t="str">
        <f>'ALL ML SYSTEMS'!J296</f>
        <v>https://arxiv.org/abs/1506.02640</v>
      </c>
      <c r="K296" s="335">
        <f>'ALL ML SYSTEMS'!K296</f>
        <v>17522</v>
      </c>
      <c r="L296" s="323" t="str">
        <f>'ALL ML SYSTEMS'!L296</f>
        <v>Highly cited</v>
      </c>
      <c r="M296" s="335" t="str">
        <f>'ALL ML SYSTEMS'!M296</f>
        <v>Yes</v>
      </c>
      <c r="N296" s="335">
        <f>'ALL ML SYSTEMS'!N296</f>
        <v>64459968</v>
      </c>
      <c r="O296" s="335">
        <f>'ALL ML SYSTEMS'!O296</f>
        <v>0</v>
      </c>
      <c r="P296" s="336">
        <f>'ALL ML SYSTEMS'!P296</f>
        <v>0</v>
      </c>
      <c r="Q296" s="335">
        <f>'ALL ML SYSTEMS'!Q296</f>
        <v>0</v>
      </c>
      <c r="R296" s="323">
        <f>'ALL ML SYSTEMS'!R296</f>
        <v>0</v>
      </c>
      <c r="S296" s="335">
        <f>'ALL ML SYSTEMS'!S296</f>
        <v>0</v>
      </c>
      <c r="T296" s="323">
        <f>'ALL ML SYSTEMS'!T296</f>
        <v>0</v>
      </c>
      <c r="U296" s="323">
        <f>'ALL ML SYSTEMS'!U296</f>
        <v>0</v>
      </c>
      <c r="V296" s="323">
        <f>'ALL ML SYSTEMS'!V296</f>
        <v>0</v>
      </c>
      <c r="W296" s="323">
        <f>'ALL ML SYSTEMS'!W296</f>
        <v>0</v>
      </c>
      <c r="X296" s="323">
        <f>'ALL ML SYSTEMS'!X296</f>
        <v>0</v>
      </c>
      <c r="Y296" s="323">
        <f>'ALL ML SYSTEMS'!Y296</f>
        <v>0</v>
      </c>
      <c r="Z296" s="323">
        <f>'ALL ML SYSTEMS'!Z296</f>
        <v>0</v>
      </c>
      <c r="AA296" s="340" t="str">
        <f>'ALL ML SYSTEMS'!AA296</f>
        <v/>
      </c>
      <c r="AB296" s="323">
        <f>'ALL ML SYSTEMS'!AB296</f>
        <v>0</v>
      </c>
      <c r="AC296" s="323">
        <f>'ALL ML SYSTEMS'!AC296</f>
        <v>0</v>
      </c>
      <c r="AD296" s="323" t="str">
        <f>'ALL ML SYSTEMS'!AD296</f>
        <v>Industry</v>
      </c>
    </row>
    <row r="297" customHeight="1" spans="1:30">
      <c r="A297" s="325" t="str">
        <f>'ALL ML SYSTEMS'!A297</f>
        <v>BatchNorm</v>
      </c>
      <c r="B297" s="325">
        <f>'ALL ML SYSTEMS'!B297</f>
        <v>0</v>
      </c>
      <c r="C297" s="325">
        <f>'ALL ML SYSTEMS'!C297</f>
        <v>0</v>
      </c>
      <c r="D297" s="325" t="str">
        <f>'ALL ML SYSTEMS'!D297</f>
        <v>Google</v>
      </c>
      <c r="E297" s="325" t="str">
        <f>'ALL ML SYSTEMS'!E297</f>
        <v>Industry</v>
      </c>
      <c r="F297" s="325" t="str">
        <f>'ALL ML SYSTEMS'!F297</f>
        <v>S Ioffe, C Szegedy</v>
      </c>
      <c r="G297" s="326">
        <f>'ALL ML SYSTEMS'!G297</f>
        <v>42170</v>
      </c>
      <c r="H297" s="327">
        <f>'ALL ML SYSTEMS'!H297</f>
        <v>2170</v>
      </c>
      <c r="I297" s="325" t="str">
        <f>'ALL ML SYSTEMS'!I297</f>
        <v>Batch Normalization: Accelerating Deep Network Training by Reducing Internal Covariate Shift</v>
      </c>
      <c r="J297" s="337" t="str">
        <f>'ALL ML SYSTEMS'!J297</f>
        <v>https://arxiv.org/abs/1502.03167</v>
      </c>
      <c r="K297" s="338">
        <f>'ALL ML SYSTEMS'!K297</f>
        <v>29217</v>
      </c>
      <c r="L297" s="325" t="str">
        <f>'ALL ML SYSTEMS'!L297</f>
        <v>Highly cited</v>
      </c>
      <c r="M297" s="338" t="str">
        <f>'ALL ML SYSTEMS'!M297</f>
        <v>Yes</v>
      </c>
      <c r="N297" s="338">
        <f>'ALL ML SYSTEMS'!N297</f>
        <v>0</v>
      </c>
      <c r="O297" s="338">
        <f>'ALL ML SYSTEMS'!O297</f>
        <v>0</v>
      </c>
      <c r="P297" s="339">
        <f>'ALL ML SYSTEMS'!P297</f>
        <v>0</v>
      </c>
      <c r="Q297" s="338">
        <f>'ALL ML SYSTEMS'!Q297</f>
        <v>0</v>
      </c>
      <c r="R297" s="325">
        <f>'ALL ML SYSTEMS'!R297</f>
        <v>0</v>
      </c>
      <c r="S297" s="338">
        <f>'ALL ML SYSTEMS'!S297</f>
        <v>0</v>
      </c>
      <c r="T297" s="325">
        <f>'ALL ML SYSTEMS'!T297</f>
        <v>0</v>
      </c>
      <c r="U297" s="325">
        <f>'ALL ML SYSTEMS'!U297</f>
        <v>0</v>
      </c>
      <c r="V297" s="325">
        <f>'ALL ML SYSTEMS'!V297</f>
        <v>0</v>
      </c>
      <c r="W297" s="325">
        <f>'ALL ML SYSTEMS'!W297</f>
        <v>0</v>
      </c>
      <c r="X297" s="325">
        <f>'ALL ML SYSTEMS'!X297</f>
        <v>0</v>
      </c>
      <c r="Y297" s="325">
        <f>'ALL ML SYSTEMS'!Y297</f>
        <v>0</v>
      </c>
      <c r="Z297" s="325">
        <f>'ALL ML SYSTEMS'!Z297</f>
        <v>0</v>
      </c>
      <c r="AA297" s="341" t="str">
        <f>'ALL ML SYSTEMS'!AA297</f>
        <v/>
      </c>
      <c r="AB297" s="325">
        <f>'ALL ML SYSTEMS'!AB297</f>
        <v>0</v>
      </c>
      <c r="AC297" s="325">
        <f>'ALL ML SYSTEMS'!AC297</f>
        <v>0</v>
      </c>
      <c r="AD297" s="325" t="str">
        <f>'ALL ML SYSTEMS'!AD297</f>
        <v>Industry</v>
      </c>
    </row>
    <row r="298" customHeight="1" spans="1:30">
      <c r="A298" s="323">
        <f>'ALL ML SYSTEMS'!A298</f>
        <v>0</v>
      </c>
      <c r="B298" s="323">
        <f>'ALL ML SYSTEMS'!B298</f>
        <v>0</v>
      </c>
      <c r="C298" s="323">
        <f>'ALL ML SYSTEMS'!C298</f>
        <v>0</v>
      </c>
      <c r="D298" s="323" t="str">
        <f>'ALL ML SYSTEMS'!D298</f>
        <v>Google, Carnegie Mellon University</v>
      </c>
      <c r="E298" s="323" t="str">
        <f>'ALL ML SYSTEMS'!E298</f>
        <v>Industry - Academia Collaboration</v>
      </c>
      <c r="F298" s="323" t="str">
        <f>'ALL ML SYSTEMS'!F298</f>
        <v>William Chan, Navdeep Jaitly, Quoc Le, and Oriol Vinyals</v>
      </c>
      <c r="G298" s="324">
        <f>'ALL ML SYSTEMS'!G298</f>
        <v>42236</v>
      </c>
      <c r="H298" s="329">
        <f>'ALL ML SYSTEMS'!H298</f>
        <v>2236</v>
      </c>
      <c r="I298" s="323" t="str">
        <f>'ALL ML SYSTEMS'!I298</f>
        <v>Listen, attend and spell: A neural network for large vocabulary conversational speech recognition</v>
      </c>
      <c r="J298" s="334" t="str">
        <f>'ALL ML SYSTEMS'!J298</f>
        <v>https://ieeexplore.ieee.org/document/7472621</v>
      </c>
      <c r="K298" s="335">
        <f>'ALL ML SYSTEMS'!K298</f>
        <v>1619</v>
      </c>
      <c r="L298" s="323" t="str">
        <f>'ALL ML SYSTEMS'!L298</f>
        <v>Highly cited</v>
      </c>
      <c r="M298" s="335" t="str">
        <f>'ALL ML SYSTEMS'!M298</f>
        <v>Yes</v>
      </c>
      <c r="N298" s="335">
        <f>'ALL ML SYSTEMS'!N298</f>
        <v>0</v>
      </c>
      <c r="O298" s="335">
        <f>'ALL ML SYSTEMS'!O298</f>
        <v>0</v>
      </c>
      <c r="P298" s="336">
        <f>'ALL ML SYSTEMS'!P298</f>
        <v>0</v>
      </c>
      <c r="Q298" s="335">
        <f>'ALL ML SYSTEMS'!Q298</f>
        <v>0</v>
      </c>
      <c r="R298" s="323">
        <f>'ALL ML SYSTEMS'!R298</f>
        <v>0</v>
      </c>
      <c r="S298" s="335">
        <f>'ALL ML SYSTEMS'!S298</f>
        <v>0</v>
      </c>
      <c r="T298" s="323">
        <f>'ALL ML SYSTEMS'!T298</f>
        <v>0</v>
      </c>
      <c r="U298" s="323">
        <f>'ALL ML SYSTEMS'!U298</f>
        <v>0</v>
      </c>
      <c r="V298" s="323">
        <f>'ALL ML SYSTEMS'!V298</f>
        <v>0</v>
      </c>
      <c r="W298" s="323">
        <f>'ALL ML SYSTEMS'!W298</f>
        <v>0</v>
      </c>
      <c r="X298" s="323">
        <f>'ALL ML SYSTEMS'!X298</f>
        <v>0</v>
      </c>
      <c r="Y298" s="323">
        <f>'ALL ML SYSTEMS'!Y298</f>
        <v>0</v>
      </c>
      <c r="Z298" s="323">
        <f>'ALL ML SYSTEMS'!Z298</f>
        <v>0</v>
      </c>
      <c r="AA298" s="340" t="str">
        <f>'ALL ML SYSTEMS'!AA298</f>
        <v/>
      </c>
      <c r="AB298" s="323">
        <f>'ALL ML SYSTEMS'!AB298</f>
        <v>0</v>
      </c>
      <c r="AC298" s="323">
        <f>'ALL ML SYSTEMS'!AC298</f>
        <v>0</v>
      </c>
      <c r="AD298" s="323" t="str">
        <f>'ALL ML SYSTEMS'!AD298</f>
        <v>Industry</v>
      </c>
    </row>
    <row r="299" customHeight="1" spans="1:30">
      <c r="A299" s="325" t="str">
        <f>'ALL ML SYSTEMS'!A299</f>
        <v>BPE</v>
      </c>
      <c r="B299" s="325" t="str">
        <f>'ALL ML SYSTEMS'!B299</f>
        <v>Language</v>
      </c>
      <c r="C299" s="325" t="str">
        <f>'ALL ML SYSTEMS'!C299</f>
        <v>Translation</v>
      </c>
      <c r="D299" s="325" t="str">
        <f>'ALL ML SYSTEMS'!D299</f>
        <v>University of Edinburgh</v>
      </c>
      <c r="E299" s="325" t="str">
        <f>'ALL ML SYSTEMS'!E299</f>
        <v>Academia</v>
      </c>
      <c r="F299" s="325" t="str">
        <f>'ALL ML SYSTEMS'!F299</f>
        <v>R Sennrich, B Haddow, A Birch</v>
      </c>
      <c r="G299" s="326">
        <f>'ALL ML SYSTEMS'!G299</f>
        <v>42247</v>
      </c>
      <c r="H299" s="327">
        <f>'ALL ML SYSTEMS'!H299</f>
        <v>2247</v>
      </c>
      <c r="I299" s="325" t="str">
        <f>'ALL ML SYSTEMS'!I299</f>
        <v>Neural Machine Translation of Rare Words with Subword Units</v>
      </c>
      <c r="J299" s="337" t="str">
        <f>'ALL ML SYSTEMS'!J299</f>
        <v>https://arxiv.org/abs/1508.07909</v>
      </c>
      <c r="K299" s="338">
        <f>'ALL ML SYSTEMS'!K299</f>
        <v>4058</v>
      </c>
      <c r="L299" s="325" t="str">
        <f>'ALL ML SYSTEMS'!L299</f>
        <v>Highly cited</v>
      </c>
      <c r="M299" s="338" t="str">
        <f>'ALL ML SYSTEMS'!M299</f>
        <v>Yes</v>
      </c>
      <c r="N299" s="338">
        <f>'ALL ML SYSTEMS'!N299</f>
        <v>0</v>
      </c>
      <c r="O299" s="338">
        <f>'ALL ML SYSTEMS'!O299</f>
        <v>0</v>
      </c>
      <c r="P299" s="339" t="str">
        <f>'ALL ML SYSTEMS'!P299</f>
        <v>WMT'15</v>
      </c>
      <c r="Q299" s="338">
        <f>'ALL ML SYSTEMS'!Q299</f>
        <v>37500000</v>
      </c>
      <c r="R299" s="325">
        <f>'ALL ML SYSTEMS'!R299</f>
        <v>0</v>
      </c>
      <c r="S299" s="338">
        <f>'ALL ML SYSTEMS'!S299</f>
        <v>0</v>
      </c>
      <c r="T299" s="325">
        <f>'ALL ML SYSTEMS'!T299</f>
        <v>0</v>
      </c>
      <c r="U299" s="325">
        <f>'ALL ML SYSTEMS'!U299</f>
        <v>0</v>
      </c>
      <c r="V299" s="325">
        <f>'ALL ML SYSTEMS'!V299</f>
        <v>0</v>
      </c>
      <c r="W299" s="325">
        <f>'ALL ML SYSTEMS'!W299</f>
        <v>0</v>
      </c>
      <c r="X299" s="325">
        <f>'ALL ML SYSTEMS'!X299</f>
        <v>0</v>
      </c>
      <c r="Y299" s="325">
        <f>'ALL ML SYSTEMS'!Y299</f>
        <v>0</v>
      </c>
      <c r="Z299" s="325">
        <f>'ALL ML SYSTEMS'!Z299</f>
        <v>0</v>
      </c>
      <c r="AA299" s="341" t="str">
        <f>'ALL ML SYSTEMS'!AA299</f>
        <v/>
      </c>
      <c r="AB299" s="325">
        <f>'ALL ML SYSTEMS'!AB299</f>
        <v>0</v>
      </c>
      <c r="AC299" s="325">
        <f>'ALL ML SYSTEMS'!AC299</f>
        <v>0</v>
      </c>
      <c r="AD299" s="325" t="str">
        <f>'ALL ML SYSTEMS'!AD299</f>
        <v>Academia</v>
      </c>
    </row>
    <row r="300" customHeight="1" spans="1:30">
      <c r="A300" s="323">
        <f>'ALL ML SYSTEMS'!A300</f>
        <v>0</v>
      </c>
      <c r="B300" s="323">
        <f>'ALL ML SYSTEMS'!B300</f>
        <v>0</v>
      </c>
      <c r="C300" s="323">
        <f>'ALL ML SYSTEMS'!C300</f>
        <v>0</v>
      </c>
      <c r="D300" s="323" t="str">
        <f>'ALL ML SYSTEMS'!D300</f>
        <v>Google DeepMind</v>
      </c>
      <c r="E300" s="323" t="str">
        <f>'ALL ML SYSTEMS'!E300</f>
        <v>Industry</v>
      </c>
      <c r="F300" s="323" t="str">
        <f>'ALL ML SYSTEMS'!F300</f>
        <v>TP Lillicrap, JJ Hunt, A Pritzel, N Heess, T Erez</v>
      </c>
      <c r="G300" s="324">
        <f>'ALL ML SYSTEMS'!G300</f>
        <v>42256</v>
      </c>
      <c r="H300" s="329">
        <f>'ALL ML SYSTEMS'!H300</f>
        <v>2256</v>
      </c>
      <c r="I300" s="323" t="str">
        <f>'ALL ML SYSTEMS'!I300</f>
        <v>Continuous control with deep reinforcement learning</v>
      </c>
      <c r="J300" s="334" t="str">
        <f>'ALL ML SYSTEMS'!J300</f>
        <v>https://arxiv.org/abs/1509.02971</v>
      </c>
      <c r="K300" s="335">
        <f>'ALL ML SYSTEMS'!K300</f>
        <v>6348</v>
      </c>
      <c r="L300" s="323" t="str">
        <f>'ALL ML SYSTEMS'!L300</f>
        <v>Highly cited</v>
      </c>
      <c r="M300" s="335" t="str">
        <f>'ALL ML SYSTEMS'!M300</f>
        <v>Yes</v>
      </c>
      <c r="N300" s="323">
        <f>'ALL ML SYSTEMS'!N300</f>
        <v>0</v>
      </c>
      <c r="O300" s="335">
        <f>'ALL ML SYSTEMS'!O300</f>
        <v>0</v>
      </c>
      <c r="P300" s="336">
        <f>'ALL ML SYSTEMS'!P300</f>
        <v>0</v>
      </c>
      <c r="Q300" s="335">
        <f>'ALL ML SYSTEMS'!Q300</f>
        <v>0</v>
      </c>
      <c r="R300" s="323">
        <f>'ALL ML SYSTEMS'!R300</f>
        <v>0</v>
      </c>
      <c r="S300" s="323">
        <f>'ALL ML SYSTEMS'!S300</f>
        <v>0</v>
      </c>
      <c r="T300" s="323">
        <f>'ALL ML SYSTEMS'!T300</f>
        <v>0</v>
      </c>
      <c r="U300" s="323">
        <f>'ALL ML SYSTEMS'!U300</f>
        <v>0</v>
      </c>
      <c r="V300" s="323">
        <f>'ALL ML SYSTEMS'!V300</f>
        <v>0</v>
      </c>
      <c r="W300" s="323">
        <f>'ALL ML SYSTEMS'!W300</f>
        <v>0</v>
      </c>
      <c r="X300" s="323">
        <f>'ALL ML SYSTEMS'!X300</f>
        <v>0</v>
      </c>
      <c r="Y300" s="323">
        <f>'ALL ML SYSTEMS'!Y300</f>
        <v>0</v>
      </c>
      <c r="Z300" s="323">
        <f>'ALL ML SYSTEMS'!Z300</f>
        <v>0</v>
      </c>
      <c r="AA300" s="340" t="str">
        <f>'ALL ML SYSTEMS'!AA300</f>
        <v/>
      </c>
      <c r="AB300" s="323">
        <f>'ALL ML SYSTEMS'!AB300</f>
        <v>0</v>
      </c>
      <c r="AC300" s="323">
        <f>'ALL ML SYSTEMS'!AC300</f>
        <v>0</v>
      </c>
      <c r="AD300" s="323" t="str">
        <f>'ALL ML SYSTEMS'!AD300</f>
        <v>Industry</v>
      </c>
    </row>
    <row r="301" customHeight="1" spans="1:30">
      <c r="A301" s="325">
        <f>'ALL ML SYSTEMS'!A301</f>
        <v>0</v>
      </c>
      <c r="B301" s="325">
        <f>'ALL ML SYSTEMS'!B301</f>
        <v>0</v>
      </c>
      <c r="C301" s="325">
        <f>'ALL ML SYSTEMS'!C301</f>
        <v>0</v>
      </c>
      <c r="D301" s="325" t="str">
        <f>'ALL ML SYSTEMS'!D301</f>
        <v>Google DeepMind</v>
      </c>
      <c r="E301" s="325" t="str">
        <f>'ALL ML SYSTEMS'!E301</f>
        <v>Industry</v>
      </c>
      <c r="F301" s="325" t="str">
        <f>'ALL ML SYSTEMS'!F301</f>
        <v>Z Wang, T Schaul, M Hessel</v>
      </c>
      <c r="G301" s="326">
        <f>'ALL ML SYSTEMS'!G301</f>
        <v>42328</v>
      </c>
      <c r="H301" s="327">
        <f>'ALL ML SYSTEMS'!H301</f>
        <v>2328</v>
      </c>
      <c r="I301" s="325" t="str">
        <f>'ALL ML SYSTEMS'!I301</f>
        <v>Dueling Network Architectures for Deep Reinforcement Learning</v>
      </c>
      <c r="J301" s="337" t="str">
        <f>'ALL ML SYSTEMS'!J301</f>
        <v>https://arxiv.org/abs/1511.06581</v>
      </c>
      <c r="K301" s="338">
        <f>'ALL ML SYSTEMS'!K301</f>
        <v>1995</v>
      </c>
      <c r="L301" s="325" t="str">
        <f>'ALL ML SYSTEMS'!L301</f>
        <v>Highly cited</v>
      </c>
      <c r="M301" s="338" t="str">
        <f>'ALL ML SYSTEMS'!M301</f>
        <v>Yes</v>
      </c>
      <c r="N301" s="338">
        <f>'ALL ML SYSTEMS'!N301</f>
        <v>0</v>
      </c>
      <c r="O301" s="338">
        <f>'ALL ML SYSTEMS'!O301</f>
        <v>0</v>
      </c>
      <c r="P301" s="339">
        <f>'ALL ML SYSTEMS'!P301</f>
        <v>0</v>
      </c>
      <c r="Q301" s="338">
        <f>'ALL ML SYSTEMS'!Q301</f>
        <v>0</v>
      </c>
      <c r="R301" s="325">
        <f>'ALL ML SYSTEMS'!R301</f>
        <v>0</v>
      </c>
      <c r="S301" s="338">
        <f>'ALL ML SYSTEMS'!S301</f>
        <v>0</v>
      </c>
      <c r="T301" s="325">
        <f>'ALL ML SYSTEMS'!T301</f>
        <v>0</v>
      </c>
      <c r="U301" s="325">
        <f>'ALL ML SYSTEMS'!U301</f>
        <v>0</v>
      </c>
      <c r="V301" s="325">
        <f>'ALL ML SYSTEMS'!V301</f>
        <v>0</v>
      </c>
      <c r="W301" s="325">
        <f>'ALL ML SYSTEMS'!W301</f>
        <v>0</v>
      </c>
      <c r="X301" s="325">
        <f>'ALL ML SYSTEMS'!X301</f>
        <v>0</v>
      </c>
      <c r="Y301" s="325">
        <f>'ALL ML SYSTEMS'!Y301</f>
        <v>0</v>
      </c>
      <c r="Z301" s="325">
        <f>'ALL ML SYSTEMS'!Z301</f>
        <v>0</v>
      </c>
      <c r="AA301" s="341" t="str">
        <f>'ALL ML SYSTEMS'!AA301</f>
        <v/>
      </c>
      <c r="AB301" s="325">
        <f>'ALL ML SYSTEMS'!AB301</f>
        <v>0</v>
      </c>
      <c r="AC301" s="325">
        <f>'ALL ML SYSTEMS'!AC301</f>
        <v>0</v>
      </c>
      <c r="AD301" s="325" t="str">
        <f>'ALL ML SYSTEMS'!AD301</f>
        <v>Industry</v>
      </c>
    </row>
    <row r="302" customHeight="1" spans="1:30">
      <c r="A302" s="323">
        <f>'ALL ML SYSTEMS'!A302</f>
        <v>0</v>
      </c>
      <c r="B302" s="323" t="str">
        <f>'ALL ML SYSTEMS'!B302</f>
        <v>Vision</v>
      </c>
      <c r="C302" s="323" t="str">
        <f>'ALL ML SYSTEMS'!C302</f>
        <v>Image segmentation</v>
      </c>
      <c r="D302" s="323" t="str">
        <f>'ALL ML SYSTEMS'!D302</f>
        <v>Princeton University, Intel Labs</v>
      </c>
      <c r="E302" s="323" t="str">
        <f>'ALL ML SYSTEMS'!E302</f>
        <v>Industry - Academia Collaboration</v>
      </c>
      <c r="F302" s="323" t="str">
        <f>'ALL ML SYSTEMS'!F302</f>
        <v>Fisher Yu, Vladlen Koltun</v>
      </c>
      <c r="G302" s="324">
        <f>'ALL ML SYSTEMS'!G302</f>
        <v>42331</v>
      </c>
      <c r="H302" s="329">
        <f>'ALL ML SYSTEMS'!H302</f>
        <v>2331</v>
      </c>
      <c r="I302" s="323" t="str">
        <f>'ALL ML SYSTEMS'!I302</f>
        <v>Multi-Scale Context Aggregation by Dilated Convolutions</v>
      </c>
      <c r="J302" s="334" t="str">
        <f>'ALL ML SYSTEMS'!J302</f>
        <v>https://arxiv.org/abs/1511.07122</v>
      </c>
      <c r="K302" s="335">
        <f>'ALL ML SYSTEMS'!K302</f>
        <v>5844</v>
      </c>
      <c r="L302" s="323" t="str">
        <f>'ALL ML SYSTEMS'!L302</f>
        <v>Highly cited</v>
      </c>
      <c r="M302" s="335" t="str">
        <f>'ALL ML SYSTEMS'!M302</f>
        <v>Yes</v>
      </c>
      <c r="N302" s="335">
        <f>'ALL ML SYSTEMS'!N302</f>
        <v>0</v>
      </c>
      <c r="O302" s="335">
        <f>'ALL ML SYSTEMS'!O302</f>
        <v>0</v>
      </c>
      <c r="P302" s="336">
        <f>'ALL ML SYSTEMS'!P302</f>
        <v>0</v>
      </c>
      <c r="Q302" s="335">
        <f>'ALL ML SYSTEMS'!Q302</f>
        <v>0</v>
      </c>
      <c r="R302" s="323">
        <f>'ALL ML SYSTEMS'!R302</f>
        <v>0</v>
      </c>
      <c r="S302" s="335">
        <f>'ALL ML SYSTEMS'!S302</f>
        <v>0</v>
      </c>
      <c r="T302" s="323">
        <f>'ALL ML SYSTEMS'!T302</f>
        <v>0</v>
      </c>
      <c r="U302" s="323">
        <f>'ALL ML SYSTEMS'!U302</f>
        <v>0</v>
      </c>
      <c r="V302" s="323">
        <f>'ALL ML SYSTEMS'!V302</f>
        <v>0</v>
      </c>
      <c r="W302" s="323">
        <f>'ALL ML SYSTEMS'!W302</f>
        <v>0</v>
      </c>
      <c r="X302" s="323">
        <f>'ALL ML SYSTEMS'!X302</f>
        <v>0</v>
      </c>
      <c r="Y302" s="323">
        <f>'ALL ML SYSTEMS'!Y302</f>
        <v>0</v>
      </c>
      <c r="Z302" s="323">
        <f>'ALL ML SYSTEMS'!Z302</f>
        <v>0</v>
      </c>
      <c r="AA302" s="340" t="str">
        <f>'ALL ML SYSTEMS'!AA302</f>
        <v/>
      </c>
      <c r="AB302" s="323">
        <f>'ALL ML SYSTEMS'!AB302</f>
        <v>0</v>
      </c>
      <c r="AC302" s="323">
        <f>'ALL ML SYSTEMS'!AC302</f>
        <v>0</v>
      </c>
      <c r="AD302" s="323" t="str">
        <f>'ALL ML SYSTEMS'!AD302</f>
        <v>Industry</v>
      </c>
    </row>
    <row r="303" customHeight="1" spans="1:30">
      <c r="A303" s="325">
        <f>'ALL ML SYSTEMS'!A303</f>
        <v>0</v>
      </c>
      <c r="B303" s="325" t="str">
        <f>'ALL ML SYSTEMS'!B303</f>
        <v>Recommendation</v>
      </c>
      <c r="C303" s="325">
        <f>'ALL ML SYSTEMS'!C303</f>
        <v>0</v>
      </c>
      <c r="D303" s="325" t="str">
        <f>'ALL ML SYSTEMS'!D303</f>
        <v>Netflix</v>
      </c>
      <c r="E303" s="325" t="str">
        <f>'ALL ML SYSTEMS'!E303</f>
        <v>Industry</v>
      </c>
      <c r="F303" s="325" t="str">
        <f>'ALL ML SYSTEMS'!F303</f>
        <v>CA Gomez-Uribe, N Hunt</v>
      </c>
      <c r="G303" s="326">
        <f>'ALL ML SYSTEMS'!G303</f>
        <v>42339</v>
      </c>
      <c r="H303" s="327">
        <f>'ALL ML SYSTEMS'!H303</f>
        <v>2339</v>
      </c>
      <c r="I303" s="325" t="str">
        <f>'ALL ML SYSTEMS'!I303</f>
        <v>The Netflix Recommender System: Algorithms, Business Value, and Innovation</v>
      </c>
      <c r="J303" s="337" t="str">
        <f>'ALL ML SYSTEMS'!J303</f>
        <v>https://dl.acm.org/doi/pdf/10.1145/2843948</v>
      </c>
      <c r="K303" s="338">
        <f>'ALL ML SYSTEMS'!K303</f>
        <v>1092</v>
      </c>
      <c r="L303" s="325" t="str">
        <f>'ALL ML SYSTEMS'!L303</f>
        <v>Highly cited</v>
      </c>
      <c r="M303" s="338" t="str">
        <f>'ALL ML SYSTEMS'!M303</f>
        <v>Yes</v>
      </c>
      <c r="N303" s="338">
        <f>'ALL ML SYSTEMS'!N303</f>
        <v>0</v>
      </c>
      <c r="O303" s="338">
        <f>'ALL ML SYSTEMS'!O303</f>
        <v>0</v>
      </c>
      <c r="P303" s="339">
        <f>'ALL ML SYSTEMS'!P303</f>
        <v>0</v>
      </c>
      <c r="Q303" s="338">
        <f>'ALL ML SYSTEMS'!Q303</f>
        <v>0</v>
      </c>
      <c r="R303" s="325">
        <f>'ALL ML SYSTEMS'!R303</f>
        <v>0</v>
      </c>
      <c r="S303" s="338">
        <f>'ALL ML SYSTEMS'!S303</f>
        <v>0</v>
      </c>
      <c r="T303" s="325">
        <f>'ALL ML SYSTEMS'!T303</f>
        <v>0</v>
      </c>
      <c r="U303" s="325">
        <f>'ALL ML SYSTEMS'!U303</f>
        <v>0</v>
      </c>
      <c r="V303" s="325">
        <f>'ALL ML SYSTEMS'!V303</f>
        <v>0</v>
      </c>
      <c r="W303" s="325">
        <f>'ALL ML SYSTEMS'!W303</f>
        <v>0</v>
      </c>
      <c r="X303" s="325">
        <f>'ALL ML SYSTEMS'!X303</f>
        <v>0</v>
      </c>
      <c r="Y303" s="325">
        <f>'ALL ML SYSTEMS'!Y303</f>
        <v>0</v>
      </c>
      <c r="Z303" s="325">
        <f>'ALL ML SYSTEMS'!Z303</f>
        <v>0</v>
      </c>
      <c r="AA303" s="341" t="str">
        <f>'ALL ML SYSTEMS'!AA303</f>
        <v/>
      </c>
      <c r="AB303" s="325">
        <f>'ALL ML SYSTEMS'!AB303</f>
        <v>0</v>
      </c>
      <c r="AC303" s="325">
        <f>'ALL ML SYSTEMS'!AC303</f>
        <v>0</v>
      </c>
      <c r="AD303" s="325" t="str">
        <f>'ALL ML SYSTEMS'!AD303</f>
        <v>Industry</v>
      </c>
    </row>
    <row r="304" customHeight="1" spans="1:30">
      <c r="A304" s="323" t="str">
        <f>'ALL ML SYSTEMS'!A304</f>
        <v>Inception v3</v>
      </c>
      <c r="B304" s="323" t="str">
        <f>'ALL ML SYSTEMS'!B304</f>
        <v>Vision</v>
      </c>
      <c r="C304" s="323" t="str">
        <f>'ALL ML SYSTEMS'!C304</f>
        <v>Image classification</v>
      </c>
      <c r="D304" s="323" t="str">
        <f>'ALL ML SYSTEMS'!D304</f>
        <v>Google, University College London</v>
      </c>
      <c r="E304" s="323" t="str">
        <f>'ALL ML SYSTEMS'!E304</f>
        <v>Industry - Academia Collaboration (Industry leaning)</v>
      </c>
      <c r="F304" s="323" t="str">
        <f>'ALL ML SYSTEMS'!F304</f>
        <v>Christian Szegedy, Vincent Vanhoucke, Sergey Ioffe, Jonathon Shlens, Zbigniew Wojna</v>
      </c>
      <c r="G304" s="324">
        <f>'ALL ML SYSTEMS'!G304</f>
        <v>42340</v>
      </c>
      <c r="H304" s="329">
        <f>'ALL ML SYSTEMS'!H304</f>
        <v>2340</v>
      </c>
      <c r="I304" s="323" t="str">
        <f>'ALL ML SYSTEMS'!I304</f>
        <v>Rethinking the inception architecture for computer vision.</v>
      </c>
      <c r="J304" s="334" t="str">
        <f>'ALL ML SYSTEMS'!J304</f>
        <v>https://arxiv.org/abs/1512.00567</v>
      </c>
      <c r="K304" s="335">
        <f>'ALL ML SYSTEMS'!K304</f>
        <v>14745</v>
      </c>
      <c r="L304" s="323" t="str">
        <f>'ALL ML SYSTEMS'!L304</f>
        <v>Highly cited</v>
      </c>
      <c r="M304" s="335" t="str">
        <f>'ALL ML SYSTEMS'!M304</f>
        <v>Yes</v>
      </c>
      <c r="N304" s="335">
        <f>'ALL ML SYSTEMS'!N304</f>
        <v>23626728</v>
      </c>
      <c r="O304" s="335">
        <f>'ALL ML SYSTEMS'!O304</f>
        <v>0</v>
      </c>
      <c r="P304" s="336" t="str">
        <f>'ALL ML SYSTEMS'!P304</f>
        <v>ILSVRC 2012</v>
      </c>
      <c r="Q304" s="335">
        <f>'ALL ML SYSTEMS'!Q304</f>
        <v>1200000</v>
      </c>
      <c r="R304" s="323">
        <f>'ALL ML SYSTEMS'!R304</f>
        <v>0</v>
      </c>
      <c r="S304" s="335">
        <f>'ALL ML SYSTEMS'!S304</f>
        <v>114830000000</v>
      </c>
      <c r="T304" s="323">
        <f>'ALL ML SYSTEMS'!T304</f>
        <v>0</v>
      </c>
      <c r="U304" s="323">
        <f>'ALL ML SYSTEMS'!U304</f>
        <v>0</v>
      </c>
      <c r="V304" s="323">
        <f>'ALL ML SYSTEMS'!V304</f>
        <v>0</v>
      </c>
      <c r="W304" s="323">
        <f>'ALL ML SYSTEMS'!W304</f>
        <v>0</v>
      </c>
      <c r="X304" s="323">
        <f>'ALL ML SYSTEMS'!X304</f>
        <v>0</v>
      </c>
      <c r="Y304" s="323">
        <f>'ALL ML SYSTEMS'!Y304</f>
        <v>0</v>
      </c>
      <c r="Z304" s="323" t="str">
        <f>'ALL ML SYSTEMS'!Z304</f>
        <v>Score</v>
      </c>
      <c r="AA304" s="340" t="str">
        <f>'ALL ML SYSTEMS'!AA304</f>
        <v/>
      </c>
      <c r="AB304" s="323">
        <f>'ALL ML SYSTEMS'!AB304</f>
        <v>0</v>
      </c>
      <c r="AC304" s="323">
        <f>'ALL ML SYSTEMS'!AC304</f>
        <v>0</v>
      </c>
      <c r="AD304" s="323" t="str">
        <f>'ALL ML SYSTEMS'!AD304</f>
        <v>Industry</v>
      </c>
    </row>
    <row r="305" customHeight="1" spans="1:30">
      <c r="A305" s="325" t="str">
        <f>'ALL ML SYSTEMS'!A305</f>
        <v>ResNet-110 (CIFAR-10)</v>
      </c>
      <c r="B305" s="325" t="str">
        <f>'ALL ML SYSTEMS'!B305</f>
        <v>Vision</v>
      </c>
      <c r="C305" s="325" t="str">
        <f>'ALL ML SYSTEMS'!C305</f>
        <v>Image classification</v>
      </c>
      <c r="D305" s="325" t="str">
        <f>'ALL ML SYSTEMS'!D305</f>
        <v>Microsoft</v>
      </c>
      <c r="E305" s="325" t="str">
        <f>'ALL ML SYSTEMS'!E305</f>
        <v>Industry</v>
      </c>
      <c r="F305" s="325" t="str">
        <f>'ALL ML SYSTEMS'!F305</f>
        <v>Kaiming He, Xiangyu Zhang, Shaoqing Ren, Jian Sun</v>
      </c>
      <c r="G305" s="326">
        <f>'ALL ML SYSTEMS'!G305</f>
        <v>42348</v>
      </c>
      <c r="H305" s="327">
        <f>'ALL ML SYSTEMS'!H305</f>
        <v>2348</v>
      </c>
      <c r="I305" s="325" t="str">
        <f>'ALL ML SYSTEMS'!I305</f>
        <v>Deep Residual Learning for Image Recognition</v>
      </c>
      <c r="J305" s="337" t="str">
        <f>'ALL ML SYSTEMS'!J305</f>
        <v>https://arxiv.org/abs/1512.03385</v>
      </c>
      <c r="K305" s="338">
        <f>'ALL ML SYSTEMS'!K305</f>
        <v>85753</v>
      </c>
      <c r="L305" s="325" t="str">
        <f>'ALL ML SYSTEMS'!L305</f>
        <v>Highly cited</v>
      </c>
      <c r="M305" s="338" t="str">
        <f>'ALL ML SYSTEMS'!M305</f>
        <v>Yes</v>
      </c>
      <c r="N305" s="338">
        <f>'ALL ML SYSTEMS'!N305</f>
        <v>1700000</v>
      </c>
      <c r="O305" s="338">
        <f>'ALL ML SYSTEMS'!O305</f>
        <v>0</v>
      </c>
      <c r="P305" s="339">
        <f>'ALL ML SYSTEMS'!P305</f>
        <v>0</v>
      </c>
      <c r="Q305" s="338">
        <f>'ALL ML SYSTEMS'!Q305</f>
        <v>0</v>
      </c>
      <c r="R305" s="325">
        <f>'ALL ML SYSTEMS'!R305</f>
        <v>110</v>
      </c>
      <c r="S305" s="338">
        <f>'ALL ML SYSTEMS'!S305</f>
        <v>0</v>
      </c>
      <c r="T305" s="325">
        <f>'ALL ML SYSTEMS'!T305</f>
        <v>0</v>
      </c>
      <c r="U305" s="325">
        <f>'ALL ML SYSTEMS'!U305</f>
        <v>0</v>
      </c>
      <c r="V305" s="325">
        <f>'ALL ML SYSTEMS'!V305</f>
        <v>0</v>
      </c>
      <c r="W305" s="325">
        <f>'ALL ML SYSTEMS'!W305</f>
        <v>0</v>
      </c>
      <c r="X305" s="325">
        <f>'ALL ML SYSTEMS'!X305</f>
        <v>0</v>
      </c>
      <c r="Y305" s="325">
        <f>'ALL ML SYSTEMS'!Y305</f>
        <v>0</v>
      </c>
      <c r="Z305" s="325">
        <f>'ALL ML SYSTEMS'!Z305</f>
        <v>0</v>
      </c>
      <c r="AA305" s="341" t="str">
        <f>'ALL ML SYSTEMS'!AA305</f>
        <v/>
      </c>
      <c r="AB305" s="325">
        <f>'ALL ML SYSTEMS'!AB305</f>
        <v>0</v>
      </c>
      <c r="AC305" s="325">
        <f>'ALL ML SYSTEMS'!AC305</f>
        <v>0</v>
      </c>
      <c r="AD305" s="325" t="str">
        <f>'ALL ML SYSTEMS'!AD305</f>
        <v>Industry</v>
      </c>
    </row>
    <row r="306" customHeight="1" spans="1:30">
      <c r="A306" s="323" t="str">
        <f>'ALL ML SYSTEMS'!A306</f>
        <v>BPL</v>
      </c>
      <c r="B306" s="323" t="str">
        <f>'ALL ML SYSTEMS'!B306</f>
        <v>Drawing</v>
      </c>
      <c r="C306" s="323" t="str">
        <f>'ALL ML SYSTEMS'!C306</f>
        <v>Image generation</v>
      </c>
      <c r="D306" s="323" t="str">
        <f>'ALL ML SYSTEMS'!D306</f>
        <v>NYU, University of Toronto, MIT</v>
      </c>
      <c r="E306" s="323" t="str">
        <f>'ALL ML SYSTEMS'!E306</f>
        <v>Academia</v>
      </c>
      <c r="F306" s="323" t="str">
        <f>'ALL ML SYSTEMS'!F306</f>
        <v>BM Lake, R Salakhutdinov, JB Tenenbaum</v>
      </c>
      <c r="G306" s="324">
        <f>'ALL ML SYSTEMS'!G306</f>
        <v>42349</v>
      </c>
      <c r="H306" s="329">
        <f>'ALL ML SYSTEMS'!H306</f>
        <v>2349</v>
      </c>
      <c r="I306" s="323" t="str">
        <f>'ALL ML SYSTEMS'!I306</f>
        <v>Human-level concept learning through probabilistic program induction</v>
      </c>
      <c r="J306" s="334" t="str">
        <f>'ALL ML SYSTEMS'!J306</f>
        <v>https://science.sciencemag.org/content/350/6266/1332/</v>
      </c>
      <c r="K306" s="335">
        <f>'ALL ML SYSTEMS'!K306</f>
        <v>2008</v>
      </c>
      <c r="L306" s="323" t="str">
        <f>'ALL ML SYSTEMS'!L306</f>
        <v>Highly cited</v>
      </c>
      <c r="M306" s="335" t="str">
        <f>'ALL ML SYSTEMS'!M306</f>
        <v>Yes</v>
      </c>
      <c r="N306" s="335">
        <f>'ALL ML SYSTEMS'!N306</f>
        <v>0</v>
      </c>
      <c r="O306" s="335">
        <f>'ALL ML SYSTEMS'!O306</f>
        <v>0</v>
      </c>
      <c r="P306" s="336">
        <f>'ALL ML SYSTEMS'!P306</f>
        <v>0</v>
      </c>
      <c r="Q306" s="335">
        <f>'ALL ML SYSTEMS'!Q306</f>
        <v>0</v>
      </c>
      <c r="R306" s="323">
        <f>'ALL ML SYSTEMS'!R306</f>
        <v>0</v>
      </c>
      <c r="S306" s="335">
        <f>'ALL ML SYSTEMS'!S306</f>
        <v>0</v>
      </c>
      <c r="T306" s="323">
        <f>'ALL ML SYSTEMS'!T306</f>
        <v>0</v>
      </c>
      <c r="U306" s="323">
        <f>'ALL ML SYSTEMS'!U306</f>
        <v>0</v>
      </c>
      <c r="V306" s="323">
        <f>'ALL ML SYSTEMS'!V306</f>
        <v>0</v>
      </c>
      <c r="W306" s="323">
        <f>'ALL ML SYSTEMS'!W306</f>
        <v>0</v>
      </c>
      <c r="X306" s="323">
        <f>'ALL ML SYSTEMS'!X306</f>
        <v>0</v>
      </c>
      <c r="Y306" s="323">
        <f>'ALL ML SYSTEMS'!Y306</f>
        <v>0</v>
      </c>
      <c r="Z306" s="323">
        <f>'ALL ML SYSTEMS'!Z306</f>
        <v>0</v>
      </c>
      <c r="AA306" s="340" t="str">
        <f>'ALL ML SYSTEMS'!AA306</f>
        <v/>
      </c>
      <c r="AB306" s="323">
        <f>'ALL ML SYSTEMS'!AB306</f>
        <v>0</v>
      </c>
      <c r="AC306" s="323">
        <f>'ALL ML SYSTEMS'!AC306</f>
        <v>0</v>
      </c>
      <c r="AD306" s="323" t="str">
        <f>'ALL ML SYSTEMS'!AD306</f>
        <v>Academia</v>
      </c>
    </row>
    <row r="307" customHeight="1" spans="1:30">
      <c r="A307" s="325" t="str">
        <f>'ALL ML SYSTEMS'!A307</f>
        <v>Advantage Learning</v>
      </c>
      <c r="B307" s="325" t="str">
        <f>'ALL ML SYSTEMS'!B307</f>
        <v>Games</v>
      </c>
      <c r="C307" s="325" t="str">
        <f>'ALL ML SYSTEMS'!C307</f>
        <v>Atari Games</v>
      </c>
      <c r="D307" s="325" t="str">
        <f>'ALL ML SYSTEMS'!D307</f>
        <v>Google DeepMind</v>
      </c>
      <c r="E307" s="325" t="str">
        <f>'ALL ML SYSTEMS'!E307</f>
        <v>Industry</v>
      </c>
      <c r="F307" s="325" t="str">
        <f>'ALL ML SYSTEMS'!F307</f>
        <v>MG Bellemare, G Ostrovski, A Guez</v>
      </c>
      <c r="G307" s="326">
        <f>'ALL ML SYSTEMS'!G307</f>
        <v>42353</v>
      </c>
      <c r="H307" s="327">
        <f>'ALL ML SYSTEMS'!H307</f>
        <v>2353</v>
      </c>
      <c r="I307" s="325" t="str">
        <f>'ALL ML SYSTEMS'!I307</f>
        <v>Increasing the Action Gap: New Operators for Reinforcement Learning</v>
      </c>
      <c r="J307" s="337" t="str">
        <f>'ALL ML SYSTEMS'!J307</f>
        <v>http://arxiv.org/abs/1512.04860v1</v>
      </c>
      <c r="K307" s="338">
        <f>'ALL ML SYSTEMS'!K307</f>
        <v>104</v>
      </c>
      <c r="L307" s="325" t="str">
        <f>'ALL ML SYSTEMS'!L307</f>
        <v>SOTA improvement</v>
      </c>
      <c r="M307" s="338" t="str">
        <f>'ALL ML SYSTEMS'!M307</f>
        <v>Yes</v>
      </c>
      <c r="N307" s="338">
        <f>'ALL ML SYSTEMS'!N307</f>
        <v>0</v>
      </c>
      <c r="O307" s="338">
        <f>'ALL ML SYSTEMS'!O307</f>
        <v>0</v>
      </c>
      <c r="P307" s="339">
        <f>'ALL ML SYSTEMS'!P307</f>
        <v>0</v>
      </c>
      <c r="Q307" s="338">
        <f>'ALL ML SYSTEMS'!Q307</f>
        <v>0</v>
      </c>
      <c r="R307" s="325">
        <f>'ALL ML SYSTEMS'!R307</f>
        <v>0</v>
      </c>
      <c r="S307" s="338">
        <f>'ALL ML SYSTEMS'!S307</f>
        <v>0</v>
      </c>
      <c r="T307" s="325">
        <f>'ALL ML SYSTEMS'!T307</f>
        <v>0</v>
      </c>
      <c r="U307" s="325">
        <f>'ALL ML SYSTEMS'!U307</f>
        <v>0</v>
      </c>
      <c r="V307" s="325">
        <f>'ALL ML SYSTEMS'!V307</f>
        <v>0</v>
      </c>
      <c r="W307" s="325">
        <f>'ALL ML SYSTEMS'!W307</f>
        <v>0</v>
      </c>
      <c r="X307" s="325">
        <f>'ALL ML SYSTEMS'!X307</f>
        <v>0</v>
      </c>
      <c r="Y307" s="325">
        <f>'ALL ML SYSTEMS'!Y307</f>
        <v>0</v>
      </c>
      <c r="Z307" s="325">
        <f>'ALL ML SYSTEMS'!Z307</f>
        <v>0</v>
      </c>
      <c r="AA307" s="341" t="str">
        <f>'ALL ML SYSTEMS'!AA307</f>
        <v/>
      </c>
      <c r="AB307" s="325">
        <f>'ALL ML SYSTEMS'!AB307</f>
        <v>0</v>
      </c>
      <c r="AC307" s="325">
        <f>'ALL ML SYSTEMS'!AC307</f>
        <v>0</v>
      </c>
      <c r="AD307" s="325" t="str">
        <f>'ALL ML SYSTEMS'!AD307</f>
        <v>Industry</v>
      </c>
    </row>
    <row r="308" customHeight="1" spans="1:30">
      <c r="A308" s="323" t="str">
        <f>'ALL ML SYSTEMS'!A308</f>
        <v>VGG16</v>
      </c>
      <c r="B308" s="323" t="str">
        <f>'ALL ML SYSTEMS'!B308</f>
        <v>Vision</v>
      </c>
      <c r="C308" s="323">
        <f>'ALL ML SYSTEMS'!C308</f>
        <v>0</v>
      </c>
      <c r="D308" s="323" t="str">
        <f>'ALL ML SYSTEMS'!D308</f>
        <v>University of Oxford</v>
      </c>
      <c r="E308" s="323" t="str">
        <f>'ALL ML SYSTEMS'!E308</f>
        <v>Academia</v>
      </c>
      <c r="F308" s="323" t="str">
        <f>'ALL ML SYSTEMS'!F308</f>
        <v>Karen Simonyan; Andrew Zisserman</v>
      </c>
      <c r="G308" s="324">
        <f>'ALL ML SYSTEMS'!G308</f>
        <v>41886</v>
      </c>
      <c r="H308" s="329">
        <f>'ALL ML SYSTEMS'!H308</f>
        <v>1886</v>
      </c>
      <c r="I308" s="323" t="str">
        <f>'ALL ML SYSTEMS'!I308</f>
        <v>Very Deep Convolutional Networks for Large-Scale Image Recognition</v>
      </c>
      <c r="J308" s="334" t="str">
        <f>'ALL ML SYSTEMS'!J308</f>
        <v>https://arxiv.org/abs/1409.1556</v>
      </c>
      <c r="K308" s="335">
        <f>'ALL ML SYSTEMS'!K308</f>
        <v>61262</v>
      </c>
      <c r="L308" s="323" t="str">
        <f>'ALL ML SYSTEMS'!L308</f>
        <v>Highly cited</v>
      </c>
      <c r="M308" s="335" t="str">
        <f>'ALL ML SYSTEMS'!M308</f>
        <v>Yes</v>
      </c>
      <c r="N308" s="335">
        <f>'ALL ML SYSTEMS'!N308</f>
        <v>138000000</v>
      </c>
      <c r="O308" s="335">
        <f>'ALL ML SYSTEMS'!O308</f>
        <v>8.524e+18</v>
      </c>
      <c r="P308" s="336" t="str">
        <f>'ALL ML SYSTEMS'!P308</f>
        <v>ILSVRC-2012</v>
      </c>
      <c r="Q308" s="335">
        <f>'ALL ML SYSTEMS'!Q308</f>
        <v>1300000</v>
      </c>
      <c r="R308" s="323">
        <f>'ALL ML SYSTEMS'!R308</f>
        <v>16</v>
      </c>
      <c r="S308" s="335">
        <f>'ALL ML SYSTEMS'!S308</f>
        <v>15300000000</v>
      </c>
      <c r="T308" s="323">
        <f>'ALL ML SYSTEMS'!T308</f>
        <v>0</v>
      </c>
      <c r="U308" s="323">
        <f>'ALL ML SYSTEMS'!U308</f>
        <v>0</v>
      </c>
      <c r="V308" s="323">
        <f>'ALL ML SYSTEMS'!V308</f>
        <v>0</v>
      </c>
      <c r="W308" s="323">
        <f>'ALL ML SYSTEMS'!W308</f>
        <v>0</v>
      </c>
      <c r="X308" s="323">
        <f>'ALL ML SYSTEMS'!X308</f>
        <v>0</v>
      </c>
      <c r="Y308" s="323">
        <f>'ALL ML SYSTEMS'!Y308</f>
        <v>0</v>
      </c>
      <c r="Z308" s="323">
        <f>'ALL ML SYSTEMS'!Z308</f>
        <v>0</v>
      </c>
      <c r="AA308" s="340">
        <f>'ALL ML SYSTEMS'!AA308</f>
        <v>82.800136143535</v>
      </c>
      <c r="AB308" s="323">
        <f>'ALL ML SYSTEMS'!AB308</f>
        <v>0</v>
      </c>
      <c r="AC308" s="323">
        <f>'ALL ML SYSTEMS'!AC308</f>
        <v>0</v>
      </c>
      <c r="AD308" s="323" t="str">
        <f>'ALL ML SYSTEMS'!AD308</f>
        <v>Academia</v>
      </c>
    </row>
    <row r="309" customHeight="1" spans="1:30">
      <c r="A309" s="325" t="str">
        <f>'ALL ML SYSTEMS'!A309</f>
        <v>Seq2Seq LSTM</v>
      </c>
      <c r="B309" s="325" t="str">
        <f>'ALL ML SYSTEMS'!B309</f>
        <v>Language</v>
      </c>
      <c r="C309" s="325" t="str">
        <f>'ALL ML SYSTEMS'!C309</f>
        <v>Translation</v>
      </c>
      <c r="D309" s="325" t="str">
        <f>'ALL ML SYSTEMS'!D309</f>
        <v>Google</v>
      </c>
      <c r="E309" s="325" t="str">
        <f>'ALL ML SYSTEMS'!E309</f>
        <v>Industry</v>
      </c>
      <c r="F309" s="325" t="str">
        <f>'ALL ML SYSTEMS'!F309</f>
        <v>I Sutskever, O Vinyals, QV Le</v>
      </c>
      <c r="G309" s="326">
        <f>'ALL ML SYSTEMS'!G309</f>
        <v>41892</v>
      </c>
      <c r="H309" s="327">
        <f>'ALL ML SYSTEMS'!H309</f>
        <v>1892</v>
      </c>
      <c r="I309" s="325" t="str">
        <f>'ALL ML SYSTEMS'!I309</f>
        <v>Sequence to Sequence Learning with Neural Networks</v>
      </c>
      <c r="J309" s="337" t="str">
        <f>'ALL ML SYSTEMS'!J309</f>
        <v>https://arxiv.org/abs/1409.3215</v>
      </c>
      <c r="K309" s="338">
        <f>'ALL ML SYSTEMS'!K309</f>
        <v>15748</v>
      </c>
      <c r="L309" s="325" t="str">
        <f>'ALL ML SYSTEMS'!L309</f>
        <v>Highly cited</v>
      </c>
      <c r="M309" s="338" t="str">
        <f>'ALL ML SYSTEMS'!M309</f>
        <v>Yes</v>
      </c>
      <c r="N309" s="338">
        <f>'ALL ML SYSTEMS'!N309</f>
        <v>384000000</v>
      </c>
      <c r="O309" s="338">
        <f>'ALL ML SYSTEMS'!O309</f>
        <v>7.3e+18</v>
      </c>
      <c r="P309" s="339" t="str">
        <f>'ALL ML SYSTEMS'!P309</f>
        <v>WMT'14 dataset</v>
      </c>
      <c r="Q309" s="338">
        <f>'ALL ML SYSTEMS'!Q309</f>
        <v>384000000</v>
      </c>
      <c r="R309" s="325">
        <f>'ALL ML SYSTEMS'!R309</f>
        <v>0</v>
      </c>
      <c r="S309" s="338">
        <f>'ALL ML SYSTEMS'!S309</f>
        <v>0</v>
      </c>
      <c r="T309" s="325">
        <f>'ALL ML SYSTEMS'!T309</f>
        <v>0</v>
      </c>
      <c r="U309" s="325">
        <f>'ALL ML SYSTEMS'!U309</f>
        <v>0</v>
      </c>
      <c r="V309" s="325">
        <f>'ALL ML SYSTEMS'!V309</f>
        <v>0</v>
      </c>
      <c r="W309" s="325">
        <f>'ALL ML SYSTEMS'!W309</f>
        <v>0</v>
      </c>
      <c r="X309" s="325">
        <f>'ALL ML SYSTEMS'!X309</f>
        <v>0</v>
      </c>
      <c r="Y309" s="325">
        <f>'ALL ML SYSTEMS'!Y309</f>
        <v>0</v>
      </c>
      <c r="Z309" s="325">
        <f>'ALL ML SYSTEMS'!Z309</f>
        <v>0</v>
      </c>
      <c r="AA309" s="341">
        <f>'ALL ML SYSTEMS'!AA309</f>
        <v>79.5959948476017</v>
      </c>
      <c r="AB309" s="325">
        <f>'ALL ML SYSTEMS'!AB309</f>
        <v>0</v>
      </c>
      <c r="AC309" s="325">
        <f>'ALL ML SYSTEMS'!AC309</f>
        <v>0</v>
      </c>
      <c r="AD309" s="325" t="str">
        <f>'ALL ML SYSTEMS'!AD309</f>
        <v>Industry</v>
      </c>
    </row>
    <row r="310" customHeight="1" spans="1:30">
      <c r="A310" s="323" t="str">
        <f>'ALL ML SYSTEMS'!A310</f>
        <v>SPPNet</v>
      </c>
      <c r="B310" s="323" t="str">
        <f>'ALL ML SYSTEMS'!B310</f>
        <v>Vision</v>
      </c>
      <c r="C310" s="323" t="str">
        <f>'ALL ML SYSTEMS'!C310</f>
        <v>Image classification</v>
      </c>
      <c r="D310" s="323" t="str">
        <f>'ALL ML SYSTEMS'!D310</f>
        <v>Microsoft, Xi’an Jiaotong University, University of Science and Technology of China</v>
      </c>
      <c r="E310" s="323" t="str">
        <f>'ALL ML SYSTEMS'!E310</f>
        <v>Industry - Academia Collaboration</v>
      </c>
      <c r="F310" s="323">
        <f>'ALL ML SYSTEMS'!F310</f>
        <v>0</v>
      </c>
      <c r="G310" s="324">
        <f>'ALL ML SYSTEMS'!G310</f>
        <v>41808</v>
      </c>
      <c r="H310" s="329">
        <f>'ALL ML SYSTEMS'!H310</f>
        <v>1808</v>
      </c>
      <c r="I310" s="323" t="str">
        <f>'ALL ML SYSTEMS'!I310</f>
        <v>Spatial Pyramid Pooling in Deep Convolutional Networks for Visual Recognition</v>
      </c>
      <c r="J310" s="334" t="str">
        <f>'ALL ML SYSTEMS'!J310</f>
        <v>https://arxiv.org/abs/1406.4729</v>
      </c>
      <c r="K310" s="335">
        <f>'ALL ML SYSTEMS'!K310</f>
        <v>7410</v>
      </c>
      <c r="L310" s="323" t="str">
        <f>'ALL ML SYSTEMS'!L310</f>
        <v>Highly cited</v>
      </c>
      <c r="M310" s="335" t="str">
        <f>'ALL ML SYSTEMS'!M310</f>
        <v>Yes</v>
      </c>
      <c r="N310" s="335">
        <f>'ALL ML SYSTEMS'!N310</f>
        <v>0</v>
      </c>
      <c r="O310" s="335">
        <f>'ALL ML SYSTEMS'!O310</f>
        <v>6.1072704e+18</v>
      </c>
      <c r="P310" s="336" t="str">
        <f>'ALL ML SYSTEMS'!P310</f>
        <v>Imagenet-1k</v>
      </c>
      <c r="Q310" s="335">
        <f>'ALL ML SYSTEMS'!Q310</f>
        <v>1280000</v>
      </c>
      <c r="R310" s="323">
        <f>'ALL ML SYSTEMS'!R310</f>
        <v>0</v>
      </c>
      <c r="S310" s="335">
        <f>'ALL ML SYSTEMS'!S310</f>
        <v>0</v>
      </c>
      <c r="T310" s="323">
        <f>'ALL ML SYSTEMS'!T310</f>
        <v>0</v>
      </c>
      <c r="U310" s="323">
        <f>'ALL ML SYSTEMS'!U310</f>
        <v>0</v>
      </c>
      <c r="V310" s="323">
        <f>'ALL ML SYSTEMS'!V310</f>
        <v>0</v>
      </c>
      <c r="W310" s="323">
        <f>'ALL ML SYSTEMS'!W310</f>
        <v>0</v>
      </c>
      <c r="X310" s="323">
        <f>'ALL ML SYSTEMS'!X310</f>
        <v>0</v>
      </c>
      <c r="Y310" s="323">
        <f>'ALL ML SYSTEMS'!Y310</f>
        <v>0</v>
      </c>
      <c r="Z310" s="323">
        <f>'ALL ML SYSTEMS'!Z310</f>
        <v>0</v>
      </c>
      <c r="AA310" s="340">
        <f>'ALL ML SYSTEMS'!AA310</f>
        <v>65.0710704458551</v>
      </c>
      <c r="AB310" s="323">
        <f>'ALL ML SYSTEMS'!AB310</f>
        <v>0</v>
      </c>
      <c r="AC310" s="323">
        <f>'ALL ML SYSTEMS'!AC310</f>
        <v>0</v>
      </c>
      <c r="AD310" s="323" t="str">
        <f>'ALL ML SYSTEMS'!AD310</f>
        <v>Industry</v>
      </c>
    </row>
    <row r="311" customHeight="1" spans="1:30">
      <c r="A311" s="325" t="str">
        <f>'ALL ML SYSTEMS'!A311</f>
        <v>RNNsearch-50*</v>
      </c>
      <c r="B311" s="325" t="str">
        <f>'ALL ML SYSTEMS'!B311</f>
        <v>Language</v>
      </c>
      <c r="C311" s="325" t="str">
        <f>'ALL ML SYSTEMS'!C311</f>
        <v>Translation</v>
      </c>
      <c r="D311" s="325" t="str">
        <f>'ALL ML SYSTEMS'!D311</f>
        <v>Universite de Montréal, Jacobs University Bremen</v>
      </c>
      <c r="E311" s="325" t="str">
        <f>'ALL ML SYSTEMS'!E311</f>
        <v>Academia</v>
      </c>
      <c r="F311" s="325" t="str">
        <f>'ALL ML SYSTEMS'!F311</f>
        <v>D Bahdanau, K Cho, Y Bengio</v>
      </c>
      <c r="G311" s="326">
        <f>'ALL ML SYSTEMS'!G311</f>
        <v>41883</v>
      </c>
      <c r="H311" s="327">
        <f>'ALL ML SYSTEMS'!H311</f>
        <v>1883</v>
      </c>
      <c r="I311" s="325" t="str">
        <f>'ALL ML SYSTEMS'!I311</f>
        <v>Neural Machine Translation by Jointly Learning to Align and Translate</v>
      </c>
      <c r="J311" s="337" t="str">
        <f>'ALL ML SYSTEMS'!J311</f>
        <v>https://arxiv.org/abs/1409.0473</v>
      </c>
      <c r="K311" s="338">
        <f>'ALL ML SYSTEMS'!K311</f>
        <v>19156</v>
      </c>
      <c r="L311" s="325" t="str">
        <f>'ALL ML SYSTEMS'!L311</f>
        <v>Highly cited</v>
      </c>
      <c r="M311" s="338" t="str">
        <f>'ALL ML SYSTEMS'!M311</f>
        <v>Yes</v>
      </c>
      <c r="N311" s="338">
        <f>'ALL ML SYSTEMS'!N311</f>
        <v>0</v>
      </c>
      <c r="O311" s="338">
        <f>'ALL ML SYSTEMS'!O311</f>
        <v>1.5552e+18</v>
      </c>
      <c r="P311" s="339" t="str">
        <f>'ALL ML SYSTEMS'!P311</f>
        <v>WMT'14 + selection</v>
      </c>
      <c r="Q311" s="338">
        <f>'ALL ML SYSTEMS'!Q311</f>
        <v>384000000</v>
      </c>
      <c r="R311" s="325">
        <f>'ALL ML SYSTEMS'!R311</f>
        <v>0</v>
      </c>
      <c r="S311" s="338">
        <f>'ALL ML SYSTEMS'!S311</f>
        <v>0</v>
      </c>
      <c r="T311" s="325">
        <f>'ALL ML SYSTEMS'!T311</f>
        <v>0</v>
      </c>
      <c r="U311" s="325">
        <f>'ALL ML SYSTEMS'!U311</f>
        <v>0</v>
      </c>
      <c r="V311" s="325">
        <f>'ALL ML SYSTEMS'!V311</f>
        <v>0</v>
      </c>
      <c r="W311" s="325">
        <f>'ALL ML SYSTEMS'!W311</f>
        <v>0</v>
      </c>
      <c r="X311" s="325">
        <f>'ALL ML SYSTEMS'!X311</f>
        <v>0</v>
      </c>
      <c r="Y311" s="325">
        <f>'ALL ML SYSTEMS'!Y311</f>
        <v>0</v>
      </c>
      <c r="Z311" s="325">
        <f>'ALL ML SYSTEMS'!Z311</f>
        <v>0</v>
      </c>
      <c r="AA311" s="341">
        <f>'ALL ML SYSTEMS'!AA311</f>
        <v>81.4758557901812</v>
      </c>
      <c r="AB311" s="325">
        <f>'ALL ML SYSTEMS'!AB311</f>
        <v>0</v>
      </c>
      <c r="AC311" s="325">
        <f>'ALL ML SYSTEMS'!AC311</f>
        <v>0</v>
      </c>
      <c r="AD311" s="325" t="str">
        <f>'ALL ML SYSTEMS'!AD311</f>
        <v>Academia</v>
      </c>
    </row>
    <row r="312" customHeight="1" spans="1:30">
      <c r="A312" s="323" t="str">
        <f>'ALL ML SYSTEMS'!A312</f>
        <v>GANs</v>
      </c>
      <c r="B312" s="323" t="str">
        <f>'ALL ML SYSTEMS'!B312</f>
        <v>Drawing</v>
      </c>
      <c r="C312" s="323" t="str">
        <f>'ALL ML SYSTEMS'!C312</f>
        <v>Image generation</v>
      </c>
      <c r="D312" s="323" t="str">
        <f>'ALL ML SYSTEMS'!D312</f>
        <v>Universite de Montréal</v>
      </c>
      <c r="E312" s="323" t="str">
        <f>'ALL ML SYSTEMS'!E312</f>
        <v>Academia</v>
      </c>
      <c r="F312" s="323" t="str">
        <f>'ALL ML SYSTEMS'!F312</f>
        <v>Ian J. Goodfellow, Jean Pouget-Abadie, Mehdi Mirza, Bing Xu, David Warde-Farley, Sherjil Ozair, Aaron Courville, Yoshua Bengio</v>
      </c>
      <c r="G312" s="324">
        <f>'ALL ML SYSTEMS'!G312</f>
        <v>41800</v>
      </c>
      <c r="H312" s="329">
        <f>'ALL ML SYSTEMS'!H312</f>
        <v>1800</v>
      </c>
      <c r="I312" s="323" t="str">
        <f>'ALL ML SYSTEMS'!I312</f>
        <v>Generative Adversarial Networks</v>
      </c>
      <c r="J312" s="334" t="str">
        <f>'ALL ML SYSTEMS'!J312</f>
        <v>https://arxiv.org/abs/1406.2661</v>
      </c>
      <c r="K312" s="335">
        <f>'ALL ML SYSTEMS'!K312</f>
        <v>36870</v>
      </c>
      <c r="L312" s="323" t="str">
        <f>'ALL ML SYSTEMS'!L312</f>
        <v>Highly cited</v>
      </c>
      <c r="M312" s="335" t="str">
        <f>'ALL ML SYSTEMS'!M312</f>
        <v>Yes</v>
      </c>
      <c r="N312" s="335">
        <f>'ALL ML SYSTEMS'!N312</f>
        <v>0</v>
      </c>
      <c r="O312" s="335">
        <f>'ALL ML SYSTEMS'!O312</f>
        <v>5.184e+17</v>
      </c>
      <c r="P312" s="336" t="str">
        <f>'ALL ML SYSTEMS'!P312</f>
        <v>CIFAR-10</v>
      </c>
      <c r="Q312" s="335">
        <f>'ALL ML SYSTEMS'!Q312</f>
        <v>60000</v>
      </c>
      <c r="R312" s="323">
        <f>'ALL ML SYSTEMS'!R312</f>
        <v>0</v>
      </c>
      <c r="S312" s="335">
        <f>'ALL ML SYSTEMS'!S312</f>
        <v>0</v>
      </c>
      <c r="T312" s="323">
        <f>'ALL ML SYSTEMS'!T312</f>
        <v>0</v>
      </c>
      <c r="U312" s="323">
        <f>'ALL ML SYSTEMS'!U312</f>
        <v>0</v>
      </c>
      <c r="V312" s="323">
        <f>'ALL ML SYSTEMS'!V312</f>
        <v>0</v>
      </c>
      <c r="W312" s="323">
        <f>'ALL ML SYSTEMS'!W312</f>
        <v>0</v>
      </c>
      <c r="X312" s="323">
        <f>'ALL ML SYSTEMS'!X312</f>
        <v>0</v>
      </c>
      <c r="Y312" s="323">
        <f>'ALL ML SYSTEMS'!Y312</f>
        <v>0</v>
      </c>
      <c r="Z312" s="323">
        <f>'ALL ML SYSTEMS'!Z312</f>
        <v>0</v>
      </c>
      <c r="AA312" s="340">
        <f>'ALL ML SYSTEMS'!AA312</f>
        <v>6.08698841694225</v>
      </c>
      <c r="AB312" s="323">
        <f>'ALL ML SYSTEMS'!AB312</f>
        <v>0</v>
      </c>
      <c r="AC312" s="323">
        <f>'ALL ML SYSTEMS'!AC312</f>
        <v>0</v>
      </c>
      <c r="AD312" s="323" t="str">
        <f>'ALL ML SYSTEMS'!AD312</f>
        <v>Academia</v>
      </c>
    </row>
    <row r="313" customHeight="1" spans="1:30">
      <c r="A313" s="325" t="str">
        <f>'ALL ML SYSTEMS'!A313</f>
        <v>ADAM (CIFAR-10)</v>
      </c>
      <c r="B313" s="325" t="str">
        <f>'ALL ML SYSTEMS'!B313</f>
        <v>Vision</v>
      </c>
      <c r="C313" s="325" t="str">
        <f>'ALL ML SYSTEMS'!C313</f>
        <v>Image classification</v>
      </c>
      <c r="D313" s="325" t="str">
        <f>'ALL ML SYSTEMS'!D313</f>
        <v>University of Amsterdam, OpenAI, University of Toronto</v>
      </c>
      <c r="E313" s="325" t="str">
        <f>'ALL ML SYSTEMS'!E313</f>
        <v>Industry - Academia Collaboration</v>
      </c>
      <c r="F313" s="325" t="str">
        <f>'ALL ML SYSTEMS'!F313</f>
        <v>DP Kingma, J Ba</v>
      </c>
      <c r="G313" s="326">
        <f>'ALL ML SYSTEMS'!G313</f>
        <v>41995</v>
      </c>
      <c r="H313" s="327">
        <f>'ALL ML SYSTEMS'!H313</f>
        <v>1995</v>
      </c>
      <c r="I313" s="325" t="str">
        <f>'ALL ML SYSTEMS'!I313</f>
        <v>Adam: A Method for Stochastic Optimization</v>
      </c>
      <c r="J313" s="337" t="str">
        <f>'ALL ML SYSTEMS'!J313</f>
        <v>https://arxiv.org/abs/1412.6980</v>
      </c>
      <c r="K313" s="338">
        <f>'ALL ML SYSTEMS'!K313</f>
        <v>81103</v>
      </c>
      <c r="L313" s="325" t="str">
        <f>'ALL ML SYSTEMS'!L313</f>
        <v>Highly cited</v>
      </c>
      <c r="M313" s="338" t="str">
        <f>'ALL ML SYSTEMS'!M313</f>
        <v>Yes</v>
      </c>
      <c r="N313" s="338">
        <f>'ALL ML SYSTEMS'!N313</f>
        <v>0</v>
      </c>
      <c r="O313" s="338">
        <f>'ALL ML SYSTEMS'!O313</f>
        <v>6.048e+16</v>
      </c>
      <c r="P313" s="339">
        <f>'ALL ML SYSTEMS'!P313</f>
        <v>0</v>
      </c>
      <c r="Q313" s="338">
        <f>'ALL ML SYSTEMS'!Q313</f>
        <v>0</v>
      </c>
      <c r="R313" s="325">
        <f>'ALL ML SYSTEMS'!R313</f>
        <v>0</v>
      </c>
      <c r="S313" s="338">
        <f>'ALL ML SYSTEMS'!S313</f>
        <v>0</v>
      </c>
      <c r="T313" s="325">
        <f>'ALL ML SYSTEMS'!T313</f>
        <v>0</v>
      </c>
      <c r="U313" s="325">
        <f>'ALL ML SYSTEMS'!U313</f>
        <v>0</v>
      </c>
      <c r="V313" s="325">
        <f>'ALL ML SYSTEMS'!V313</f>
        <v>0</v>
      </c>
      <c r="W313" s="325">
        <f>'ALL ML SYSTEMS'!W313</f>
        <v>0</v>
      </c>
      <c r="X313" s="325">
        <f>'ALL ML SYSTEMS'!X313</f>
        <v>0</v>
      </c>
      <c r="Y313" s="325">
        <f>'ALL ML SYSTEMS'!Y313</f>
        <v>0</v>
      </c>
      <c r="Z313" s="325">
        <f>'ALL ML SYSTEMS'!Z313</f>
        <v>0</v>
      </c>
      <c r="AA313" s="341">
        <f>'ALL ML SYSTEMS'!AA313</f>
        <v>0.604230356497444</v>
      </c>
      <c r="AB313" s="325">
        <f>'ALL ML SYSTEMS'!AB313</f>
        <v>0</v>
      </c>
      <c r="AC313" s="325">
        <f>'ALL ML SYSTEMS'!AC313</f>
        <v>0</v>
      </c>
      <c r="AD313" s="325" t="str">
        <f>'ALL ML SYSTEMS'!AD313</f>
        <v>Industry</v>
      </c>
    </row>
    <row r="314" customHeight="1" spans="1:30">
      <c r="A314" s="323" t="str">
        <f>'ALL ML SYSTEMS'!A314</f>
        <v>GloVe (6B)</v>
      </c>
      <c r="B314" s="323" t="str">
        <f>'ALL ML SYSTEMS'!B314</f>
        <v>Language</v>
      </c>
      <c r="C314" s="323" t="str">
        <f>'ALL ML SYSTEMS'!C314</f>
        <v>Semantic embedding</v>
      </c>
      <c r="D314" s="323" t="str">
        <f>'ALL ML SYSTEMS'!D314</f>
        <v>Stanford</v>
      </c>
      <c r="E314" s="323" t="str">
        <f>'ALL ML SYSTEMS'!E314</f>
        <v>Academia</v>
      </c>
      <c r="F314" s="323" t="str">
        <f>'ALL ML SYSTEMS'!F314</f>
        <v>J Pennington, R Socher, CD Manning</v>
      </c>
      <c r="G314" s="324">
        <f>'ALL ML SYSTEMS'!G314</f>
        <v>41640</v>
      </c>
      <c r="H314" s="329">
        <f>'ALL ML SYSTEMS'!H314</f>
        <v>1640</v>
      </c>
      <c r="I314" s="323" t="str">
        <f>'ALL ML SYSTEMS'!I314</f>
        <v>GloVe: Global Vectors for Word Representation</v>
      </c>
      <c r="J314" s="334" t="str">
        <f>'ALL ML SYSTEMS'!J314</f>
        <v>https://nlp.stanford.edu/projects/glove/</v>
      </c>
      <c r="K314" s="335">
        <f>'ALL ML SYSTEMS'!K314</f>
        <v>22479</v>
      </c>
      <c r="L314" s="323" t="str">
        <f>'ALL ML SYSTEMS'!L314</f>
        <v>Highly cited</v>
      </c>
      <c r="M314" s="335" t="str">
        <f>'ALL ML SYSTEMS'!M314</f>
        <v>Yes</v>
      </c>
      <c r="N314" s="335">
        <f>'ALL ML SYSTEMS'!N314</f>
        <v>120000000</v>
      </c>
      <c r="O314" s="335">
        <f>'ALL ML SYSTEMS'!O314</f>
        <v>0</v>
      </c>
      <c r="P314" s="336" t="str">
        <f>'ALL ML SYSTEMS'!P314</f>
        <v>Gigaword5 + Wikipedia2014</v>
      </c>
      <c r="Q314" s="335">
        <f>'ALL ML SYSTEMS'!Q314</f>
        <v>6000000000</v>
      </c>
      <c r="R314" s="323">
        <f>'ALL ML SYSTEMS'!R314</f>
        <v>0</v>
      </c>
      <c r="S314" s="335" t="str">
        <f>'ALL ML SYSTEMS'!S314</f>
        <v>N/A</v>
      </c>
      <c r="T314" s="323">
        <f>'ALL ML SYSTEMS'!T314</f>
        <v>0</v>
      </c>
      <c r="U314" s="323">
        <f>'ALL ML SYSTEMS'!U314</f>
        <v>12.1875</v>
      </c>
      <c r="V314" s="323">
        <f>'ALL ML SYSTEMS'!V314</f>
        <v>0</v>
      </c>
      <c r="W314" s="323">
        <f>'ALL ML SYSTEMS'!W314</f>
        <v>35</v>
      </c>
      <c r="X314" s="323">
        <f>'ALL ML SYSTEMS'!X314</f>
        <v>0</v>
      </c>
      <c r="Y314" s="323">
        <f>'ALL ML SYSTEMS'!Y314</f>
        <v>0</v>
      </c>
      <c r="Z314" s="323">
        <f>'ALL ML SYSTEMS'!Z314</f>
        <v>0</v>
      </c>
      <c r="AA314" s="340" t="str">
        <f>'ALL ML SYSTEMS'!AA314</f>
        <v/>
      </c>
      <c r="AB314" s="323">
        <f>'ALL ML SYSTEMS'!AB314</f>
        <v>0</v>
      </c>
      <c r="AC314" s="323" t="str">
        <f>'ALL ML SYSTEMS'!AC314</f>
        <v>Regression Model</v>
      </c>
      <c r="AD314" s="323" t="str">
        <f>'ALL ML SYSTEMS'!AD314</f>
        <v>Academia</v>
      </c>
    </row>
    <row r="315" customHeight="1" spans="1:30">
      <c r="A315" s="325" t="str">
        <f>'ALL ML SYSTEMS'!A315</f>
        <v>GloVe (32B)</v>
      </c>
      <c r="B315" s="325" t="str">
        <f>'ALL ML SYSTEMS'!B315</f>
        <v>Language</v>
      </c>
      <c r="C315" s="325" t="str">
        <f>'ALL ML SYSTEMS'!C315</f>
        <v>Semantic embedding</v>
      </c>
      <c r="D315" s="325" t="str">
        <f>'ALL ML SYSTEMS'!D315</f>
        <v>Stanford</v>
      </c>
      <c r="E315" s="325" t="str">
        <f>'ALL ML SYSTEMS'!E315</f>
        <v>Academia</v>
      </c>
      <c r="F315" s="325" t="str">
        <f>'ALL ML SYSTEMS'!F315</f>
        <v>J Pennington, R Socher, CD Manning</v>
      </c>
      <c r="G315" s="326">
        <f>'ALL ML SYSTEMS'!G315</f>
        <v>41640</v>
      </c>
      <c r="H315" s="327">
        <f>'ALL ML SYSTEMS'!H315</f>
        <v>1640</v>
      </c>
      <c r="I315" s="325" t="str">
        <f>'ALL ML SYSTEMS'!I315</f>
        <v>GloVe: Global Vectors for Word Representation</v>
      </c>
      <c r="J315" s="337" t="str">
        <f>'ALL ML SYSTEMS'!J315</f>
        <v>https://nlp.stanford.edu/projects/glove/</v>
      </c>
      <c r="K315" s="338">
        <f>'ALL ML SYSTEMS'!K315</f>
        <v>22479</v>
      </c>
      <c r="L315" s="325" t="str">
        <f>'ALL ML SYSTEMS'!L315</f>
        <v>Highly cited</v>
      </c>
      <c r="M315" s="338" t="str">
        <f>'ALL ML SYSTEMS'!M315</f>
        <v>Yes</v>
      </c>
      <c r="N315" s="338">
        <f>'ALL ML SYSTEMS'!N315</f>
        <v>120000000</v>
      </c>
      <c r="O315" s="338">
        <f>'ALL ML SYSTEMS'!O315</f>
        <v>0</v>
      </c>
      <c r="P315" s="339" t="str">
        <f>'ALL ML SYSTEMS'!P315</f>
        <v>Common Crawl</v>
      </c>
      <c r="Q315" s="338">
        <f>'ALL ML SYSTEMS'!Q315</f>
        <v>42000000000</v>
      </c>
      <c r="R315" s="325">
        <f>'ALL ML SYSTEMS'!R315</f>
        <v>0</v>
      </c>
      <c r="S315" s="338" t="str">
        <f>'ALL ML SYSTEMS'!S315</f>
        <v>N/A</v>
      </c>
      <c r="T315" s="325">
        <f>'ALL ML SYSTEMS'!T315</f>
        <v>0</v>
      </c>
      <c r="U315" s="325">
        <f>'ALL ML SYSTEMS'!U315</f>
        <v>12.1875</v>
      </c>
      <c r="V315" s="325">
        <f>'ALL ML SYSTEMS'!V315</f>
        <v>0</v>
      </c>
      <c r="W315" s="325">
        <f>'ALL ML SYSTEMS'!W315</f>
        <v>35</v>
      </c>
      <c r="X315" s="325">
        <f>'ALL ML SYSTEMS'!X315</f>
        <v>0</v>
      </c>
      <c r="Y315" s="325">
        <f>'ALL ML SYSTEMS'!Y315</f>
        <v>0</v>
      </c>
      <c r="Z315" s="325">
        <f>'ALL ML SYSTEMS'!Z315</f>
        <v>0</v>
      </c>
      <c r="AA315" s="341" t="str">
        <f>'ALL ML SYSTEMS'!AA315</f>
        <v/>
      </c>
      <c r="AB315" s="325">
        <f>'ALL ML SYSTEMS'!AB315</f>
        <v>0</v>
      </c>
      <c r="AC315" s="325" t="str">
        <f>'ALL ML SYSTEMS'!AC315</f>
        <v>Regression Model</v>
      </c>
      <c r="AD315" s="325" t="str">
        <f>'ALL ML SYSTEMS'!AD315</f>
        <v>Academia</v>
      </c>
    </row>
    <row r="316" hidden="1" customHeight="1" spans="1:30">
      <c r="A316" s="323" t="str">
        <f>'ALL ML SYSTEMS'!A316</f>
        <v>DBNs</v>
      </c>
      <c r="B316" s="323" t="str">
        <f>'ALL ML SYSTEMS'!B316</f>
        <v>Language</v>
      </c>
      <c r="C316" s="323" t="str">
        <f>'ALL ML SYSTEMS'!C316</f>
        <v>Text classification</v>
      </c>
      <c r="D316" s="323" t="str">
        <f>'ALL ML SYSTEMS'!D316</f>
        <v>Microsoft, University of Toronto</v>
      </c>
      <c r="E316" s="323" t="str">
        <f>'ALL ML SYSTEMS'!E316</f>
        <v>Industry - Academia Collaboration</v>
      </c>
      <c r="F316" s="323" t="str">
        <f>'ALL ML SYSTEMS'!F316</f>
        <v>R Sarikaya, GE Hinton, A Deoras</v>
      </c>
      <c r="G316" s="324">
        <f>'ALL ML SYSTEMS'!G316</f>
        <v>41681</v>
      </c>
      <c r="H316" s="329">
        <f>'ALL ML SYSTEMS'!H316</f>
        <v>1681</v>
      </c>
      <c r="I316" s="323" t="str">
        <f>'ALL ML SYSTEMS'!I316</f>
        <v>Application of Deep Belief Networks for Natural Language Understanding</v>
      </c>
      <c r="J316" s="334" t="str">
        <f>'ALL ML SYSTEMS'!J316</f>
        <v>https://ieeexplore.ieee.org/document/6737243</v>
      </c>
      <c r="K316" s="335">
        <f>'ALL ML SYSTEMS'!K316</f>
        <v>445</v>
      </c>
      <c r="L316" s="323">
        <f>'ALL ML SYSTEMS'!L316</f>
        <v>0</v>
      </c>
      <c r="M316" s="335" t="str">
        <f>'ALL ML SYSTEMS'!M316</f>
        <v>No</v>
      </c>
      <c r="N316" s="335">
        <f>'ALL ML SYSTEMS'!N316</f>
        <v>1021535</v>
      </c>
      <c r="O316" s="335">
        <f>'ALL ML SYSTEMS'!O316</f>
        <v>0</v>
      </c>
      <c r="P316" s="336">
        <f>'ALL ML SYSTEMS'!P316</f>
        <v>0</v>
      </c>
      <c r="Q316" s="335">
        <f>'ALL ML SYSTEMS'!Q316</f>
        <v>178000</v>
      </c>
      <c r="R316" s="323">
        <f>'ALL ML SYSTEMS'!R316</f>
        <v>3</v>
      </c>
      <c r="S316" s="335">
        <f>'ALL ML SYSTEMS'!S316</f>
        <v>0</v>
      </c>
      <c r="T316" s="323">
        <f>'ALL ML SYSTEMS'!T316</f>
        <v>0</v>
      </c>
      <c r="U316" s="323">
        <f>'ALL ML SYSTEMS'!U316</f>
        <v>0</v>
      </c>
      <c r="V316" s="323">
        <f>'ALL ML SYSTEMS'!V316</f>
        <v>0</v>
      </c>
      <c r="W316" s="323">
        <f>'ALL ML SYSTEMS'!W316</f>
        <v>0</v>
      </c>
      <c r="X316" s="323">
        <f>'ALL ML SYSTEMS'!X316</f>
        <v>0</v>
      </c>
      <c r="Y316" s="323">
        <f>'ALL ML SYSTEMS'!Y316</f>
        <v>0</v>
      </c>
      <c r="Z316" s="323">
        <f>'ALL ML SYSTEMS'!Z316</f>
        <v>0</v>
      </c>
      <c r="AA316" s="340" t="str">
        <f>'ALL ML SYSTEMS'!AA316</f>
        <v/>
      </c>
      <c r="AB316" s="323"/>
      <c r="AC316" s="323">
        <f>'ALL ML SYSTEMS'!AB316</f>
        <v>0</v>
      </c>
      <c r="AD316" s="323">
        <f>'ALL ML SYSTEMS'!AC316</f>
        <v>0</v>
      </c>
    </row>
    <row r="317" hidden="1" customHeight="1" spans="1:30">
      <c r="A317" s="325" t="str">
        <f>'ALL ML SYSTEMS'!A317</f>
        <v>HyperNEAT</v>
      </c>
      <c r="B317" s="325" t="str">
        <f>'ALL ML SYSTEMS'!B317</f>
        <v>Games</v>
      </c>
      <c r="C317" s="325" t="str">
        <f>'ALL ML SYSTEMS'!C317</f>
        <v>Atari Games</v>
      </c>
      <c r="D317" s="325" t="str">
        <f>'ALL ML SYSTEMS'!D317</f>
        <v>University of Texas</v>
      </c>
      <c r="E317" s="325" t="str">
        <f>'ALL ML SYSTEMS'!E317</f>
        <v>Academia</v>
      </c>
      <c r="F317" s="325" t="str">
        <f>'ALL ML SYSTEMS'!F317</f>
        <v>M Hausknecht, J Lehman</v>
      </c>
      <c r="G317" s="326">
        <f>'ALL ML SYSTEMS'!G317</f>
        <v>41703</v>
      </c>
      <c r="H317" s="327">
        <f>'ALL ML SYSTEMS'!H317</f>
        <v>1703</v>
      </c>
      <c r="I317" s="325" t="str">
        <f>'ALL ML SYSTEMS'!I317</f>
        <v>A Neuroevolution Approach to General Atari Game Playing</v>
      </c>
      <c r="J317" s="337" t="str">
        <f>'ALL ML SYSTEMS'!J317</f>
        <v>https://ieeexplore.ieee.org/abstract/document/6756960</v>
      </c>
      <c r="K317" s="338">
        <f>'ALL ML SYSTEMS'!K317</f>
        <v>195</v>
      </c>
      <c r="L317" s="325">
        <f>'ALL ML SYSTEMS'!L317</f>
        <v>0</v>
      </c>
      <c r="M317" s="338" t="str">
        <f>'ALL ML SYSTEMS'!M317</f>
        <v>No</v>
      </c>
      <c r="N317" s="338" t="e">
        <f>'ALL ML SYSTEMS'!N317</f>
        <v>#NAME?</v>
      </c>
      <c r="O317" s="338">
        <f>'ALL ML SYSTEMS'!O317</f>
        <v>0</v>
      </c>
      <c r="P317" s="339">
        <f>'ALL ML SYSTEMS'!P317</f>
        <v>0</v>
      </c>
      <c r="Q317" s="338">
        <f>'ALL ML SYSTEMS'!Q317</f>
        <v>0</v>
      </c>
      <c r="R317" s="325">
        <f>'ALL ML SYSTEMS'!R317</f>
        <v>0</v>
      </c>
      <c r="S317" s="338">
        <f>'ALL ML SYSTEMS'!S317</f>
        <v>0</v>
      </c>
      <c r="T317" s="325">
        <f>'ALL ML SYSTEMS'!T317</f>
        <v>0</v>
      </c>
      <c r="U317" s="325">
        <f>'ALL ML SYSTEMS'!U317</f>
        <v>0</v>
      </c>
      <c r="V317" s="325">
        <f>'ALL ML SYSTEMS'!V317</f>
        <v>0</v>
      </c>
      <c r="W317" s="325">
        <f>'ALL ML SYSTEMS'!W317</f>
        <v>0</v>
      </c>
      <c r="X317" s="325">
        <f>'ALL ML SYSTEMS'!X317</f>
        <v>0</v>
      </c>
      <c r="Y317" s="325">
        <f>'ALL ML SYSTEMS'!Y317</f>
        <v>0</v>
      </c>
      <c r="Z317" s="325">
        <f>'ALL ML SYSTEMS'!Z317</f>
        <v>0</v>
      </c>
      <c r="AA317" s="341" t="str">
        <f>'ALL ML SYSTEMS'!AA317</f>
        <v/>
      </c>
      <c r="AB317" s="325"/>
      <c r="AC317" s="325">
        <f>'ALL ML SYSTEMS'!AB317</f>
        <v>0</v>
      </c>
      <c r="AD317" s="325">
        <f>'ALL ML SYSTEMS'!AC317</f>
        <v>0</v>
      </c>
    </row>
    <row r="318" customHeight="1" spans="1:30">
      <c r="A318" s="323">
        <f>'ALL ML SYSTEMS'!A318</f>
        <v>0</v>
      </c>
      <c r="B318" s="323">
        <f>'ALL ML SYSTEMS'!B318</f>
        <v>0</v>
      </c>
      <c r="C318" s="323">
        <f>'ALL ML SYSTEMS'!C318</f>
        <v>0</v>
      </c>
      <c r="D318" s="323" t="str">
        <f>'ALL ML SYSTEMS'!D318</f>
        <v>University of Toronto</v>
      </c>
      <c r="E318" s="323" t="str">
        <f>'ALL ML SYSTEMS'!E318</f>
        <v>Academia</v>
      </c>
      <c r="F318" s="323" t="str">
        <f>'ALL ML SYSTEMS'!F318</f>
        <v>Nitish Shrivasta, Geoffrey Hinton, Alex Krizhevsky</v>
      </c>
      <c r="G318" s="324">
        <f>'ALL ML SYSTEMS'!G318</f>
        <v>41791</v>
      </c>
      <c r="H318" s="329">
        <f>'ALL ML SYSTEMS'!H318</f>
        <v>1791</v>
      </c>
      <c r="I318" s="323" t="str">
        <f>'ALL ML SYSTEMS'!I318</f>
        <v>Dropout: A Simple Way to Prevent Neural Networks from Overfitting</v>
      </c>
      <c r="J318" s="334" t="str">
        <f>'ALL ML SYSTEMS'!J318</f>
        <v>https://jmlr.org/papers/v15/srivastava14a.html</v>
      </c>
      <c r="K318" s="335">
        <f>'ALL ML SYSTEMS'!K318</f>
        <v>31873</v>
      </c>
      <c r="L318" s="323" t="str">
        <f>'ALL ML SYSTEMS'!L318</f>
        <v>Highly cited</v>
      </c>
      <c r="M318" s="335" t="str">
        <f>'ALL ML SYSTEMS'!M318</f>
        <v>Yes</v>
      </c>
      <c r="N318" s="335">
        <f>'ALL ML SYSTEMS'!N318</f>
        <v>0</v>
      </c>
      <c r="O318" s="335">
        <f>'ALL ML SYSTEMS'!O318</f>
        <v>0</v>
      </c>
      <c r="P318" s="336">
        <f>'ALL ML SYSTEMS'!P318</f>
        <v>0</v>
      </c>
      <c r="Q318" s="335">
        <f>'ALL ML SYSTEMS'!Q318</f>
        <v>0</v>
      </c>
      <c r="R318" s="323">
        <f>'ALL ML SYSTEMS'!R318</f>
        <v>0</v>
      </c>
      <c r="S318" s="335">
        <f>'ALL ML SYSTEMS'!S318</f>
        <v>0</v>
      </c>
      <c r="T318" s="323">
        <f>'ALL ML SYSTEMS'!T318</f>
        <v>0</v>
      </c>
      <c r="U318" s="323">
        <f>'ALL ML SYSTEMS'!U318</f>
        <v>0</v>
      </c>
      <c r="V318" s="323">
        <f>'ALL ML SYSTEMS'!V318</f>
        <v>0</v>
      </c>
      <c r="W318" s="323">
        <f>'ALL ML SYSTEMS'!W318</f>
        <v>0</v>
      </c>
      <c r="X318" s="323">
        <f>'ALL ML SYSTEMS'!X318</f>
        <v>0</v>
      </c>
      <c r="Y318" s="323">
        <f>'ALL ML SYSTEMS'!Y318</f>
        <v>0</v>
      </c>
      <c r="Z318" s="323">
        <f>'ALL ML SYSTEMS'!Z318</f>
        <v>0</v>
      </c>
      <c r="AA318" s="340" t="str">
        <f>'ALL ML SYSTEMS'!AA318</f>
        <v/>
      </c>
      <c r="AB318" s="323">
        <f>'ALL ML SYSTEMS'!AB318</f>
        <v>0</v>
      </c>
      <c r="AC318" s="323">
        <f>'ALL ML SYSTEMS'!AC318</f>
        <v>0</v>
      </c>
      <c r="AD318" s="323" t="str">
        <f>'ALL ML SYSTEMS'!AD318</f>
        <v>Academia</v>
      </c>
    </row>
    <row r="319" customHeight="1" spans="1:30">
      <c r="A319" s="325" t="str">
        <f>'ALL ML SYSTEMS'!A319</f>
        <v>GRUs</v>
      </c>
      <c r="B319" s="325" t="str">
        <f>'ALL ML SYSTEMS'!B319</f>
        <v>Language</v>
      </c>
      <c r="C319" s="325">
        <f>'ALL ML SYSTEMS'!C319</f>
        <v>0</v>
      </c>
      <c r="D319" s="325" t="str">
        <f>'ALL ML SYSTEMS'!D319</f>
        <v>University of Montreal, Jacobs University, University du Maine</v>
      </c>
      <c r="E319" s="325" t="str">
        <f>'ALL ML SYSTEMS'!E319</f>
        <v>Academia</v>
      </c>
      <c r="F319" s="325" t="str">
        <f>'ALL ML SYSTEMS'!F319</f>
        <v>K Cho, B Van Merriënboer, C Gulcehre</v>
      </c>
      <c r="G319" s="326">
        <f>'ALL ML SYSTEMS'!G319</f>
        <v>41793</v>
      </c>
      <c r="H319" s="327">
        <f>'ALL ML SYSTEMS'!H319</f>
        <v>1793</v>
      </c>
      <c r="I319" s="325" t="str">
        <f>'ALL ML SYSTEMS'!I319</f>
        <v>Learning Phrase Representations using RNN Encoder-Decoder for Statistical Machine Translation</v>
      </c>
      <c r="J319" s="337" t="str">
        <f>'ALL ML SYSTEMS'!J319</f>
        <v>https://arxiv.org/abs/1406.1078</v>
      </c>
      <c r="K319" s="338">
        <f>'ALL ML SYSTEMS'!K319</f>
        <v>14981</v>
      </c>
      <c r="L319" s="325" t="str">
        <f>'ALL ML SYSTEMS'!L319</f>
        <v>Highly cited</v>
      </c>
      <c r="M319" s="338" t="str">
        <f>'ALL ML SYSTEMS'!M319</f>
        <v>Yes</v>
      </c>
      <c r="N319" s="338">
        <f>'ALL ML SYSTEMS'!N319</f>
        <v>0</v>
      </c>
      <c r="O319" s="338">
        <f>'ALL ML SYSTEMS'!O319</f>
        <v>0</v>
      </c>
      <c r="P319" s="339">
        <f>'ALL ML SYSTEMS'!P319</f>
        <v>0</v>
      </c>
      <c r="Q319" s="338">
        <f>'ALL ML SYSTEMS'!Q319</f>
        <v>0</v>
      </c>
      <c r="R319" s="325">
        <f>'ALL ML SYSTEMS'!R319</f>
        <v>0</v>
      </c>
      <c r="S319" s="338">
        <f>'ALL ML SYSTEMS'!S319</f>
        <v>0</v>
      </c>
      <c r="T319" s="325">
        <f>'ALL ML SYSTEMS'!T319</f>
        <v>0</v>
      </c>
      <c r="U319" s="325">
        <f>'ALL ML SYSTEMS'!U319</f>
        <v>0</v>
      </c>
      <c r="V319" s="325">
        <f>'ALL ML SYSTEMS'!V319</f>
        <v>0</v>
      </c>
      <c r="W319" s="325">
        <f>'ALL ML SYSTEMS'!W319</f>
        <v>0</v>
      </c>
      <c r="X319" s="325">
        <f>'ALL ML SYSTEMS'!X319</f>
        <v>0</v>
      </c>
      <c r="Y319" s="325">
        <f>'ALL ML SYSTEMS'!Y319</f>
        <v>0</v>
      </c>
      <c r="Z319" s="325">
        <f>'ALL ML SYSTEMS'!Z319</f>
        <v>0</v>
      </c>
      <c r="AA319" s="341" t="str">
        <f>'ALL ML SYSTEMS'!AA319</f>
        <v/>
      </c>
      <c r="AB319" s="325">
        <f>'ALL ML SYSTEMS'!AB319</f>
        <v>0</v>
      </c>
      <c r="AC319" s="325">
        <f>'ALL ML SYSTEMS'!AC319</f>
        <v>0</v>
      </c>
      <c r="AD319" s="325" t="str">
        <f>'ALL ML SYSTEMS'!AD319</f>
        <v>Academia</v>
      </c>
    </row>
    <row r="320" customHeight="1" spans="1:30">
      <c r="A320" s="323">
        <f>'ALL ML SYSTEMS'!A320</f>
        <v>0</v>
      </c>
      <c r="B320" s="323" t="str">
        <f>'ALL ML SYSTEMS'!B320</f>
        <v>Video</v>
      </c>
      <c r="C320" s="323" t="str">
        <f>'ALL ML SYSTEMS'!C320</f>
        <v>Video classification</v>
      </c>
      <c r="D320" s="323" t="str">
        <f>'ALL ML SYSTEMS'!D320</f>
        <v>University of Oxford</v>
      </c>
      <c r="E320" s="323" t="str">
        <f>'ALL ML SYSTEMS'!E320</f>
        <v>Academia</v>
      </c>
      <c r="F320" s="323" t="str">
        <f>'ALL ML SYSTEMS'!F320</f>
        <v>Karen Simonyan, Andrew Zisserman</v>
      </c>
      <c r="G320" s="324">
        <f>'ALL ML SYSTEMS'!G320</f>
        <v>41799</v>
      </c>
      <c r="H320" s="329">
        <f>'ALL ML SYSTEMS'!H320</f>
        <v>1799</v>
      </c>
      <c r="I320" s="323" t="str">
        <f>'ALL ML SYSTEMS'!I320</f>
        <v>Two-Stream Convolutional Networks for Action Recognition in Videos</v>
      </c>
      <c r="J320" s="334" t="str">
        <f>'ALL ML SYSTEMS'!J320</f>
        <v>https://arxiv.org/abs/1406.2199</v>
      </c>
      <c r="K320" s="335">
        <f>'ALL ML SYSTEMS'!K320</f>
        <v>6217</v>
      </c>
      <c r="L320" s="323" t="str">
        <f>'ALL ML SYSTEMS'!L320</f>
        <v>Highly cited</v>
      </c>
      <c r="M320" s="335" t="str">
        <f>'ALL ML SYSTEMS'!M320</f>
        <v>Yes</v>
      </c>
      <c r="N320" s="335">
        <f>'ALL ML SYSTEMS'!N320</f>
        <v>0</v>
      </c>
      <c r="O320" s="335">
        <f>'ALL ML SYSTEMS'!O320</f>
        <v>0</v>
      </c>
      <c r="P320" s="336">
        <f>'ALL ML SYSTEMS'!P320</f>
        <v>0</v>
      </c>
      <c r="Q320" s="335">
        <f>'ALL ML SYSTEMS'!Q320</f>
        <v>0</v>
      </c>
      <c r="R320" s="323">
        <f>'ALL ML SYSTEMS'!R320</f>
        <v>0</v>
      </c>
      <c r="S320" s="335">
        <f>'ALL ML SYSTEMS'!S320</f>
        <v>0</v>
      </c>
      <c r="T320" s="323">
        <f>'ALL ML SYSTEMS'!T320</f>
        <v>0</v>
      </c>
      <c r="U320" s="323">
        <f>'ALL ML SYSTEMS'!U320</f>
        <v>0</v>
      </c>
      <c r="V320" s="323">
        <f>'ALL ML SYSTEMS'!V320</f>
        <v>0</v>
      </c>
      <c r="W320" s="323">
        <f>'ALL ML SYSTEMS'!W320</f>
        <v>0</v>
      </c>
      <c r="X320" s="323">
        <f>'ALL ML SYSTEMS'!X320</f>
        <v>0</v>
      </c>
      <c r="Y320" s="323">
        <f>'ALL ML SYSTEMS'!Y320</f>
        <v>0</v>
      </c>
      <c r="Z320" s="323">
        <f>'ALL ML SYSTEMS'!Z320</f>
        <v>0</v>
      </c>
      <c r="AA320" s="340" t="str">
        <f>'ALL ML SYSTEMS'!AA320</f>
        <v/>
      </c>
      <c r="AB320" s="323">
        <f>'ALL ML SYSTEMS'!AB320</f>
        <v>0</v>
      </c>
      <c r="AC320" s="323">
        <f>'ALL ML SYSTEMS'!AC320</f>
        <v>0</v>
      </c>
      <c r="AD320" s="323" t="str">
        <f>'ALL ML SYSTEMS'!AD320</f>
        <v>Academia</v>
      </c>
    </row>
    <row r="321" customHeight="1" spans="1:30">
      <c r="A321" s="325" t="str">
        <f>'ALL ML SYSTEMS'!A321</f>
        <v>Multiresolution CNN</v>
      </c>
      <c r="B321" s="325" t="str">
        <f>'ALL ML SYSTEMS'!B321</f>
        <v>Video</v>
      </c>
      <c r="C321" s="325" t="str">
        <f>'ALL ML SYSTEMS'!C321</f>
        <v>Video classification</v>
      </c>
      <c r="D321" s="325" t="str">
        <f>'ALL ML SYSTEMS'!D321</f>
        <v>Stanford, Google</v>
      </c>
      <c r="E321" s="325" t="str">
        <f>'ALL ML SYSTEMS'!E321</f>
        <v>Industry - Academia Collaboration</v>
      </c>
      <c r="F321" s="325" t="str">
        <f>'ALL ML SYSTEMS'!F321</f>
        <v>A Karpathy, G Toderici, S Shetty, T Leung</v>
      </c>
      <c r="G321" s="326">
        <f>'ALL ML SYSTEMS'!G321</f>
        <v>41813</v>
      </c>
      <c r="H321" s="327">
        <f>'ALL ML SYSTEMS'!H321</f>
        <v>1813</v>
      </c>
      <c r="I321" s="325" t="str">
        <f>'ALL ML SYSTEMS'!I321</f>
        <v>Large-Scale Video Classification with Convolutional Neural Networks</v>
      </c>
      <c r="J321" s="337" t="str">
        <f>'ALL ML SYSTEMS'!J321</f>
        <v>https://ieeexplore.ieee.org/document/6909619</v>
      </c>
      <c r="K321" s="338">
        <f>'ALL ML SYSTEMS'!K321</f>
        <v>5900</v>
      </c>
      <c r="L321" s="325" t="str">
        <f>'ALL ML SYSTEMS'!L321</f>
        <v>Highly cited</v>
      </c>
      <c r="M321" s="338" t="str">
        <f>'ALL ML SYSTEMS'!M321</f>
        <v>Yes</v>
      </c>
      <c r="N321" s="338">
        <f>'ALL ML SYSTEMS'!N321</f>
        <v>126125568</v>
      </c>
      <c r="O321" s="338">
        <f>'ALL ML SYSTEMS'!O321</f>
        <v>0</v>
      </c>
      <c r="P321" s="339">
        <f>'ALL ML SYSTEMS'!P321</f>
        <v>0</v>
      </c>
      <c r="Q321" s="338">
        <f>'ALL ML SYSTEMS'!Q321</f>
        <v>0</v>
      </c>
      <c r="R321" s="325">
        <f>'ALL ML SYSTEMS'!R321</f>
        <v>0</v>
      </c>
      <c r="S321" s="338">
        <f>'ALL ML SYSTEMS'!S321</f>
        <v>0</v>
      </c>
      <c r="T321" s="325">
        <f>'ALL ML SYSTEMS'!T321</f>
        <v>0</v>
      </c>
      <c r="U321" s="325">
        <f>'ALL ML SYSTEMS'!U321</f>
        <v>0</v>
      </c>
      <c r="V321" s="325">
        <f>'ALL ML SYSTEMS'!V321</f>
        <v>0</v>
      </c>
      <c r="W321" s="325">
        <f>'ALL ML SYSTEMS'!W321</f>
        <v>0</v>
      </c>
      <c r="X321" s="325">
        <f>'ALL ML SYSTEMS'!X321</f>
        <v>0</v>
      </c>
      <c r="Y321" s="325">
        <f>'ALL ML SYSTEMS'!Y321</f>
        <v>0</v>
      </c>
      <c r="Z321" s="325">
        <f>'ALL ML SYSTEMS'!Z321</f>
        <v>0</v>
      </c>
      <c r="AA321" s="341" t="str">
        <f>'ALL ML SYSTEMS'!AA321</f>
        <v/>
      </c>
      <c r="AB321" s="325">
        <f>'ALL ML SYSTEMS'!AB321</f>
        <v>0</v>
      </c>
      <c r="AC321" s="325">
        <f>'ALL ML SYSTEMS'!AC321</f>
        <v>0</v>
      </c>
      <c r="AD321" s="325" t="str">
        <f>'ALL ML SYSTEMS'!AD321</f>
        <v>Industry</v>
      </c>
    </row>
    <row r="322" customHeight="1" spans="1:30">
      <c r="A322" s="323">
        <f>'ALL ML SYSTEMS'!A322</f>
        <v>0</v>
      </c>
      <c r="B322" s="323" t="str">
        <f>'ALL ML SYSTEMS'!B322</f>
        <v>Vision</v>
      </c>
      <c r="C322" s="323" t="str">
        <f>'ALL ML SYSTEMS'!C322</f>
        <v>Face verification</v>
      </c>
      <c r="D322" s="323" t="str">
        <f>'ALL ML SYSTEMS'!D322</f>
        <v>Tel Aviv University, Facebook</v>
      </c>
      <c r="E322" s="323" t="str">
        <f>'ALL ML SYSTEMS'!E322</f>
        <v>Industry - Academia Collaboration</v>
      </c>
      <c r="F322" s="323" t="str">
        <f>'ALL ML SYSTEMS'!F322</f>
        <v>Y Taigman, M Yang, MA Ranzato</v>
      </c>
      <c r="G322" s="324">
        <f>'ALL ML SYSTEMS'!G322</f>
        <v>41813</v>
      </c>
      <c r="H322" s="329">
        <f>'ALL ML SYSTEMS'!H322</f>
        <v>1813</v>
      </c>
      <c r="I322" s="323" t="str">
        <f>'ALL ML SYSTEMS'!I322</f>
        <v>DeepFace: Closing the Gap to Human-Level Performance in Face Verification</v>
      </c>
      <c r="J322" s="334" t="str">
        <f>'ALL ML SYSTEMS'!J322</f>
        <v>https://ieeexplore.ieee.org/document/6909616</v>
      </c>
      <c r="K322" s="335">
        <f>'ALL ML SYSTEMS'!K322</f>
        <v>5742</v>
      </c>
      <c r="L322" s="323" t="str">
        <f>'ALL ML SYSTEMS'!L322</f>
        <v>Highly cited</v>
      </c>
      <c r="M322" s="335" t="str">
        <f>'ALL ML SYSTEMS'!M322</f>
        <v>Yes</v>
      </c>
      <c r="N322" s="335">
        <f>'ALL ML SYSTEMS'!N322</f>
        <v>0</v>
      </c>
      <c r="O322" s="335">
        <f>'ALL ML SYSTEMS'!O322</f>
        <v>0</v>
      </c>
      <c r="P322" s="336">
        <f>'ALL ML SYSTEMS'!P322</f>
        <v>0</v>
      </c>
      <c r="Q322" s="335">
        <f>'ALL ML SYSTEMS'!Q322</f>
        <v>0</v>
      </c>
      <c r="R322" s="323">
        <f>'ALL ML SYSTEMS'!R322</f>
        <v>0</v>
      </c>
      <c r="S322" s="335">
        <f>'ALL ML SYSTEMS'!S322</f>
        <v>0</v>
      </c>
      <c r="T322" s="323">
        <f>'ALL ML SYSTEMS'!T322</f>
        <v>0</v>
      </c>
      <c r="U322" s="323">
        <f>'ALL ML SYSTEMS'!U322</f>
        <v>0</v>
      </c>
      <c r="V322" s="323">
        <f>'ALL ML SYSTEMS'!V322</f>
        <v>0</v>
      </c>
      <c r="W322" s="323">
        <f>'ALL ML SYSTEMS'!W322</f>
        <v>0</v>
      </c>
      <c r="X322" s="323">
        <f>'ALL ML SYSTEMS'!X322</f>
        <v>0</v>
      </c>
      <c r="Y322" s="323">
        <f>'ALL ML SYSTEMS'!Y322</f>
        <v>0</v>
      </c>
      <c r="Z322" s="323">
        <f>'ALL ML SYSTEMS'!Z322</f>
        <v>0</v>
      </c>
      <c r="AA322" s="340" t="str">
        <f>'ALL ML SYSTEMS'!AA322</f>
        <v/>
      </c>
      <c r="AB322" s="323">
        <f>'ALL ML SYSTEMS'!AB322</f>
        <v>0</v>
      </c>
      <c r="AC322" s="323">
        <f>'ALL ML SYSTEMS'!AC322</f>
        <v>0</v>
      </c>
      <c r="AD322" s="323" t="str">
        <f>'ALL ML SYSTEMS'!AD322</f>
        <v>Industry</v>
      </c>
    </row>
    <row r="323" customHeight="1" spans="1:30">
      <c r="A323" s="325" t="str">
        <f>'ALL ML SYSTEMS'!A323</f>
        <v>SmooCT</v>
      </c>
      <c r="B323" s="325" t="str">
        <f>'ALL ML SYSTEMS'!B323</f>
        <v>Games</v>
      </c>
      <c r="C323" s="325">
        <f>'ALL ML SYSTEMS'!C323</f>
        <v>0</v>
      </c>
      <c r="D323" s="325" t="str">
        <f>'ALL ML SYSTEMS'!D323</f>
        <v>University College London</v>
      </c>
      <c r="E323" s="325" t="str">
        <f>'ALL ML SYSTEMS'!E323</f>
        <v>Academia</v>
      </c>
      <c r="F323" s="325" t="str">
        <f>'ALL ML SYSTEMS'!F323</f>
        <v>Johannes Heinrich, David Silver</v>
      </c>
      <c r="G323" s="326">
        <f>'ALL ML SYSTEMS'!G323</f>
        <v>41821</v>
      </c>
      <c r="H323" s="327">
        <f>'ALL ML SYSTEMS'!H323</f>
        <v>1821</v>
      </c>
      <c r="I323" s="325" t="str">
        <f>'ALL ML SYSTEMS'!I323</f>
        <v>Self-Play Monte-Carlo Tree Search in Computer Poker</v>
      </c>
      <c r="J323" s="337" t="str">
        <f>'ALL ML SYSTEMS'!J323</f>
        <v>https://www.semanticscholar.org/paper/Self-play-Monte-Carlo-tree-search-in-computer-poker-Heinrich-Silver/7b687599b4425aa959036071030e1212a3b359c7</v>
      </c>
      <c r="K323" s="338">
        <f>'ALL ML SYSTEMS'!K323</f>
        <v>16</v>
      </c>
      <c r="L323" s="325" t="str">
        <f>'ALL ML SYSTEMS'!L323</f>
        <v>SOTA improvement</v>
      </c>
      <c r="M323" s="338" t="str">
        <f>'ALL ML SYSTEMS'!M323</f>
        <v>Yes</v>
      </c>
      <c r="N323" s="338">
        <f>'ALL ML SYSTEMS'!N323</f>
        <v>0</v>
      </c>
      <c r="O323" s="338">
        <f>'ALL ML SYSTEMS'!O323</f>
        <v>0</v>
      </c>
      <c r="P323" s="339">
        <f>'ALL ML SYSTEMS'!P323</f>
        <v>0</v>
      </c>
      <c r="Q323" s="338">
        <f>'ALL ML SYSTEMS'!Q323</f>
        <v>0</v>
      </c>
      <c r="R323" s="325">
        <f>'ALL ML SYSTEMS'!R323</f>
        <v>0</v>
      </c>
      <c r="S323" s="338">
        <f>'ALL ML SYSTEMS'!S323</f>
        <v>0</v>
      </c>
      <c r="T323" s="325">
        <f>'ALL ML SYSTEMS'!T323</f>
        <v>0</v>
      </c>
      <c r="U323" s="325">
        <f>'ALL ML SYSTEMS'!U323</f>
        <v>0</v>
      </c>
      <c r="V323" s="325">
        <f>'ALL ML SYSTEMS'!V323</f>
        <v>0</v>
      </c>
      <c r="W323" s="325">
        <f>'ALL ML SYSTEMS'!W323</f>
        <v>0</v>
      </c>
      <c r="X323" s="325">
        <f>'ALL ML SYSTEMS'!X323</f>
        <v>0</v>
      </c>
      <c r="Y323" s="325">
        <f>'ALL ML SYSTEMS'!Y323</f>
        <v>0</v>
      </c>
      <c r="Z323" s="325">
        <f>'ALL ML SYSTEMS'!Z323</f>
        <v>0</v>
      </c>
      <c r="AA323" s="341" t="str">
        <f>'ALL ML SYSTEMS'!AA323</f>
        <v/>
      </c>
      <c r="AB323" s="325">
        <f>'ALL ML SYSTEMS'!AB323</f>
        <v>0</v>
      </c>
      <c r="AC323" s="325">
        <f>'ALL ML SYSTEMS'!AC323</f>
        <v>0</v>
      </c>
      <c r="AD323" s="325" t="str">
        <f>'ALL ML SYSTEMS'!AD323</f>
        <v>Academia</v>
      </c>
    </row>
    <row r="324" hidden="1" customHeight="1" spans="1:30">
      <c r="A324" s="323">
        <f>'ALL ML SYSTEMS'!A324</f>
        <v>0</v>
      </c>
      <c r="B324" s="323">
        <f>'ALL ML SYSTEMS'!B324</f>
        <v>0</v>
      </c>
      <c r="C324" s="323">
        <f>'ALL ML SYSTEMS'!C324</f>
        <v>0</v>
      </c>
      <c r="D324" s="323" t="str">
        <f>'ALL ML SYSTEMS'!D324</f>
        <v>Facebook</v>
      </c>
      <c r="E324" s="323" t="str">
        <f>'ALL ML SYSTEMS'!E324</f>
        <v>Industry</v>
      </c>
      <c r="F324" s="323" t="str">
        <f>'ALL ML SYSTEMS'!F324</f>
        <v>X He, J Pan, O Jin, T Xu, B Liu, T Xu, Y Shi</v>
      </c>
      <c r="G324" s="324">
        <f>'ALL ML SYSTEMS'!G324</f>
        <v>41875</v>
      </c>
      <c r="H324" s="329">
        <f>'ALL ML SYSTEMS'!H324</f>
        <v>1875</v>
      </c>
      <c r="I324" s="323" t="str">
        <f>'ALL ML SYSTEMS'!I324</f>
        <v>Practical Lessons from Predicting Clicks on Ads at Facebook</v>
      </c>
      <c r="J324" s="334" t="str">
        <f>'ALL ML SYSTEMS'!J324</f>
        <v>https://dl.acm.org/doi/10.1145/2648584.2648589</v>
      </c>
      <c r="K324" s="335">
        <f>'ALL ML SYSTEMS'!K324</f>
        <v>586</v>
      </c>
      <c r="L324" s="323">
        <f>'ALL ML SYSTEMS'!L324</f>
        <v>0</v>
      </c>
      <c r="M324" s="335" t="str">
        <f>'ALL ML SYSTEMS'!M324</f>
        <v>No</v>
      </c>
      <c r="N324" s="335">
        <f>'ALL ML SYSTEMS'!N324</f>
        <v>0</v>
      </c>
      <c r="O324" s="335">
        <f>'ALL ML SYSTEMS'!O324</f>
        <v>0</v>
      </c>
      <c r="P324" s="336">
        <f>'ALL ML SYSTEMS'!P324</f>
        <v>0</v>
      </c>
      <c r="Q324" s="335">
        <f>'ALL ML SYSTEMS'!Q324</f>
        <v>0</v>
      </c>
      <c r="R324" s="323">
        <f>'ALL ML SYSTEMS'!R324</f>
        <v>0</v>
      </c>
      <c r="S324" s="335">
        <f>'ALL ML SYSTEMS'!S324</f>
        <v>0</v>
      </c>
      <c r="T324" s="323">
        <f>'ALL ML SYSTEMS'!T324</f>
        <v>0</v>
      </c>
      <c r="U324" s="323">
        <f>'ALL ML SYSTEMS'!U324</f>
        <v>0</v>
      </c>
      <c r="V324" s="323">
        <f>'ALL ML SYSTEMS'!V324</f>
        <v>0</v>
      </c>
      <c r="W324" s="323">
        <f>'ALL ML SYSTEMS'!W324</f>
        <v>0</v>
      </c>
      <c r="X324" s="323">
        <f>'ALL ML SYSTEMS'!X324</f>
        <v>0</v>
      </c>
      <c r="Y324" s="323">
        <f>'ALL ML SYSTEMS'!Y324</f>
        <v>0</v>
      </c>
      <c r="Z324" s="323">
        <f>'ALL ML SYSTEMS'!Z324</f>
        <v>0</v>
      </c>
      <c r="AA324" s="340" t="str">
        <f>'ALL ML SYSTEMS'!AA324</f>
        <v/>
      </c>
      <c r="AB324" s="323"/>
      <c r="AC324" s="323">
        <f>'ALL ML SYSTEMS'!AB324</f>
        <v>0</v>
      </c>
      <c r="AD324" s="323">
        <f>'ALL ML SYSTEMS'!AC324</f>
        <v>0</v>
      </c>
    </row>
    <row r="325" customHeight="1" spans="1:30">
      <c r="A325" s="325" t="str">
        <f>'ALL ML SYSTEMS'!A325</f>
        <v>VGG19</v>
      </c>
      <c r="B325" s="325" t="str">
        <f>'ALL ML SYSTEMS'!B325</f>
        <v>Vision</v>
      </c>
      <c r="C325" s="325">
        <f>'ALL ML SYSTEMS'!C325</f>
        <v>0</v>
      </c>
      <c r="D325" s="325" t="str">
        <f>'ALL ML SYSTEMS'!D325</f>
        <v>University of Oxford</v>
      </c>
      <c r="E325" s="325" t="str">
        <f>'ALL ML SYSTEMS'!E325</f>
        <v>Academia</v>
      </c>
      <c r="F325" s="325" t="str">
        <f>'ALL ML SYSTEMS'!F325</f>
        <v>K Simonyan, A Zisserman</v>
      </c>
      <c r="G325" s="326">
        <f>'ALL ML SYSTEMS'!G325</f>
        <v>41886</v>
      </c>
      <c r="H325" s="327">
        <f>'ALL ML SYSTEMS'!H325</f>
        <v>1886</v>
      </c>
      <c r="I325" s="325" t="str">
        <f>'ALL ML SYSTEMS'!I325</f>
        <v>Very Deep Convolutional Networks for Large-Scale Image Recognition</v>
      </c>
      <c r="J325" s="337" t="str">
        <f>'ALL ML SYSTEMS'!J325</f>
        <v>https://arxiv.org/abs/1409.1556</v>
      </c>
      <c r="K325" s="338">
        <f>'ALL ML SYSTEMS'!K325</f>
        <v>61262</v>
      </c>
      <c r="L325" s="325" t="str">
        <f>'ALL ML SYSTEMS'!L325</f>
        <v>Highly cited</v>
      </c>
      <c r="M325" s="338" t="str">
        <f>'ALL ML SYSTEMS'!M325</f>
        <v>Yes</v>
      </c>
      <c r="N325" s="338">
        <f>'ALL ML SYSTEMS'!N325</f>
        <v>144000000</v>
      </c>
      <c r="O325" s="338">
        <f>'ALL ML SYSTEMS'!O325</f>
        <v>0</v>
      </c>
      <c r="P325" s="339" t="str">
        <f>'ALL ML SYSTEMS'!P325</f>
        <v>ILSVRC-2012</v>
      </c>
      <c r="Q325" s="338">
        <f>'ALL ML SYSTEMS'!Q325</f>
        <v>1300000</v>
      </c>
      <c r="R325" s="325">
        <f>'ALL ML SYSTEMS'!R325</f>
        <v>19</v>
      </c>
      <c r="S325" s="338">
        <f>'ALL ML SYSTEMS'!S325</f>
        <v>19600000000</v>
      </c>
      <c r="T325" s="325">
        <f>'ALL ML SYSTEMS'!T325</f>
        <v>0</v>
      </c>
      <c r="U325" s="325">
        <f>'ALL ML SYSTEMS'!U325</f>
        <v>0</v>
      </c>
      <c r="V325" s="325">
        <f>'ALL ML SYSTEMS'!V325</f>
        <v>0</v>
      </c>
      <c r="W325" s="325">
        <f>'ALL ML SYSTEMS'!W325</f>
        <v>0</v>
      </c>
      <c r="X325" s="325">
        <f>'ALL ML SYSTEMS'!X325</f>
        <v>0</v>
      </c>
      <c r="Y325" s="325">
        <f>'ALL ML SYSTEMS'!Y325</f>
        <v>0</v>
      </c>
      <c r="Z325" s="325">
        <f>'ALL ML SYSTEMS'!Z325</f>
        <v>0</v>
      </c>
      <c r="AA325" s="341" t="str">
        <f>'ALL ML SYSTEMS'!AA325</f>
        <v/>
      </c>
      <c r="AB325" s="325">
        <f>'ALL ML SYSTEMS'!AB325</f>
        <v>0</v>
      </c>
      <c r="AC325" s="325">
        <f>'ALL ML SYSTEMS'!AC325</f>
        <v>0</v>
      </c>
      <c r="AD325" s="325" t="str">
        <f>'ALL ML SYSTEMS'!AD325</f>
        <v>Academia</v>
      </c>
    </row>
    <row r="326" customHeight="1" spans="1:30">
      <c r="A326" s="323" t="str">
        <f>'ALL ML SYSTEMS'!A326</f>
        <v>LRCN</v>
      </c>
      <c r="B326" s="323" t="str">
        <f>'ALL ML SYSTEMS'!B326</f>
        <v>Vision</v>
      </c>
      <c r="C326" s="323" t="str">
        <f>'ALL ML SYSTEMS'!C326</f>
        <v>Video description</v>
      </c>
      <c r="D326" s="323" t="str">
        <f>'ALL ML SYSTEMS'!D326</f>
        <v>UT Austin, UMass Lowell, UC Berkeley</v>
      </c>
      <c r="E326" s="323" t="str">
        <f>'ALL ML SYSTEMS'!E326</f>
        <v>Academia</v>
      </c>
      <c r="F326" s="323" t="str">
        <f>'ALL ML SYSTEMS'!F326</f>
        <v>Jeff Donahue, Lisa Anne Hendricks, Marcus Rohrbach, Subhashini Venugopalan, Sergio Guadarrama, Kate Saenko, Trevor Darrell</v>
      </c>
      <c r="G326" s="324">
        <f>'ALL ML SYSTEMS'!G326</f>
        <v>41950</v>
      </c>
      <c r="H326" s="329">
        <f>'ALL ML SYSTEMS'!H326</f>
        <v>1950</v>
      </c>
      <c r="I326" s="323" t="str">
        <f>'ALL ML SYSTEMS'!I326</f>
        <v>Long-term Recurrent Convolutional Networks for Visual Recognition and Description</v>
      </c>
      <c r="J326" s="334" t="str">
        <f>'ALL ML SYSTEMS'!J326</f>
        <v>https://arxiv.org/abs/1411.4389</v>
      </c>
      <c r="K326" s="335">
        <f>'ALL ML SYSTEMS'!K326</f>
        <v>5220</v>
      </c>
      <c r="L326" s="323" t="str">
        <f>'ALL ML SYSTEMS'!L326</f>
        <v>Highly cited</v>
      </c>
      <c r="M326" s="335" t="str">
        <f>'ALL ML SYSTEMS'!M326</f>
        <v>Yes</v>
      </c>
      <c r="N326" s="335">
        <f>'ALL ML SYSTEMS'!N326</f>
        <v>142552000</v>
      </c>
      <c r="O326" s="335">
        <f>'ALL ML SYSTEMS'!O326</f>
        <v>0</v>
      </c>
      <c r="P326" s="336" t="str">
        <f>'ALL ML SYSTEMS'!P326</f>
        <v>TaCoS</v>
      </c>
      <c r="Q326" s="335">
        <f>'ALL ML SYSTEMS'!Q326</f>
        <v>40000</v>
      </c>
      <c r="R326" s="323">
        <f>'ALL ML SYSTEMS'!R326</f>
        <v>0</v>
      </c>
      <c r="S326" s="335">
        <f>'ALL ML SYSTEMS'!S326</f>
        <v>0</v>
      </c>
      <c r="T326" s="323">
        <f>'ALL ML SYSTEMS'!T326</f>
        <v>0</v>
      </c>
      <c r="U326" s="323">
        <f>'ALL ML SYSTEMS'!U326</f>
        <v>0</v>
      </c>
      <c r="V326" s="323">
        <f>'ALL ML SYSTEMS'!V326</f>
        <v>0</v>
      </c>
      <c r="W326" s="323">
        <f>'ALL ML SYSTEMS'!W326</f>
        <v>0</v>
      </c>
      <c r="X326" s="323" t="str">
        <f>'ALL ML SYSTEMS'!X326</f>
        <v>Reinforcement learning</v>
      </c>
      <c r="Y326" s="323">
        <f>'ALL ML SYSTEMS'!Y326</f>
        <v>0</v>
      </c>
      <c r="Z326" s="323">
        <f>'ALL ML SYSTEMS'!Z326</f>
        <v>0</v>
      </c>
      <c r="AA326" s="340" t="str">
        <f>'ALL ML SYSTEMS'!AA326</f>
        <v/>
      </c>
      <c r="AB326" s="323">
        <f>'ALL ML SYSTEMS'!AB326</f>
        <v>0</v>
      </c>
      <c r="AC326" s="323">
        <f>'ALL ML SYSTEMS'!AC326</f>
        <v>0</v>
      </c>
      <c r="AD326" s="323" t="str">
        <f>'ALL ML SYSTEMS'!AD326</f>
        <v>Academia</v>
      </c>
    </row>
    <row r="327" customHeight="1" spans="1:30">
      <c r="A327" s="325">
        <f>'ALL ML SYSTEMS'!A327</f>
        <v>0</v>
      </c>
      <c r="B327" s="325" t="str">
        <f>'ALL ML SYSTEMS'!B327</f>
        <v>Vision</v>
      </c>
      <c r="C327" s="325" t="str">
        <f>'ALL ML SYSTEMS'!C327</f>
        <v>Image segmentation</v>
      </c>
      <c r="D327" s="325" t="str">
        <f>'ALL ML SYSTEMS'!D327</f>
        <v>University of California, Berkeley</v>
      </c>
      <c r="E327" s="325" t="str">
        <f>'ALL ML SYSTEMS'!E327</f>
        <v>Academia</v>
      </c>
      <c r="F327" s="325" t="str">
        <f>'ALL ML SYSTEMS'!F327</f>
        <v>J Long, E Shelhamer, T Darrell</v>
      </c>
      <c r="G327" s="326">
        <f>'ALL ML SYSTEMS'!G327</f>
        <v>41957</v>
      </c>
      <c r="H327" s="327">
        <f>'ALL ML SYSTEMS'!H327</f>
        <v>1957</v>
      </c>
      <c r="I327" s="325" t="str">
        <f>'ALL ML SYSTEMS'!I327</f>
        <v>Fully Convolutional Networks for Semantic Segmentation</v>
      </c>
      <c r="J327" s="337" t="str">
        <f>'ALL ML SYSTEMS'!J327</f>
        <v>https://arxiv.org/abs/1411.4038</v>
      </c>
      <c r="K327" s="338">
        <f>'ALL ML SYSTEMS'!K327</f>
        <v>24709</v>
      </c>
      <c r="L327" s="325" t="str">
        <f>'ALL ML SYSTEMS'!L327</f>
        <v>Highly cited</v>
      </c>
      <c r="M327" s="338" t="str">
        <f>'ALL ML SYSTEMS'!M327</f>
        <v>Yes</v>
      </c>
      <c r="N327" s="338">
        <f>'ALL ML SYSTEMS'!N327</f>
        <v>0</v>
      </c>
      <c r="O327" s="338">
        <f>'ALL ML SYSTEMS'!O327</f>
        <v>0</v>
      </c>
      <c r="P327" s="339">
        <f>'ALL ML SYSTEMS'!P327</f>
        <v>0</v>
      </c>
      <c r="Q327" s="338">
        <f>'ALL ML SYSTEMS'!Q327</f>
        <v>0</v>
      </c>
      <c r="R327" s="325">
        <f>'ALL ML SYSTEMS'!R327</f>
        <v>0</v>
      </c>
      <c r="S327" s="338">
        <f>'ALL ML SYSTEMS'!S327</f>
        <v>0</v>
      </c>
      <c r="T327" s="325">
        <f>'ALL ML SYSTEMS'!T327</f>
        <v>0</v>
      </c>
      <c r="U327" s="325">
        <f>'ALL ML SYSTEMS'!U327</f>
        <v>0</v>
      </c>
      <c r="V327" s="325">
        <f>'ALL ML SYSTEMS'!V327</f>
        <v>0</v>
      </c>
      <c r="W327" s="325">
        <f>'ALL ML SYSTEMS'!W327</f>
        <v>0</v>
      </c>
      <c r="X327" s="325">
        <f>'ALL ML SYSTEMS'!X327</f>
        <v>0</v>
      </c>
      <c r="Y327" s="325">
        <f>'ALL ML SYSTEMS'!Y327</f>
        <v>0</v>
      </c>
      <c r="Z327" s="325">
        <f>'ALL ML SYSTEMS'!Z327</f>
        <v>0</v>
      </c>
      <c r="AA327" s="341" t="str">
        <f>'ALL ML SYSTEMS'!AA327</f>
        <v/>
      </c>
      <c r="AB327" s="325">
        <f>'ALL ML SYSTEMS'!AB327</f>
        <v>0</v>
      </c>
      <c r="AC327" s="325">
        <f>'ALL ML SYSTEMS'!AC327</f>
        <v>0</v>
      </c>
      <c r="AD327" s="325" t="str">
        <f>'ALL ML SYSTEMS'!AD327</f>
        <v>Academia</v>
      </c>
    </row>
    <row r="328" customHeight="1" spans="1:30">
      <c r="A328" s="323">
        <f>'ALL ML SYSTEMS'!A328</f>
        <v>0</v>
      </c>
      <c r="B328" s="323" t="str">
        <f>'ALL ML SYSTEMS'!B328</f>
        <v>Vision</v>
      </c>
      <c r="C328" s="323">
        <f>'ALL ML SYSTEMS'!C328</f>
        <v>0</v>
      </c>
      <c r="D328" s="323" t="str">
        <f>'ALL ML SYSTEMS'!D328</f>
        <v>The Chinese University of Hong Kong</v>
      </c>
      <c r="E328" s="323" t="str">
        <f>'ALL ML SYSTEMS'!E328</f>
        <v>Academia</v>
      </c>
      <c r="F328" s="323" t="str">
        <f>'ALL ML SYSTEMS'!F328</f>
        <v>Z Liu, P Luo, X Wang, X Tang</v>
      </c>
      <c r="G328" s="324">
        <f>'ALL ML SYSTEMS'!G328</f>
        <v>41971</v>
      </c>
      <c r="H328" s="329">
        <f>'ALL ML SYSTEMS'!H328</f>
        <v>1971</v>
      </c>
      <c r="I328" s="323" t="str">
        <f>'ALL ML SYSTEMS'!I328</f>
        <v>Deep Learning Face Attributes in the Wild</v>
      </c>
      <c r="J328" s="334" t="str">
        <f>'ALL ML SYSTEMS'!J328</f>
        <v>https://arxiv.org/abs/1411.7766</v>
      </c>
      <c r="K328" s="335">
        <f>'ALL ML SYSTEMS'!K328</f>
        <v>4009</v>
      </c>
      <c r="L328" s="323" t="str">
        <f>'ALL ML SYSTEMS'!L328</f>
        <v>Highly cited</v>
      </c>
      <c r="M328" s="335" t="str">
        <f>'ALL ML SYSTEMS'!M328</f>
        <v>Yes</v>
      </c>
      <c r="N328" s="335">
        <f>'ALL ML SYSTEMS'!N328</f>
        <v>0</v>
      </c>
      <c r="O328" s="335">
        <f>'ALL ML SYSTEMS'!O328</f>
        <v>0</v>
      </c>
      <c r="P328" s="336">
        <f>'ALL ML SYSTEMS'!P328</f>
        <v>0</v>
      </c>
      <c r="Q328" s="335">
        <f>'ALL ML SYSTEMS'!Q328</f>
        <v>0</v>
      </c>
      <c r="R328" s="323">
        <f>'ALL ML SYSTEMS'!R328</f>
        <v>0</v>
      </c>
      <c r="S328" s="335">
        <f>'ALL ML SYSTEMS'!S328</f>
        <v>0</v>
      </c>
      <c r="T328" s="323">
        <f>'ALL ML SYSTEMS'!T328</f>
        <v>0</v>
      </c>
      <c r="U328" s="323">
        <f>'ALL ML SYSTEMS'!U328</f>
        <v>0</v>
      </c>
      <c r="V328" s="323">
        <f>'ALL ML SYSTEMS'!V328</f>
        <v>0</v>
      </c>
      <c r="W328" s="323">
        <f>'ALL ML SYSTEMS'!W328</f>
        <v>0</v>
      </c>
      <c r="X328" s="323">
        <f>'ALL ML SYSTEMS'!X328</f>
        <v>0</v>
      </c>
      <c r="Y328" s="323">
        <f>'ALL ML SYSTEMS'!Y328</f>
        <v>0</v>
      </c>
      <c r="Z328" s="323">
        <f>'ALL ML SYSTEMS'!Z328</f>
        <v>0</v>
      </c>
      <c r="AA328" s="340" t="str">
        <f>'ALL ML SYSTEMS'!AA328</f>
        <v/>
      </c>
      <c r="AB328" s="323">
        <f>'ALL ML SYSTEMS'!AB328</f>
        <v>0</v>
      </c>
      <c r="AC328" s="323">
        <f>'ALL ML SYSTEMS'!AC328</f>
        <v>0</v>
      </c>
      <c r="AD328" s="323" t="str">
        <f>'ALL ML SYSTEMS'!AD328</f>
        <v>Academia</v>
      </c>
    </row>
    <row r="329" customHeight="1" spans="1:30">
      <c r="A329" s="325" t="str">
        <f>'ALL ML SYSTEMS'!A329</f>
        <v>NTM</v>
      </c>
      <c r="B329" s="325">
        <f>'ALL ML SYSTEMS'!B329</f>
        <v>0</v>
      </c>
      <c r="C329" s="325">
        <f>'ALL ML SYSTEMS'!C329</f>
        <v>0</v>
      </c>
      <c r="D329" s="325" t="str">
        <f>'ALL ML SYSTEMS'!D329</f>
        <v>Google DeepMind</v>
      </c>
      <c r="E329" s="325" t="str">
        <f>'ALL ML SYSTEMS'!E329</f>
        <v>Industry</v>
      </c>
      <c r="F329" s="325" t="str">
        <f>'ALL ML SYSTEMS'!F329</f>
        <v>Alex Graves, Greg Wayne, Ivo Danihelka</v>
      </c>
      <c r="G329" s="326">
        <f>'ALL ML SYSTEMS'!G329</f>
        <v>41983</v>
      </c>
      <c r="H329" s="327">
        <f>'ALL ML SYSTEMS'!H329</f>
        <v>1983</v>
      </c>
      <c r="I329" s="325" t="str">
        <f>'ALL ML SYSTEMS'!I329</f>
        <v>Neural Turing Machines</v>
      </c>
      <c r="J329" s="337" t="str">
        <f>'ALL ML SYSTEMS'!J329</f>
        <v>https://arxiv.org/abs/1410.5401</v>
      </c>
      <c r="K329" s="338">
        <f>'ALL ML SYSTEMS'!K329</f>
        <v>1933</v>
      </c>
      <c r="L329" s="325" t="str">
        <f>'ALL ML SYSTEMS'!L329</f>
        <v>Highly cited</v>
      </c>
      <c r="M329" s="338" t="str">
        <f>'ALL ML SYSTEMS'!M329</f>
        <v>Yes</v>
      </c>
      <c r="N329" s="338">
        <f>'ALL ML SYSTEMS'!N329</f>
        <v>0</v>
      </c>
      <c r="O329" s="338">
        <f>'ALL ML SYSTEMS'!O329</f>
        <v>0</v>
      </c>
      <c r="P329" s="339">
        <f>'ALL ML SYSTEMS'!P329</f>
        <v>0</v>
      </c>
      <c r="Q329" s="338">
        <f>'ALL ML SYSTEMS'!Q329</f>
        <v>0</v>
      </c>
      <c r="R329" s="325">
        <f>'ALL ML SYSTEMS'!R329</f>
        <v>0</v>
      </c>
      <c r="S329" s="338">
        <f>'ALL ML SYSTEMS'!S329</f>
        <v>0</v>
      </c>
      <c r="T329" s="325">
        <f>'ALL ML SYSTEMS'!T329</f>
        <v>0</v>
      </c>
      <c r="U329" s="325">
        <f>'ALL ML SYSTEMS'!U329</f>
        <v>0</v>
      </c>
      <c r="V329" s="325">
        <f>'ALL ML SYSTEMS'!V329</f>
        <v>0</v>
      </c>
      <c r="W329" s="325">
        <f>'ALL ML SYSTEMS'!W329</f>
        <v>0</v>
      </c>
      <c r="X329" s="325">
        <f>'ALL ML SYSTEMS'!X329</f>
        <v>0</v>
      </c>
      <c r="Y329" s="325">
        <f>'ALL ML SYSTEMS'!Y329</f>
        <v>0</v>
      </c>
      <c r="Z329" s="325">
        <f>'ALL ML SYSTEMS'!Z329</f>
        <v>0</v>
      </c>
      <c r="AA329" s="341" t="str">
        <f>'ALL ML SYSTEMS'!AA329</f>
        <v/>
      </c>
      <c r="AB329" s="325">
        <f>'ALL ML SYSTEMS'!AB329</f>
        <v>0</v>
      </c>
      <c r="AC329" s="325">
        <f>'ALL ML SYSTEMS'!AC329</f>
        <v>0</v>
      </c>
      <c r="AD329" s="325" t="str">
        <f>'ALL ML SYSTEMS'!AD329</f>
        <v>Industry</v>
      </c>
    </row>
    <row r="330" customHeight="1" spans="1:30">
      <c r="A330" s="323" t="str">
        <f>'ALL ML SYSTEMS'!A330</f>
        <v>DeepLab</v>
      </c>
      <c r="B330" s="323" t="str">
        <f>'ALL ML SYSTEMS'!B330</f>
        <v>Vision</v>
      </c>
      <c r="C330" s="323" t="str">
        <f>'ALL ML SYSTEMS'!C330</f>
        <v>Image segmentation</v>
      </c>
      <c r="D330" s="323" t="str">
        <f>'ALL ML SYSTEMS'!D330</f>
        <v>Google, University of California Los Angeles</v>
      </c>
      <c r="E330" s="323" t="str">
        <f>'ALL ML SYSTEMS'!E330</f>
        <v>Industry - Academia Collaboration</v>
      </c>
      <c r="F330" s="323" t="str">
        <f>'ALL ML SYSTEMS'!F330</f>
        <v>Liang-Chieh Chen, George Papandreou, Iasonas Kokkinos, Kevin Murphy, Alan L. Yuille</v>
      </c>
      <c r="G330" s="324">
        <f>'ALL ML SYSTEMS'!G330</f>
        <v>41995</v>
      </c>
      <c r="H330" s="329">
        <f>'ALL ML SYSTEMS'!H330</f>
        <v>1995</v>
      </c>
      <c r="I330" s="323" t="str">
        <f>'ALL ML SYSTEMS'!I330</f>
        <v>Semantic Image Segmentation with Deep Convolutional Nets and Fully Connected CRFs</v>
      </c>
      <c r="J330" s="334" t="str">
        <f>'ALL ML SYSTEMS'!J330</f>
        <v>https://arxiv.org/abs/1412.7062</v>
      </c>
      <c r="K330" s="335">
        <f>'ALL ML SYSTEMS'!K330</f>
        <v>3699</v>
      </c>
      <c r="L330" s="323" t="str">
        <f>'ALL ML SYSTEMS'!L330</f>
        <v>Highly cited</v>
      </c>
      <c r="M330" s="335" t="str">
        <f>'ALL ML SYSTEMS'!M330</f>
        <v>Yes</v>
      </c>
      <c r="N330" s="335">
        <f>'ALL ML SYSTEMS'!N330</f>
        <v>0</v>
      </c>
      <c r="O330" s="335">
        <f>'ALL ML SYSTEMS'!O330</f>
        <v>0</v>
      </c>
      <c r="P330" s="336">
        <f>'ALL ML SYSTEMS'!P330</f>
        <v>0</v>
      </c>
      <c r="Q330" s="335">
        <f>'ALL ML SYSTEMS'!Q330</f>
        <v>0</v>
      </c>
      <c r="R330" s="323">
        <f>'ALL ML SYSTEMS'!R330</f>
        <v>0</v>
      </c>
      <c r="S330" s="335">
        <f>'ALL ML SYSTEMS'!S330</f>
        <v>0</v>
      </c>
      <c r="T330" s="323">
        <f>'ALL ML SYSTEMS'!T330</f>
        <v>0</v>
      </c>
      <c r="U330" s="323">
        <f>'ALL ML SYSTEMS'!U330</f>
        <v>0</v>
      </c>
      <c r="V330" s="323">
        <f>'ALL ML SYSTEMS'!V330</f>
        <v>0</v>
      </c>
      <c r="W330" s="323">
        <f>'ALL ML SYSTEMS'!W330</f>
        <v>0</v>
      </c>
      <c r="X330" s="323">
        <f>'ALL ML SYSTEMS'!X330</f>
        <v>0</v>
      </c>
      <c r="Y330" s="323">
        <f>'ALL ML SYSTEMS'!Y330</f>
        <v>0</v>
      </c>
      <c r="Z330" s="323">
        <f>'ALL ML SYSTEMS'!Z330</f>
        <v>0</v>
      </c>
      <c r="AA330" s="340" t="str">
        <f>'ALL ML SYSTEMS'!AA330</f>
        <v/>
      </c>
      <c r="AB330" s="323">
        <f>'ALL ML SYSTEMS'!AB330</f>
        <v>0</v>
      </c>
      <c r="AC330" s="323">
        <f>'ALL ML SYSTEMS'!AC330</f>
        <v>0</v>
      </c>
      <c r="AD330" s="323" t="str">
        <f>'ALL ML SYSTEMS'!AD330</f>
        <v>Industry</v>
      </c>
    </row>
    <row r="331" customHeight="1" spans="1:30">
      <c r="A331" s="325" t="str">
        <f>'ALL ML SYSTEMS'!A331</f>
        <v>TransE</v>
      </c>
      <c r="B331" s="325" t="str">
        <f>'ALL ML SYSTEMS'!B331</f>
        <v>Other</v>
      </c>
      <c r="C331" s="325" t="str">
        <f>'ALL ML SYSTEMS'!C331</f>
        <v>Entity embedding</v>
      </c>
      <c r="D331" s="325" t="str">
        <f>'ALL ML SYSTEMS'!D331</f>
        <v>CNRS, Google</v>
      </c>
      <c r="E331" s="325" t="str">
        <f>'ALL ML SYSTEMS'!E331</f>
        <v>Industry - Academia Collaboration</v>
      </c>
      <c r="F331" s="325" t="str">
        <f>'ALL ML SYSTEMS'!F331</f>
        <v>Antoine Bordes, Nicolas Usunier, Alberto Garcia- Duran, Jason Weston, and Oksana Yakhnenko</v>
      </c>
      <c r="G331" s="326">
        <f>'ALL ML SYSTEMS'!G331</f>
        <v>41613</v>
      </c>
      <c r="H331" s="327">
        <f>'ALL ML SYSTEMS'!H331</f>
        <v>1613</v>
      </c>
      <c r="I331" s="325" t="str">
        <f>'ALL ML SYSTEMS'!I331</f>
        <v>Translating Embeddings for Modeling Multi- relational Data</v>
      </c>
      <c r="J331" s="337" t="str">
        <f>'ALL ML SYSTEMS'!J331</f>
        <v>https://papers.nips.cc/paper/2013/hash/1cecc7a77928ca8133fa24680a88d2f9-Abstract.html</v>
      </c>
      <c r="K331" s="338">
        <f>'ALL ML SYSTEMS'!K331</f>
        <v>4002</v>
      </c>
      <c r="L331" s="325" t="str">
        <f>'ALL ML SYSTEMS'!L331</f>
        <v>Highly cited</v>
      </c>
      <c r="M331" s="338" t="str">
        <f>'ALL ML SYSTEMS'!M331</f>
        <v>Yes</v>
      </c>
      <c r="N331" s="338">
        <f>'ALL ML SYSTEMS'!N331</f>
        <v>0</v>
      </c>
      <c r="O331" s="338">
        <f>'ALL ML SYSTEMS'!O331</f>
        <v>1.340928e+18</v>
      </c>
      <c r="P331" s="339">
        <f>'ALL ML SYSTEMS'!P331</f>
        <v>0</v>
      </c>
      <c r="Q331" s="338">
        <f>'ALL ML SYSTEMS'!Q331</f>
        <v>17000000</v>
      </c>
      <c r="R331" s="325">
        <f>'ALL ML SYSTEMS'!R331</f>
        <v>0</v>
      </c>
      <c r="S331" s="338">
        <f>'ALL ML SYSTEMS'!S331</f>
        <v>0</v>
      </c>
      <c r="T331" s="325">
        <f>'ALL ML SYSTEMS'!T331</f>
        <v>0</v>
      </c>
      <c r="U331" s="325">
        <f>'ALL ML SYSTEMS'!U331</f>
        <v>0</v>
      </c>
      <c r="V331" s="325">
        <f>'ALL ML SYSTEMS'!V331</f>
        <v>0</v>
      </c>
      <c r="W331" s="325">
        <f>'ALL ML SYSTEMS'!W331</f>
        <v>0</v>
      </c>
      <c r="X331" s="325">
        <f>'ALL ML SYSTEMS'!X331</f>
        <v>0</v>
      </c>
      <c r="Y331" s="325">
        <f>'ALL ML SYSTEMS'!Y331</f>
        <v>0</v>
      </c>
      <c r="Z331" s="325">
        <f>'ALL ML SYSTEMS'!Z331</f>
        <v>0</v>
      </c>
      <c r="AA331" s="341">
        <f>'ALL ML SYSTEMS'!AA331</f>
        <v>17.579616171054</v>
      </c>
      <c r="AB331" s="325">
        <f>'ALL ML SYSTEMS'!AB331</f>
        <v>0</v>
      </c>
      <c r="AC331" s="325">
        <f>'ALL ML SYSTEMS'!AC331</f>
        <v>0</v>
      </c>
      <c r="AD331" s="325" t="str">
        <f>'ALL ML SYSTEMS'!AD331</f>
        <v>Industry</v>
      </c>
    </row>
    <row r="332" customHeight="1" spans="1:30">
      <c r="A332" s="323" t="str">
        <f>'ALL ML SYSTEMS'!A332</f>
        <v>Visualizing CNNs</v>
      </c>
      <c r="B332" s="323" t="str">
        <f>'ALL ML SYSTEMS'!B332</f>
        <v>Vision</v>
      </c>
      <c r="C332" s="323">
        <f>'ALL ML SYSTEMS'!C332</f>
        <v>0</v>
      </c>
      <c r="D332" s="323" t="str">
        <f>'ALL ML SYSTEMS'!D332</f>
        <v>NYU</v>
      </c>
      <c r="E332" s="323" t="str">
        <f>'ALL ML SYSTEMS'!E332</f>
        <v>Academia</v>
      </c>
      <c r="F332" s="323" t="str">
        <f>'ALL ML SYSTEMS'!F332</f>
        <v>MD Zeiler, R Fergus</v>
      </c>
      <c r="G332" s="324">
        <f>'ALL ML SYSTEMS'!G332</f>
        <v>41590</v>
      </c>
      <c r="H332" s="329">
        <f>'ALL ML SYSTEMS'!H332</f>
        <v>1590</v>
      </c>
      <c r="I332" s="323" t="str">
        <f>'ALL ML SYSTEMS'!I332</f>
        <v>Visualizing and Understanding Convolutional Networks</v>
      </c>
      <c r="J332" s="334" t="str">
        <f>'ALL ML SYSTEMS'!J332</f>
        <v>https://arxiv.org/abs/1311.2901</v>
      </c>
      <c r="K332" s="335">
        <f>'ALL ML SYSTEMS'!K332</f>
        <v>12991</v>
      </c>
      <c r="L332" s="323" t="str">
        <f>'ALL ML SYSTEMS'!L332</f>
        <v>Highly cited</v>
      </c>
      <c r="M332" s="335" t="str">
        <f>'ALL ML SYSTEMS'!M332</f>
        <v>Yes</v>
      </c>
      <c r="N332" s="335">
        <f>'ALL ML SYSTEMS'!N332</f>
        <v>0</v>
      </c>
      <c r="O332" s="335">
        <f>'ALL ML SYSTEMS'!O332</f>
        <v>5.32e+17</v>
      </c>
      <c r="P332" s="336">
        <f>'ALL ML SYSTEMS'!P332</f>
        <v>0</v>
      </c>
      <c r="Q332" s="335">
        <f>'ALL ML SYSTEMS'!Q332</f>
        <v>0</v>
      </c>
      <c r="R332" s="323">
        <f>'ALL ML SYSTEMS'!R332</f>
        <v>0</v>
      </c>
      <c r="S332" s="335">
        <f>'ALL ML SYSTEMS'!S332</f>
        <v>0</v>
      </c>
      <c r="T332" s="323">
        <f>'ALL ML SYSTEMS'!T332</f>
        <v>0</v>
      </c>
      <c r="U332" s="323">
        <f>'ALL ML SYSTEMS'!U332</f>
        <v>0</v>
      </c>
      <c r="V332" s="323">
        <f>'ALL ML SYSTEMS'!V332</f>
        <v>0</v>
      </c>
      <c r="W332" s="323">
        <f>'ALL ML SYSTEMS'!W332</f>
        <v>0</v>
      </c>
      <c r="X332" s="323">
        <f>'ALL ML SYSTEMS'!X332</f>
        <v>0</v>
      </c>
      <c r="Y332" s="323">
        <f>'ALL ML SYSTEMS'!Y332</f>
        <v>0</v>
      </c>
      <c r="Z332" s="323" t="str">
        <f>'ALL ML SYSTEMS'!Z332</f>
        <v>Predict nearby words</v>
      </c>
      <c r="AA332" s="340">
        <f>'ALL ML SYSTEMS'!AA332</f>
        <v>9.02117930281462</v>
      </c>
      <c r="AB332" s="323">
        <f>'ALL ML SYSTEMS'!AB332</f>
        <v>0</v>
      </c>
      <c r="AC332" s="323">
        <f>'ALL ML SYSTEMS'!AC332</f>
        <v>0</v>
      </c>
      <c r="AD332" s="323" t="str">
        <f>'ALL ML SYSTEMS'!AD332</f>
        <v>Academia</v>
      </c>
    </row>
    <row r="333" customHeight="1" spans="1:30">
      <c r="A333" s="325" t="str">
        <f>'ALL ML SYSTEMS'!A333</f>
        <v>Mitosis</v>
      </c>
      <c r="B333" s="325" t="str">
        <f>'ALL ML SYSTEMS'!B333</f>
        <v>Vision</v>
      </c>
      <c r="C333" s="325">
        <f>'ALL ML SYSTEMS'!C333</f>
        <v>0</v>
      </c>
      <c r="D333" s="325" t="str">
        <f>'ALL ML SYSTEMS'!D333</f>
        <v>IDSIA</v>
      </c>
      <c r="E333" s="325" t="str">
        <f>'ALL ML SYSTEMS'!E333</f>
        <v>Academia</v>
      </c>
      <c r="F333" s="325" t="str">
        <f>'ALL ML SYSTEMS'!F333</f>
        <v>Dan C. Cireşan, Alessandro Giusti, Luca M. Gambardella, Jürgen Schmidhuber</v>
      </c>
      <c r="G333" s="326">
        <f>'ALL ML SYSTEMS'!G333</f>
        <v>41539</v>
      </c>
      <c r="H333" s="327">
        <f>'ALL ML SYSTEMS'!H333</f>
        <v>1539</v>
      </c>
      <c r="I333" s="325" t="str">
        <f>'ALL ML SYSTEMS'!I333</f>
        <v>Mitosis Detection in Breast Cancer Histology Images with Deep Neural Networks</v>
      </c>
      <c r="J333" s="337" t="str">
        <f>'ALL ML SYSTEMS'!J333</f>
        <v>https://link.springer.com/chapter/10.1007/978-3-642-40763-5_51</v>
      </c>
      <c r="K333" s="338">
        <f>'ALL ML SYSTEMS'!K333</f>
        <v>1456</v>
      </c>
      <c r="L333" s="325" t="str">
        <f>'ALL ML SYSTEMS'!L333</f>
        <v>ICPR 2012 mitosis detection competition winner</v>
      </c>
      <c r="M333" s="338" t="str">
        <f>'ALL ML SYSTEMS'!M333</f>
        <v>Yes</v>
      </c>
      <c r="N333" s="338">
        <f>'ALL ML SYSTEMS'!N333</f>
        <v>37230</v>
      </c>
      <c r="O333" s="338">
        <f>'ALL ML SYSTEMS'!O333</f>
        <v>1.37e+17</v>
      </c>
      <c r="P333" s="339">
        <f>'ALL ML SYSTEMS'!P333</f>
        <v>0</v>
      </c>
      <c r="Q333" s="338">
        <f>'ALL ML SYSTEMS'!Q333</f>
        <v>1000000</v>
      </c>
      <c r="R333" s="325">
        <f>'ALL ML SYSTEMS'!R333</f>
        <v>0</v>
      </c>
      <c r="S333" s="338">
        <f>'ALL ML SYSTEMS'!S333</f>
        <v>0</v>
      </c>
      <c r="T333" s="325">
        <f>'ALL ML SYSTEMS'!T333</f>
        <v>0</v>
      </c>
      <c r="U333" s="325">
        <f>'ALL ML SYSTEMS'!U333</f>
        <v>0</v>
      </c>
      <c r="V333" s="325">
        <f>'ALL ML SYSTEMS'!V333</f>
        <v>0</v>
      </c>
      <c r="W333" s="325">
        <f>'ALL ML SYSTEMS'!W333</f>
        <v>0</v>
      </c>
      <c r="X333" s="325">
        <f>'ALL ML SYSTEMS'!X333</f>
        <v>0</v>
      </c>
      <c r="Y333" s="325">
        <f>'ALL ML SYSTEMS'!Y333</f>
        <v>0</v>
      </c>
      <c r="Z333" s="325">
        <f>'ALL ML SYSTEMS'!Z333</f>
        <v>0</v>
      </c>
      <c r="AA333" s="341">
        <f>'ALL ML SYSTEMS'!AA333</f>
        <v>2.00443851959482</v>
      </c>
      <c r="AB333" s="325">
        <f>'ALL ML SYSTEMS'!AB333</f>
        <v>0</v>
      </c>
      <c r="AC333" s="325">
        <f>'ALL ML SYSTEMS'!AC333</f>
        <v>0</v>
      </c>
      <c r="AD333" s="325" t="str">
        <f>'ALL ML SYSTEMS'!AD333</f>
        <v>Academia</v>
      </c>
    </row>
    <row r="334" customHeight="1" spans="1:30">
      <c r="A334" s="323" t="str">
        <f>'ALL ML SYSTEMS'!A334</f>
        <v>Word2Vec (large)</v>
      </c>
      <c r="B334" s="323" t="str">
        <f>'ALL ML SYSTEMS'!B334</f>
        <v>Language</v>
      </c>
      <c r="C334" s="323" t="str">
        <f>'ALL ML SYSTEMS'!C334</f>
        <v>Semantic embedding</v>
      </c>
      <c r="D334" s="323" t="str">
        <f>'ALL ML SYSTEMS'!D334</f>
        <v>Google</v>
      </c>
      <c r="E334" s="323" t="str">
        <f>'ALL ML SYSTEMS'!E334</f>
        <v>Industry</v>
      </c>
      <c r="F334" s="323" t="str">
        <f>'ALL ML SYSTEMS'!F334</f>
        <v>T Mikolov, I Sutskever, K Chen, GS Corrado</v>
      </c>
      <c r="G334" s="324">
        <f>'ALL ML SYSTEMS'!G334</f>
        <v>41563</v>
      </c>
      <c r="H334" s="329">
        <f>'ALL ML SYSTEMS'!H334</f>
        <v>1563</v>
      </c>
      <c r="I334" s="323" t="str">
        <f>'ALL ML SYSTEMS'!I334</f>
        <v>Distributed Representations of Words and Phrases and their Compositionality</v>
      </c>
      <c r="J334" s="334" t="str">
        <f>'ALL ML SYSTEMS'!J334</f>
        <v>https://arxiv.org/abs/1310.4546</v>
      </c>
      <c r="K334" s="335">
        <f>'ALL ML SYSTEMS'!K334</f>
        <v>28717</v>
      </c>
      <c r="L334" s="323" t="str">
        <f>'ALL ML SYSTEMS'!L334</f>
        <v>Highly cited</v>
      </c>
      <c r="M334" s="335" t="str">
        <f>'ALL ML SYSTEMS'!M334</f>
        <v>Yes</v>
      </c>
      <c r="N334" s="335">
        <f>'ALL ML SYSTEMS'!N334</f>
        <v>692000000</v>
      </c>
      <c r="O334" s="335">
        <f>'ALL ML SYSTEMS'!O334</f>
        <v>3.888e+16</v>
      </c>
      <c r="P334" s="336">
        <f>'ALL ML SYSTEMS'!P334</f>
        <v>0</v>
      </c>
      <c r="Q334" s="335">
        <f>'ALL ML SYSTEMS'!Q334</f>
        <v>692000</v>
      </c>
      <c r="R334" s="323">
        <f>'ALL ML SYSTEMS'!R334</f>
        <v>0</v>
      </c>
      <c r="S334" s="335">
        <f>'ALL ML SYSTEMS'!S334</f>
        <v>0</v>
      </c>
      <c r="T334" s="323">
        <f>'ALL ML SYSTEMS'!T334</f>
        <v>0</v>
      </c>
      <c r="U334" s="323">
        <f>'ALL ML SYSTEMS'!U334</f>
        <v>0</v>
      </c>
      <c r="V334" s="323">
        <f>'ALL ML SYSTEMS'!V334</f>
        <v>0</v>
      </c>
      <c r="W334" s="323">
        <f>'ALL ML SYSTEMS'!W334</f>
        <v>0</v>
      </c>
      <c r="X334" s="323">
        <f>'ALL ML SYSTEMS'!X334</f>
        <v>0</v>
      </c>
      <c r="Y334" s="323">
        <f>'ALL ML SYSTEMS'!Y334</f>
        <v>0</v>
      </c>
      <c r="Z334" s="323" t="str">
        <f>'ALL ML SYSTEMS'!Z334</f>
        <v>Predict nearby words</v>
      </c>
      <c r="AA334" s="340">
        <f>'ALL ML SYSTEMS'!AA334</f>
        <v>0.548133695223449</v>
      </c>
      <c r="AB334" s="323">
        <f>'ALL ML SYSTEMS'!AB334</f>
        <v>0</v>
      </c>
      <c r="AC334" s="323" t="str">
        <f>'ALL ML SYSTEMS'!AC334</f>
        <v>Recurrent Neural Network</v>
      </c>
      <c r="AD334" s="323" t="str">
        <f>'ALL ML SYSTEMS'!AD334</f>
        <v>Industry</v>
      </c>
    </row>
    <row r="335" customHeight="1" spans="1:30">
      <c r="A335" s="325" t="str">
        <f>'ALL ML SYSTEMS'!A335</f>
        <v>DQN</v>
      </c>
      <c r="B335" s="325" t="str">
        <f>'ALL ML SYSTEMS'!B335</f>
        <v>Games</v>
      </c>
      <c r="C335" s="325" t="str">
        <f>'ALL ML SYSTEMS'!C335</f>
        <v>Atari</v>
      </c>
      <c r="D335" s="325" t="str">
        <f>'ALL ML SYSTEMS'!D335</f>
        <v>DeepMind</v>
      </c>
      <c r="E335" s="325" t="str">
        <f>'ALL ML SYSTEMS'!E335</f>
        <v>Industry</v>
      </c>
      <c r="F335" s="325" t="str">
        <f>'ALL ML SYSTEMS'!F335</f>
        <v>V Mnih, K Kavukcuoglu, D Silver, A Graves</v>
      </c>
      <c r="G335" s="326">
        <f>'ALL ML SYSTEMS'!G335</f>
        <v>41275</v>
      </c>
      <c r="H335" s="327">
        <f>'ALL ML SYSTEMS'!H335</f>
        <v>1275</v>
      </c>
      <c r="I335" s="325" t="str">
        <f>'ALL ML SYSTEMS'!I335</f>
        <v>Playing Atari with Deep Reinforcement Learning</v>
      </c>
      <c r="J335" s="337" t="str">
        <f>'ALL ML SYSTEMS'!J335</f>
        <v>https://arxiv.org/abs/1312.5602</v>
      </c>
      <c r="K335" s="338">
        <f>'ALL ML SYSTEMS'!K335</f>
        <v>6676</v>
      </c>
      <c r="L335" s="325" t="str">
        <f>'ALL ML SYSTEMS'!L335</f>
        <v>Highly cited</v>
      </c>
      <c r="M335" s="338" t="str">
        <f>'ALL ML SYSTEMS'!M335</f>
        <v>Yes</v>
      </c>
      <c r="N335" s="338">
        <f>'ALL ML SYSTEMS'!N335</f>
        <v>836096</v>
      </c>
      <c r="O335" s="338">
        <f>'ALL ML SYSTEMS'!O335</f>
        <v>2300000000000000</v>
      </c>
      <c r="P335" s="339">
        <f>'ALL ML SYSTEMS'!P335</f>
        <v>0</v>
      </c>
      <c r="Q335" s="338">
        <f>'ALL ML SYSTEMS'!Q335</f>
        <v>0</v>
      </c>
      <c r="R335" s="325">
        <f>'ALL ML SYSTEMS'!R335</f>
        <v>0</v>
      </c>
      <c r="S335" s="338">
        <f>'ALL ML SYSTEMS'!S335</f>
        <v>0</v>
      </c>
      <c r="T335" s="325">
        <f>'ALL ML SYSTEMS'!T335</f>
        <v>0</v>
      </c>
      <c r="U335" s="325">
        <f>'ALL ML SYSTEMS'!U335</f>
        <v>0</v>
      </c>
      <c r="V335" s="325">
        <f>'ALL ML SYSTEMS'!V335</f>
        <v>0</v>
      </c>
      <c r="W335" s="325">
        <f>'ALL ML SYSTEMS'!W335</f>
        <v>0</v>
      </c>
      <c r="X335" s="325">
        <f>'ALL ML SYSTEMS'!X335</f>
        <v>0</v>
      </c>
      <c r="Y335" s="325">
        <f>'ALL ML SYSTEMS'!Y335</f>
        <v>0</v>
      </c>
      <c r="Z335" s="325">
        <f>'ALL ML SYSTEMS'!Z335</f>
        <v>0</v>
      </c>
      <c r="AA335" s="341">
        <f>'ALL ML SYSTEMS'!AA335</f>
        <v>0.0403704382939037</v>
      </c>
      <c r="AB335" s="325">
        <f>'ALL ML SYSTEMS'!AB335</f>
        <v>0</v>
      </c>
      <c r="AC335" s="325">
        <f>'ALL ML SYSTEMS'!AC335</f>
        <v>0</v>
      </c>
      <c r="AD335" s="325" t="str">
        <f>'ALL ML SYSTEMS'!AD335</f>
        <v>Industry</v>
      </c>
    </row>
    <row r="336" customHeight="1" spans="1:30">
      <c r="A336" s="323" t="str">
        <f>'ALL ML SYSTEMS'!A336</f>
        <v>Image generation</v>
      </c>
      <c r="B336" s="323" t="str">
        <f>'ALL ML SYSTEMS'!B336</f>
        <v>Vision</v>
      </c>
      <c r="C336" s="323" t="str">
        <f>'ALL ML SYSTEMS'!C336</f>
        <v>Image clustering</v>
      </c>
      <c r="D336" s="323" t="str">
        <f>'ALL ML SYSTEMS'!D336</f>
        <v>Univeristy of Amsterdam</v>
      </c>
      <c r="E336" s="323" t="str">
        <f>'ALL ML SYSTEMS'!E336</f>
        <v>Academia</v>
      </c>
      <c r="F336" s="323" t="str">
        <f>'ALL ML SYSTEMS'!F336</f>
        <v>DP Kingma, M Welling</v>
      </c>
      <c r="G336" s="324">
        <f>'ALL ML SYSTEMS'!G336</f>
        <v>41628</v>
      </c>
      <c r="H336" s="329">
        <f>'ALL ML SYSTEMS'!H336</f>
        <v>1628</v>
      </c>
      <c r="I336" s="323" t="str">
        <f>'ALL ML SYSTEMS'!I336</f>
        <v>Auto-Encoding Variational Bayes</v>
      </c>
      <c r="J336" s="334" t="str">
        <f>'ALL ML SYSTEMS'!J336</f>
        <v>https://arxiv.org/abs/1312.6114</v>
      </c>
      <c r="K336" s="335">
        <f>'ALL ML SYSTEMS'!K336</f>
        <v>15572</v>
      </c>
      <c r="L336" s="323" t="str">
        <f>'ALL ML SYSTEMS'!L336</f>
        <v>Highly cited</v>
      </c>
      <c r="M336" s="335" t="str">
        <f>'ALL ML SYSTEMS'!M336</f>
        <v>Yes</v>
      </c>
      <c r="N336" s="335">
        <f>'ALL ML SYSTEMS'!N336</f>
        <v>0</v>
      </c>
      <c r="O336" s="335">
        <f>'ALL ML SYSTEMS'!O336</f>
        <v>475200000000000</v>
      </c>
      <c r="P336" s="336" t="str">
        <f>'ALL ML SYSTEMS'!P336</f>
        <v>MNIST</v>
      </c>
      <c r="Q336" s="335">
        <f>'ALL ML SYSTEMS'!Q336</f>
        <v>60000</v>
      </c>
      <c r="R336" s="323">
        <f>'ALL ML SYSTEMS'!R336</f>
        <v>0</v>
      </c>
      <c r="S336" s="335">
        <f>'ALL ML SYSTEMS'!S336</f>
        <v>0</v>
      </c>
      <c r="T336" s="323">
        <f>'ALL ML SYSTEMS'!T336</f>
        <v>0</v>
      </c>
      <c r="U336" s="323">
        <f>'ALL ML SYSTEMS'!U336</f>
        <v>0</v>
      </c>
      <c r="V336" s="323">
        <f>'ALL ML SYSTEMS'!V336</f>
        <v>0</v>
      </c>
      <c r="W336" s="323">
        <f>'ALL ML SYSTEMS'!W336</f>
        <v>0</v>
      </c>
      <c r="X336" s="323">
        <f>'ALL ML SYSTEMS'!X336</f>
        <v>0</v>
      </c>
      <c r="Y336" s="323">
        <f>'ALL ML SYSTEMS'!Y336</f>
        <v>0</v>
      </c>
      <c r="Z336" s="323">
        <f>'ALL ML SYSTEMS'!Z336</f>
        <v>0</v>
      </c>
      <c r="AA336" s="340">
        <f>'ALL ML SYSTEMS'!AA336</f>
        <v>0.00641623876165296</v>
      </c>
      <c r="AB336" s="323">
        <f>'ALL ML SYSTEMS'!AB336</f>
        <v>0</v>
      </c>
      <c r="AC336" s="323">
        <f>'ALL ML SYSTEMS'!AC336</f>
        <v>0</v>
      </c>
      <c r="AD336" s="323" t="str">
        <f>'ALL ML SYSTEMS'!AD336</f>
        <v>Academia</v>
      </c>
    </row>
    <row r="337" customHeight="1" spans="1:30">
      <c r="A337" s="325" t="str">
        <f>'ALL ML SYSTEMS'!A337</f>
        <v>Image Classification with the Fisher Vector: Theory and Practice</v>
      </c>
      <c r="B337" s="325" t="str">
        <f>'ALL ML SYSTEMS'!B337</f>
        <v>Vision</v>
      </c>
      <c r="C337" s="325" t="str">
        <f>'ALL ML SYSTEMS'!C337</f>
        <v>Image Classification</v>
      </c>
      <c r="D337" s="325" t="str">
        <f>'ALL ML SYSTEMS'!D337</f>
        <v>Universidad Nacional de Cordoba, Xerox Research Centre Europe, Inteligent Systems Lab Amsterdam, University of Amsterdam, LEAR Team, INRIA Grenoble</v>
      </c>
      <c r="E337" s="325" t="str">
        <f>'ALL ML SYSTEMS'!E337</f>
        <v>Industry - Academia Collaboration</v>
      </c>
      <c r="F337" s="325" t="str">
        <f>'ALL ML SYSTEMS'!F337</f>
        <v>orge Sanchez, Florent Perronnin, Thomas Mensink, Jakob Verbeek</v>
      </c>
      <c r="G337" s="326">
        <f>'ALL ML SYSTEMS'!G337</f>
        <v>41437</v>
      </c>
      <c r="H337" s="325">
        <f>'ALL ML SYSTEMS'!H337</f>
        <v>2013</v>
      </c>
      <c r="I337" s="325" t="str">
        <f>'ALL ML SYSTEMS'!I337</f>
        <v>Image Classification with the Fisher Vector: Theory and Practice</v>
      </c>
      <c r="J337" s="337" t="str">
        <f>'ALL ML SYSTEMS'!J337</f>
        <v>https://hal.inria.fr/hal-00830491v2/document</v>
      </c>
      <c r="K337" s="338">
        <f>'ALL ML SYSTEMS'!K337</f>
        <v>1707</v>
      </c>
      <c r="L337" s="325" t="str">
        <f>'ALL ML SYSTEMS'!L337</f>
        <v>Highly cited</v>
      </c>
      <c r="M337" s="338" t="str">
        <f>'ALL ML SYSTEMS'!M337</f>
        <v>Yes</v>
      </c>
      <c r="N337" s="338">
        <f>'ALL ML SYSTEMS'!N337</f>
        <v>0</v>
      </c>
      <c r="O337" s="338">
        <f>'ALL ML SYSTEMS'!O337</f>
        <v>90842400000000</v>
      </c>
      <c r="P337" s="339" t="str">
        <f>'ALL ML SYSTEMS'!P337</f>
        <v>ImageNet</v>
      </c>
      <c r="Q337" s="338">
        <f>'ALL ML SYSTEMS'!Q337</f>
        <v>0</v>
      </c>
      <c r="R337" s="325">
        <f>'ALL ML SYSTEMS'!R337</f>
        <v>0</v>
      </c>
      <c r="S337" s="325">
        <f>'ALL ML SYSTEMS'!S337</f>
        <v>0</v>
      </c>
      <c r="T337" s="325">
        <f>'ALL ML SYSTEMS'!T337</f>
        <v>2</v>
      </c>
      <c r="U337" s="325">
        <f>'ALL ML SYSTEMS'!U337</f>
        <v>0</v>
      </c>
      <c r="V337" s="325">
        <f>'ALL ML SYSTEMS'!V337</f>
        <v>0</v>
      </c>
      <c r="W337" s="325">
        <f>'ALL ML SYSTEMS'!W337</f>
        <v>0</v>
      </c>
      <c r="X337" s="325">
        <f>'ALL ML SYSTEMS'!X337</f>
        <v>0</v>
      </c>
      <c r="Y337" s="325">
        <f>'ALL ML SYSTEMS'!Y337</f>
        <v>0</v>
      </c>
      <c r="Z337" s="325">
        <f>'ALL ML SYSTEMS'!Z337</f>
        <v>0</v>
      </c>
      <c r="AA337" s="341">
        <f>'ALL ML SYSTEMS'!AA337</f>
        <v>0.00140957453289337</v>
      </c>
      <c r="AB337" s="325">
        <f>'ALL ML SYSTEMS'!AB337</f>
        <v>0</v>
      </c>
      <c r="AC337" s="325">
        <f>'ALL ML SYSTEMS'!AC337</f>
        <v>0</v>
      </c>
      <c r="AD337" s="325">
        <f>'ALL ML SYSTEMS'!AD337</f>
        <v>0</v>
      </c>
    </row>
    <row r="338" customHeight="1" spans="1:30">
      <c r="A338" s="323">
        <f>'ALL ML SYSTEMS'!A338</f>
        <v>0</v>
      </c>
      <c r="B338" s="323" t="str">
        <f>'ALL ML SYSTEMS'!B338</f>
        <v>Vision</v>
      </c>
      <c r="C338" s="323">
        <f>'ALL ML SYSTEMS'!C338</f>
        <v>0</v>
      </c>
      <c r="D338" s="323" t="str">
        <f>'ALL ML SYSTEMS'!D338</f>
        <v>Stanford</v>
      </c>
      <c r="E338" s="323" t="str">
        <f>'ALL ML SYSTEMS'!E338</f>
        <v>Academia</v>
      </c>
      <c r="F338" s="323" t="str">
        <f>'ALL ML SYSTEMS'!F338</f>
        <v>R Socher, M Ganjoo, H Sridhar, O Bastani</v>
      </c>
      <c r="G338" s="324">
        <f>'ALL ML SYSTEMS'!G338</f>
        <v>41290</v>
      </c>
      <c r="H338" s="329">
        <f>'ALL ML SYSTEMS'!H338</f>
        <v>1290</v>
      </c>
      <c r="I338" s="323" t="str">
        <f>'ALL ML SYSTEMS'!I338</f>
        <v>Zero-Shot Learning Through Cross-Modal Transfer</v>
      </c>
      <c r="J338" s="334" t="str">
        <f>'ALL ML SYSTEMS'!J338</f>
        <v>https://arxiv.org/abs/1301.3666</v>
      </c>
      <c r="K338" s="335">
        <f>'ALL ML SYSTEMS'!K338</f>
        <v>1207</v>
      </c>
      <c r="L338" s="323" t="str">
        <f>'ALL ML SYSTEMS'!L338</f>
        <v>Highly cited</v>
      </c>
      <c r="M338" s="335" t="str">
        <f>'ALL ML SYSTEMS'!M338</f>
        <v>Yes</v>
      </c>
      <c r="N338" s="335">
        <f>'ALL ML SYSTEMS'!N338</f>
        <v>0</v>
      </c>
      <c r="O338" s="335">
        <f>'ALL ML SYSTEMS'!O338</f>
        <v>0</v>
      </c>
      <c r="P338" s="336">
        <f>'ALL ML SYSTEMS'!P338</f>
        <v>0</v>
      </c>
      <c r="Q338" s="335">
        <f>'ALL ML SYSTEMS'!Q338</f>
        <v>0</v>
      </c>
      <c r="R338" s="323">
        <f>'ALL ML SYSTEMS'!R338</f>
        <v>0</v>
      </c>
      <c r="S338" s="335">
        <f>'ALL ML SYSTEMS'!S338</f>
        <v>0</v>
      </c>
      <c r="T338" s="323">
        <f>'ALL ML SYSTEMS'!T338</f>
        <v>0</v>
      </c>
      <c r="U338" s="323">
        <f>'ALL ML SYSTEMS'!U338</f>
        <v>0</v>
      </c>
      <c r="V338" s="323">
        <f>'ALL ML SYSTEMS'!V338</f>
        <v>0</v>
      </c>
      <c r="W338" s="323">
        <f>'ALL ML SYSTEMS'!W338</f>
        <v>0</v>
      </c>
      <c r="X338" s="323">
        <f>'ALL ML SYSTEMS'!X338</f>
        <v>0</v>
      </c>
      <c r="Y338" s="323">
        <f>'ALL ML SYSTEMS'!Y338</f>
        <v>0</v>
      </c>
      <c r="Z338" s="323">
        <f>'ALL ML SYSTEMS'!Z338</f>
        <v>0</v>
      </c>
      <c r="AA338" s="340" t="str">
        <f>'ALL ML SYSTEMS'!AA338</f>
        <v/>
      </c>
      <c r="AB338" s="323">
        <f>'ALL ML SYSTEMS'!AB338</f>
        <v>0</v>
      </c>
      <c r="AC338" s="323">
        <f>'ALL ML SYSTEMS'!AC338</f>
        <v>0</v>
      </c>
      <c r="AD338" s="323" t="str">
        <f>'ALL ML SYSTEMS'!AD338</f>
        <v>Academia</v>
      </c>
    </row>
    <row r="339" customHeight="1" spans="1:30">
      <c r="A339" s="325" t="str">
        <f>'ALL ML SYSTEMS'!A339</f>
        <v>Maxout Networks </v>
      </c>
      <c r="B339" s="325" t="str">
        <f>'ALL ML SYSTEMS'!B339</f>
        <v>Vision</v>
      </c>
      <c r="C339" s="325" t="str">
        <f>'ALL ML SYSTEMS'!C339</f>
        <v>Image classification</v>
      </c>
      <c r="D339" s="325" t="str">
        <f>'ALL ML SYSTEMS'!D339</f>
        <v>University of Montreal</v>
      </c>
      <c r="E339" s="325" t="str">
        <f>'ALL ML SYSTEMS'!E339</f>
        <v>Academia</v>
      </c>
      <c r="F339" s="325" t="str">
        <f>'ALL ML SYSTEMS'!F339</f>
        <v> Ian J. Goodfellow, David Warde-Farley, Mehdi Mirza, Aaron Courville, Yoshua Bengio</v>
      </c>
      <c r="G339" s="326">
        <f>'ALL ML SYSTEMS'!G339</f>
        <v>41323</v>
      </c>
      <c r="H339" s="327">
        <f>'ALL ML SYSTEMS'!H339</f>
        <v>1323</v>
      </c>
      <c r="I339" s="325" t="str">
        <f>'ALL ML SYSTEMS'!I339</f>
        <v>Maxout Networks </v>
      </c>
      <c r="J339" s="337" t="str">
        <f>'ALL ML SYSTEMS'!J339</f>
        <v>https://arxiv.org/abs/1302.4389</v>
      </c>
      <c r="K339" s="338">
        <f>'ALL ML SYSTEMS'!K339</f>
        <v>2576</v>
      </c>
      <c r="L339" s="325" t="str">
        <f>'ALL ML SYSTEMS'!L339</f>
        <v>Highly cited</v>
      </c>
      <c r="M339" s="338" t="str">
        <f>'ALL ML SYSTEMS'!M339</f>
        <v>Yes</v>
      </c>
      <c r="N339" s="338">
        <f>'ALL ML SYSTEMS'!N339</f>
        <v>0</v>
      </c>
      <c r="O339" s="338">
        <f>'ALL ML SYSTEMS'!O339</f>
        <v>0</v>
      </c>
      <c r="P339" s="339">
        <f>'ALL ML SYSTEMS'!P339</f>
        <v>0</v>
      </c>
      <c r="Q339" s="338">
        <f>'ALL ML SYSTEMS'!Q339</f>
        <v>0</v>
      </c>
      <c r="R339" s="325">
        <f>'ALL ML SYSTEMS'!R339</f>
        <v>0</v>
      </c>
      <c r="S339" s="338">
        <f>'ALL ML SYSTEMS'!S339</f>
        <v>0</v>
      </c>
      <c r="T339" s="325">
        <f>'ALL ML SYSTEMS'!T339</f>
        <v>0</v>
      </c>
      <c r="U339" s="325">
        <f>'ALL ML SYSTEMS'!U339</f>
        <v>0</v>
      </c>
      <c r="V339" s="325">
        <f>'ALL ML SYSTEMS'!V339</f>
        <v>0</v>
      </c>
      <c r="W339" s="325">
        <f>'ALL ML SYSTEMS'!W339</f>
        <v>0</v>
      </c>
      <c r="X339" s="325">
        <f>'ALL ML SYSTEMS'!X339</f>
        <v>0</v>
      </c>
      <c r="Y339" s="325">
        <f>'ALL ML SYSTEMS'!Y339</f>
        <v>0</v>
      </c>
      <c r="Z339" s="325">
        <f>'ALL ML SYSTEMS'!Z339</f>
        <v>0</v>
      </c>
      <c r="AA339" s="341" t="str">
        <f>'ALL ML SYSTEMS'!AA339</f>
        <v/>
      </c>
      <c r="AB339" s="325">
        <f>'ALL ML SYSTEMS'!AB339</f>
        <v>0</v>
      </c>
      <c r="AC339" s="325">
        <f>'ALL ML SYSTEMS'!AC339</f>
        <v>0</v>
      </c>
      <c r="AD339" s="325" t="str">
        <f>'ALL ML SYSTEMS'!AD339</f>
        <v>Academia</v>
      </c>
    </row>
    <row r="340" customHeight="1" spans="1:30">
      <c r="A340" s="323" t="str">
        <f>'ALL ML SYSTEMS'!A340</f>
        <v>PreTrans-3L-250H</v>
      </c>
      <c r="B340" s="323" t="str">
        <f>'ALL ML SYSTEMS'!B340</f>
        <v>Speech</v>
      </c>
      <c r="C340" s="323" t="str">
        <f>'ALL ML SYSTEMS'!C340</f>
        <v>Speech recognition</v>
      </c>
      <c r="D340" s="323" t="str">
        <f>'ALL ML SYSTEMS'!D340</f>
        <v>Univeristy of Toronto</v>
      </c>
      <c r="E340" s="323" t="str">
        <f>'ALL ML SYSTEMS'!E340</f>
        <v>Academia</v>
      </c>
      <c r="F340" s="323" t="str">
        <f>'ALL ML SYSTEMS'!F340</f>
        <v>Alex Graves, Abdel-rahman Mohamed, Geoffrey Hinton</v>
      </c>
      <c r="G340" s="324">
        <f>'ALL ML SYSTEMS'!G340</f>
        <v>41355</v>
      </c>
      <c r="H340" s="329">
        <f>'ALL ML SYSTEMS'!H340</f>
        <v>1355</v>
      </c>
      <c r="I340" s="323" t="str">
        <f>'ALL ML SYSTEMS'!I340</f>
        <v>Speech Recognition with Deep Recurrent Neural Networks</v>
      </c>
      <c r="J340" s="334" t="str">
        <f>'ALL ML SYSTEMS'!J340</f>
        <v>https://arxiv.org/abs/1303.5778</v>
      </c>
      <c r="K340" s="335">
        <f>'ALL ML SYSTEMS'!K340</f>
        <v>7791</v>
      </c>
      <c r="L340" s="323" t="str">
        <f>'ALL ML SYSTEMS'!L340</f>
        <v>Highly cited</v>
      </c>
      <c r="M340" s="335" t="str">
        <f>'ALL ML SYSTEMS'!M340</f>
        <v>Yes</v>
      </c>
      <c r="N340" s="335">
        <f>'ALL ML SYSTEMS'!N340</f>
        <v>43000000</v>
      </c>
      <c r="O340" s="335">
        <f>'ALL ML SYSTEMS'!O340</f>
        <v>0</v>
      </c>
      <c r="P340" s="336">
        <f>'ALL ML SYSTEMS'!P340</f>
        <v>0</v>
      </c>
      <c r="Q340" s="335">
        <f>'ALL ML SYSTEMS'!Q340</f>
        <v>0</v>
      </c>
      <c r="R340" s="323">
        <f>'ALL ML SYSTEMS'!R340</f>
        <v>0</v>
      </c>
      <c r="S340" s="335">
        <f>'ALL ML SYSTEMS'!S340</f>
        <v>0</v>
      </c>
      <c r="T340" s="323">
        <f>'ALL ML SYSTEMS'!T340</f>
        <v>0</v>
      </c>
      <c r="U340" s="323">
        <f>'ALL ML SYSTEMS'!U340</f>
        <v>0</v>
      </c>
      <c r="V340" s="323">
        <f>'ALL ML SYSTEMS'!V340</f>
        <v>0</v>
      </c>
      <c r="W340" s="323">
        <f>'ALL ML SYSTEMS'!W340</f>
        <v>0</v>
      </c>
      <c r="X340" s="323">
        <f>'ALL ML SYSTEMS'!X340</f>
        <v>0</v>
      </c>
      <c r="Y340" s="323">
        <f>'ALL ML SYSTEMS'!Y340</f>
        <v>0</v>
      </c>
      <c r="Z340" s="323">
        <f>'ALL ML SYSTEMS'!Z340</f>
        <v>0</v>
      </c>
      <c r="AA340" s="340" t="str">
        <f>'ALL ML SYSTEMS'!AA340</f>
        <v/>
      </c>
      <c r="AB340" s="323">
        <f>'ALL ML SYSTEMS'!AB340</f>
        <v>0</v>
      </c>
      <c r="AC340" s="323">
        <f>'ALL ML SYSTEMS'!AC340</f>
        <v>0</v>
      </c>
      <c r="AD340" s="323" t="str">
        <f>'ALL ML SYSTEMS'!AD340</f>
        <v>Academia</v>
      </c>
    </row>
    <row r="341" customHeight="1" spans="1:30">
      <c r="A341" s="325">
        <f>'ALL ML SYSTEMS'!A341</f>
        <v>0</v>
      </c>
      <c r="B341" s="325" t="str">
        <f>'ALL ML SYSTEMS'!B341</f>
        <v>Vision</v>
      </c>
      <c r="C341" s="325" t="str">
        <f>'ALL ML SYSTEMS'!C341</f>
        <v>Object detection</v>
      </c>
      <c r="D341" s="325" t="str">
        <f>'ALL ML SYSTEMS'!D341</f>
        <v>Univeristy of Trento, University of Amsterdam</v>
      </c>
      <c r="E341" s="325" t="str">
        <f>'ALL ML SYSTEMS'!E341</f>
        <v>Academia</v>
      </c>
      <c r="F341" s="325" t="str">
        <f>'ALL ML SYSTEMS'!F341</f>
        <v>JRR Uijlings, KEA Van De Sande, T Gevers</v>
      </c>
      <c r="G341" s="326">
        <f>'ALL ML SYSTEMS'!G341</f>
        <v>41366</v>
      </c>
      <c r="H341" s="327">
        <f>'ALL ML SYSTEMS'!H341</f>
        <v>1366</v>
      </c>
      <c r="I341" s="325" t="str">
        <f>'ALL ML SYSTEMS'!I341</f>
        <v>Selective search for object recognition</v>
      </c>
      <c r="J341" s="337" t="str">
        <f>'ALL ML SYSTEMS'!J341</f>
        <v>https://link.springer.com/article/10.1007/s11263-013-0620-5</v>
      </c>
      <c r="K341" s="338">
        <f>'ALL ML SYSTEMS'!K341</f>
        <v>5593</v>
      </c>
      <c r="L341" s="325" t="str">
        <f>'ALL ML SYSTEMS'!L341</f>
        <v>Highly cited</v>
      </c>
      <c r="M341" s="338" t="str">
        <f>'ALL ML SYSTEMS'!M341</f>
        <v>Yes</v>
      </c>
      <c r="N341" s="338">
        <f>'ALL ML SYSTEMS'!N341</f>
        <v>0</v>
      </c>
      <c r="O341" s="338">
        <f>'ALL ML SYSTEMS'!O341</f>
        <v>0</v>
      </c>
      <c r="P341" s="339">
        <f>'ALL ML SYSTEMS'!P341</f>
        <v>0</v>
      </c>
      <c r="Q341" s="338">
        <f>'ALL ML SYSTEMS'!Q341</f>
        <v>0</v>
      </c>
      <c r="R341" s="325">
        <f>'ALL ML SYSTEMS'!R341</f>
        <v>0</v>
      </c>
      <c r="S341" s="338">
        <f>'ALL ML SYSTEMS'!S341</f>
        <v>0</v>
      </c>
      <c r="T341" s="325">
        <f>'ALL ML SYSTEMS'!T341</f>
        <v>0</v>
      </c>
      <c r="U341" s="325">
        <f>'ALL ML SYSTEMS'!U341</f>
        <v>0</v>
      </c>
      <c r="V341" s="325">
        <f>'ALL ML SYSTEMS'!V341</f>
        <v>0</v>
      </c>
      <c r="W341" s="325">
        <f>'ALL ML SYSTEMS'!W341</f>
        <v>0</v>
      </c>
      <c r="X341" s="325">
        <f>'ALL ML SYSTEMS'!X341</f>
        <v>0</v>
      </c>
      <c r="Y341" s="325">
        <f>'ALL ML SYSTEMS'!Y341</f>
        <v>0</v>
      </c>
      <c r="Z341" s="325">
        <f>'ALL ML SYSTEMS'!Z341</f>
        <v>0</v>
      </c>
      <c r="AA341" s="341" t="str">
        <f>'ALL ML SYSTEMS'!AA341</f>
        <v/>
      </c>
      <c r="AB341" s="325">
        <f>'ALL ML SYSTEMS'!AB341</f>
        <v>0</v>
      </c>
      <c r="AC341" s="325">
        <f>'ALL ML SYSTEMS'!AC341</f>
        <v>0</v>
      </c>
      <c r="AD341" s="325" t="str">
        <f>'ALL ML SYSTEMS'!AD341</f>
        <v>Academia</v>
      </c>
    </row>
    <row r="342" customHeight="1" spans="1:30">
      <c r="A342" s="323">
        <f>'ALL ML SYSTEMS'!A342</f>
        <v>0</v>
      </c>
      <c r="B342" s="323" t="str">
        <f>'ALL ML SYSTEMS'!B342</f>
        <v>Vision</v>
      </c>
      <c r="C342" s="323">
        <f>'ALL ML SYSTEMS'!C342</f>
        <v>0</v>
      </c>
      <c r="D342" s="323" t="str">
        <f>'ALL ML SYSTEMS'!D342</f>
        <v>University of Trento, University of Amsterdam</v>
      </c>
      <c r="E342" s="323" t="str">
        <f>'ALL ML SYSTEMS'!E342</f>
        <v>Academia</v>
      </c>
      <c r="F342" s="323" t="str">
        <f>'ALL ML SYSTEMS'!F342</f>
        <v>JRR Uijlings, KEA Van De Sande, T Gevers</v>
      </c>
      <c r="G342" s="324">
        <f>'ALL ML SYSTEMS'!G342</f>
        <v>41366</v>
      </c>
      <c r="H342" s="329">
        <f>'ALL ML SYSTEMS'!H342</f>
        <v>1366</v>
      </c>
      <c r="I342" s="323" t="str">
        <f>'ALL ML SYSTEMS'!I342</f>
        <v>Selective search for object recognition</v>
      </c>
      <c r="J342" s="334" t="str">
        <f>'ALL ML SYSTEMS'!J342</f>
        <v>https://link.springer.com/article/10.1007/s11263-013-0620-5</v>
      </c>
      <c r="K342" s="335">
        <f>'ALL ML SYSTEMS'!K342</f>
        <v>5593</v>
      </c>
      <c r="L342" s="323" t="str">
        <f>'ALL ML SYSTEMS'!L342</f>
        <v>Highly cited</v>
      </c>
      <c r="M342" s="335" t="str">
        <f>'ALL ML SYSTEMS'!M342</f>
        <v>Yes</v>
      </c>
      <c r="N342" s="335">
        <f>'ALL ML SYSTEMS'!N342</f>
        <v>0</v>
      </c>
      <c r="O342" s="335">
        <f>'ALL ML SYSTEMS'!O342</f>
        <v>0</v>
      </c>
      <c r="P342" s="336">
        <f>'ALL ML SYSTEMS'!P342</f>
        <v>0</v>
      </c>
      <c r="Q342" s="335">
        <f>'ALL ML SYSTEMS'!Q342</f>
        <v>0</v>
      </c>
      <c r="R342" s="323">
        <f>'ALL ML SYSTEMS'!R342</f>
        <v>0</v>
      </c>
      <c r="S342" s="335">
        <f>'ALL ML SYSTEMS'!S342</f>
        <v>0</v>
      </c>
      <c r="T342" s="323">
        <f>'ALL ML SYSTEMS'!T342</f>
        <v>0</v>
      </c>
      <c r="U342" s="323">
        <f>'ALL ML SYSTEMS'!U342</f>
        <v>0</v>
      </c>
      <c r="V342" s="323">
        <f>'ALL ML SYSTEMS'!V342</f>
        <v>0</v>
      </c>
      <c r="W342" s="323">
        <f>'ALL ML SYSTEMS'!W342</f>
        <v>0</v>
      </c>
      <c r="X342" s="323">
        <f>'ALL ML SYSTEMS'!X342</f>
        <v>0</v>
      </c>
      <c r="Y342" s="323">
        <f>'ALL ML SYSTEMS'!Y342</f>
        <v>0</v>
      </c>
      <c r="Z342" s="323">
        <f>'ALL ML SYSTEMS'!Z342</f>
        <v>0</v>
      </c>
      <c r="AA342" s="340" t="str">
        <f>'ALL ML SYSTEMS'!AA342</f>
        <v/>
      </c>
      <c r="AB342" s="323">
        <f>'ALL ML SYSTEMS'!AB342</f>
        <v>0</v>
      </c>
      <c r="AC342" s="323">
        <f>'ALL ML SYSTEMS'!AC342</f>
        <v>0</v>
      </c>
      <c r="AD342" s="323" t="str">
        <f>'ALL ML SYSTEMS'!AD342</f>
        <v>Academia</v>
      </c>
    </row>
    <row r="343" customHeight="1" spans="1:30">
      <c r="A343" s="325">
        <f>'ALL ML SYSTEMS'!A343</f>
        <v>0</v>
      </c>
      <c r="B343" s="325" t="str">
        <f>'ALL ML SYSTEMS'!B343</f>
        <v>Language</v>
      </c>
      <c r="C343" s="325">
        <f>'ALL ML SYSTEMS'!C343</f>
        <v>0</v>
      </c>
      <c r="D343" s="325" t="str">
        <f>'ALL ML SYSTEMS'!D343</f>
        <v>Microsoft Research</v>
      </c>
      <c r="E343" s="325" t="str">
        <f>'ALL ML SYSTEMS'!E343</f>
        <v>Industry</v>
      </c>
      <c r="F343" s="325" t="str">
        <f>'ALL ML SYSTEMS'!F343</f>
        <v>T Mikolov, W Yih, G Zweig</v>
      </c>
      <c r="G343" s="326">
        <f>'ALL ML SYSTEMS'!G343</f>
        <v>41434</v>
      </c>
      <c r="H343" s="327">
        <f>'ALL ML SYSTEMS'!H343</f>
        <v>1434</v>
      </c>
      <c r="I343" s="325" t="str">
        <f>'ALL ML SYSTEMS'!I343</f>
        <v>Linguistic Regularities in Continuous Space Word Representations</v>
      </c>
      <c r="J343" s="337" t="str">
        <f>'ALL ML SYSTEMS'!J343</f>
        <v>https://www.aclweb.org/anthology/N13-1090/</v>
      </c>
      <c r="K343" s="338">
        <f>'ALL ML SYSTEMS'!K343</f>
        <v>3625</v>
      </c>
      <c r="L343" s="325" t="str">
        <f>'ALL ML SYSTEMS'!L343</f>
        <v>Highly cited</v>
      </c>
      <c r="M343" s="338" t="str">
        <f>'ALL ML SYSTEMS'!M343</f>
        <v>Yes</v>
      </c>
      <c r="N343" s="338">
        <f>'ALL ML SYSTEMS'!N343</f>
        <v>0</v>
      </c>
      <c r="O343" s="338">
        <f>'ALL ML SYSTEMS'!O343</f>
        <v>0</v>
      </c>
      <c r="P343" s="339">
        <f>'ALL ML SYSTEMS'!P343</f>
        <v>0</v>
      </c>
      <c r="Q343" s="338">
        <f>'ALL ML SYSTEMS'!Q343</f>
        <v>0</v>
      </c>
      <c r="R343" s="325">
        <f>'ALL ML SYSTEMS'!R343</f>
        <v>0</v>
      </c>
      <c r="S343" s="338">
        <f>'ALL ML SYSTEMS'!S343</f>
        <v>0</v>
      </c>
      <c r="T343" s="325">
        <f>'ALL ML SYSTEMS'!T343</f>
        <v>0</v>
      </c>
      <c r="U343" s="325">
        <f>'ALL ML SYSTEMS'!U343</f>
        <v>0</v>
      </c>
      <c r="V343" s="325">
        <f>'ALL ML SYSTEMS'!V343</f>
        <v>0</v>
      </c>
      <c r="W343" s="325">
        <f>'ALL ML SYSTEMS'!W343</f>
        <v>0</v>
      </c>
      <c r="X343" s="325">
        <f>'ALL ML SYSTEMS'!X343</f>
        <v>0</v>
      </c>
      <c r="Y343" s="325">
        <f>'ALL ML SYSTEMS'!Y343</f>
        <v>0</v>
      </c>
      <c r="Z343" s="325">
        <f>'ALL ML SYSTEMS'!Z343</f>
        <v>0</v>
      </c>
      <c r="AA343" s="341" t="str">
        <f>'ALL ML SYSTEMS'!AA343</f>
        <v/>
      </c>
      <c r="AB343" s="325">
        <f>'ALL ML SYSTEMS'!AB343</f>
        <v>0</v>
      </c>
      <c r="AC343" s="325">
        <f>'ALL ML SYSTEMS'!AC343</f>
        <v>0</v>
      </c>
      <c r="AD343" s="325" t="str">
        <f>'ALL ML SYSTEMS'!AD343</f>
        <v>Industry</v>
      </c>
    </row>
    <row r="344" customHeight="1" spans="1:30">
      <c r="A344" s="323" t="str">
        <f>'ALL ML SYSTEMS'!A344</f>
        <v>Word2Vec (small)</v>
      </c>
      <c r="B344" s="323" t="str">
        <f>'ALL ML SYSTEMS'!B344</f>
        <v>Language</v>
      </c>
      <c r="C344" s="323" t="str">
        <f>'ALL ML SYSTEMS'!C344</f>
        <v>Semantic embedding</v>
      </c>
      <c r="D344" s="323" t="str">
        <f>'ALL ML SYSTEMS'!D344</f>
        <v>Google</v>
      </c>
      <c r="E344" s="323" t="str">
        <f>'ALL ML SYSTEMS'!E344</f>
        <v>Industry</v>
      </c>
      <c r="F344" s="323" t="str">
        <f>'ALL ML SYSTEMS'!F344</f>
        <v>T Mikolov, I Sutskever, K Chen, GS Corrado</v>
      </c>
      <c r="G344" s="324">
        <f>'ALL ML SYSTEMS'!G344</f>
        <v>41563</v>
      </c>
      <c r="H344" s="329">
        <f>'ALL ML SYSTEMS'!H344</f>
        <v>1563</v>
      </c>
      <c r="I344" s="323" t="str">
        <f>'ALL ML SYSTEMS'!I344</f>
        <v>Distributed Representations of Words and Phrases and their Compositionality</v>
      </c>
      <c r="J344" s="334" t="str">
        <f>'ALL ML SYSTEMS'!J344</f>
        <v>https://arxiv.org/abs/1310.4546</v>
      </c>
      <c r="K344" s="335">
        <f>'ALL ML SYSTEMS'!K344</f>
        <v>28717</v>
      </c>
      <c r="L344" s="323" t="str">
        <f>'ALL ML SYSTEMS'!L344</f>
        <v>Highly cited</v>
      </c>
      <c r="M344" s="335" t="str">
        <f>'ALL ML SYSTEMS'!M344</f>
        <v>Yes</v>
      </c>
      <c r="N344" s="335">
        <f>'ALL ML SYSTEMS'!N344</f>
        <v>207600000</v>
      </c>
      <c r="O344" s="335">
        <f>'ALL ML SYSTEMS'!O344</f>
        <v>0</v>
      </c>
      <c r="P344" s="336">
        <f>'ALL ML SYSTEMS'!P344</f>
        <v>0</v>
      </c>
      <c r="Q344" s="335">
        <f>'ALL ML SYSTEMS'!Q344</f>
        <v>692000</v>
      </c>
      <c r="R344" s="323">
        <f>'ALL ML SYSTEMS'!R344</f>
        <v>0</v>
      </c>
      <c r="S344" s="335">
        <f>'ALL ML SYSTEMS'!S344</f>
        <v>0</v>
      </c>
      <c r="T344" s="323">
        <f>'ALL ML SYSTEMS'!T344</f>
        <v>0</v>
      </c>
      <c r="U344" s="323">
        <f>'ALL ML SYSTEMS'!U344</f>
        <v>0</v>
      </c>
      <c r="V344" s="323">
        <f>'ALL ML SYSTEMS'!V344</f>
        <v>0</v>
      </c>
      <c r="W344" s="323">
        <f>'ALL ML SYSTEMS'!W344</f>
        <v>0</v>
      </c>
      <c r="X344" s="323">
        <f>'ALL ML SYSTEMS'!X344</f>
        <v>0</v>
      </c>
      <c r="Y344" s="323">
        <f>'ALL ML SYSTEMS'!Y344</f>
        <v>0</v>
      </c>
      <c r="Z344" s="323">
        <f>'ALL ML SYSTEMS'!Z344</f>
        <v>0</v>
      </c>
      <c r="AA344" s="340" t="str">
        <f>'ALL ML SYSTEMS'!AA344</f>
        <v/>
      </c>
      <c r="AB344" s="323">
        <f>'ALL ML SYSTEMS'!AB344</f>
        <v>0</v>
      </c>
      <c r="AC344" s="323" t="str">
        <f>'ALL ML SYSTEMS'!AC344</f>
        <v>Recurrent Neural Network</v>
      </c>
      <c r="AD344" s="323" t="str">
        <f>'ALL ML SYSTEMS'!AD344</f>
        <v>Industry</v>
      </c>
    </row>
    <row r="345" customHeight="1" spans="1:30">
      <c r="A345" s="325" t="str">
        <f>'ALL ML SYSTEMS'!A345</f>
        <v>R-CNN (T-net)</v>
      </c>
      <c r="B345" s="325" t="str">
        <f>'ALL ML SYSTEMS'!B345</f>
        <v>Vision</v>
      </c>
      <c r="C345" s="325" t="str">
        <f>'ALL ML SYSTEMS'!C345</f>
        <v>Object detection</v>
      </c>
      <c r="D345" s="325" t="str">
        <f>'ALL ML SYSTEMS'!D345</f>
        <v>UC Berkeley</v>
      </c>
      <c r="E345" s="325" t="str">
        <f>'ALL ML SYSTEMS'!E345</f>
        <v>Academia</v>
      </c>
      <c r="F345" s="325" t="str">
        <f>'ALL ML SYSTEMS'!F345</f>
        <v>Ross Girshick, Jeff Donahue, Trevor Darrell, Jitendra Malik</v>
      </c>
      <c r="G345" s="326">
        <f>'ALL ML SYSTEMS'!G345</f>
        <v>41589</v>
      </c>
      <c r="H345" s="327">
        <f>'ALL ML SYSTEMS'!H345</f>
        <v>1589</v>
      </c>
      <c r="I345" s="325" t="str">
        <f>'ALL ML SYSTEMS'!I345</f>
        <v>Rich feature hierarchies for accurate object detection and semantic segmentation</v>
      </c>
      <c r="J345" s="337" t="str">
        <f>'ALL ML SYSTEMS'!J345</f>
        <v>https://arxiv.org/abs/1311.2524</v>
      </c>
      <c r="K345" s="338">
        <f>'ALL ML SYSTEMS'!K345</f>
        <v>19057</v>
      </c>
      <c r="L345" s="325" t="str">
        <f>'ALL ML SYSTEMS'!L345</f>
        <v>Highly cited</v>
      </c>
      <c r="M345" s="338" t="str">
        <f>'ALL ML SYSTEMS'!M345</f>
        <v>Yes</v>
      </c>
      <c r="N345" s="338">
        <f>'ALL ML SYSTEMS'!N345</f>
        <v>69003872</v>
      </c>
      <c r="O345" s="338">
        <f>'ALL ML SYSTEMS'!O345</f>
        <v>0</v>
      </c>
      <c r="P345" s="339">
        <f>'ALL ML SYSTEMS'!P345</f>
        <v>0</v>
      </c>
      <c r="Q345" s="338">
        <f>'ALL ML SYSTEMS'!Q345</f>
        <v>0</v>
      </c>
      <c r="R345" s="325">
        <f>'ALL ML SYSTEMS'!R345</f>
        <v>0</v>
      </c>
      <c r="S345" s="338">
        <f>'ALL ML SYSTEMS'!S345</f>
        <v>0</v>
      </c>
      <c r="T345" s="325">
        <f>'ALL ML SYSTEMS'!T345</f>
        <v>0</v>
      </c>
      <c r="U345" s="325">
        <f>'ALL ML SYSTEMS'!U345</f>
        <v>0</v>
      </c>
      <c r="V345" s="325">
        <f>'ALL ML SYSTEMS'!V345</f>
        <v>0</v>
      </c>
      <c r="W345" s="325">
        <f>'ALL ML SYSTEMS'!W345</f>
        <v>0</v>
      </c>
      <c r="X345" s="325">
        <f>'ALL ML SYSTEMS'!X345</f>
        <v>0</v>
      </c>
      <c r="Y345" s="325">
        <f>'ALL ML SYSTEMS'!Y345</f>
        <v>0</v>
      </c>
      <c r="Z345" s="325">
        <f>'ALL ML SYSTEMS'!Z345</f>
        <v>0</v>
      </c>
      <c r="AA345" s="341" t="str">
        <f>'ALL ML SYSTEMS'!AA345</f>
        <v/>
      </c>
      <c r="AB345" s="325">
        <f>'ALL ML SYSTEMS'!AB345</f>
        <v>0</v>
      </c>
      <c r="AC345" s="325">
        <f>'ALL ML SYSTEMS'!AC345</f>
        <v>0</v>
      </c>
      <c r="AD345" s="325" t="str">
        <f>'ALL ML SYSTEMS'!AD345</f>
        <v>Academia</v>
      </c>
    </row>
    <row r="346" customHeight="1" spans="1:30">
      <c r="A346" s="323">
        <f>'ALL ML SYSTEMS'!A346</f>
        <v>0</v>
      </c>
      <c r="B346" s="323">
        <f>'ALL ML SYSTEMS'!B346</f>
        <v>0</v>
      </c>
      <c r="C346" s="323">
        <f>'ALL ML SYSTEMS'!C346</f>
        <v>0</v>
      </c>
      <c r="D346" s="323" t="str">
        <f>'ALL ML SYSTEMS'!D346</f>
        <v>Stanford</v>
      </c>
      <c r="E346" s="323" t="str">
        <f>'ALL ML SYSTEMS'!E346</f>
        <v>Academia</v>
      </c>
      <c r="F346" s="323" t="str">
        <f>'ALL ML SYSTEMS'!F346</f>
        <v>R Socher, D Chen, CD Manning, A Ng</v>
      </c>
      <c r="G346" s="324">
        <f>'ALL ML SYSTEMS'!G346</f>
        <v>41609</v>
      </c>
      <c r="H346" s="329">
        <f>'ALL ML SYSTEMS'!H346</f>
        <v>1609</v>
      </c>
      <c r="I346" s="323" t="str">
        <f>'ALL ML SYSTEMS'!I346</f>
        <v>Reasoning With Neural Tensor Networks for Knowledge Base Completion</v>
      </c>
      <c r="J346" s="334" t="str">
        <f>'ALL ML SYSTEMS'!J346</f>
        <v>https://papers.nips.cc/paper/2013/hash/b337e84de8752b27eda3a12363109e80-Abstract.html</v>
      </c>
      <c r="K346" s="335">
        <f>'ALL ML SYSTEMS'!K346</f>
        <v>1664</v>
      </c>
      <c r="L346" s="323" t="str">
        <f>'ALL ML SYSTEMS'!L346</f>
        <v>Highly cited</v>
      </c>
      <c r="M346" s="335" t="str">
        <f>'ALL ML SYSTEMS'!M346</f>
        <v>Yes</v>
      </c>
      <c r="N346" s="335">
        <f>'ALL ML SYSTEMS'!N346</f>
        <v>0</v>
      </c>
      <c r="O346" s="335">
        <f>'ALL ML SYSTEMS'!O346</f>
        <v>0</v>
      </c>
      <c r="P346" s="336">
        <f>'ALL ML SYSTEMS'!P346</f>
        <v>0</v>
      </c>
      <c r="Q346" s="335">
        <f>'ALL ML SYSTEMS'!Q346</f>
        <v>0</v>
      </c>
      <c r="R346" s="323">
        <f>'ALL ML SYSTEMS'!R346</f>
        <v>0</v>
      </c>
      <c r="S346" s="335">
        <f>'ALL ML SYSTEMS'!S346</f>
        <v>0</v>
      </c>
      <c r="T346" s="323">
        <f>'ALL ML SYSTEMS'!T346</f>
        <v>0</v>
      </c>
      <c r="U346" s="323">
        <f>'ALL ML SYSTEMS'!U346</f>
        <v>0</v>
      </c>
      <c r="V346" s="323">
        <f>'ALL ML SYSTEMS'!V346</f>
        <v>0</v>
      </c>
      <c r="W346" s="323">
        <f>'ALL ML SYSTEMS'!W346</f>
        <v>0</v>
      </c>
      <c r="X346" s="323">
        <f>'ALL ML SYSTEMS'!X346</f>
        <v>0</v>
      </c>
      <c r="Y346" s="323">
        <f>'ALL ML SYSTEMS'!Y346</f>
        <v>0</v>
      </c>
      <c r="Z346" s="323">
        <f>'ALL ML SYSTEMS'!Z346</f>
        <v>0</v>
      </c>
      <c r="AA346" s="340" t="str">
        <f>'ALL ML SYSTEMS'!AA346</f>
        <v/>
      </c>
      <c r="AB346" s="323">
        <f>'ALL ML SYSTEMS'!AB346</f>
        <v>0</v>
      </c>
      <c r="AC346" s="323">
        <f>'ALL ML SYSTEMS'!AC346</f>
        <v>0</v>
      </c>
      <c r="AD346" s="323" t="str">
        <f>'ALL ML SYSTEMS'!AD346</f>
        <v>Academia</v>
      </c>
    </row>
    <row r="347" customHeight="1" spans="1:30">
      <c r="A347" s="325" t="str">
        <f>'ALL ML SYSTEMS'!A347</f>
        <v>DBLSTM</v>
      </c>
      <c r="B347" s="325" t="str">
        <f>'ALL ML SYSTEMS'!B347</f>
        <v>Speech</v>
      </c>
      <c r="C347" s="325" t="str">
        <f>'ALL ML SYSTEMS'!C347</f>
        <v>Speech recognition</v>
      </c>
      <c r="D347" s="325" t="str">
        <f>'ALL ML SYSTEMS'!D347</f>
        <v>Univeristy of Toronto</v>
      </c>
      <c r="E347" s="325" t="str">
        <f>'ALL ML SYSTEMS'!E347</f>
        <v>Academia</v>
      </c>
      <c r="F347" s="325" t="str">
        <f>'ALL ML SYSTEMS'!F347</f>
        <v>A Graves, N Jaitly, A Mohamed</v>
      </c>
      <c r="G347" s="326">
        <f>'ALL ML SYSTEMS'!G347</f>
        <v>41616</v>
      </c>
      <c r="H347" s="327">
        <f>'ALL ML SYSTEMS'!H347</f>
        <v>1616</v>
      </c>
      <c r="I347" s="325" t="str">
        <f>'ALL ML SYSTEMS'!I347</f>
        <v>Hybrid speech recognition with Deep Bidirectional LSTM</v>
      </c>
      <c r="J347" s="337" t="str">
        <f>'ALL ML SYSTEMS'!J347</f>
        <v>https://ieeexplore.ieee.org/document/6707742</v>
      </c>
      <c r="K347" s="338">
        <f>'ALL ML SYSTEMS'!K347</f>
        <v>1463</v>
      </c>
      <c r="L347" s="325" t="str">
        <f>'ALL ML SYSTEMS'!L347</f>
        <v>Highly cited</v>
      </c>
      <c r="M347" s="338" t="str">
        <f>'ALL ML SYSTEMS'!M347</f>
        <v>Yes</v>
      </c>
      <c r="N347" s="338">
        <f>'ALL ML SYSTEMS'!N347</f>
        <v>29900000</v>
      </c>
      <c r="O347" s="338">
        <f>'ALL ML SYSTEMS'!O347</f>
        <v>0</v>
      </c>
      <c r="P347" s="339">
        <f>'ALL ML SYSTEMS'!P347</f>
        <v>0</v>
      </c>
      <c r="Q347" s="338">
        <f>'ALL ML SYSTEMS'!Q347</f>
        <v>0</v>
      </c>
      <c r="R347" s="325">
        <f>'ALL ML SYSTEMS'!R347</f>
        <v>0</v>
      </c>
      <c r="S347" s="338">
        <f>'ALL ML SYSTEMS'!S347</f>
        <v>0</v>
      </c>
      <c r="T347" s="325">
        <f>'ALL ML SYSTEMS'!T347</f>
        <v>0</v>
      </c>
      <c r="U347" s="325">
        <f>'ALL ML SYSTEMS'!U347</f>
        <v>0</v>
      </c>
      <c r="V347" s="325">
        <f>'ALL ML SYSTEMS'!V347</f>
        <v>0</v>
      </c>
      <c r="W347" s="325">
        <f>'ALL ML SYSTEMS'!W347</f>
        <v>0</v>
      </c>
      <c r="X347" s="325">
        <f>'ALL ML SYSTEMS'!X347</f>
        <v>0</v>
      </c>
      <c r="Y347" s="325">
        <f>'ALL ML SYSTEMS'!Y347</f>
        <v>0</v>
      </c>
      <c r="Z347" s="325">
        <f>'ALL ML SYSTEMS'!Z347</f>
        <v>0</v>
      </c>
      <c r="AA347" s="341" t="str">
        <f>'ALL ML SYSTEMS'!AA347</f>
        <v/>
      </c>
      <c r="AB347" s="325">
        <f>'ALL ML SYSTEMS'!AB347</f>
        <v>0</v>
      </c>
      <c r="AC347" s="325">
        <f>'ALL ML SYSTEMS'!AC347</f>
        <v>0</v>
      </c>
      <c r="AD347" s="325" t="str">
        <f>'ALL ML SYSTEMS'!AD347</f>
        <v>Academia</v>
      </c>
    </row>
    <row r="348" customHeight="1" spans="1:30">
      <c r="A348" s="323" t="str">
        <f>'ALL ML SYSTEMS'!A348</f>
        <v>Network in Network</v>
      </c>
      <c r="B348" s="323">
        <f>'ALL ML SYSTEMS'!B348</f>
        <v>0</v>
      </c>
      <c r="C348" s="323">
        <f>'ALL ML SYSTEMS'!C348</f>
        <v>0</v>
      </c>
      <c r="D348" s="323" t="str">
        <f>'ALL ML SYSTEMS'!D348</f>
        <v>National University of Singapore</v>
      </c>
      <c r="E348" s="323" t="str">
        <f>'ALL ML SYSTEMS'!E348</f>
        <v>Academia</v>
      </c>
      <c r="F348" s="323" t="str">
        <f>'ALL ML SYSTEMS'!F348</f>
        <v>M Lin, Q Chen, S Yan</v>
      </c>
      <c r="G348" s="324">
        <f>'ALL ML SYSTEMS'!G348</f>
        <v>41624</v>
      </c>
      <c r="H348" s="329">
        <f>'ALL ML SYSTEMS'!H348</f>
        <v>1624</v>
      </c>
      <c r="I348" s="323" t="str">
        <f>'ALL ML SYSTEMS'!I348</f>
        <v>Network In Network</v>
      </c>
      <c r="J348" s="334" t="str">
        <f>'ALL ML SYSTEMS'!J348</f>
        <v>https://arxiv.org/abs/1312.4400</v>
      </c>
      <c r="K348" s="335">
        <f>'ALL ML SYSTEMS'!K348</f>
        <v>5499</v>
      </c>
      <c r="L348" s="323" t="str">
        <f>'ALL ML SYSTEMS'!L348</f>
        <v>Highly cited</v>
      </c>
      <c r="M348" s="335" t="str">
        <f>'ALL ML SYSTEMS'!M348</f>
        <v>Yes</v>
      </c>
      <c r="N348" s="335">
        <f>'ALL ML SYSTEMS'!N348</f>
        <v>0</v>
      </c>
      <c r="O348" s="335">
        <f>'ALL ML SYSTEMS'!O348</f>
        <v>0</v>
      </c>
      <c r="P348" s="336">
        <f>'ALL ML SYSTEMS'!P348</f>
        <v>0</v>
      </c>
      <c r="Q348" s="335">
        <f>'ALL ML SYSTEMS'!Q348</f>
        <v>0</v>
      </c>
      <c r="R348" s="323">
        <f>'ALL ML SYSTEMS'!R348</f>
        <v>0</v>
      </c>
      <c r="S348" s="335">
        <f>'ALL ML SYSTEMS'!S348</f>
        <v>0</v>
      </c>
      <c r="T348" s="323">
        <f>'ALL ML SYSTEMS'!T348</f>
        <v>0</v>
      </c>
      <c r="U348" s="323">
        <f>'ALL ML SYSTEMS'!U348</f>
        <v>0</v>
      </c>
      <c r="V348" s="323">
        <f>'ALL ML SYSTEMS'!V348</f>
        <v>0</v>
      </c>
      <c r="W348" s="323">
        <f>'ALL ML SYSTEMS'!W348</f>
        <v>0</v>
      </c>
      <c r="X348" s="323">
        <f>'ALL ML SYSTEMS'!X348</f>
        <v>0</v>
      </c>
      <c r="Y348" s="323">
        <f>'ALL ML SYSTEMS'!Y348</f>
        <v>0</v>
      </c>
      <c r="Z348" s="323">
        <f>'ALL ML SYSTEMS'!Z348</f>
        <v>0</v>
      </c>
      <c r="AA348" s="340" t="str">
        <f>'ALL ML SYSTEMS'!AA348</f>
        <v/>
      </c>
      <c r="AB348" s="323">
        <f>'ALL ML SYSTEMS'!AB348</f>
        <v>0</v>
      </c>
      <c r="AC348" s="323">
        <f>'ALL ML SYSTEMS'!AC348</f>
        <v>0</v>
      </c>
      <c r="AD348" s="323" t="str">
        <f>'ALL ML SYSTEMS'!AD348</f>
        <v>Academia</v>
      </c>
    </row>
    <row r="349" customHeight="1" spans="1:30">
      <c r="A349" s="325">
        <f>'ALL ML SYSTEMS'!A349</f>
        <v>0</v>
      </c>
      <c r="B349" s="325" t="str">
        <f>'ALL ML SYSTEMS'!B349</f>
        <v>Vision</v>
      </c>
      <c r="C349" s="325" t="str">
        <f>'ALL ML SYSTEMS'!C349</f>
        <v>Image classification</v>
      </c>
      <c r="D349" s="325" t="str">
        <f>'ALL ML SYSTEMS'!D349</f>
        <v>New York University</v>
      </c>
      <c r="E349" s="325" t="str">
        <f>'ALL ML SYSTEMS'!E349</f>
        <v>Academia</v>
      </c>
      <c r="F349" s="325" t="str">
        <f>'ALL ML SYSTEMS'!F349</f>
        <v>Pierre Sermanet, David Eigen, Xiang Zhang, Michael Mathieu, Rob Fergus, Yann LeCun</v>
      </c>
      <c r="G349" s="326">
        <f>'ALL ML SYSTEMS'!G349</f>
        <v>41629</v>
      </c>
      <c r="H349" s="327">
        <f>'ALL ML SYSTEMS'!H349</f>
        <v>1629</v>
      </c>
      <c r="I349" s="325" t="str">
        <f>'ALL ML SYSTEMS'!I349</f>
        <v>OverFeat: Integrated Recognition, Localization and Detection using Convolutional Networks</v>
      </c>
      <c r="J349" s="337" t="str">
        <f>'ALL ML SYSTEMS'!J349</f>
        <v>https://arxiv.org/abs/1312.6229</v>
      </c>
      <c r="K349" s="338">
        <f>'ALL ML SYSTEMS'!K349</f>
        <v>5148</v>
      </c>
      <c r="L349" s="325" t="str">
        <f>'ALL ML SYSTEMS'!L349</f>
        <v>Highly cited</v>
      </c>
      <c r="M349" s="338" t="str">
        <f>'ALL ML SYSTEMS'!M349</f>
        <v>Yes</v>
      </c>
      <c r="N349" s="338">
        <f>'ALL ML SYSTEMS'!N349</f>
        <v>0</v>
      </c>
      <c r="O349" s="338">
        <f>'ALL ML SYSTEMS'!O349</f>
        <v>0</v>
      </c>
      <c r="P349" s="339">
        <f>'ALL ML SYSTEMS'!P349</f>
        <v>0</v>
      </c>
      <c r="Q349" s="338">
        <f>'ALL ML SYSTEMS'!Q349</f>
        <v>0</v>
      </c>
      <c r="R349" s="325">
        <f>'ALL ML SYSTEMS'!R349</f>
        <v>0</v>
      </c>
      <c r="S349" s="338">
        <f>'ALL ML SYSTEMS'!S349</f>
        <v>0</v>
      </c>
      <c r="T349" s="325">
        <f>'ALL ML SYSTEMS'!T349</f>
        <v>0</v>
      </c>
      <c r="U349" s="325">
        <f>'ALL ML SYSTEMS'!U349</f>
        <v>0</v>
      </c>
      <c r="V349" s="325">
        <f>'ALL ML SYSTEMS'!V349</f>
        <v>0</v>
      </c>
      <c r="W349" s="325">
        <f>'ALL ML SYSTEMS'!W349</f>
        <v>0</v>
      </c>
      <c r="X349" s="325">
        <f>'ALL ML SYSTEMS'!X349</f>
        <v>0</v>
      </c>
      <c r="Y349" s="325">
        <f>'ALL ML SYSTEMS'!Y349</f>
        <v>0</v>
      </c>
      <c r="Z349" s="325">
        <f>'ALL ML SYSTEMS'!Z349</f>
        <v>0</v>
      </c>
      <c r="AA349" s="341" t="str">
        <f>'ALL ML SYSTEMS'!AA349</f>
        <v/>
      </c>
      <c r="AB349" s="325">
        <f>'ALL ML SYSTEMS'!AB349</f>
        <v>0</v>
      </c>
      <c r="AC349" s="325">
        <f>'ALL ML SYSTEMS'!AC349</f>
        <v>0</v>
      </c>
      <c r="AD349" s="325" t="str">
        <f>'ALL ML SYSTEMS'!AD349</f>
        <v>Academia</v>
      </c>
    </row>
    <row r="350" customHeight="1" spans="1:30">
      <c r="A350" s="323" t="str">
        <f>'ALL ML SYSTEMS'!A350</f>
        <v>AlexNet</v>
      </c>
      <c r="B350" s="323" t="str">
        <f>'ALL ML SYSTEMS'!B350</f>
        <v>Vision</v>
      </c>
      <c r="C350" s="323" t="str">
        <f>'ALL ML SYSTEMS'!C350</f>
        <v>Image classification</v>
      </c>
      <c r="D350" s="323" t="str">
        <f>'ALL ML SYSTEMS'!D350</f>
        <v>University of Toronto</v>
      </c>
      <c r="E350" s="323" t="str">
        <f>'ALL ML SYSTEMS'!E350</f>
        <v>Academia</v>
      </c>
      <c r="F350" s="323" t="str">
        <f>'ALL ML SYSTEMS'!F350</f>
        <v>Alex Krizhevsky, Ilya Sutskever, Geoffrey Hinton</v>
      </c>
      <c r="G350" s="324">
        <f>'ALL ML SYSTEMS'!G350</f>
        <v>41182</v>
      </c>
      <c r="H350" s="329">
        <f>'ALL ML SYSTEMS'!H350</f>
        <v>1182</v>
      </c>
      <c r="I350" s="323" t="str">
        <f>'ALL ML SYSTEMS'!I350</f>
        <v>ImageNet Classification with Deep Convolutional Neural Networks</v>
      </c>
      <c r="J350" s="334" t="str">
        <f>'ALL ML SYSTEMS'!J350</f>
        <v>https://proceedings.neurips.cc/paper/2012/hash/c399862d3b9d6b76c8436e924a68c45b-Abstract.html</v>
      </c>
      <c r="K350" s="335">
        <f>'ALL ML SYSTEMS'!K350</f>
        <v>85134</v>
      </c>
      <c r="L350" s="323" t="str">
        <f>'ALL ML SYSTEMS'!L350</f>
        <v>Highly cited</v>
      </c>
      <c r="M350" s="335" t="str">
        <f>'ALL ML SYSTEMS'!M350</f>
        <v>Yes</v>
      </c>
      <c r="N350" s="335">
        <f>'ALL ML SYSTEMS'!N350</f>
        <v>60000000</v>
      </c>
      <c r="O350" s="335">
        <f>'ALL ML SYSTEMS'!O350</f>
        <v>4.7e+17</v>
      </c>
      <c r="P350" s="336" t="str">
        <f>'ALL ML SYSTEMS'!P350</f>
        <v>ImageNet</v>
      </c>
      <c r="Q350" s="335">
        <f>'ALL ML SYSTEMS'!Q350</f>
        <v>1200000</v>
      </c>
      <c r="R350" s="323">
        <f>'ALL ML SYSTEMS'!R350</f>
        <v>8</v>
      </c>
      <c r="S350" s="335">
        <f>'ALL ML SYSTEMS'!S350</f>
        <v>0</v>
      </c>
      <c r="T350" s="323">
        <f>'ALL ML SYSTEMS'!T350</f>
        <v>0</v>
      </c>
      <c r="U350" s="323">
        <f>'ALL ML SYSTEMS'!U350</f>
        <v>0</v>
      </c>
      <c r="V350" s="323">
        <f>'ALL ML SYSTEMS'!V350</f>
        <v>0</v>
      </c>
      <c r="W350" s="323">
        <f>'ALL ML SYSTEMS'!W350</f>
        <v>0</v>
      </c>
      <c r="X350" s="323">
        <f>'ALL ML SYSTEMS'!X350</f>
        <v>0</v>
      </c>
      <c r="Y350" s="323">
        <f>'ALL ML SYSTEMS'!Y350</f>
        <v>0</v>
      </c>
      <c r="Z350" s="323">
        <f>'ALL ML SYSTEMS'!Z350</f>
        <v>0</v>
      </c>
      <c r="AA350" s="340">
        <f>'ALL ML SYSTEMS'!AA350</f>
        <v>7.99991372136391</v>
      </c>
      <c r="AB350" s="323">
        <f>'ALL ML SYSTEMS'!AB350</f>
        <v>0</v>
      </c>
      <c r="AC350" s="323">
        <f>'ALL ML SYSTEMS'!AC350</f>
        <v>0</v>
      </c>
      <c r="AD350" s="323" t="str">
        <f>'ALL ML SYSTEMS'!AD350</f>
        <v>Academia</v>
      </c>
    </row>
    <row r="351" customHeight="1" spans="1:30">
      <c r="A351" s="325" t="str">
        <f>'ALL ML SYSTEMS'!A351</f>
        <v>Dropout (MNIST)</v>
      </c>
      <c r="B351" s="325" t="str">
        <f>'ALL ML SYSTEMS'!B351</f>
        <v>Vision</v>
      </c>
      <c r="C351" s="325" t="str">
        <f>'ALL ML SYSTEMS'!C351</f>
        <v>Character recognition</v>
      </c>
      <c r="D351" s="325" t="str">
        <f>'ALL ML SYSTEMS'!D351</f>
        <v>University of Toronto</v>
      </c>
      <c r="E351" s="325" t="str">
        <f>'ALL ML SYSTEMS'!E351</f>
        <v>Academia</v>
      </c>
      <c r="F351" s="325" t="str">
        <f>'ALL ML SYSTEMS'!F351</f>
        <v>GE Hinton, N Srivastava, A Krizhevsky</v>
      </c>
      <c r="G351" s="326">
        <f>'ALL ML SYSTEMS'!G351</f>
        <v>41063</v>
      </c>
      <c r="H351" s="327">
        <f>'ALL ML SYSTEMS'!H351</f>
        <v>1063</v>
      </c>
      <c r="I351" s="325" t="str">
        <f>'ALL ML SYSTEMS'!I351</f>
        <v>Improving neural networks by preventing co-adaptation of feature detectors</v>
      </c>
      <c r="J351" s="337" t="str">
        <f>'ALL ML SYSTEMS'!J351</f>
        <v>https://arxiv.org/abs/1207.0580</v>
      </c>
      <c r="K351" s="338">
        <f>'ALL ML SYSTEMS'!K351</f>
        <v>6680</v>
      </c>
      <c r="L351" s="325" t="str">
        <f>'ALL ML SYSTEMS'!L351</f>
        <v>Highly cited</v>
      </c>
      <c r="M351" s="338" t="str">
        <f>'ALL ML SYSTEMS'!M351</f>
        <v>Yes</v>
      </c>
      <c r="N351" s="338">
        <f>'ALL ML SYSTEMS'!N351</f>
        <v>5592010</v>
      </c>
      <c r="O351" s="338">
        <f>'ALL ML SYSTEMS'!O351</f>
        <v>6039370800000000</v>
      </c>
      <c r="P351" s="339" t="str">
        <f>'ALL ML SYSTEMS'!P351</f>
        <v>MNIST</v>
      </c>
      <c r="Q351" s="338">
        <f>'ALL ML SYSTEMS'!Q351</f>
        <v>60000</v>
      </c>
      <c r="R351" s="325">
        <f>'ALL ML SYSTEMS'!R351</f>
        <v>2</v>
      </c>
      <c r="S351" s="338">
        <f>'ALL ML SYSTEMS'!S351</f>
        <v>11184020</v>
      </c>
      <c r="T351" s="325">
        <f>'ALL ML SYSTEMS'!T351</f>
        <v>0</v>
      </c>
      <c r="U351" s="325">
        <f>'ALL ML SYSTEMS'!U351</f>
        <v>0</v>
      </c>
      <c r="V351" s="325">
        <f>'ALL ML SYSTEMS'!V351</f>
        <v>0</v>
      </c>
      <c r="W351" s="325">
        <f>'ALL ML SYSTEMS'!W351</f>
        <v>0.021</v>
      </c>
      <c r="X351" s="325">
        <f>'ALL ML SYSTEMS'!X351</f>
        <v>0</v>
      </c>
      <c r="Y351" s="325">
        <f>'ALL ML SYSTEMS'!Y351</f>
        <v>0</v>
      </c>
      <c r="Z351" s="325">
        <f>'ALL ML SYSTEMS'!Z351</f>
        <v>0</v>
      </c>
      <c r="AA351" s="341">
        <f>'ALL ML SYSTEMS'!AA351</f>
        <v>0.102126558145071</v>
      </c>
      <c r="AB351" s="325">
        <f>'ALL ML SYSTEMS'!AB351</f>
        <v>0</v>
      </c>
      <c r="AC351" s="325">
        <f>'ALL ML SYSTEMS'!AC351</f>
        <v>0</v>
      </c>
      <c r="AD351" s="325" t="str">
        <f>'ALL ML SYSTEMS'!AD351</f>
        <v>Academia</v>
      </c>
    </row>
    <row r="352" customHeight="1" spans="1:30">
      <c r="A352" s="323" t="str">
        <f>'ALL ML SYSTEMS'!A352</f>
        <v>MCDNN (MNIST)</v>
      </c>
      <c r="B352" s="323" t="str">
        <f>'ALL ML SYSTEMS'!B352</f>
        <v>Vision</v>
      </c>
      <c r="C352" s="323" t="str">
        <f>'ALL ML SYSTEMS'!C352</f>
        <v>Character recognition</v>
      </c>
      <c r="D352" s="323" t="str">
        <f>'ALL ML SYSTEMS'!D352</f>
        <v>IDSIA</v>
      </c>
      <c r="E352" s="323" t="str">
        <f>'ALL ML SYSTEMS'!E352</f>
        <v>Academia</v>
      </c>
      <c r="F352" s="323" t="str">
        <f>'ALL ML SYSTEMS'!F352</f>
        <v>D Ciregan, U Meier, J Schmidhuber</v>
      </c>
      <c r="G352" s="324">
        <f>'ALL ML SYSTEMS'!G352</f>
        <v>40952</v>
      </c>
      <c r="H352" s="329">
        <f>'ALL ML SYSTEMS'!H352</f>
        <v>952</v>
      </c>
      <c r="I352" s="323" t="str">
        <f>'ALL ML SYSTEMS'!I352</f>
        <v>Multi-column Deep Neural Networks for Image Classification</v>
      </c>
      <c r="J352" s="334" t="str">
        <f>'ALL ML SYSTEMS'!J352</f>
        <v>https://arxiv.org/abs/1202.2745v1</v>
      </c>
      <c r="K352" s="335">
        <f>'ALL ML SYSTEMS'!K352</f>
        <v>4828</v>
      </c>
      <c r="L352" s="323" t="str">
        <f>'ALL ML SYSTEMS'!L352</f>
        <v>Highly cited</v>
      </c>
      <c r="M352" s="335" t="str">
        <f>'ALL ML SYSTEMS'!M352</f>
        <v>Yes</v>
      </c>
      <c r="N352" s="335">
        <f>'ALL ML SYSTEMS'!N352</f>
        <v>1994300</v>
      </c>
      <c r="O352" s="335">
        <f>'ALL ML SYSTEMS'!O352</f>
        <v>3726979200000000</v>
      </c>
      <c r="P352" s="336" t="str">
        <f>'ALL ML SYSTEMS'!P352</f>
        <v>MNIST</v>
      </c>
      <c r="Q352" s="335">
        <f>'ALL ML SYSTEMS'!Q352</f>
        <v>60000</v>
      </c>
      <c r="R352" s="323">
        <f>'ALL ML SYSTEMS'!R352</f>
        <v>3</v>
      </c>
      <c r="S352" s="335">
        <f>'ALL ML SYSTEMS'!S352</f>
        <v>25881800</v>
      </c>
      <c r="T352" s="323">
        <f>'ALL ML SYSTEMS'!T352</f>
        <v>0</v>
      </c>
      <c r="U352" s="323">
        <f>'ALL ML SYSTEMS'!U352</f>
        <v>490</v>
      </c>
      <c r="V352" s="323">
        <f>'ALL ML SYSTEMS'!V352</f>
        <v>0</v>
      </c>
      <c r="W352" s="323">
        <f>'ALL ML SYSTEMS'!W352</f>
        <v>0.021</v>
      </c>
      <c r="X352" s="323">
        <f>'ALL ML SYSTEMS'!X352</f>
        <v>0</v>
      </c>
      <c r="Y352" s="323">
        <f>'ALL ML SYSTEMS'!Y352</f>
        <v>0</v>
      </c>
      <c r="Z352" s="323">
        <f>'ALL ML SYSTEMS'!Z352</f>
        <v>0</v>
      </c>
      <c r="AA352" s="340">
        <f>'ALL ML SYSTEMS'!AA352</f>
        <v>0.0833259334877972</v>
      </c>
      <c r="AB352" s="323">
        <f>'ALL ML SYSTEMS'!AB352</f>
        <v>0</v>
      </c>
      <c r="AC352" s="323">
        <f>'ALL ML SYSTEMS'!AC352</f>
        <v>0</v>
      </c>
      <c r="AD352" s="323" t="str">
        <f>'ALL ML SYSTEMS'!AD352</f>
        <v>Academia</v>
      </c>
    </row>
    <row r="353" customHeight="1" spans="1:30">
      <c r="A353" s="325" t="str">
        <f>'ALL ML SYSTEMS'!A353</f>
        <v>Dropout (TIMIT)</v>
      </c>
      <c r="B353" s="325" t="str">
        <f>'ALL ML SYSTEMS'!B353</f>
        <v>Speech</v>
      </c>
      <c r="C353" s="325" t="str">
        <f>'ALL ML SYSTEMS'!C353</f>
        <v>Speech recognition</v>
      </c>
      <c r="D353" s="325" t="str">
        <f>'ALL ML SYSTEMS'!D353</f>
        <v>University of Toronto</v>
      </c>
      <c r="E353" s="325" t="str">
        <f>'ALL ML SYSTEMS'!E353</f>
        <v>Academia</v>
      </c>
      <c r="F353" s="325" t="str">
        <f>'ALL ML SYSTEMS'!F353</f>
        <v>GE Hinton, N Srivastava, A Krizhevsky</v>
      </c>
      <c r="G353" s="326">
        <f>'ALL ML SYSTEMS'!G353</f>
        <v>41063</v>
      </c>
      <c r="H353" s="327">
        <f>'ALL ML SYSTEMS'!H353</f>
        <v>1063</v>
      </c>
      <c r="I353" s="325" t="str">
        <f>'ALL ML SYSTEMS'!I353</f>
        <v>Improving neural networks by preventing co-adaptation of feature detectors</v>
      </c>
      <c r="J353" s="337" t="str">
        <f>'ALL ML SYSTEMS'!J353</f>
        <v>https://arxiv.org/abs/1207.0580</v>
      </c>
      <c r="K353" s="338">
        <f>'ALL ML SYSTEMS'!K353</f>
        <v>6680</v>
      </c>
      <c r="L353" s="325" t="str">
        <f>'ALL ML SYSTEMS'!L353</f>
        <v>Highly cited</v>
      </c>
      <c r="M353" s="338" t="str">
        <f>'ALL ML SYSTEMS'!M353</f>
        <v>Yes</v>
      </c>
      <c r="N353" s="338">
        <f>'ALL ML SYSTEMS'!N353</f>
        <v>48840185</v>
      </c>
      <c r="O353" s="338">
        <f>'ALL ML SYSTEMS'!O353</f>
        <v>0</v>
      </c>
      <c r="P353" s="339" t="str">
        <f>'ALL ML SYSTEMS'!P353</f>
        <v>TIMIT</v>
      </c>
      <c r="Q353" s="338">
        <f>'ALL ML SYSTEMS'!Q353</f>
        <v>41620</v>
      </c>
      <c r="R353" s="325">
        <f>'ALL ML SYSTEMS'!R353</f>
        <v>4</v>
      </c>
      <c r="S353" s="338">
        <f>'ALL ML SYSTEMS'!S353</f>
        <v>0</v>
      </c>
      <c r="T353" s="325">
        <f>'ALL ML SYSTEMS'!T353</f>
        <v>0</v>
      </c>
      <c r="U353" s="325">
        <f>'ALL ML SYSTEMS'!U353</f>
        <v>0</v>
      </c>
      <c r="V353" s="325">
        <f>'ALL ML SYSTEMS'!V353</f>
        <v>0</v>
      </c>
      <c r="W353" s="325">
        <f>'ALL ML SYSTEMS'!W353</f>
        <v>0</v>
      </c>
      <c r="X353" s="325">
        <f>'ALL ML SYSTEMS'!X353</f>
        <v>0</v>
      </c>
      <c r="Y353" s="325">
        <f>'ALL ML SYSTEMS'!Y353</f>
        <v>0</v>
      </c>
      <c r="Z353" s="325">
        <f>'ALL ML SYSTEMS'!Z353</f>
        <v>0</v>
      </c>
      <c r="AA353" s="341" t="str">
        <f>'ALL ML SYSTEMS'!AA353</f>
        <v/>
      </c>
      <c r="AB353" s="325">
        <f>'ALL ML SYSTEMS'!AB353</f>
        <v>0</v>
      </c>
      <c r="AC353" s="325">
        <f>'ALL ML SYSTEMS'!AC353</f>
        <v>0</v>
      </c>
      <c r="AD353" s="325" t="str">
        <f>'ALL ML SYSTEMS'!AD353</f>
        <v>Academia</v>
      </c>
    </row>
    <row r="354" customHeight="1" spans="1:30">
      <c r="A354" s="323" t="str">
        <f>'ALL ML SYSTEMS'!A354</f>
        <v>Dropout (CIFAR)</v>
      </c>
      <c r="B354" s="323" t="str">
        <f>'ALL ML SYSTEMS'!B354</f>
        <v>Vision</v>
      </c>
      <c r="C354" s="323" t="str">
        <f>'ALL ML SYSTEMS'!C354</f>
        <v>Character recognition</v>
      </c>
      <c r="D354" s="323" t="str">
        <f>'ALL ML SYSTEMS'!D354</f>
        <v>University of Toronto</v>
      </c>
      <c r="E354" s="323" t="str">
        <f>'ALL ML SYSTEMS'!E354</f>
        <v>Academia</v>
      </c>
      <c r="F354" s="323" t="str">
        <f>'ALL ML SYSTEMS'!F354</f>
        <v>GE Hinton, N Srivastava, A Krizhevsky</v>
      </c>
      <c r="G354" s="324">
        <f>'ALL ML SYSTEMS'!G354</f>
        <v>41063</v>
      </c>
      <c r="H354" s="329">
        <f>'ALL ML SYSTEMS'!H354</f>
        <v>1063</v>
      </c>
      <c r="I354" s="323" t="str">
        <f>'ALL ML SYSTEMS'!I354</f>
        <v>Improving neural networks by preventing co-adaptation of feature detectors</v>
      </c>
      <c r="J354" s="334" t="str">
        <f>'ALL ML SYSTEMS'!J354</f>
        <v>https://arxiv.org/abs/1207.0580</v>
      </c>
      <c r="K354" s="335">
        <f>'ALL ML SYSTEMS'!K354</f>
        <v>6680</v>
      </c>
      <c r="L354" s="323" t="str">
        <f>'ALL ML SYSTEMS'!L354</f>
        <v>Highly cited</v>
      </c>
      <c r="M354" s="335" t="str">
        <f>'ALL ML SYSTEMS'!M354</f>
        <v>Yes</v>
      </c>
      <c r="N354" s="335">
        <f>'ALL ML SYSTEMS'!N354</f>
        <v>0</v>
      </c>
      <c r="O354" s="335">
        <f>'ALL ML SYSTEMS'!O354</f>
        <v>0</v>
      </c>
      <c r="P354" s="336">
        <f>'ALL ML SYSTEMS'!P354</f>
        <v>0</v>
      </c>
      <c r="Q354" s="335">
        <f>'ALL ML SYSTEMS'!Q354</f>
        <v>0</v>
      </c>
      <c r="R354" s="323">
        <f>'ALL ML SYSTEMS'!R354</f>
        <v>0</v>
      </c>
      <c r="S354" s="335">
        <f>'ALL ML SYSTEMS'!S354</f>
        <v>0</v>
      </c>
      <c r="T354" s="323">
        <f>'ALL ML SYSTEMS'!T354</f>
        <v>0</v>
      </c>
      <c r="U354" s="323">
        <f>'ALL ML SYSTEMS'!U354</f>
        <v>0</v>
      </c>
      <c r="V354" s="323">
        <f>'ALL ML SYSTEMS'!V354</f>
        <v>0</v>
      </c>
      <c r="W354" s="323">
        <f>'ALL ML SYSTEMS'!W354</f>
        <v>0</v>
      </c>
      <c r="X354" s="323">
        <f>'ALL ML SYSTEMS'!X354</f>
        <v>0</v>
      </c>
      <c r="Y354" s="323">
        <f>'ALL ML SYSTEMS'!Y354</f>
        <v>0</v>
      </c>
      <c r="Z354" s="323">
        <f>'ALL ML SYSTEMS'!Z354</f>
        <v>0</v>
      </c>
      <c r="AA354" s="340" t="str">
        <f>'ALL ML SYSTEMS'!AA354</f>
        <v/>
      </c>
      <c r="AB354" s="323">
        <f>'ALL ML SYSTEMS'!AB354</f>
        <v>0</v>
      </c>
      <c r="AC354" s="323">
        <f>'ALL ML SYSTEMS'!AC354</f>
        <v>0</v>
      </c>
      <c r="AD354" s="323" t="str">
        <f>'ALL ML SYSTEMS'!AD354</f>
        <v>Academia</v>
      </c>
    </row>
    <row r="355" customHeight="1" spans="1:30">
      <c r="A355" s="325" t="str">
        <f>'ALL ML SYSTEMS'!A355</f>
        <v>Dropout (ImageNet)</v>
      </c>
      <c r="B355" s="325" t="str">
        <f>'ALL ML SYSTEMS'!B355</f>
        <v>Vision</v>
      </c>
      <c r="C355" s="325" t="str">
        <f>'ALL ML SYSTEMS'!C355</f>
        <v>Image classification</v>
      </c>
      <c r="D355" s="325" t="str">
        <f>'ALL ML SYSTEMS'!D355</f>
        <v>University of Toronto</v>
      </c>
      <c r="E355" s="325" t="str">
        <f>'ALL ML SYSTEMS'!E355</f>
        <v>Academia</v>
      </c>
      <c r="F355" s="325" t="str">
        <f>'ALL ML SYSTEMS'!F355</f>
        <v>GE Hinton, N Srivastava, A Krizhevsky</v>
      </c>
      <c r="G355" s="326">
        <f>'ALL ML SYSTEMS'!G355</f>
        <v>41063</v>
      </c>
      <c r="H355" s="327">
        <f>'ALL ML SYSTEMS'!H355</f>
        <v>1063</v>
      </c>
      <c r="I355" s="325" t="str">
        <f>'ALL ML SYSTEMS'!I355</f>
        <v>Improving neural networks by preventing co-adaptation of feature detectors</v>
      </c>
      <c r="J355" s="337" t="str">
        <f>'ALL ML SYSTEMS'!J355</f>
        <v>https://arxiv.org/abs/1207.0580</v>
      </c>
      <c r="K355" s="338">
        <f>'ALL ML SYSTEMS'!K355</f>
        <v>6680</v>
      </c>
      <c r="L355" s="325" t="str">
        <f>'ALL ML SYSTEMS'!L355</f>
        <v>Highly cited</v>
      </c>
      <c r="M355" s="338" t="str">
        <f>'ALL ML SYSTEMS'!M355</f>
        <v>Yes</v>
      </c>
      <c r="N355" s="338">
        <f>'ALL ML SYSTEMS'!N355</f>
        <v>0</v>
      </c>
      <c r="O355" s="338">
        <f>'ALL ML SYSTEMS'!O355</f>
        <v>0</v>
      </c>
      <c r="P355" s="339" t="str">
        <f>'ALL ML SYSTEMS'!P355</f>
        <v>ImageNet</v>
      </c>
      <c r="Q355" s="338">
        <f>'ALL ML SYSTEMS'!Q355</f>
        <v>1000000</v>
      </c>
      <c r="R355" s="325">
        <f>'ALL ML SYSTEMS'!R355</f>
        <v>7</v>
      </c>
      <c r="S355" s="338">
        <f>'ALL ML SYSTEMS'!S355</f>
        <v>0</v>
      </c>
      <c r="T355" s="325">
        <f>'ALL ML SYSTEMS'!T355</f>
        <v>0</v>
      </c>
      <c r="U355" s="325">
        <f>'ALL ML SYSTEMS'!U355</f>
        <v>0</v>
      </c>
      <c r="V355" s="325">
        <f>'ALL ML SYSTEMS'!V355</f>
        <v>0</v>
      </c>
      <c r="W355" s="325">
        <f>'ALL ML SYSTEMS'!W355</f>
        <v>0</v>
      </c>
      <c r="X355" s="325">
        <f>'ALL ML SYSTEMS'!X355</f>
        <v>0</v>
      </c>
      <c r="Y355" s="325">
        <f>'ALL ML SYSTEMS'!Y355</f>
        <v>0</v>
      </c>
      <c r="Z355" s="325">
        <f>'ALL ML SYSTEMS'!Z355</f>
        <v>0</v>
      </c>
      <c r="AA355" s="341" t="str">
        <f>'ALL ML SYSTEMS'!AA355</f>
        <v/>
      </c>
      <c r="AB355" s="325">
        <f>'ALL ML SYSTEMS'!AB355</f>
        <v>0</v>
      </c>
      <c r="AC355" s="325">
        <f>'ALL ML SYSTEMS'!AC355</f>
        <v>0</v>
      </c>
      <c r="AD355" s="325" t="str">
        <f>'ALL ML SYSTEMS'!AD355</f>
        <v>Academia</v>
      </c>
    </row>
    <row r="356" customHeight="1" spans="1:30">
      <c r="A356" s="323">
        <f>'ALL ML SYSTEMS'!A356</f>
        <v>0</v>
      </c>
      <c r="B356" s="323">
        <f>'ALL ML SYSTEMS'!B356</f>
        <v>0</v>
      </c>
      <c r="C356" s="323">
        <f>'ALL ML SYSTEMS'!C356</f>
        <v>0</v>
      </c>
      <c r="D356" s="323" t="str">
        <f>'ALL ML SYSTEMS'!D356</f>
        <v>Karlsruhe Institute of Technology, Toyota Technological Institute at Chicago</v>
      </c>
      <c r="E356" s="323" t="str">
        <f>'ALL ML SYSTEMS'!E356</f>
        <v>Industry - Academia Collaboration</v>
      </c>
      <c r="F356" s="323" t="str">
        <f>'ALL ML SYSTEMS'!F356</f>
        <v>A Geiger, P Lenz, R Urtasun</v>
      </c>
      <c r="G356" s="324">
        <f>'ALL ML SYSTEMS'!G356</f>
        <v>41076</v>
      </c>
      <c r="H356" s="329">
        <f>'ALL ML SYSTEMS'!H356</f>
        <v>1076</v>
      </c>
      <c r="I356" s="323" t="str">
        <f>'ALL ML SYSTEMS'!I356</f>
        <v>Are we ready for autonomous driving? The KITTI vision benchmark suite</v>
      </c>
      <c r="J356" s="334" t="str">
        <f>'ALL ML SYSTEMS'!J356</f>
        <v>http://www.cvlibs.net/publications/Geiger2012CVPR_slides.pdf</v>
      </c>
      <c r="K356" s="335">
        <f>'ALL ML SYSTEMS'!K356</f>
        <v>7138</v>
      </c>
      <c r="L356" s="323" t="str">
        <f>'ALL ML SYSTEMS'!L356</f>
        <v>Highly cited</v>
      </c>
      <c r="M356" s="335" t="str">
        <f>'ALL ML SYSTEMS'!M356</f>
        <v>Yes</v>
      </c>
      <c r="N356" s="335">
        <f>'ALL ML SYSTEMS'!N356</f>
        <v>0</v>
      </c>
      <c r="O356" s="335">
        <f>'ALL ML SYSTEMS'!O356</f>
        <v>0</v>
      </c>
      <c r="P356" s="336">
        <f>'ALL ML SYSTEMS'!P356</f>
        <v>0</v>
      </c>
      <c r="Q356" s="335">
        <f>'ALL ML SYSTEMS'!Q356</f>
        <v>0</v>
      </c>
      <c r="R356" s="323">
        <f>'ALL ML SYSTEMS'!R356</f>
        <v>0</v>
      </c>
      <c r="S356" s="335">
        <f>'ALL ML SYSTEMS'!S356</f>
        <v>0</v>
      </c>
      <c r="T356" s="323">
        <f>'ALL ML SYSTEMS'!T356</f>
        <v>0</v>
      </c>
      <c r="U356" s="323">
        <f>'ALL ML SYSTEMS'!U356</f>
        <v>0</v>
      </c>
      <c r="V356" s="323">
        <f>'ALL ML SYSTEMS'!V356</f>
        <v>0</v>
      </c>
      <c r="W356" s="323">
        <f>'ALL ML SYSTEMS'!W356</f>
        <v>0</v>
      </c>
      <c r="X356" s="323">
        <f>'ALL ML SYSTEMS'!X356</f>
        <v>0</v>
      </c>
      <c r="Y356" s="323">
        <f>'ALL ML SYSTEMS'!Y356</f>
        <v>0</v>
      </c>
      <c r="Z356" s="323">
        <f>'ALL ML SYSTEMS'!Z356</f>
        <v>0</v>
      </c>
      <c r="AA356" s="340" t="str">
        <f>'ALL ML SYSTEMS'!AA356</f>
        <v/>
      </c>
      <c r="AB356" s="323">
        <f>'ALL ML SYSTEMS'!AB356</f>
        <v>0</v>
      </c>
      <c r="AC356" s="323">
        <f>'ALL ML SYSTEMS'!AC356</f>
        <v>0</v>
      </c>
      <c r="AD356" s="323" t="str">
        <f>'ALL ML SYSTEMS'!AD356</f>
        <v>Industry</v>
      </c>
    </row>
    <row r="357" hidden="1" customHeight="1" spans="1:30">
      <c r="A357" s="325">
        <f>'ALL ML SYSTEMS'!A357</f>
        <v>0</v>
      </c>
      <c r="B357" s="325" t="str">
        <f>'ALL ML SYSTEMS'!B357</f>
        <v>Language</v>
      </c>
      <c r="C357" s="325">
        <f>'ALL ML SYSTEMS'!C357</f>
        <v>0</v>
      </c>
      <c r="D357" s="325" t="str">
        <f>'ALL ML SYSTEMS'!D357</f>
        <v>Google</v>
      </c>
      <c r="E357" s="325" t="str">
        <f>'ALL ML SYSTEMS'!E357</f>
        <v>Industry</v>
      </c>
      <c r="F357" s="325" t="str">
        <f>'ALL ML SYSTEMS'!F357</f>
        <v>Yuri Lin, Jean-Baptiste Michel, Erez Lieberman Aiden, Jon Orwant, Will Brockman and Slav Petrov</v>
      </c>
      <c r="G357" s="326">
        <f>'ALL ML SYSTEMS'!G357</f>
        <v>41098</v>
      </c>
      <c r="H357" s="327">
        <f>'ALL ML SYSTEMS'!H357</f>
        <v>1098</v>
      </c>
      <c r="I357" s="325" t="str">
        <f>'ALL ML SYSTEMS'!I357</f>
        <v>Syntactic Annotations for the Google Books NGram Corpus</v>
      </c>
      <c r="J357" s="337" t="str">
        <f>'ALL ML SYSTEMS'!J357</f>
        <v>https://aclanthology.org/P12-3029/</v>
      </c>
      <c r="K357" s="338">
        <f>'ALL ML SYSTEMS'!K357</f>
        <v>489</v>
      </c>
      <c r="L357" s="325">
        <f>'ALL ML SYSTEMS'!L357</f>
        <v>0</v>
      </c>
      <c r="M357" s="338" t="str">
        <f>'ALL ML SYSTEMS'!M357</f>
        <v>No</v>
      </c>
      <c r="N357" s="338">
        <f>'ALL ML SYSTEMS'!N357</f>
        <v>0</v>
      </c>
      <c r="O357" s="338">
        <f>'ALL ML SYSTEMS'!O357</f>
        <v>0</v>
      </c>
      <c r="P357" s="339">
        <f>'ALL ML SYSTEMS'!P357</f>
        <v>0</v>
      </c>
      <c r="Q357" s="338">
        <f>'ALL ML SYSTEMS'!Q357</f>
        <v>0</v>
      </c>
      <c r="R357" s="325">
        <f>'ALL ML SYSTEMS'!R357</f>
        <v>0</v>
      </c>
      <c r="S357" s="338">
        <f>'ALL ML SYSTEMS'!S357</f>
        <v>0</v>
      </c>
      <c r="T357" s="325">
        <f>'ALL ML SYSTEMS'!T357</f>
        <v>0</v>
      </c>
      <c r="U357" s="325">
        <f>'ALL ML SYSTEMS'!U357</f>
        <v>0</v>
      </c>
      <c r="V357" s="325">
        <f>'ALL ML SYSTEMS'!V357</f>
        <v>0</v>
      </c>
      <c r="W357" s="325">
        <f>'ALL ML SYSTEMS'!W357</f>
        <v>0</v>
      </c>
      <c r="X357" s="325">
        <f>'ALL ML SYSTEMS'!X357</f>
        <v>0</v>
      </c>
      <c r="Y357" s="325">
        <f>'ALL ML SYSTEMS'!Y357</f>
        <v>0</v>
      </c>
      <c r="Z357" s="325">
        <f>'ALL ML SYSTEMS'!Z357</f>
        <v>0</v>
      </c>
      <c r="AA357" s="341" t="str">
        <f>'ALL ML SYSTEMS'!AA357</f>
        <v/>
      </c>
      <c r="AB357" s="325"/>
      <c r="AC357" s="325">
        <f>'ALL ML SYSTEMS'!AB357</f>
        <v>0</v>
      </c>
      <c r="AD357" s="325">
        <f>'ALL ML SYSTEMS'!AC357</f>
        <v>0</v>
      </c>
    </row>
    <row r="358" customHeight="1" spans="1:30">
      <c r="A358" s="323" t="str">
        <f>'ALL ML SYSTEMS'!A358</f>
        <v>MV-RNN</v>
      </c>
      <c r="B358" s="323" t="str">
        <f>'ALL ML SYSTEMS'!B358</f>
        <v>Language</v>
      </c>
      <c r="C358" s="323" t="str">
        <f>'ALL ML SYSTEMS'!C358</f>
        <v>Text classification</v>
      </c>
      <c r="D358" s="323" t="str">
        <f>'ALL ML SYSTEMS'!D358</f>
        <v>Stanford</v>
      </c>
      <c r="E358" s="323" t="str">
        <f>'ALL ML SYSTEMS'!E358</f>
        <v>Academia</v>
      </c>
      <c r="F358" s="323" t="str">
        <f>'ALL ML SYSTEMS'!F358</f>
        <v>R. Socher, B. Huval, C. D. Manning, and A. Y. Ng</v>
      </c>
      <c r="G358" s="324">
        <f>'ALL ML SYSTEMS'!G358</f>
        <v>41102</v>
      </c>
      <c r="H358" s="329">
        <f>'ALL ML SYSTEMS'!H358</f>
        <v>1102</v>
      </c>
      <c r="I358" s="323" t="str">
        <f>'ALL ML SYSTEMS'!I358</f>
        <v>Semantic compositionality through recursive matrix-vector spaces</v>
      </c>
      <c r="J358" s="334" t="str">
        <f>'ALL ML SYSTEMS'!J358</f>
        <v>https://www.aclweb.org/anthology/D12-1110/</v>
      </c>
      <c r="K358" s="335">
        <f>'ALL ML SYSTEMS'!K358</f>
        <v>1459</v>
      </c>
      <c r="L358" s="323" t="str">
        <f>'ALL ML SYSTEMS'!L358</f>
        <v>Highly cited</v>
      </c>
      <c r="M358" s="335" t="str">
        <f>'ALL ML SYSTEMS'!M358</f>
        <v>Yes</v>
      </c>
      <c r="N358" s="335">
        <f>'ALL ML SYSTEMS'!N358</f>
        <v>3510255</v>
      </c>
      <c r="O358" s="335">
        <f>'ALL ML SYSTEMS'!O358</f>
        <v>0</v>
      </c>
      <c r="P358" s="336">
        <f>'ALL ML SYSTEMS'!P358</f>
        <v>0</v>
      </c>
      <c r="Q358" s="335">
        <f>'ALL ML SYSTEMS'!Q358</f>
        <v>0</v>
      </c>
      <c r="R358" s="323">
        <f>'ALL ML SYSTEMS'!R358</f>
        <v>0</v>
      </c>
      <c r="S358" s="335">
        <f>'ALL ML SYSTEMS'!S358</f>
        <v>0</v>
      </c>
      <c r="T358" s="323">
        <f>'ALL ML SYSTEMS'!T358</f>
        <v>0</v>
      </c>
      <c r="U358" s="323">
        <f>'ALL ML SYSTEMS'!U358</f>
        <v>0</v>
      </c>
      <c r="V358" s="323">
        <f>'ALL ML SYSTEMS'!V358</f>
        <v>0</v>
      </c>
      <c r="W358" s="323">
        <f>'ALL ML SYSTEMS'!W358</f>
        <v>0</v>
      </c>
      <c r="X358" s="323">
        <f>'ALL ML SYSTEMS'!X358</f>
        <v>0</v>
      </c>
      <c r="Y358" s="323">
        <f>'ALL ML SYSTEMS'!Y358</f>
        <v>0</v>
      </c>
      <c r="Z358" s="323">
        <f>'ALL ML SYSTEMS'!Z358</f>
        <v>0</v>
      </c>
      <c r="AA358" s="340" t="str">
        <f>'ALL ML SYSTEMS'!AA358</f>
        <v/>
      </c>
      <c r="AB358" s="323">
        <f>'ALL ML SYSTEMS'!AB358</f>
        <v>0</v>
      </c>
      <c r="AC358" s="323" t="str">
        <f>'ALL ML SYSTEMS'!AC358</f>
        <v>Matrix-Vector RNN</v>
      </c>
      <c r="AD358" s="323" t="str">
        <f>'ALL ML SYSTEMS'!AD358</f>
        <v>Academia</v>
      </c>
    </row>
    <row r="359" customHeight="1" spans="1:30">
      <c r="A359" s="325">
        <f>'ALL ML SYSTEMS'!A359</f>
        <v>0</v>
      </c>
      <c r="B359" s="325">
        <f>'ALL ML SYSTEMS'!B359</f>
        <v>0</v>
      </c>
      <c r="C359" s="325">
        <f>'ALL ML SYSTEMS'!C359</f>
        <v>0</v>
      </c>
      <c r="D359" s="325" t="str">
        <f>'ALL ML SYSTEMS'!D359</f>
        <v>University of Toronto, University of Sherbrooke, Harvard University</v>
      </c>
      <c r="E359" s="325" t="str">
        <f>'ALL ML SYSTEMS'!E359</f>
        <v>Academia</v>
      </c>
      <c r="F359" s="325" t="str">
        <f>'ALL ML SYSTEMS'!F359</f>
        <v>J Snoek, H Larochelle, RP Adams</v>
      </c>
      <c r="G359" s="326">
        <f>'ALL ML SYSTEMS'!G359</f>
        <v>41245</v>
      </c>
      <c r="H359" s="327">
        <f>'ALL ML SYSTEMS'!H359</f>
        <v>1245</v>
      </c>
      <c r="I359" s="325" t="str">
        <f>'ALL ML SYSTEMS'!I359</f>
        <v>Practical Bayesian optimization of machine learning algorithms</v>
      </c>
      <c r="J359" s="337" t="str">
        <f>'ALL ML SYSTEMS'!J359</f>
        <v>https://arxiv.org/abs/1206.2944</v>
      </c>
      <c r="K359" s="338">
        <f>'ALL ML SYSTEMS'!K359</f>
        <v>5671</v>
      </c>
      <c r="L359" s="325" t="str">
        <f>'ALL ML SYSTEMS'!L359</f>
        <v>Highly cited</v>
      </c>
      <c r="M359" s="338" t="str">
        <f>'ALL ML SYSTEMS'!M359</f>
        <v>Yes</v>
      </c>
      <c r="N359" s="338">
        <f>'ALL ML SYSTEMS'!N359</f>
        <v>0</v>
      </c>
      <c r="O359" s="338">
        <f>'ALL ML SYSTEMS'!O359</f>
        <v>0</v>
      </c>
      <c r="P359" s="339">
        <f>'ALL ML SYSTEMS'!P359</f>
        <v>0</v>
      </c>
      <c r="Q359" s="338">
        <f>'ALL ML SYSTEMS'!Q359</f>
        <v>0</v>
      </c>
      <c r="R359" s="325">
        <f>'ALL ML SYSTEMS'!R359</f>
        <v>0</v>
      </c>
      <c r="S359" s="338">
        <f>'ALL ML SYSTEMS'!S359</f>
        <v>0</v>
      </c>
      <c r="T359" s="325">
        <f>'ALL ML SYSTEMS'!T359</f>
        <v>0</v>
      </c>
      <c r="U359" s="325">
        <f>'ALL ML SYSTEMS'!U359</f>
        <v>0</v>
      </c>
      <c r="V359" s="325">
        <f>'ALL ML SYSTEMS'!V359</f>
        <v>0</v>
      </c>
      <c r="W359" s="325">
        <f>'ALL ML SYSTEMS'!W359</f>
        <v>0</v>
      </c>
      <c r="X359" s="325">
        <f>'ALL ML SYSTEMS'!X359</f>
        <v>0</v>
      </c>
      <c r="Y359" s="325">
        <f>'ALL ML SYSTEMS'!Y359</f>
        <v>0</v>
      </c>
      <c r="Z359" s="325">
        <f>'ALL ML SYSTEMS'!Z359</f>
        <v>0</v>
      </c>
      <c r="AA359" s="341" t="str">
        <f>'ALL ML SYSTEMS'!AA359</f>
        <v/>
      </c>
      <c r="AB359" s="325">
        <f>'ALL ML SYSTEMS'!AB359</f>
        <v>0</v>
      </c>
      <c r="AC359" s="325">
        <f>'ALL ML SYSTEMS'!AC359</f>
        <v>0</v>
      </c>
      <c r="AD359" s="325" t="str">
        <f>'ALL ML SYSTEMS'!AD359</f>
        <v>Academia</v>
      </c>
    </row>
    <row r="360" customHeight="1" spans="1:30">
      <c r="A360" s="323">
        <f>'ALL ML SYSTEMS'!A360</f>
        <v>0</v>
      </c>
      <c r="B360" s="323">
        <f>'ALL ML SYSTEMS'!B360</f>
        <v>0</v>
      </c>
      <c r="C360" s="323">
        <f>'ALL ML SYSTEMS'!C360</f>
        <v>0</v>
      </c>
      <c r="D360" s="323" t="str">
        <f>'ALL ML SYSTEMS'!D360</f>
        <v>University of Michigan, Stanford University</v>
      </c>
      <c r="E360" s="323" t="str">
        <f>'ALL ML SYSTEMS'!E360</f>
        <v>Academia</v>
      </c>
      <c r="F360" s="323" t="str">
        <f>'ALL ML SYSTEMS'!F360</f>
        <v>A Coates, A Ng, H Lee</v>
      </c>
      <c r="G360" s="324">
        <f>'ALL ML SYSTEMS'!G360</f>
        <v>40644</v>
      </c>
      <c r="H360" s="329">
        <f>'ALL ML SYSTEMS'!H360</f>
        <v>644</v>
      </c>
      <c r="I360" s="323" t="str">
        <f>'ALL ML SYSTEMS'!I360</f>
        <v>An analysis of single-layer networks in unsupervised feature learning</v>
      </c>
      <c r="J360" s="334" t="str">
        <f>'ALL ML SYSTEMS'!J360</f>
        <v>http://proceedings.mlr.press/v15/coates11a.html</v>
      </c>
      <c r="K360" s="335">
        <f>'ALL ML SYSTEMS'!K360</f>
        <v>2664</v>
      </c>
      <c r="L360" s="323" t="str">
        <f>'ALL ML SYSTEMS'!L360</f>
        <v>Highly cited</v>
      </c>
      <c r="M360" s="335" t="str">
        <f>'ALL ML SYSTEMS'!M360</f>
        <v>Yes</v>
      </c>
      <c r="N360" s="335">
        <f>'ALL ML SYSTEMS'!N360</f>
        <v>0</v>
      </c>
      <c r="O360" s="335">
        <f>'ALL ML SYSTEMS'!O360</f>
        <v>0</v>
      </c>
      <c r="P360" s="336">
        <f>'ALL ML SYSTEMS'!P360</f>
        <v>0</v>
      </c>
      <c r="Q360" s="335">
        <f>'ALL ML SYSTEMS'!Q360</f>
        <v>0</v>
      </c>
      <c r="R360" s="323">
        <f>'ALL ML SYSTEMS'!R360</f>
        <v>0</v>
      </c>
      <c r="S360" s="335">
        <f>'ALL ML SYSTEMS'!S360</f>
        <v>0</v>
      </c>
      <c r="T360" s="323">
        <f>'ALL ML SYSTEMS'!T360</f>
        <v>0</v>
      </c>
      <c r="U360" s="323">
        <f>'ALL ML SYSTEMS'!U360</f>
        <v>0</v>
      </c>
      <c r="V360" s="323">
        <f>'ALL ML SYSTEMS'!V360</f>
        <v>0</v>
      </c>
      <c r="W360" s="323">
        <f>'ALL ML SYSTEMS'!W360</f>
        <v>0</v>
      </c>
      <c r="X360" s="323">
        <f>'ALL ML SYSTEMS'!X360</f>
        <v>0</v>
      </c>
      <c r="Y360" s="323">
        <f>'ALL ML SYSTEMS'!Y360</f>
        <v>0</v>
      </c>
      <c r="Z360" s="323">
        <f>'ALL ML SYSTEMS'!Z360</f>
        <v>0</v>
      </c>
      <c r="AA360" s="340" t="str">
        <f>'ALL ML SYSTEMS'!AA360</f>
        <v/>
      </c>
      <c r="AB360" s="323">
        <f>'ALL ML SYSTEMS'!AB360</f>
        <v>0</v>
      </c>
      <c r="AC360" s="323">
        <f>'ALL ML SYSTEMS'!AC360</f>
        <v>0</v>
      </c>
      <c r="AD360" s="323" t="str">
        <f>'ALL ML SYSTEMS'!AD360</f>
        <v>Academia</v>
      </c>
    </row>
    <row r="361" customHeight="1" spans="1:30">
      <c r="A361" s="325">
        <f>'ALL ML SYSTEMS'!A361</f>
        <v>0</v>
      </c>
      <c r="B361" s="325">
        <f>'ALL ML SYSTEMS'!B361</f>
        <v>0</v>
      </c>
      <c r="C361" s="325">
        <f>'ALL ML SYSTEMS'!C361</f>
        <v>0</v>
      </c>
      <c r="D361" s="325" t="str">
        <f>'ALL ML SYSTEMS'!D361</f>
        <v>University of Montreal</v>
      </c>
      <c r="E361" s="325" t="str">
        <f>'ALL ML SYSTEMS'!E361</f>
        <v>Academia</v>
      </c>
      <c r="F361" s="325" t="str">
        <f>'ALL ML SYSTEMS'!F361</f>
        <v>X Glorot, A Bordes, Y Bengio</v>
      </c>
      <c r="G361" s="326">
        <f>'ALL ML SYSTEMS'!G361</f>
        <v>40646</v>
      </c>
      <c r="H361" s="327">
        <f>'ALL ML SYSTEMS'!H361</f>
        <v>646</v>
      </c>
      <c r="I361" s="325" t="str">
        <f>'ALL ML SYSTEMS'!I361</f>
        <v>Deep sparse rectifier neural networks</v>
      </c>
      <c r="J361" s="337" t="str">
        <f>'ALL ML SYSTEMS'!J361</f>
        <v>http://machinelearning.wustl.edu/mlpapers/paper_files/AISTATS2011_GlorotBB11.pdf</v>
      </c>
      <c r="K361" s="338">
        <f>'ALL ML SYSTEMS'!K361</f>
        <v>7215</v>
      </c>
      <c r="L361" s="325" t="str">
        <f>'ALL ML SYSTEMS'!L361</f>
        <v>Highly cited</v>
      </c>
      <c r="M361" s="338" t="str">
        <f>'ALL ML SYSTEMS'!M361</f>
        <v>Yes</v>
      </c>
      <c r="N361" s="338">
        <f>'ALL ML SYSTEMS'!N361</f>
        <v>0</v>
      </c>
      <c r="O361" s="338">
        <f>'ALL ML SYSTEMS'!O361</f>
        <v>0</v>
      </c>
      <c r="P361" s="339">
        <f>'ALL ML SYSTEMS'!P361</f>
        <v>0</v>
      </c>
      <c r="Q361" s="338">
        <f>'ALL ML SYSTEMS'!Q361</f>
        <v>0</v>
      </c>
      <c r="R361" s="325">
        <f>'ALL ML SYSTEMS'!R361</f>
        <v>0</v>
      </c>
      <c r="S361" s="338">
        <f>'ALL ML SYSTEMS'!S361</f>
        <v>0</v>
      </c>
      <c r="T361" s="325">
        <f>'ALL ML SYSTEMS'!T361</f>
        <v>0</v>
      </c>
      <c r="U361" s="325">
        <f>'ALL ML SYSTEMS'!U361</f>
        <v>0</v>
      </c>
      <c r="V361" s="325">
        <f>'ALL ML SYSTEMS'!V361</f>
        <v>0</v>
      </c>
      <c r="W361" s="325">
        <f>'ALL ML SYSTEMS'!W361</f>
        <v>0</v>
      </c>
      <c r="X361" s="325">
        <f>'ALL ML SYSTEMS'!X361</f>
        <v>0</v>
      </c>
      <c r="Y361" s="325">
        <f>'ALL ML SYSTEMS'!Y361</f>
        <v>0</v>
      </c>
      <c r="Z361" s="325">
        <f>'ALL ML SYSTEMS'!Z361</f>
        <v>0</v>
      </c>
      <c r="AA361" s="341" t="str">
        <f>'ALL ML SYSTEMS'!AA361</f>
        <v/>
      </c>
      <c r="AB361" s="325">
        <f>'ALL ML SYSTEMS'!AB361</f>
        <v>0</v>
      </c>
      <c r="AC361" s="325">
        <f>'ALL ML SYSTEMS'!AC361</f>
        <v>0</v>
      </c>
      <c r="AD361" s="325" t="str">
        <f>'ALL ML SYSTEMS'!AD361</f>
        <v>Academia</v>
      </c>
    </row>
    <row r="362" customHeight="1" spans="1:30">
      <c r="A362" s="323">
        <f>'ALL ML SYSTEMS'!A362</f>
        <v>0</v>
      </c>
      <c r="B362" s="323" t="str">
        <f>'ALL ML SYSTEMS'!B362</f>
        <v>Language</v>
      </c>
      <c r="C362" s="323">
        <f>'ALL ML SYSTEMS'!C362</f>
        <v>0</v>
      </c>
      <c r="D362" s="323" t="str">
        <f>'ALL ML SYSTEMS'!D362</f>
        <v>Brno University of Technology, Johns Hopkins University</v>
      </c>
      <c r="E362" s="323" t="str">
        <f>'ALL ML SYSTEMS'!E362</f>
        <v>Academia</v>
      </c>
      <c r="F362" s="323" t="str">
        <f>'ALL ML SYSTEMS'!F362</f>
        <v>T. Mikolov, S. Kombrink, L. Burget, J. Cernock ˇ y, and S. Khudanpur</v>
      </c>
      <c r="G362" s="324">
        <f>'ALL ML SYSTEMS'!G362</f>
        <v>40685</v>
      </c>
      <c r="H362" s="329">
        <f>'ALL ML SYSTEMS'!H362</f>
        <v>685</v>
      </c>
      <c r="I362" s="323" t="str">
        <f>'ALL ML SYSTEMS'!I362</f>
        <v>Extensions of recurrent neural network language model</v>
      </c>
      <c r="J362" s="334" t="str">
        <f>'ALL ML SYSTEMS'!J362</f>
        <v>https://ieeexplore.ieee.org/document/5947611</v>
      </c>
      <c r="K362" s="335">
        <f>'ALL ML SYSTEMS'!K362</f>
        <v>1244</v>
      </c>
      <c r="L362" s="323" t="str">
        <f>'ALL ML SYSTEMS'!L362</f>
        <v>Highly cited</v>
      </c>
      <c r="M362" s="335" t="str">
        <f>'ALL ML SYSTEMS'!M362</f>
        <v>Yes</v>
      </c>
      <c r="N362" s="335">
        <f>'ALL ML SYSTEMS'!N362</f>
        <v>0</v>
      </c>
      <c r="O362" s="335">
        <f>'ALL ML SYSTEMS'!O362</f>
        <v>0</v>
      </c>
      <c r="P362" s="336" t="str">
        <f>'ALL ML SYSTEMS'!P362</f>
        <v>Penn Tree Bank</v>
      </c>
      <c r="Q362" s="335">
        <f>'ALL ML SYSTEMS'!Q362</f>
        <v>697500</v>
      </c>
      <c r="R362" s="323">
        <f>'ALL ML SYSTEMS'!R362</f>
        <v>0</v>
      </c>
      <c r="S362" s="335">
        <f>'ALL ML SYSTEMS'!S362</f>
        <v>0</v>
      </c>
      <c r="T362" s="323">
        <f>'ALL ML SYSTEMS'!T362</f>
        <v>0</v>
      </c>
      <c r="U362" s="323">
        <f>'ALL ML SYSTEMS'!U362</f>
        <v>0</v>
      </c>
      <c r="V362" s="323">
        <f>'ALL ML SYSTEMS'!V362</f>
        <v>0</v>
      </c>
      <c r="W362" s="323">
        <f>'ALL ML SYSTEMS'!W362</f>
        <v>0</v>
      </c>
      <c r="X362" s="323">
        <f>'ALL ML SYSTEMS'!X362</f>
        <v>0</v>
      </c>
      <c r="Y362" s="323">
        <f>'ALL ML SYSTEMS'!Y362</f>
        <v>0</v>
      </c>
      <c r="Z362" s="323">
        <f>'ALL ML SYSTEMS'!Z362</f>
        <v>0</v>
      </c>
      <c r="AA362" s="340" t="str">
        <f>'ALL ML SYSTEMS'!AA362</f>
        <v/>
      </c>
      <c r="AB362" s="323">
        <f>'ALL ML SYSTEMS'!AB362</f>
        <v>0</v>
      </c>
      <c r="AC362" s="323" t="str">
        <f>'ALL ML SYSTEMS'!AC362</f>
        <v>Recurrent Neural Network</v>
      </c>
      <c r="AD362" s="323" t="str">
        <f>'ALL ML SYSTEMS'!AD362</f>
        <v>Academia</v>
      </c>
    </row>
    <row r="363" hidden="1" customHeight="1" spans="1:30">
      <c r="A363" s="325">
        <f>'ALL ML SYSTEMS'!A363</f>
        <v>0</v>
      </c>
      <c r="B363" s="325" t="str">
        <f>'ALL ML SYSTEMS'!B363</f>
        <v>Language</v>
      </c>
      <c r="C363" s="325" t="str">
        <f>'ALL ML SYSTEMS'!C363</f>
        <v>Part-of-speech tagging</v>
      </c>
      <c r="D363" s="325" t="str">
        <f>'ALL ML SYSTEMS'!D363</f>
        <v>Carnegie Mellon University, Google Research</v>
      </c>
      <c r="E363" s="325" t="str">
        <f>'ALL ML SYSTEMS'!E363</f>
        <v>Industry - Academia Collaboration</v>
      </c>
      <c r="F363" s="325" t="str">
        <f>'ALL ML SYSTEMS'!F363</f>
        <v>Dipanjan Das, Slav Petrov</v>
      </c>
      <c r="G363" s="326">
        <f>'ALL ML SYSTEMS'!G363</f>
        <v>40713</v>
      </c>
      <c r="H363" s="327">
        <f>'ALL ML SYSTEMS'!H363</f>
        <v>713</v>
      </c>
      <c r="I363" s="325" t="str">
        <f>'ALL ML SYSTEMS'!I363</f>
        <v>Unsupervised Part-of-Speech Tagging with Bilingual Graph-Based Projections</v>
      </c>
      <c r="J363" s="337" t="str">
        <f>'ALL ML SYSTEMS'!J363</f>
        <v>https://aclanthology.org/P11-1061/</v>
      </c>
      <c r="K363" s="338">
        <f>'ALL ML SYSTEMS'!K363</f>
        <v>316</v>
      </c>
      <c r="L363" s="325">
        <f>'ALL ML SYSTEMS'!L363</f>
        <v>0</v>
      </c>
      <c r="M363" s="338" t="str">
        <f>'ALL ML SYSTEMS'!M363</f>
        <v>No</v>
      </c>
      <c r="N363" s="338">
        <f>'ALL ML SYSTEMS'!N363</f>
        <v>0</v>
      </c>
      <c r="O363" s="338">
        <f>'ALL ML SYSTEMS'!O363</f>
        <v>0</v>
      </c>
      <c r="P363" s="339">
        <f>'ALL ML SYSTEMS'!P363</f>
        <v>0</v>
      </c>
      <c r="Q363" s="338">
        <f>'ALL ML SYSTEMS'!Q363</f>
        <v>0</v>
      </c>
      <c r="R363" s="325">
        <f>'ALL ML SYSTEMS'!R363</f>
        <v>0</v>
      </c>
      <c r="S363" s="338">
        <f>'ALL ML SYSTEMS'!S363</f>
        <v>0</v>
      </c>
      <c r="T363" s="325">
        <f>'ALL ML SYSTEMS'!T363</f>
        <v>0</v>
      </c>
      <c r="U363" s="325">
        <f>'ALL ML SYSTEMS'!U363</f>
        <v>0</v>
      </c>
      <c r="V363" s="325">
        <f>'ALL ML SYSTEMS'!V363</f>
        <v>0</v>
      </c>
      <c r="W363" s="325">
        <f>'ALL ML SYSTEMS'!W363</f>
        <v>0</v>
      </c>
      <c r="X363" s="325">
        <f>'ALL ML SYSTEMS'!X363</f>
        <v>0</v>
      </c>
      <c r="Y363" s="325">
        <f>'ALL ML SYSTEMS'!Y363</f>
        <v>0</v>
      </c>
      <c r="Z363" s="325">
        <f>'ALL ML SYSTEMS'!Z363</f>
        <v>0</v>
      </c>
      <c r="AA363" s="341" t="str">
        <f>'ALL ML SYSTEMS'!AA363</f>
        <v/>
      </c>
      <c r="AB363" s="325"/>
      <c r="AC363" s="325">
        <f>'ALL ML SYSTEMS'!AB363</f>
        <v>0</v>
      </c>
      <c r="AD363" s="325">
        <f>'ALL ML SYSTEMS'!AC363</f>
        <v>0</v>
      </c>
    </row>
    <row r="364" customHeight="1" spans="1:30">
      <c r="A364" s="323">
        <f>'ALL ML SYSTEMS'!A364</f>
        <v>0</v>
      </c>
      <c r="B364" s="323" t="str">
        <f>'ALL ML SYSTEMS'!B364</f>
        <v>Language</v>
      </c>
      <c r="C364" s="323">
        <f>'ALL ML SYSTEMS'!C364</f>
        <v>0</v>
      </c>
      <c r="D364" s="323" t="str">
        <f>'ALL ML SYSTEMS'!D364</f>
        <v>Stanford</v>
      </c>
      <c r="E364" s="323" t="str">
        <f>'ALL ML SYSTEMS'!E364</f>
        <v>Academia</v>
      </c>
      <c r="F364" s="323" t="str">
        <f>'ALL ML SYSTEMS'!F364</f>
        <v>R. Socher, J. Pennington, E. H. Huang, A. Y. Ng, and C. D. Manning</v>
      </c>
      <c r="G364" s="324">
        <f>'ALL ML SYSTEMS'!G364</f>
        <v>40725</v>
      </c>
      <c r="H364" s="329">
        <f>'ALL ML SYSTEMS'!H364</f>
        <v>725</v>
      </c>
      <c r="I364" s="323" t="str">
        <f>'ALL ML SYSTEMS'!I364</f>
        <v>Semi-supervised recursive autoencoders for predicting sentiment distributions</v>
      </c>
      <c r="J364" s="334" t="str">
        <f>'ALL ML SYSTEMS'!J364</f>
        <v>https://aclanthology.org/D11-1014/</v>
      </c>
      <c r="K364" s="335">
        <f>'ALL ML SYSTEMS'!K364</f>
        <v>1477</v>
      </c>
      <c r="L364" s="323" t="str">
        <f>'ALL ML SYSTEMS'!L364</f>
        <v>Highly cited</v>
      </c>
      <c r="M364" s="335" t="str">
        <f>'ALL ML SYSTEMS'!M364</f>
        <v>Yes</v>
      </c>
      <c r="N364" s="335">
        <f>'ALL ML SYSTEMS'!N364</f>
        <v>0</v>
      </c>
      <c r="O364" s="335">
        <f>'ALL ML SYSTEMS'!O364</f>
        <v>0</v>
      </c>
      <c r="P364" s="336">
        <f>'ALL ML SYSTEMS'!P364</f>
        <v>0</v>
      </c>
      <c r="Q364" s="335">
        <f>'ALL ML SYSTEMS'!Q364</f>
        <v>0</v>
      </c>
      <c r="R364" s="323">
        <f>'ALL ML SYSTEMS'!R364</f>
        <v>0</v>
      </c>
      <c r="S364" s="335">
        <f>'ALL ML SYSTEMS'!S364</f>
        <v>0</v>
      </c>
      <c r="T364" s="323">
        <f>'ALL ML SYSTEMS'!T364</f>
        <v>0</v>
      </c>
      <c r="U364" s="323">
        <f>'ALL ML SYSTEMS'!U364</f>
        <v>0</v>
      </c>
      <c r="V364" s="323">
        <f>'ALL ML SYSTEMS'!V364</f>
        <v>0</v>
      </c>
      <c r="W364" s="323">
        <f>'ALL ML SYSTEMS'!W364</f>
        <v>0</v>
      </c>
      <c r="X364" s="323">
        <f>'ALL ML SYSTEMS'!X364</f>
        <v>0</v>
      </c>
      <c r="Y364" s="323">
        <f>'ALL ML SYSTEMS'!Y364</f>
        <v>0</v>
      </c>
      <c r="Z364" s="323">
        <f>'ALL ML SYSTEMS'!Z364</f>
        <v>0</v>
      </c>
      <c r="AA364" s="340" t="str">
        <f>'ALL ML SYSTEMS'!AA364</f>
        <v/>
      </c>
      <c r="AB364" s="323">
        <f>'ALL ML SYSTEMS'!AB364</f>
        <v>0</v>
      </c>
      <c r="AC364" s="323">
        <f>'ALL ML SYSTEMS'!AC364</f>
        <v>0</v>
      </c>
      <c r="AD364" s="323" t="str">
        <f>'ALL ML SYSTEMS'!AD364</f>
        <v>Academia</v>
      </c>
    </row>
    <row r="365" hidden="1" customHeight="1" spans="1:30">
      <c r="A365" s="325" t="str">
        <f>'ALL ML SYSTEMS'!A365</f>
        <v>Bayesian Starcraft</v>
      </c>
      <c r="B365" s="325" t="str">
        <f>'ALL ML SYSTEMS'!B365</f>
        <v>Games</v>
      </c>
      <c r="C365" s="325">
        <f>'ALL ML SYSTEMS'!C365</f>
        <v>0</v>
      </c>
      <c r="D365" s="325" t="str">
        <f>'ALL ML SYSTEMS'!D365</f>
        <v>Collège de France</v>
      </c>
      <c r="E365" s="325" t="str">
        <f>'ALL ML SYSTEMS'!E365</f>
        <v>Academia</v>
      </c>
      <c r="F365" s="325" t="str">
        <f>'ALL ML SYSTEMS'!F365</f>
        <v>G Synnaeve, P Bessiere</v>
      </c>
      <c r="G365" s="326">
        <f>'ALL ML SYSTEMS'!G365</f>
        <v>40786</v>
      </c>
      <c r="H365" s="327">
        <f>'ALL ML SYSTEMS'!H365</f>
        <v>786</v>
      </c>
      <c r="I365" s="325" t="str">
        <f>'ALL ML SYSTEMS'!I365</f>
        <v>A Bayesian Model for RTS Units Control applied to StarCraft</v>
      </c>
      <c r="J365" s="337" t="str">
        <f>'ALL ML SYSTEMS'!J365</f>
        <v>https://ieeexplore.ieee.org/document/6032006</v>
      </c>
      <c r="K365" s="338">
        <f>'ALL ML SYSTEMS'!K365</f>
        <v>86</v>
      </c>
      <c r="L365" s="325">
        <f>'ALL ML SYSTEMS'!L365</f>
        <v>0</v>
      </c>
      <c r="M365" s="338" t="str">
        <f>'ALL ML SYSTEMS'!M365</f>
        <v>No</v>
      </c>
      <c r="N365" s="338">
        <f>'ALL ML SYSTEMS'!N365</f>
        <v>13125</v>
      </c>
      <c r="O365" s="338">
        <f>'ALL ML SYSTEMS'!O365</f>
        <v>0</v>
      </c>
      <c r="P365" s="339">
        <f>'ALL ML SYSTEMS'!P365</f>
        <v>0</v>
      </c>
      <c r="Q365" s="338">
        <f>'ALL ML SYSTEMS'!Q365</f>
        <v>0</v>
      </c>
      <c r="R365" s="325">
        <f>'ALL ML SYSTEMS'!R365</f>
        <v>0</v>
      </c>
      <c r="S365" s="338">
        <f>'ALL ML SYSTEMS'!S365</f>
        <v>0</v>
      </c>
      <c r="T365" s="325">
        <f>'ALL ML SYSTEMS'!T365</f>
        <v>0</v>
      </c>
      <c r="U365" s="325">
        <f>'ALL ML SYSTEMS'!U365</f>
        <v>0</v>
      </c>
      <c r="V365" s="325">
        <f>'ALL ML SYSTEMS'!V365</f>
        <v>0</v>
      </c>
      <c r="W365" s="325">
        <f>'ALL ML SYSTEMS'!W365</f>
        <v>0</v>
      </c>
      <c r="X365" s="325">
        <f>'ALL ML SYSTEMS'!X365</f>
        <v>0</v>
      </c>
      <c r="Y365" s="325">
        <f>'ALL ML SYSTEMS'!Y365</f>
        <v>0</v>
      </c>
      <c r="Z365" s="325">
        <f>'ALL ML SYSTEMS'!Z365</f>
        <v>0</v>
      </c>
      <c r="AA365" s="341" t="str">
        <f>'ALL ML SYSTEMS'!AA365</f>
        <v/>
      </c>
      <c r="AB365" s="325"/>
      <c r="AC365" s="325">
        <f>'ALL ML SYSTEMS'!AB365</f>
        <v>0</v>
      </c>
      <c r="AD365" s="325">
        <f>'ALL ML SYSTEMS'!AC365</f>
        <v>0</v>
      </c>
    </row>
    <row r="366" customHeight="1" spans="1:30">
      <c r="A366" s="323">
        <f>'ALL ML SYSTEMS'!A366</f>
        <v>0</v>
      </c>
      <c r="B366" s="323">
        <f>'ALL ML SYSTEMS'!B366</f>
        <v>0</v>
      </c>
      <c r="C366" s="323">
        <f>'ALL ML SYSTEMS'!C366</f>
        <v>0</v>
      </c>
      <c r="D366" s="323" t="str">
        <f>'ALL ML SYSTEMS'!D366</f>
        <v>Univeristy of California Berkley, Technion- Israel Institute of Technology, Google</v>
      </c>
      <c r="E366" s="323" t="str">
        <f>'ALL ML SYSTEMS'!E366</f>
        <v>Industry - Academia Collaboration</v>
      </c>
      <c r="F366" s="323" t="str">
        <f>'ALL ML SYSTEMS'!F366</f>
        <v>J Duchi, E Hazan, Y Singer</v>
      </c>
      <c r="G366" s="324">
        <f>'ALL ML SYSTEMS'!G366</f>
        <v>40819</v>
      </c>
      <c r="H366" s="329">
        <f>'ALL ML SYSTEMS'!H366</f>
        <v>819</v>
      </c>
      <c r="I366" s="323" t="str">
        <f>'ALL ML SYSTEMS'!I366</f>
        <v>Adaptive Subgradient Methods for Online Learning and Stochastic Optimization</v>
      </c>
      <c r="J366" s="334" t="str">
        <f>'ALL ML SYSTEMS'!J366</f>
        <v>https://dl.acm.org/doi/10.5555/1953048.2021068</v>
      </c>
      <c r="K366" s="335">
        <f>'ALL ML SYSTEMS'!K366</f>
        <v>8811</v>
      </c>
      <c r="L366" s="323" t="str">
        <f>'ALL ML SYSTEMS'!L366</f>
        <v>Highly cited</v>
      </c>
      <c r="M366" s="335" t="str">
        <f>'ALL ML SYSTEMS'!M366</f>
        <v>Yes</v>
      </c>
      <c r="N366" s="335">
        <f>'ALL ML SYSTEMS'!N366</f>
        <v>0</v>
      </c>
      <c r="O366" s="335">
        <f>'ALL ML SYSTEMS'!O366</f>
        <v>0</v>
      </c>
      <c r="P366" s="336">
        <f>'ALL ML SYSTEMS'!P366</f>
        <v>0</v>
      </c>
      <c r="Q366" s="335">
        <f>'ALL ML SYSTEMS'!Q366</f>
        <v>0</v>
      </c>
      <c r="R366" s="323">
        <f>'ALL ML SYSTEMS'!R366</f>
        <v>0</v>
      </c>
      <c r="S366" s="335">
        <f>'ALL ML SYSTEMS'!S366</f>
        <v>0</v>
      </c>
      <c r="T366" s="323">
        <f>'ALL ML SYSTEMS'!T366</f>
        <v>0</v>
      </c>
      <c r="U366" s="323">
        <f>'ALL ML SYSTEMS'!U366</f>
        <v>0</v>
      </c>
      <c r="V366" s="323">
        <f>'ALL ML SYSTEMS'!V366</f>
        <v>0</v>
      </c>
      <c r="W366" s="323">
        <f>'ALL ML SYSTEMS'!W366</f>
        <v>0</v>
      </c>
      <c r="X366" s="323">
        <f>'ALL ML SYSTEMS'!X366</f>
        <v>0</v>
      </c>
      <c r="Y366" s="323">
        <f>'ALL ML SYSTEMS'!Y366</f>
        <v>0</v>
      </c>
      <c r="Z366" s="323">
        <f>'ALL ML SYSTEMS'!Z366</f>
        <v>0</v>
      </c>
      <c r="AA366" s="340" t="str">
        <f>'ALL ML SYSTEMS'!AA366</f>
        <v/>
      </c>
      <c r="AB366" s="323">
        <f>'ALL ML SYSTEMS'!AB366</f>
        <v>0</v>
      </c>
      <c r="AC366" s="323">
        <f>'ALL ML SYSTEMS'!AC366</f>
        <v>0</v>
      </c>
      <c r="AD366" s="323" t="str">
        <f>'ALL ML SYSTEMS'!AD366</f>
        <v>Industry</v>
      </c>
    </row>
    <row r="367" customHeight="1" spans="1:30">
      <c r="A367" s="325" t="str">
        <f>'ALL ML SYSTEMS'!A367</f>
        <v>Domain Adaptation</v>
      </c>
      <c r="B367" s="325" t="str">
        <f>'ALL ML SYSTEMS'!B367</f>
        <v>Vision</v>
      </c>
      <c r="C367" s="325" t="str">
        <f>'ALL ML SYSTEMS'!C367</f>
        <v>Object Recognition</v>
      </c>
      <c r="D367" s="325" t="str">
        <f>'ALL ML SYSTEMS'!D367</f>
        <v>University of Maryland, College Park</v>
      </c>
      <c r="E367" s="325" t="str">
        <f>'ALL ML SYSTEMS'!E367</f>
        <v>Academia</v>
      </c>
      <c r="F367" s="325" t="str">
        <f>'ALL ML SYSTEMS'!F367</f>
        <v>Raghuraman Gopalan, Ruonan Li, Rama Chellappa</v>
      </c>
      <c r="G367" s="326">
        <f>'ALL ML SYSTEMS'!G367</f>
        <v>40853</v>
      </c>
      <c r="H367" s="327">
        <f>'ALL ML SYSTEMS'!H367</f>
        <v>853</v>
      </c>
      <c r="I367" s="325" t="str">
        <f>'ALL ML SYSTEMS'!I367</f>
        <v>Domain Adaptation for Object Recognition: An Unsupervised Approach</v>
      </c>
      <c r="J367" s="337" t="str">
        <f>'ALL ML SYSTEMS'!J367</f>
        <v>http://ftp.idiap.ch/pub/courses/EE-700/material/05-12-2012/2011_ICCV_DomainAdaptation.pdf</v>
      </c>
      <c r="K367" s="338">
        <f>'ALL ML SYSTEMS'!K367</f>
        <v>1061</v>
      </c>
      <c r="L367" s="325" t="str">
        <f>'ALL ML SYSTEMS'!L367</f>
        <v>Highly cited</v>
      </c>
      <c r="M367" s="338" t="str">
        <f>'ALL ML SYSTEMS'!M367</f>
        <v>Yes</v>
      </c>
      <c r="N367" s="338">
        <f>'ALL ML SYSTEMS'!N367</f>
        <v>15260</v>
      </c>
      <c r="O367" s="338">
        <f>'ALL ML SYSTEMS'!O367</f>
        <v>0</v>
      </c>
      <c r="P367" s="339" t="str">
        <f>'ALL ML SYSTEMS'!P367</f>
        <v>Dataset introduced in 'Adapting Visual Category Models to New Domains'</v>
      </c>
      <c r="Q367" s="338">
        <f>'ALL ML SYSTEMS'!Q367</f>
        <v>4652</v>
      </c>
      <c r="R367" s="325">
        <f>'ALL ML SYSTEMS'!R367</f>
        <v>0</v>
      </c>
      <c r="S367" s="338">
        <f>'ALL ML SYSTEMS'!S367</f>
        <v>0</v>
      </c>
      <c r="T367" s="325">
        <f>'ALL ML SYSTEMS'!T367</f>
        <v>0</v>
      </c>
      <c r="U367" s="325">
        <f>'ALL ML SYSTEMS'!U367</f>
        <v>0</v>
      </c>
      <c r="V367" s="325">
        <f>'ALL ML SYSTEMS'!V367</f>
        <v>0</v>
      </c>
      <c r="W367" s="325">
        <f>'ALL ML SYSTEMS'!W367</f>
        <v>0</v>
      </c>
      <c r="X367" s="325" t="str">
        <f>'ALL ML SYSTEMS'!X367</f>
        <v>Supervised</v>
      </c>
      <c r="Y367" s="325">
        <f>'ALL ML SYSTEMS'!Y367</f>
        <v>0</v>
      </c>
      <c r="Z367" s="325">
        <f>'ALL ML SYSTEMS'!Z367</f>
        <v>0</v>
      </c>
      <c r="AA367" s="341" t="str">
        <f>'ALL ML SYSTEMS'!AA367</f>
        <v/>
      </c>
      <c r="AB367" s="325">
        <f>'ALL ML SYSTEMS'!AB367</f>
        <v>0</v>
      </c>
      <c r="AC367" s="325">
        <f>'ALL ML SYSTEMS'!AC367</f>
        <v>0</v>
      </c>
      <c r="AD367" s="325" t="str">
        <f>'ALL ML SYSTEMS'!AD367</f>
        <v>Academia</v>
      </c>
    </row>
    <row r="368" customHeight="1" spans="1:30">
      <c r="A368" s="323" t="str">
        <f>'ALL ML SYSTEMS'!A368</f>
        <v>NLP from scratch</v>
      </c>
      <c r="B368" s="323" t="str">
        <f>'ALL ML SYSTEMS'!B368</f>
        <v>Language</v>
      </c>
      <c r="C368" s="323">
        <f>'ALL ML SYSTEMS'!C368</f>
        <v>0</v>
      </c>
      <c r="D368" s="323" t="str">
        <f>'ALL ML SYSTEMS'!D368</f>
        <v>NEC Laboratories, Princeton</v>
      </c>
      <c r="E368" s="323" t="str">
        <f>'ALL ML SYSTEMS'!E368</f>
        <v>Industry - Academia Collaboration</v>
      </c>
      <c r="F368" s="323" t="str">
        <f>'ALL ML SYSTEMS'!F368</f>
        <v>Ronan Collobert, J. Weston, L. Bottou, Michael Karlen, K. Kavukcuoglu, P. Kuksa</v>
      </c>
      <c r="G368" s="324">
        <f>'ALL ML SYSTEMS'!G368</f>
        <v>40855</v>
      </c>
      <c r="H368" s="329">
        <f>'ALL ML SYSTEMS'!H368</f>
        <v>855</v>
      </c>
      <c r="I368" s="323" t="str">
        <f>'ALL ML SYSTEMS'!I368</f>
        <v>Natural Language Processing (Almost) from Scratch</v>
      </c>
      <c r="J368" s="334" t="str">
        <f>'ALL ML SYSTEMS'!J368</f>
        <v>https://www.jmlr.org/papers/volume12/collobert11a/collobert11a.pdf</v>
      </c>
      <c r="K368" s="335">
        <f>'ALL ML SYSTEMS'!K368</f>
        <v>7640</v>
      </c>
      <c r="L368" s="323" t="str">
        <f>'ALL ML SYSTEMS'!L368</f>
        <v>Highly cited</v>
      </c>
      <c r="M368" s="335" t="str">
        <f>'ALL ML SYSTEMS'!M368</f>
        <v>Yes</v>
      </c>
      <c r="N368" s="335">
        <f>'ALL ML SYSTEMS'!N368</f>
        <v>5000000</v>
      </c>
      <c r="O368" s="335">
        <f>'ALL ML SYSTEMS'!O368</f>
        <v>0</v>
      </c>
      <c r="P368" s="336">
        <f>'ALL ML SYSTEMS'!P368</f>
        <v>0</v>
      </c>
      <c r="Q368" s="335">
        <f>'ALL ML SYSTEMS'!Q368</f>
        <v>852000000</v>
      </c>
      <c r="R368" s="323">
        <f>'ALL ML SYSTEMS'!R368</f>
        <v>0</v>
      </c>
      <c r="S368" s="335">
        <f>'ALL ML SYSTEMS'!S368</f>
        <v>0</v>
      </c>
      <c r="T368" s="323">
        <f>'ALL ML SYSTEMS'!T368</f>
        <v>0</v>
      </c>
      <c r="U368" s="323">
        <f>'ALL ML SYSTEMS'!U368</f>
        <v>0</v>
      </c>
      <c r="V368" s="323">
        <f>'ALL ML SYSTEMS'!V368</f>
        <v>0</v>
      </c>
      <c r="W368" s="323">
        <f>'ALL ML SYSTEMS'!W368</f>
        <v>0</v>
      </c>
      <c r="X368" s="323">
        <f>'ALL ML SYSTEMS'!X368</f>
        <v>0</v>
      </c>
      <c r="Y368" s="323">
        <f>'ALL ML SYSTEMS'!Y368</f>
        <v>0</v>
      </c>
      <c r="Z368" s="323">
        <f>'ALL ML SYSTEMS'!Z368</f>
        <v>0</v>
      </c>
      <c r="AA368" s="340" t="str">
        <f>'ALL ML SYSTEMS'!AA368</f>
        <v/>
      </c>
      <c r="AB368" s="323">
        <f>'ALL ML SYSTEMS'!AB368</f>
        <v>0</v>
      </c>
      <c r="AC368" s="323">
        <f>'ALL ML SYSTEMS'!AC368</f>
        <v>0</v>
      </c>
      <c r="AD368" s="323" t="str">
        <f>'ALL ML SYSTEMS'!AD368</f>
        <v>Industry</v>
      </c>
    </row>
    <row r="369" customHeight="1" spans="1:30">
      <c r="A369" s="325">
        <f>'ALL ML SYSTEMS'!A369</f>
        <v>0</v>
      </c>
      <c r="B369" s="325">
        <f>'ALL ML SYSTEMS'!B369</f>
        <v>0</v>
      </c>
      <c r="C369" s="325">
        <f>'ALL ML SYSTEMS'!C369</f>
        <v>0</v>
      </c>
      <c r="D369" s="325" t="str">
        <f>'ALL ML SYSTEMS'!D369</f>
        <v>University of Wisconsin Madison</v>
      </c>
      <c r="E369" s="325" t="str">
        <f>'ALL ML SYSTEMS'!E369</f>
        <v>Academia</v>
      </c>
      <c r="F369" s="325" t="str">
        <f>'ALL ML SYSTEMS'!F369</f>
        <v>F Niu, B Recht, C Ré, SJ Wright</v>
      </c>
      <c r="G369" s="326">
        <f>'ALL ML SYSTEMS'!G369</f>
        <v>40858</v>
      </c>
      <c r="H369" s="327">
        <f>'ALL ML SYSTEMS'!H369</f>
        <v>858</v>
      </c>
      <c r="I369" s="325" t="str">
        <f>'ALL ML SYSTEMS'!I369</f>
        <v>HOGWILD!: A Lock-Free Approach to Parallelizing Stochastic Gradient Descent</v>
      </c>
      <c r="J369" s="337" t="str">
        <f>'ALL ML SYSTEMS'!J369</f>
        <v>https://arxiv.org/abs/1106.5730</v>
      </c>
      <c r="K369" s="338">
        <f>'ALL ML SYSTEMS'!K369</f>
        <v>2124</v>
      </c>
      <c r="L369" s="325" t="str">
        <f>'ALL ML SYSTEMS'!L369</f>
        <v>Highly cited</v>
      </c>
      <c r="M369" s="338" t="str">
        <f>'ALL ML SYSTEMS'!M369</f>
        <v>Yes</v>
      </c>
      <c r="N369" s="338">
        <f>'ALL ML SYSTEMS'!N369</f>
        <v>0</v>
      </c>
      <c r="O369" s="338">
        <f>'ALL ML SYSTEMS'!O369</f>
        <v>0</v>
      </c>
      <c r="P369" s="339">
        <f>'ALL ML SYSTEMS'!P369</f>
        <v>0</v>
      </c>
      <c r="Q369" s="338">
        <f>'ALL ML SYSTEMS'!Q369</f>
        <v>0</v>
      </c>
      <c r="R369" s="325">
        <f>'ALL ML SYSTEMS'!R369</f>
        <v>0</v>
      </c>
      <c r="S369" s="338">
        <f>'ALL ML SYSTEMS'!S369</f>
        <v>0</v>
      </c>
      <c r="T369" s="325">
        <f>'ALL ML SYSTEMS'!T369</f>
        <v>0</v>
      </c>
      <c r="U369" s="325">
        <f>'ALL ML SYSTEMS'!U369</f>
        <v>0</v>
      </c>
      <c r="V369" s="325">
        <f>'ALL ML SYSTEMS'!V369</f>
        <v>0</v>
      </c>
      <c r="W369" s="325">
        <f>'ALL ML SYSTEMS'!W369</f>
        <v>0</v>
      </c>
      <c r="X369" s="325">
        <f>'ALL ML SYSTEMS'!X369</f>
        <v>0</v>
      </c>
      <c r="Y369" s="325">
        <f>'ALL ML SYSTEMS'!Y369</f>
        <v>0</v>
      </c>
      <c r="Z369" s="325">
        <f>'ALL ML SYSTEMS'!Z369</f>
        <v>0</v>
      </c>
      <c r="AA369" s="341" t="str">
        <f>'ALL ML SYSTEMS'!AA369</f>
        <v/>
      </c>
      <c r="AB369" s="325">
        <f>'ALL ML SYSTEMS'!AB369</f>
        <v>0</v>
      </c>
      <c r="AC369" s="325">
        <f>'ALL ML SYSTEMS'!AC369</f>
        <v>0</v>
      </c>
      <c r="AD369" s="325" t="str">
        <f>'ALL ML SYSTEMS'!AD369</f>
        <v>Academia</v>
      </c>
    </row>
    <row r="370" customHeight="1" spans="1:30">
      <c r="A370" s="323" t="str">
        <f>'ALL ML SYSTEMS'!A370</f>
        <v>KN5 LM + RNN 400/10 (WSJ)</v>
      </c>
      <c r="B370" s="323" t="str">
        <f>'ALL ML SYSTEMS'!B370</f>
        <v>Speech</v>
      </c>
      <c r="C370" s="323" t="str">
        <f>'ALL ML SYSTEMS'!C370</f>
        <v>Transcription</v>
      </c>
      <c r="D370" s="323" t="str">
        <f>'ALL ML SYSTEMS'!D370</f>
        <v>Brno University of Technology, Johns Hopkins University</v>
      </c>
      <c r="E370" s="323" t="str">
        <f>'ALL ML SYSTEMS'!E370</f>
        <v>Academia</v>
      </c>
      <c r="F370" s="323" t="str">
        <f>'ALL ML SYSTEMS'!F370</f>
        <v>T. Mikolov, M. Karafiat, L. Burget, J. Cernock ´ y, and S. Khudanpur</v>
      </c>
      <c r="G370" s="324">
        <f>'ALL ML SYSTEMS'!G370</f>
        <v>40447</v>
      </c>
      <c r="H370" s="329">
        <f>'ALL ML SYSTEMS'!H370</f>
        <v>447</v>
      </c>
      <c r="I370" s="323" t="str">
        <f>'ALL ML SYSTEMS'!I370</f>
        <v>Recurrent neural network based language model.</v>
      </c>
      <c r="J370" s="334" t="str">
        <f>'ALL ML SYSTEMS'!J370</f>
        <v>https://www.researchgate.net/publication/221489926_Recurrent_neural_network_based_language_model</v>
      </c>
      <c r="K370" s="335">
        <f>'ALL ML SYSTEMS'!K370</f>
        <v>5665</v>
      </c>
      <c r="L370" s="323" t="str">
        <f>'ALL ML SYSTEMS'!L370</f>
        <v>Highly cited</v>
      </c>
      <c r="M370" s="335" t="str">
        <f>'ALL ML SYSTEMS'!M370</f>
        <v>Yes</v>
      </c>
      <c r="N370" s="335">
        <f>'ALL ML SYSTEMS'!N370</f>
        <v>80000000</v>
      </c>
      <c r="O370" s="335">
        <f>'ALL ML SYSTEMS'!O370</f>
        <v>6.144e+16</v>
      </c>
      <c r="P370" s="336" t="str">
        <f>'ALL ML SYSTEMS'!P370</f>
        <v>WSJ</v>
      </c>
      <c r="Q370" s="335">
        <f>'ALL ML SYSTEMS'!Q370</f>
        <v>6400000</v>
      </c>
      <c r="R370" s="323">
        <f>'ALL ML SYSTEMS'!R370</f>
        <v>0</v>
      </c>
      <c r="S370" s="335">
        <f>'ALL ML SYSTEMS'!S370</f>
        <v>160000000</v>
      </c>
      <c r="T370" s="323">
        <f>'ALL ML SYSTEMS'!T370</f>
        <v>0</v>
      </c>
      <c r="U370" s="323">
        <f>'ALL ML SYSTEMS'!U370</f>
        <v>0</v>
      </c>
      <c r="V370" s="323">
        <f>'ALL ML SYSTEMS'!V370</f>
        <v>0</v>
      </c>
      <c r="W370" s="323">
        <f>'ALL ML SYSTEMS'!W370</f>
        <v>0</v>
      </c>
      <c r="X370" s="323">
        <f>'ALL ML SYSTEMS'!X370</f>
        <v>0</v>
      </c>
      <c r="Y370" s="323">
        <f>'ALL ML SYSTEMS'!Y370</f>
        <v>0</v>
      </c>
      <c r="Z370" s="323">
        <f>'ALL ML SYSTEMS'!Z370</f>
        <v>0</v>
      </c>
      <c r="AA370" s="340">
        <f>'ALL ML SYSTEMS'!AA370</f>
        <v>2.0283479276474</v>
      </c>
      <c r="AB370" s="323">
        <f>'ALL ML SYSTEMS'!AB370</f>
        <v>0</v>
      </c>
      <c r="AC370" s="323">
        <f>'ALL ML SYSTEMS'!AC370</f>
        <v>0</v>
      </c>
      <c r="AD370" s="323" t="str">
        <f>'ALL ML SYSTEMS'!AD370</f>
        <v>Academia</v>
      </c>
    </row>
    <row r="371" customHeight="1" spans="1:30">
      <c r="A371" s="325" t="str">
        <f>'ALL ML SYSTEMS'!A371</f>
        <v>RNN 500/10 + RT09 LM (NIST RT05)</v>
      </c>
      <c r="B371" s="325" t="str">
        <f>'ALL ML SYSTEMS'!B371</f>
        <v>Speech</v>
      </c>
      <c r="C371" s="325" t="str">
        <f>'ALL ML SYSTEMS'!C371</f>
        <v>Transcription</v>
      </c>
      <c r="D371" s="325" t="str">
        <f>'ALL ML SYSTEMS'!D371</f>
        <v>Brno University of Technology, Johns Hopkins University</v>
      </c>
      <c r="E371" s="325" t="str">
        <f>'ALL ML SYSTEMS'!E371</f>
        <v>Academia</v>
      </c>
      <c r="F371" s="325" t="str">
        <f>'ALL ML SYSTEMS'!F371</f>
        <v>T. Mikolov, M. Karafiat, L. Burget, J. Cernock ´ y, and S. Khudanpur</v>
      </c>
      <c r="G371" s="326">
        <f>'ALL ML SYSTEMS'!G371</f>
        <v>40447</v>
      </c>
      <c r="H371" s="327">
        <f>'ALL ML SYSTEMS'!H371</f>
        <v>447</v>
      </c>
      <c r="I371" s="325" t="str">
        <f>'ALL ML SYSTEMS'!I371</f>
        <v>Recurrent neural network based language model.</v>
      </c>
      <c r="J371" s="337" t="str">
        <f>'ALL ML SYSTEMS'!J371</f>
        <v>https://www.researchgate.net/publication/221489926_Recurrent_neural_network_based_language_model</v>
      </c>
      <c r="K371" s="338">
        <f>'ALL ML SYSTEMS'!K371</f>
        <v>5665</v>
      </c>
      <c r="L371" s="325" t="str">
        <f>'ALL ML SYSTEMS'!L371</f>
        <v>Highly cited</v>
      </c>
      <c r="M371" s="338" t="str">
        <f>'ALL ML SYSTEMS'!M371</f>
        <v>Yes</v>
      </c>
      <c r="N371" s="338">
        <f>'ALL ML SYSTEMS'!N371</f>
        <v>5269500</v>
      </c>
      <c r="O371" s="338">
        <f>'ALL ML SYSTEMS'!O371</f>
        <v>3414636000000000</v>
      </c>
      <c r="P371" s="339" t="str">
        <f>'ALL ML SYSTEMS'!P371</f>
        <v>NIST RT05</v>
      </c>
      <c r="Q371" s="338">
        <f>'ALL ML SYSTEMS'!Q371</f>
        <v>5400000</v>
      </c>
      <c r="R371" s="325">
        <f>'ALL ML SYSTEMS'!R371</f>
        <v>0</v>
      </c>
      <c r="S371" s="338">
        <f>'ALL ML SYSTEMS'!S371</f>
        <v>10539000</v>
      </c>
      <c r="T371" s="325">
        <f>'ALL ML SYSTEMS'!T371</f>
        <v>0</v>
      </c>
      <c r="U371" s="325">
        <f>'ALL ML SYSTEMS'!U371</f>
        <v>0</v>
      </c>
      <c r="V371" s="325">
        <f>'ALL ML SYSTEMS'!V371</f>
        <v>0</v>
      </c>
      <c r="W371" s="325">
        <f>'ALL ML SYSTEMS'!W371</f>
        <v>0</v>
      </c>
      <c r="X371" s="325">
        <f>'ALL ML SYSTEMS'!X371</f>
        <v>0</v>
      </c>
      <c r="Y371" s="325">
        <f>'ALL ML SYSTEMS'!Y371</f>
        <v>0</v>
      </c>
      <c r="Z371" s="325">
        <f>'ALL ML SYSTEMS'!Z371</f>
        <v>0</v>
      </c>
      <c r="AA371" s="341">
        <f>'ALL ML SYSTEMS'!AA371</f>
        <v>0.113055458262314</v>
      </c>
      <c r="AB371" s="325">
        <f>'ALL ML SYSTEMS'!AB371</f>
        <v>0</v>
      </c>
      <c r="AC371" s="325">
        <f>'ALL ML SYSTEMS'!AC371</f>
        <v>0</v>
      </c>
      <c r="AD371" s="325" t="str">
        <f>'ALL ML SYSTEMS'!AD371</f>
        <v>Academia</v>
      </c>
    </row>
    <row r="372" customHeight="1" spans="1:30">
      <c r="A372" s="323" t="str">
        <f>'ALL ML SYSTEMS'!A372</f>
        <v>Feedforward NN</v>
      </c>
      <c r="B372" s="323" t="str">
        <f>'ALL ML SYSTEMS'!B372</f>
        <v>Vision</v>
      </c>
      <c r="C372" s="323" t="str">
        <f>'ALL ML SYSTEMS'!C372</f>
        <v>Digit recognition</v>
      </c>
      <c r="D372" s="323" t="str">
        <f>'ALL ML SYSTEMS'!D372</f>
        <v>University of Montreal</v>
      </c>
      <c r="E372" s="323" t="str">
        <f>'ALL ML SYSTEMS'!E372</f>
        <v>Academia</v>
      </c>
      <c r="F372" s="323" t="str">
        <f>'ALL ML SYSTEMS'!F372</f>
        <v>X Glorot, Y Bengio</v>
      </c>
      <c r="G372" s="324">
        <f>'ALL ML SYSTEMS'!G372</f>
        <v>40311</v>
      </c>
      <c r="H372" s="329">
        <f>'ALL ML SYSTEMS'!H372</f>
        <v>311</v>
      </c>
      <c r="I372" s="323" t="str">
        <f>'ALL ML SYSTEMS'!I372</f>
        <v>Understanding the difficulty of training deep feedforward neural networks</v>
      </c>
      <c r="J372" s="334" t="str">
        <f>'ALL ML SYSTEMS'!J372</f>
        <v>https://proceedings.mlr.press/v9/glorot10a.html</v>
      </c>
      <c r="K372" s="335">
        <f>'ALL ML SYSTEMS'!K372</f>
        <v>13309</v>
      </c>
      <c r="L372" s="323" t="str">
        <f>'ALL ML SYSTEMS'!L372</f>
        <v>Highly cited</v>
      </c>
      <c r="M372" s="335" t="str">
        <f>'ALL ML SYSTEMS'!M372</f>
        <v>Yes</v>
      </c>
      <c r="N372" s="335">
        <f>'ALL ML SYSTEMS'!N372</f>
        <v>7082000</v>
      </c>
      <c r="O372" s="335">
        <f>'ALL ML SYSTEMS'!O372</f>
        <v>350000000000000</v>
      </c>
      <c r="P372" s="336" t="str">
        <f>'ALL ML SYSTEMS'!P372</f>
        <v>MNIST</v>
      </c>
      <c r="Q372" s="335">
        <f>'ALL ML SYSTEMS'!Q372</f>
        <v>0</v>
      </c>
      <c r="R372" s="323">
        <f>'ALL ML SYSTEMS'!R372</f>
        <v>0</v>
      </c>
      <c r="S372" s="335">
        <f>'ALL ML SYSTEMS'!S372</f>
        <v>14000000</v>
      </c>
      <c r="T372" s="323">
        <f>'ALL ML SYSTEMS'!T372</f>
        <v>0</v>
      </c>
      <c r="U372" s="323">
        <f>'ALL ML SYSTEMS'!U372</f>
        <v>0</v>
      </c>
      <c r="V372" s="323">
        <f>'ALL ML SYSTEMS'!V372</f>
        <v>0</v>
      </c>
      <c r="W372" s="323">
        <f>'ALL ML SYSTEMS'!W372</f>
        <v>0</v>
      </c>
      <c r="X372" s="323">
        <f>'ALL ML SYSTEMS'!X372</f>
        <v>0</v>
      </c>
      <c r="Y372" s="323">
        <f>'ALL ML SYSTEMS'!Y372</f>
        <v>0</v>
      </c>
      <c r="Z372" s="323">
        <f>'ALL ML SYSTEMS'!Z372</f>
        <v>0</v>
      </c>
      <c r="AA372" s="340">
        <f>'ALL ML SYSTEMS'!AA372</f>
        <v>0.0129257750226527</v>
      </c>
      <c r="AB372" s="323">
        <f>'ALL ML SYSTEMS'!AB372</f>
        <v>0</v>
      </c>
      <c r="AC372" s="323">
        <f>'ALL ML SYSTEMS'!AC372</f>
        <v>0</v>
      </c>
      <c r="AD372" s="323" t="str">
        <f>'ALL ML SYSTEMS'!AD372</f>
        <v>Academia</v>
      </c>
    </row>
    <row r="373" customHeight="1" spans="1:30">
      <c r="A373" s="325" t="str">
        <f>'ALL ML SYSTEMS'!A373</f>
        <v>6-layer MLP (MNIST)</v>
      </c>
      <c r="B373" s="325" t="str">
        <f>'ALL ML SYSTEMS'!B373</f>
        <v>Vision</v>
      </c>
      <c r="C373" s="325" t="str">
        <f>'ALL ML SYSTEMS'!C373</f>
        <v>Character recognition</v>
      </c>
      <c r="D373" s="325" t="str">
        <f>'ALL ML SYSTEMS'!D373</f>
        <v>IDSIA ; University of Lugano &amp; SUPSI</v>
      </c>
      <c r="E373" s="325" t="str">
        <f>'ALL ML SYSTEMS'!E373</f>
        <v>Academia</v>
      </c>
      <c r="F373" s="325" t="str">
        <f>'ALL ML SYSTEMS'!F373</f>
        <v>Dan Claudiu Ciresan, Ueli Meier, Luca Maria Gambardella, Juergen Schmidhuber</v>
      </c>
      <c r="G373" s="326">
        <f>'ALL ML SYSTEMS'!G373</f>
        <v>40238</v>
      </c>
      <c r="H373" s="327">
        <f>'ALL ML SYSTEMS'!H373</f>
        <v>238</v>
      </c>
      <c r="I373" s="325" t="str">
        <f>'ALL ML SYSTEMS'!I373</f>
        <v>Deep Big Simple Neural Nets Excel on Handwritten Digit Recognition</v>
      </c>
      <c r="J373" s="337" t="str">
        <f>'ALL ML SYSTEMS'!J373</f>
        <v>https://arxiv.org/abs/1003.0358</v>
      </c>
      <c r="K373" s="338">
        <f>'ALL ML SYSTEMS'!K373</f>
        <v>1264</v>
      </c>
      <c r="L373" s="325" t="str">
        <f>'ALL ML SYSTEMS'!L373</f>
        <v>Highly cited</v>
      </c>
      <c r="M373" s="338" t="str">
        <f>'ALL ML SYSTEMS'!M373</f>
        <v>Yes</v>
      </c>
      <c r="N373" s="338">
        <f>'ALL ML SYSTEMS'!N373</f>
        <v>12110000</v>
      </c>
      <c r="O373" s="338">
        <f>'ALL ML SYSTEMS'!O373</f>
        <v>130788000000000</v>
      </c>
      <c r="P373" s="339" t="str">
        <f>'ALL ML SYSTEMS'!P373</f>
        <v>MNIST</v>
      </c>
      <c r="Q373" s="338">
        <f>'ALL ML SYSTEMS'!Q373</f>
        <v>60000</v>
      </c>
      <c r="R373" s="325">
        <f>'ALL ML SYSTEMS'!R373</f>
        <v>0</v>
      </c>
      <c r="S373" s="338">
        <f>'ALL ML SYSTEMS'!S373</f>
        <v>0</v>
      </c>
      <c r="T373" s="325">
        <f>'ALL ML SYSTEMS'!T373</f>
        <v>0</v>
      </c>
      <c r="U373" s="325">
        <f>'ALL ML SYSTEMS'!U373</f>
        <v>0</v>
      </c>
      <c r="V373" s="325">
        <f>'ALL ML SYSTEMS'!V373</f>
        <v>0</v>
      </c>
      <c r="W373" s="325">
        <f>'ALL ML SYSTEMS'!W373</f>
        <v>0</v>
      </c>
      <c r="X373" s="325">
        <f>'ALL ML SYSTEMS'!X373</f>
        <v>0</v>
      </c>
      <c r="Y373" s="325">
        <f>'ALL ML SYSTEMS'!Y373</f>
        <v>0</v>
      </c>
      <c r="Z373" s="325">
        <f>'ALL ML SYSTEMS'!Z373</f>
        <v>0</v>
      </c>
      <c r="AA373" s="341">
        <f>'ALL ML SYSTEMS'!AA373</f>
        <v>0.00738138726456491</v>
      </c>
      <c r="AB373" s="325">
        <f>'ALL ML SYSTEMS'!AB373</f>
        <v>0</v>
      </c>
      <c r="AC373" s="325">
        <f>'ALL ML SYSTEMS'!AC373</f>
        <v>0</v>
      </c>
      <c r="AD373" s="325" t="str">
        <f>'ALL ML SYSTEMS'!AD373</f>
        <v>Academia</v>
      </c>
    </row>
    <row r="374" customHeight="1" spans="1:30">
      <c r="A374" s="323">
        <f>'ALL ML SYSTEMS'!A374</f>
        <v>0</v>
      </c>
      <c r="B374" s="323">
        <f>'ALL ML SYSTEMS'!B374</f>
        <v>0</v>
      </c>
      <c r="C374" s="323">
        <f>'ALL ML SYSTEMS'!C374</f>
        <v>0</v>
      </c>
      <c r="D374" s="323" t="str">
        <f>'ALL ML SYSTEMS'!D374</f>
        <v>University of Montreal, University of Toronto</v>
      </c>
      <c r="E374" s="323" t="str">
        <f>'ALL ML SYSTEMS'!E374</f>
        <v>Academia</v>
      </c>
      <c r="F374" s="323" t="str">
        <f>'ALL ML SYSTEMS'!F374</f>
        <v>P Vincent, H Larochelle, I Lajoie, Y Bengio</v>
      </c>
      <c r="G374" s="324">
        <f>'ALL ML SYSTEMS'!G374</f>
        <v>40181</v>
      </c>
      <c r="H374" s="329">
        <f>'ALL ML SYSTEMS'!H374</f>
        <v>181</v>
      </c>
      <c r="I374" s="323" t="str">
        <f>'ALL ML SYSTEMS'!I374</f>
        <v>Stacked denoising autoencoders: Learning useful representations in a deep network with a local denoising criterion</v>
      </c>
      <c r="J374" s="334" t="str">
        <f>'ALL ML SYSTEMS'!J374</f>
        <v>https://www.jmlr.org/papers/v11/vincent10a.html</v>
      </c>
      <c r="K374" s="335">
        <f>'ALL ML SYSTEMS'!K374</f>
        <v>6232</v>
      </c>
      <c r="L374" s="323" t="str">
        <f>'ALL ML SYSTEMS'!L374</f>
        <v>Highly cited</v>
      </c>
      <c r="M374" s="335" t="str">
        <f>'ALL ML SYSTEMS'!M374</f>
        <v>Yes</v>
      </c>
      <c r="N374" s="335">
        <f>'ALL ML SYSTEMS'!N374</f>
        <v>0</v>
      </c>
      <c r="O374" s="335">
        <f>'ALL ML SYSTEMS'!O374</f>
        <v>0</v>
      </c>
      <c r="P374" s="336">
        <f>'ALL ML SYSTEMS'!P374</f>
        <v>0</v>
      </c>
      <c r="Q374" s="335">
        <f>'ALL ML SYSTEMS'!Q374</f>
        <v>0</v>
      </c>
      <c r="R374" s="323">
        <f>'ALL ML SYSTEMS'!R374</f>
        <v>0</v>
      </c>
      <c r="S374" s="335">
        <f>'ALL ML SYSTEMS'!S374</f>
        <v>0</v>
      </c>
      <c r="T374" s="323">
        <f>'ALL ML SYSTEMS'!T374</f>
        <v>0</v>
      </c>
      <c r="U374" s="323">
        <f>'ALL ML SYSTEMS'!U374</f>
        <v>0</v>
      </c>
      <c r="V374" s="323">
        <f>'ALL ML SYSTEMS'!V374</f>
        <v>0</v>
      </c>
      <c r="W374" s="323">
        <f>'ALL ML SYSTEMS'!W374</f>
        <v>0</v>
      </c>
      <c r="X374" s="323">
        <f>'ALL ML SYSTEMS'!X374</f>
        <v>0</v>
      </c>
      <c r="Y374" s="323">
        <f>'ALL ML SYSTEMS'!Y374</f>
        <v>0</v>
      </c>
      <c r="Z374" s="323">
        <f>'ALL ML SYSTEMS'!Z374</f>
        <v>0</v>
      </c>
      <c r="AA374" s="340" t="str">
        <f>'ALL ML SYSTEMS'!AA374</f>
        <v/>
      </c>
      <c r="AB374" s="323">
        <f>'ALL ML SYSTEMS'!AB374</f>
        <v>0</v>
      </c>
      <c r="AC374" s="323">
        <f>'ALL ML SYSTEMS'!AC374</f>
        <v>0</v>
      </c>
      <c r="AD374" s="323" t="str">
        <f>'ALL ML SYSTEMS'!AD374</f>
        <v>Academia</v>
      </c>
    </row>
    <row r="375" customHeight="1" spans="1:30">
      <c r="A375" s="325" t="str">
        <f>'ALL ML SYSTEMS'!A375</f>
        <v>Word Representations</v>
      </c>
      <c r="B375" s="325" t="str">
        <f>'ALL ML SYSTEMS'!B375</f>
        <v>Language</v>
      </c>
      <c r="C375" s="325">
        <f>'ALL ML SYSTEMS'!C375</f>
        <v>0</v>
      </c>
      <c r="D375" s="325" t="str">
        <f>'ALL ML SYSTEMS'!D375</f>
        <v>University of Montreal, University of Illinois at Urbana- Champaigne</v>
      </c>
      <c r="E375" s="325" t="str">
        <f>'ALL ML SYSTEMS'!E375</f>
        <v>Academia</v>
      </c>
      <c r="F375" s="325" t="str">
        <f>'ALL ML SYSTEMS'!F375</f>
        <v>Joseph Turian, Lev-Arie Ratinov, Yoshua Bengio</v>
      </c>
      <c r="G375" s="326">
        <f>'ALL ML SYSTEMS'!G375</f>
        <v>40330</v>
      </c>
      <c r="H375" s="327">
        <f>'ALL ML SYSTEMS'!H375</f>
        <v>330</v>
      </c>
      <c r="I375" s="325" t="str">
        <f>'ALL ML SYSTEMS'!I375</f>
        <v>Word Representations: A Simple and General Method for Semi-Supervised Learning</v>
      </c>
      <c r="J375" s="337" t="str">
        <f>'ALL ML SYSTEMS'!J375</f>
        <v>https://aclanthology.org/P10-1040.pdf</v>
      </c>
      <c r="K375" s="338">
        <f>'ALL ML SYSTEMS'!K375</f>
        <v>2510</v>
      </c>
      <c r="L375" s="325" t="str">
        <f>'ALL ML SYSTEMS'!L375</f>
        <v>Highly cited</v>
      </c>
      <c r="M375" s="338" t="str">
        <f>'ALL ML SYSTEMS'!M375</f>
        <v>Yes</v>
      </c>
      <c r="N375" s="338">
        <f>'ALL ML SYSTEMS'!N375</f>
        <v>0</v>
      </c>
      <c r="O375" s="338">
        <f>'ALL ML SYSTEMS'!O375</f>
        <v>0</v>
      </c>
      <c r="P375" s="339">
        <f>'ALL ML SYSTEMS'!P375</f>
        <v>0</v>
      </c>
      <c r="Q375" s="338">
        <f>'ALL ML SYSTEMS'!Q375</f>
        <v>37000000</v>
      </c>
      <c r="R375" s="325">
        <f>'ALL ML SYSTEMS'!R375</f>
        <v>0</v>
      </c>
      <c r="S375" s="338">
        <f>'ALL ML SYSTEMS'!S375</f>
        <v>0</v>
      </c>
      <c r="T375" s="325">
        <f>'ALL ML SYSTEMS'!T375</f>
        <v>0</v>
      </c>
      <c r="U375" s="325">
        <f>'ALL ML SYSTEMS'!U375</f>
        <v>0</v>
      </c>
      <c r="V375" s="325">
        <f>'ALL ML SYSTEMS'!V375</f>
        <v>0</v>
      </c>
      <c r="W375" s="325">
        <f>'ALL ML SYSTEMS'!W375</f>
        <v>0</v>
      </c>
      <c r="X375" s="325">
        <f>'ALL ML SYSTEMS'!X375</f>
        <v>0</v>
      </c>
      <c r="Y375" s="325">
        <f>'ALL ML SYSTEMS'!Y375</f>
        <v>0</v>
      </c>
      <c r="Z375" s="325">
        <f>'ALL ML SYSTEMS'!Z375</f>
        <v>0</v>
      </c>
      <c r="AA375" s="341" t="str">
        <f>'ALL ML SYSTEMS'!AA375</f>
        <v/>
      </c>
      <c r="AB375" s="325">
        <f>'ALL ML SYSTEMS'!AB375</f>
        <v>0</v>
      </c>
      <c r="AC375" s="325">
        <f>'ALL ML SYSTEMS'!AC375</f>
        <v>0</v>
      </c>
      <c r="AD375" s="325" t="str">
        <f>'ALL ML SYSTEMS'!AD375</f>
        <v>Academia</v>
      </c>
    </row>
    <row r="376" customHeight="1" spans="1:30">
      <c r="A376" s="323">
        <f>'ALL ML SYSTEMS'!A376</f>
        <v>0</v>
      </c>
      <c r="B376" s="323" t="str">
        <f>'ALL ML SYSTEMS'!B376</f>
        <v>Vision</v>
      </c>
      <c r="C376" s="323">
        <f>'ALL ML SYSTEMS'!C376</f>
        <v>0</v>
      </c>
      <c r="D376" s="323" t="str">
        <f>'ALL ML SYSTEMS'!D376</f>
        <v>INRIA, Ecole, NYU</v>
      </c>
      <c r="E376" s="323" t="str">
        <f>'ALL ML SYSTEMS'!E376</f>
        <v>Academia</v>
      </c>
      <c r="F376" s="323" t="str">
        <f>'ALL ML SYSTEMS'!F376</f>
        <v>YL Boureau, F Bach, Y LeCun</v>
      </c>
      <c r="G376" s="324">
        <f>'ALL ML SYSTEMS'!G376</f>
        <v>40342</v>
      </c>
      <c r="H376" s="329">
        <f>'ALL ML SYSTEMS'!H376</f>
        <v>342</v>
      </c>
      <c r="I376" s="323" t="str">
        <f>'ALL ML SYSTEMS'!I376</f>
        <v>Learning mid-level features for recognition</v>
      </c>
      <c r="J376" s="334" t="str">
        <f>'ALL ML SYSTEMS'!J376</f>
        <v>https://ieeexplore.ieee.org/document/5539963</v>
      </c>
      <c r="K376" s="335">
        <f>'ALL ML SYSTEMS'!K376</f>
        <v>1314</v>
      </c>
      <c r="L376" s="323" t="str">
        <f>'ALL ML SYSTEMS'!L376</f>
        <v>Highly cited</v>
      </c>
      <c r="M376" s="335" t="str">
        <f>'ALL ML SYSTEMS'!M376</f>
        <v>Yes</v>
      </c>
      <c r="N376" s="335">
        <f>'ALL ML SYSTEMS'!N376</f>
        <v>0</v>
      </c>
      <c r="O376" s="335">
        <f>'ALL ML SYSTEMS'!O376</f>
        <v>0</v>
      </c>
      <c r="P376" s="336">
        <f>'ALL ML SYSTEMS'!P376</f>
        <v>0</v>
      </c>
      <c r="Q376" s="335">
        <f>'ALL ML SYSTEMS'!Q376</f>
        <v>0</v>
      </c>
      <c r="R376" s="323">
        <f>'ALL ML SYSTEMS'!R376</f>
        <v>0</v>
      </c>
      <c r="S376" s="335">
        <f>'ALL ML SYSTEMS'!S376</f>
        <v>0</v>
      </c>
      <c r="T376" s="323">
        <f>'ALL ML SYSTEMS'!T376</f>
        <v>0</v>
      </c>
      <c r="U376" s="323">
        <f>'ALL ML SYSTEMS'!U376</f>
        <v>0</v>
      </c>
      <c r="V376" s="323">
        <f>'ALL ML SYSTEMS'!V376</f>
        <v>0</v>
      </c>
      <c r="W376" s="323">
        <f>'ALL ML SYSTEMS'!W376</f>
        <v>0</v>
      </c>
      <c r="X376" s="323">
        <f>'ALL ML SYSTEMS'!X376</f>
        <v>0</v>
      </c>
      <c r="Y376" s="323">
        <f>'ALL ML SYSTEMS'!Y376</f>
        <v>0</v>
      </c>
      <c r="Z376" s="323">
        <f>'ALL ML SYSTEMS'!Z376</f>
        <v>0</v>
      </c>
      <c r="AA376" s="340" t="str">
        <f>'ALL ML SYSTEMS'!AA376</f>
        <v/>
      </c>
      <c r="AB376" s="323">
        <f>'ALL ML SYSTEMS'!AB376</f>
        <v>0</v>
      </c>
      <c r="AC376" s="323">
        <f>'ALL ML SYSTEMS'!AC376</f>
        <v>0</v>
      </c>
      <c r="AD376" s="323" t="str">
        <f>'ALL ML SYSTEMS'!AD376</f>
        <v>Academia</v>
      </c>
    </row>
    <row r="377" customHeight="1" spans="1:30">
      <c r="A377" s="325" t="str">
        <f>'ALL ML SYSTEMS'!A377</f>
        <v>Deconvolutional Network</v>
      </c>
      <c r="B377" s="325" t="str">
        <f>'ALL ML SYSTEMS'!B377</f>
        <v>Vision</v>
      </c>
      <c r="C377" s="325">
        <f>'ALL ML SYSTEMS'!C377</f>
        <v>0</v>
      </c>
      <c r="D377" s="325" t="str">
        <f>'ALL ML SYSTEMS'!D377</f>
        <v>NYU</v>
      </c>
      <c r="E377" s="325" t="str">
        <f>'ALL ML SYSTEMS'!E377</f>
        <v>Academia</v>
      </c>
      <c r="F377" s="325" t="str">
        <f>'ALL ML SYSTEMS'!F377</f>
        <v>Matthew D. Zeiler, Dilip Krishnan, Graham W. Taylor and Rob Fergus</v>
      </c>
      <c r="G377" s="326">
        <f>'ALL ML SYSTEMS'!G377</f>
        <v>40342</v>
      </c>
      <c r="H377" s="327">
        <f>'ALL ML SYSTEMS'!H377</f>
        <v>342</v>
      </c>
      <c r="I377" s="325" t="str">
        <f>'ALL ML SYSTEMS'!I377</f>
        <v>Deconvolutional Networks</v>
      </c>
      <c r="J377" s="337" t="str">
        <f>'ALL ML SYSTEMS'!J377</f>
        <v>https://ieeexplore.ieee.org/document/5539957</v>
      </c>
      <c r="K377" s="338">
        <f>'ALL ML SYSTEMS'!K377</f>
        <v>1516</v>
      </c>
      <c r="L377" s="325" t="str">
        <f>'ALL ML SYSTEMS'!L377</f>
        <v>Highly cited</v>
      </c>
      <c r="M377" s="338" t="str">
        <f>'ALL ML SYSTEMS'!M377</f>
        <v>Yes</v>
      </c>
      <c r="N377" s="338">
        <f>'ALL ML SYSTEMS'!N377</f>
        <v>0</v>
      </c>
      <c r="O377" s="338">
        <f>'ALL ML SYSTEMS'!O377</f>
        <v>0</v>
      </c>
      <c r="P377" s="339">
        <f>'ALL ML SYSTEMS'!P377</f>
        <v>0</v>
      </c>
      <c r="Q377" s="338">
        <f>'ALL ML SYSTEMS'!Q377</f>
        <v>0</v>
      </c>
      <c r="R377" s="325">
        <f>'ALL ML SYSTEMS'!R377</f>
        <v>0</v>
      </c>
      <c r="S377" s="338">
        <f>'ALL ML SYSTEMS'!S377</f>
        <v>0</v>
      </c>
      <c r="T377" s="325">
        <f>'ALL ML SYSTEMS'!T377</f>
        <v>0</v>
      </c>
      <c r="U377" s="325">
        <f>'ALL ML SYSTEMS'!U377</f>
        <v>0</v>
      </c>
      <c r="V377" s="325">
        <f>'ALL ML SYSTEMS'!V377</f>
        <v>0</v>
      </c>
      <c r="W377" s="325">
        <f>'ALL ML SYSTEMS'!W377</f>
        <v>0</v>
      </c>
      <c r="X377" s="325">
        <f>'ALL ML SYSTEMS'!X377</f>
        <v>0</v>
      </c>
      <c r="Y377" s="325">
        <f>'ALL ML SYSTEMS'!Y377</f>
        <v>0</v>
      </c>
      <c r="Z377" s="325">
        <f>'ALL ML SYSTEMS'!Z377</f>
        <v>0</v>
      </c>
      <c r="AA377" s="341" t="str">
        <f>'ALL ML SYSTEMS'!AA377</f>
        <v/>
      </c>
      <c r="AB377" s="325">
        <f>'ALL ML SYSTEMS'!AB377</f>
        <v>0</v>
      </c>
      <c r="AC377" s="325">
        <f>'ALL ML SYSTEMS'!AC377</f>
        <v>0</v>
      </c>
      <c r="AD377" s="325" t="str">
        <f>'ALL ML SYSTEMS'!AD377</f>
        <v>Academia</v>
      </c>
    </row>
    <row r="378" customHeight="1" spans="1:30">
      <c r="A378" s="323" t="str">
        <f>'ALL ML SYSTEMS'!A378</f>
        <v>ReLU (NORB)</v>
      </c>
      <c r="B378" s="323" t="str">
        <f>'ALL ML SYSTEMS'!B378</f>
        <v>Vision</v>
      </c>
      <c r="C378" s="323" t="str">
        <f>'ALL ML SYSTEMS'!C378</f>
        <v>Object recognition</v>
      </c>
      <c r="D378" s="323" t="str">
        <f>'ALL ML SYSTEMS'!D378</f>
        <v>University of Toronto</v>
      </c>
      <c r="E378" s="323" t="str">
        <f>'ALL ML SYSTEMS'!E378</f>
        <v>Academia</v>
      </c>
      <c r="F378" s="323" t="str">
        <f>'ALL ML SYSTEMS'!F378</f>
        <v>Nair, V., Hinton, G. E.</v>
      </c>
      <c r="G378" s="324">
        <f>'ALL ML SYSTEMS'!G378</f>
        <v>40344</v>
      </c>
      <c r="H378" s="329">
        <f>'ALL ML SYSTEMS'!H378</f>
        <v>344</v>
      </c>
      <c r="I378" s="323" t="str">
        <f>'ALL ML SYSTEMS'!I378</f>
        <v>Rectified linear units improve restricted boltzmann machines</v>
      </c>
      <c r="J378" s="334" t="str">
        <f>'ALL ML SYSTEMS'!J378</f>
        <v>https://dl.acm.org/doi/10.5555/3104322.3104425</v>
      </c>
      <c r="K378" s="335">
        <f>'ALL ML SYSTEMS'!K378</f>
        <v>13997</v>
      </c>
      <c r="L378" s="323" t="str">
        <f>'ALL ML SYSTEMS'!L378</f>
        <v>Highly cited</v>
      </c>
      <c r="M378" s="335" t="str">
        <f>'ALL ML SYSTEMS'!M378</f>
        <v>Yes</v>
      </c>
      <c r="N378" s="335">
        <f>'ALL ML SYSTEMS'!N378</f>
        <v>16210006</v>
      </c>
      <c r="O378" s="335">
        <f>'ALL ML SYSTEMS'!O378</f>
        <v>0</v>
      </c>
      <c r="P378" s="336">
        <f>'ALL ML SYSTEMS'!P378</f>
        <v>0</v>
      </c>
      <c r="Q378" s="335">
        <f>'ALL ML SYSTEMS'!Q378</f>
        <v>291600</v>
      </c>
      <c r="R378" s="323">
        <f>'ALL ML SYSTEMS'!R378</f>
        <v>0</v>
      </c>
      <c r="S378" s="335">
        <f>'ALL ML SYSTEMS'!S378</f>
        <v>0</v>
      </c>
      <c r="T378" s="323">
        <f>'ALL ML SYSTEMS'!T378</f>
        <v>0</v>
      </c>
      <c r="U378" s="323">
        <f>'ALL ML SYSTEMS'!U378</f>
        <v>0</v>
      </c>
      <c r="V378" s="323">
        <f>'ALL ML SYSTEMS'!V378</f>
        <v>0</v>
      </c>
      <c r="W378" s="323">
        <f>'ALL ML SYSTEMS'!W378</f>
        <v>0</v>
      </c>
      <c r="X378" s="323">
        <f>'ALL ML SYSTEMS'!X378</f>
        <v>0</v>
      </c>
      <c r="Y378" s="323">
        <f>'ALL ML SYSTEMS'!Y378</f>
        <v>0</v>
      </c>
      <c r="Z378" s="323">
        <f>'ALL ML SYSTEMS'!Z378</f>
        <v>0</v>
      </c>
      <c r="AA378" s="340" t="str">
        <f>'ALL ML SYSTEMS'!AA378</f>
        <v/>
      </c>
      <c r="AB378" s="323">
        <f>'ALL ML SYSTEMS'!AB378</f>
        <v>0</v>
      </c>
      <c r="AC378" s="323">
        <f>'ALL ML SYSTEMS'!AC378</f>
        <v>0</v>
      </c>
      <c r="AD378" s="323" t="str">
        <f>'ALL ML SYSTEMS'!AD378</f>
        <v>Academia</v>
      </c>
    </row>
    <row r="379" customHeight="1" spans="1:30">
      <c r="A379" s="325" t="str">
        <f>'ALL ML SYSTEMS'!A379</f>
        <v>ReLU (LFW)</v>
      </c>
      <c r="B379" s="325" t="str">
        <f>'ALL ML SYSTEMS'!B379</f>
        <v>Vision</v>
      </c>
      <c r="C379" s="325" t="str">
        <f>'ALL ML SYSTEMS'!C379</f>
        <v>Face recognition</v>
      </c>
      <c r="D379" s="325" t="str">
        <f>'ALL ML SYSTEMS'!D379</f>
        <v>University of Toronto</v>
      </c>
      <c r="E379" s="325" t="str">
        <f>'ALL ML SYSTEMS'!E379</f>
        <v>Academia</v>
      </c>
      <c r="F379" s="325" t="str">
        <f>'ALL ML SYSTEMS'!F379</f>
        <v>Nair, V., Hinton, G. E.</v>
      </c>
      <c r="G379" s="326">
        <f>'ALL ML SYSTEMS'!G379</f>
        <v>40344</v>
      </c>
      <c r="H379" s="327">
        <f>'ALL ML SYSTEMS'!H379</f>
        <v>344</v>
      </c>
      <c r="I379" s="325" t="str">
        <f>'ALL ML SYSTEMS'!I379</f>
        <v>Rectified linear units improve restricted boltzmann machines</v>
      </c>
      <c r="J379" s="337" t="str">
        <f>'ALL ML SYSTEMS'!J379</f>
        <v>https://dl.acm.org/doi/10.5555/3104322.3104425</v>
      </c>
      <c r="K379" s="338">
        <f>'ALL ML SYSTEMS'!K379</f>
        <v>13997</v>
      </c>
      <c r="L379" s="325" t="str">
        <f>'ALL ML SYSTEMS'!L379</f>
        <v>Highly cited</v>
      </c>
      <c r="M379" s="338" t="str">
        <f>'ALL ML SYSTEMS'!M379</f>
        <v>Yes</v>
      </c>
      <c r="N379" s="338">
        <f>'ALL ML SYSTEMS'!N379</f>
        <v>0</v>
      </c>
      <c r="O379" s="338">
        <f>'ALL ML SYSTEMS'!O379</f>
        <v>0</v>
      </c>
      <c r="P379" s="339">
        <f>'ALL ML SYSTEMS'!P379</f>
        <v>0</v>
      </c>
      <c r="Q379" s="338">
        <f>'ALL ML SYSTEMS'!Q379</f>
        <v>0</v>
      </c>
      <c r="R379" s="325">
        <f>'ALL ML SYSTEMS'!R379</f>
        <v>0</v>
      </c>
      <c r="S379" s="338">
        <f>'ALL ML SYSTEMS'!S379</f>
        <v>0</v>
      </c>
      <c r="T379" s="325">
        <f>'ALL ML SYSTEMS'!T379</f>
        <v>0</v>
      </c>
      <c r="U379" s="325">
        <f>'ALL ML SYSTEMS'!U379</f>
        <v>0</v>
      </c>
      <c r="V379" s="325">
        <f>'ALL ML SYSTEMS'!V379</f>
        <v>0</v>
      </c>
      <c r="W379" s="325">
        <f>'ALL ML SYSTEMS'!W379</f>
        <v>0</v>
      </c>
      <c r="X379" s="325">
        <f>'ALL ML SYSTEMS'!X379</f>
        <v>0</v>
      </c>
      <c r="Y379" s="325">
        <f>'ALL ML SYSTEMS'!Y379</f>
        <v>0</v>
      </c>
      <c r="Z379" s="325">
        <f>'ALL ML SYSTEMS'!Z379</f>
        <v>0</v>
      </c>
      <c r="AA379" s="341" t="str">
        <f>'ALL ML SYSTEMS'!AA379</f>
        <v/>
      </c>
      <c r="AB379" s="325">
        <f>'ALL ML SYSTEMS'!AB379</f>
        <v>0</v>
      </c>
      <c r="AC379" s="325">
        <f>'ALL ML SYSTEMS'!AC379</f>
        <v>0</v>
      </c>
      <c r="AD379" s="325" t="str">
        <f>'ALL ML SYSTEMS'!AD379</f>
        <v>Academia</v>
      </c>
    </row>
    <row r="380" customHeight="1" spans="1:30">
      <c r="A380" s="323">
        <f>'ALL ML SYSTEMS'!A380</f>
        <v>0</v>
      </c>
      <c r="B380" s="323">
        <f>'ALL ML SYSTEMS'!B380</f>
        <v>0</v>
      </c>
      <c r="C380" s="323">
        <f>'ALL ML SYSTEMS'!C380</f>
        <v>0</v>
      </c>
      <c r="D380" s="323" t="str">
        <f>'ALL ML SYSTEMS'!D380</f>
        <v>University of Toronto</v>
      </c>
      <c r="E380" s="323" t="str">
        <f>'ALL ML SYSTEMS'!E380</f>
        <v>Academia</v>
      </c>
      <c r="F380" s="323" t="str">
        <f>'ALL ML SYSTEMS'!F380</f>
        <v>GE Hinton</v>
      </c>
      <c r="G380" s="324">
        <f>'ALL ML SYSTEMS'!G380</f>
        <v>40392</v>
      </c>
      <c r="H380" s="329">
        <f>'ALL ML SYSTEMS'!H380</f>
        <v>392</v>
      </c>
      <c r="I380" s="323" t="str">
        <f>'ALL ML SYSTEMS'!I380</f>
        <v>A practical guide to training restricted boltzmann machines</v>
      </c>
      <c r="J380" s="334" t="str">
        <f>'ALL ML SYSTEMS'!J380</f>
        <v>https://link.springer.com/chapter/10.1007/978-3-642-35289-8_32</v>
      </c>
      <c r="K380" s="335">
        <f>'ALL ML SYSTEMS'!K380</f>
        <v>3335</v>
      </c>
      <c r="L380" s="323" t="str">
        <f>'ALL ML SYSTEMS'!L380</f>
        <v>Highly cited</v>
      </c>
      <c r="M380" s="335" t="str">
        <f>'ALL ML SYSTEMS'!M380</f>
        <v>Yes</v>
      </c>
      <c r="N380" s="335">
        <f>'ALL ML SYSTEMS'!N380</f>
        <v>0</v>
      </c>
      <c r="O380" s="335">
        <f>'ALL ML SYSTEMS'!O380</f>
        <v>0</v>
      </c>
      <c r="P380" s="336">
        <f>'ALL ML SYSTEMS'!P380</f>
        <v>0</v>
      </c>
      <c r="Q380" s="335">
        <f>'ALL ML SYSTEMS'!Q380</f>
        <v>0</v>
      </c>
      <c r="R380" s="323">
        <f>'ALL ML SYSTEMS'!R380</f>
        <v>0</v>
      </c>
      <c r="S380" s="335">
        <f>'ALL ML SYSTEMS'!S380</f>
        <v>0</v>
      </c>
      <c r="T380" s="323">
        <f>'ALL ML SYSTEMS'!T380</f>
        <v>0</v>
      </c>
      <c r="U380" s="323">
        <f>'ALL ML SYSTEMS'!U380</f>
        <v>0</v>
      </c>
      <c r="V380" s="323">
        <f>'ALL ML SYSTEMS'!V380</f>
        <v>0</v>
      </c>
      <c r="W380" s="323">
        <f>'ALL ML SYSTEMS'!W380</f>
        <v>0</v>
      </c>
      <c r="X380" s="323">
        <f>'ALL ML SYSTEMS'!X380</f>
        <v>0</v>
      </c>
      <c r="Y380" s="323">
        <f>'ALL ML SYSTEMS'!Y380</f>
        <v>0</v>
      </c>
      <c r="Z380" s="323">
        <f>'ALL ML SYSTEMS'!Z380</f>
        <v>0</v>
      </c>
      <c r="AA380" s="340" t="str">
        <f>'ALL ML SYSTEMS'!AA380</f>
        <v/>
      </c>
      <c r="AB380" s="323">
        <f>'ALL ML SYSTEMS'!AB380</f>
        <v>0</v>
      </c>
      <c r="AC380" s="323">
        <f>'ALL ML SYSTEMS'!AC380</f>
        <v>0</v>
      </c>
      <c r="AD380" s="323" t="str">
        <f>'ALL ML SYSTEMS'!AD380</f>
        <v>Academia</v>
      </c>
    </row>
    <row r="381" customHeight="1" spans="1:30">
      <c r="A381" s="325">
        <f>'ALL ML SYSTEMS'!A381</f>
        <v>0</v>
      </c>
      <c r="B381" s="325" t="str">
        <f>'ALL ML SYSTEMS'!B381</f>
        <v>Vision</v>
      </c>
      <c r="C381" s="325">
        <f>'ALL ML SYSTEMS'!C381</f>
        <v>0</v>
      </c>
      <c r="D381" s="325" t="str">
        <f>'ALL ML SYSTEMS'!D381</f>
        <v>Xerox Research Centre Europe (XRCE)</v>
      </c>
      <c r="E381" s="325" t="str">
        <f>'ALL ML SYSTEMS'!E381</f>
        <v>Industry</v>
      </c>
      <c r="F381" s="325" t="str">
        <f>'ALL ML SYSTEMS'!F381</f>
        <v>Florent PerronninJorge SánchezThomas Mensink</v>
      </c>
      <c r="G381" s="326">
        <f>'ALL ML SYSTEMS'!G381</f>
        <v>40426</v>
      </c>
      <c r="H381" s="327">
        <f>'ALL ML SYSTEMS'!H381</f>
        <v>426</v>
      </c>
      <c r="I381" s="325" t="str">
        <f>'ALL ML SYSTEMS'!I381</f>
        <v>Improving the Fisher Kernel for Large-Scale Image Classification</v>
      </c>
      <c r="J381" s="337" t="str">
        <f>'ALL ML SYSTEMS'!J381</f>
        <v>https://link.springer.com/chapter/10.1007/978-3-642-15561-1_11</v>
      </c>
      <c r="K381" s="338">
        <f>'ALL ML SYSTEMS'!K381</f>
        <v>3062</v>
      </c>
      <c r="L381" s="325" t="str">
        <f>'ALL ML SYSTEMS'!L381</f>
        <v>Highly cited</v>
      </c>
      <c r="M381" s="338" t="str">
        <f>'ALL ML SYSTEMS'!M381</f>
        <v>Yes</v>
      </c>
      <c r="N381" s="338">
        <f>'ALL ML SYSTEMS'!N381</f>
        <v>0</v>
      </c>
      <c r="O381" s="338">
        <f>'ALL ML SYSTEMS'!O381</f>
        <v>0</v>
      </c>
      <c r="P381" s="339">
        <f>'ALL ML SYSTEMS'!P381</f>
        <v>0</v>
      </c>
      <c r="Q381" s="338">
        <f>'ALL ML SYSTEMS'!Q381</f>
        <v>0</v>
      </c>
      <c r="R381" s="325">
        <f>'ALL ML SYSTEMS'!R381</f>
        <v>0</v>
      </c>
      <c r="S381" s="338">
        <f>'ALL ML SYSTEMS'!S381</f>
        <v>0</v>
      </c>
      <c r="T381" s="325">
        <f>'ALL ML SYSTEMS'!T381</f>
        <v>0</v>
      </c>
      <c r="U381" s="325">
        <f>'ALL ML SYSTEMS'!U381</f>
        <v>0</v>
      </c>
      <c r="V381" s="325">
        <f>'ALL ML SYSTEMS'!V381</f>
        <v>0</v>
      </c>
      <c r="W381" s="325">
        <f>'ALL ML SYSTEMS'!W381</f>
        <v>0</v>
      </c>
      <c r="X381" s="325">
        <f>'ALL ML SYSTEMS'!X381</f>
        <v>0</v>
      </c>
      <c r="Y381" s="325">
        <f>'ALL ML SYSTEMS'!Y381</f>
        <v>0</v>
      </c>
      <c r="Z381" s="325">
        <f>'ALL ML SYSTEMS'!Z381</f>
        <v>0</v>
      </c>
      <c r="AA381" s="341" t="str">
        <f>'ALL ML SYSTEMS'!AA381</f>
        <v/>
      </c>
      <c r="AB381" s="325">
        <f>'ALL ML SYSTEMS'!AB381</f>
        <v>0</v>
      </c>
      <c r="AC381" s="325">
        <f>'ALL ML SYSTEMS'!AC381</f>
        <v>0</v>
      </c>
      <c r="AD381" s="325" t="str">
        <f>'ALL ML SYSTEMS'!AD381</f>
        <v>Industry</v>
      </c>
    </row>
    <row r="382" customHeight="1" spans="1:30">
      <c r="A382" s="323">
        <f>'ALL ML SYSTEMS'!A382</f>
        <v>0</v>
      </c>
      <c r="B382" s="323" t="str">
        <f>'ALL ML SYSTEMS'!B382</f>
        <v>Recommendation</v>
      </c>
      <c r="C382" s="323">
        <f>'ALL ML SYSTEMS'!C382</f>
        <v>0</v>
      </c>
      <c r="D382" s="323" t="str">
        <f>'ALL ML SYSTEMS'!D382</f>
        <v>Google Inc</v>
      </c>
      <c r="E382" s="323" t="str">
        <f>'ALL ML SYSTEMS'!E382</f>
        <v>Industry</v>
      </c>
      <c r="F382" s="323" t="str">
        <f>'ALL ML SYSTEMS'!F382</f>
        <v>J Davidson, B Liebald, J Liu, P Nandy</v>
      </c>
      <c r="G382" s="324">
        <f>'ALL ML SYSTEMS'!G382</f>
        <v>40447</v>
      </c>
      <c r="H382" s="329">
        <f>'ALL ML SYSTEMS'!H382</f>
        <v>447</v>
      </c>
      <c r="I382" s="323" t="str">
        <f>'ALL ML SYSTEMS'!I382</f>
        <v>The YouTube Video Recommendation System</v>
      </c>
      <c r="J382" s="334" t="str">
        <f>'ALL ML SYSTEMS'!J382</f>
        <v>https://dl.acm.org/doi/10.1145/1864708.1864770</v>
      </c>
      <c r="K382" s="335">
        <f>'ALL ML SYSTEMS'!K382</f>
        <v>1074</v>
      </c>
      <c r="L382" s="323" t="str">
        <f>'ALL ML SYSTEMS'!L382</f>
        <v>Highly cited</v>
      </c>
      <c r="M382" s="335" t="str">
        <f>'ALL ML SYSTEMS'!M382</f>
        <v>Yes</v>
      </c>
      <c r="N382" s="335">
        <f>'ALL ML SYSTEMS'!N382</f>
        <v>0</v>
      </c>
      <c r="O382" s="335">
        <f>'ALL ML SYSTEMS'!O382</f>
        <v>0</v>
      </c>
      <c r="P382" s="336">
        <f>'ALL ML SYSTEMS'!P382</f>
        <v>0</v>
      </c>
      <c r="Q382" s="335">
        <f>'ALL ML SYSTEMS'!Q382</f>
        <v>10000000000</v>
      </c>
      <c r="R382" s="323">
        <f>'ALL ML SYSTEMS'!R382</f>
        <v>0</v>
      </c>
      <c r="S382" s="335">
        <f>'ALL ML SYSTEMS'!S382</f>
        <v>0</v>
      </c>
      <c r="T382" s="323">
        <f>'ALL ML SYSTEMS'!T382</f>
        <v>0</v>
      </c>
      <c r="U382" s="323">
        <f>'ALL ML SYSTEMS'!U382</f>
        <v>0</v>
      </c>
      <c r="V382" s="323">
        <f>'ALL ML SYSTEMS'!V382</f>
        <v>0</v>
      </c>
      <c r="W382" s="323">
        <f>'ALL ML SYSTEMS'!W382</f>
        <v>0</v>
      </c>
      <c r="X382" s="323">
        <f>'ALL ML SYSTEMS'!X382</f>
        <v>0</v>
      </c>
      <c r="Y382" s="323">
        <f>'ALL ML SYSTEMS'!Y382</f>
        <v>0</v>
      </c>
      <c r="Z382" s="323">
        <f>'ALL ML SYSTEMS'!Z382</f>
        <v>0</v>
      </c>
      <c r="AA382" s="340" t="str">
        <f>'ALL ML SYSTEMS'!AA382</f>
        <v/>
      </c>
      <c r="AB382" s="323">
        <f>'ALL ML SYSTEMS'!AB382</f>
        <v>0</v>
      </c>
      <c r="AC382" s="323">
        <f>'ALL ML SYSTEMS'!AC382</f>
        <v>0</v>
      </c>
      <c r="AD382" s="323" t="str">
        <f>'ALL ML SYSTEMS'!AD382</f>
        <v>Industry</v>
      </c>
    </row>
    <row r="383" customHeight="1" spans="1:30">
      <c r="A383" s="325">
        <f>'ALL ML SYSTEMS'!A383</f>
        <v>0</v>
      </c>
      <c r="B383" s="325" t="str">
        <f>'ALL ML SYSTEMS'!B383</f>
        <v>Language</v>
      </c>
      <c r="C383" s="325">
        <f>'ALL ML SYSTEMS'!C383</f>
        <v>0</v>
      </c>
      <c r="D383" s="325" t="str">
        <f>'ALL ML SYSTEMS'!D383</f>
        <v>Harvard</v>
      </c>
      <c r="E383" s="325" t="str">
        <f>'ALL ML SYSTEMS'!E383</f>
        <v>Industry - Academia Collaboration</v>
      </c>
      <c r="F383" s="325" t="str">
        <f>'ALL ML SYSTEMS'!F383</f>
        <v>JB Michel, YK Shen, AP Aiden, A Veres, MK Gray</v>
      </c>
      <c r="G383" s="326">
        <f>'ALL ML SYSTEMS'!G383</f>
        <v>40528</v>
      </c>
      <c r="H383" s="327">
        <f>'ALL ML SYSTEMS'!H383</f>
        <v>528</v>
      </c>
      <c r="I383" s="325" t="str">
        <f>'ALL ML SYSTEMS'!I383</f>
        <v>Quantitative Analysis of Culture Using Millions of Digitized Books</v>
      </c>
      <c r="J383" s="337" t="str">
        <f>'ALL ML SYSTEMS'!J383</f>
        <v>https://science.sciencemag.org/content/331/6014/176</v>
      </c>
      <c r="K383" s="338">
        <f>'ALL ML SYSTEMS'!K383</f>
        <v>2274</v>
      </c>
      <c r="L383" s="325" t="str">
        <f>'ALL ML SYSTEMS'!L383</f>
        <v>Highly cited</v>
      </c>
      <c r="M383" s="338" t="str">
        <f>'ALL ML SYSTEMS'!M383</f>
        <v>Yes</v>
      </c>
      <c r="N383" s="338">
        <f>'ALL ML SYSTEMS'!N383</f>
        <v>0</v>
      </c>
      <c r="O383" s="338">
        <f>'ALL ML SYSTEMS'!O383</f>
        <v>0</v>
      </c>
      <c r="P383" s="339">
        <f>'ALL ML SYSTEMS'!P383</f>
        <v>0</v>
      </c>
      <c r="Q383" s="338">
        <f>'ALL ML SYSTEMS'!Q383</f>
        <v>0</v>
      </c>
      <c r="R383" s="325">
        <f>'ALL ML SYSTEMS'!R383</f>
        <v>0</v>
      </c>
      <c r="S383" s="338">
        <f>'ALL ML SYSTEMS'!S383</f>
        <v>0</v>
      </c>
      <c r="T383" s="325">
        <f>'ALL ML SYSTEMS'!T383</f>
        <v>0</v>
      </c>
      <c r="U383" s="325">
        <f>'ALL ML SYSTEMS'!U383</f>
        <v>0</v>
      </c>
      <c r="V383" s="325">
        <f>'ALL ML SYSTEMS'!V383</f>
        <v>0</v>
      </c>
      <c r="W383" s="325">
        <f>'ALL ML SYSTEMS'!W383</f>
        <v>0</v>
      </c>
      <c r="X383" s="325">
        <f>'ALL ML SYSTEMS'!X383</f>
        <v>0</v>
      </c>
      <c r="Y383" s="325">
        <f>'ALL ML SYSTEMS'!Y383</f>
        <v>0</v>
      </c>
      <c r="Z383" s="325">
        <f>'ALL ML SYSTEMS'!Z383</f>
        <v>0</v>
      </c>
      <c r="AA383" s="341" t="str">
        <f>'ALL ML SYSTEMS'!AA383</f>
        <v/>
      </c>
      <c r="AB383" s="325">
        <f>'ALL ML SYSTEMS'!AB383</f>
        <v>0</v>
      </c>
      <c r="AC383" s="325">
        <f>'ALL ML SYSTEMS'!AC383</f>
        <v>0</v>
      </c>
      <c r="AD383" s="325" t="str">
        <f>'ALL ML SYSTEMS'!AD383</f>
        <v>Industry</v>
      </c>
    </row>
    <row r="384" hidden="1" customHeight="1" spans="1:30">
      <c r="A384" s="323" t="str">
        <f>'ALL ML SYSTEMS'!A384</f>
        <v>GPU DBNs</v>
      </c>
      <c r="B384" s="323" t="str">
        <f>'ALL ML SYSTEMS'!B384</f>
        <v>Other</v>
      </c>
      <c r="C384" s="323">
        <f>'ALL ML SYSTEMS'!C384</f>
        <v>0</v>
      </c>
      <c r="D384" s="323" t="str">
        <f>'ALL ML SYSTEMS'!D384</f>
        <v>Stanford</v>
      </c>
      <c r="E384" s="323" t="str">
        <f>'ALL ML SYSTEMS'!E384</f>
        <v>Academia</v>
      </c>
      <c r="F384" s="323" t="str">
        <f>'ALL ML SYSTEMS'!F384</f>
        <v>R Raina, A Madhavan, AY Ng</v>
      </c>
      <c r="G384" s="324">
        <f>'ALL ML SYSTEMS'!G384</f>
        <v>39979</v>
      </c>
      <c r="H384" s="329">
        <f>'ALL ML SYSTEMS'!H384</f>
        <v>9979</v>
      </c>
      <c r="I384" s="323" t="str">
        <f>'ALL ML SYSTEMS'!I384</f>
        <v>Large-scale Deep Unsupervised Learning using Graphics Processors</v>
      </c>
      <c r="J384" s="334" t="str">
        <f>'ALL ML SYSTEMS'!J384</f>
        <v>http://www.machinelearning.org/archive/icml2009/papers/218.pdf</v>
      </c>
      <c r="K384" s="335">
        <f>'ALL ML SYSTEMS'!K384</f>
        <v>789</v>
      </c>
      <c r="L384" s="323">
        <f>'ALL ML SYSTEMS'!L384</f>
        <v>0</v>
      </c>
      <c r="M384" s="335" t="str">
        <f>'ALL ML SYSTEMS'!M384</f>
        <v>No</v>
      </c>
      <c r="N384" s="335">
        <f>'ALL ML SYSTEMS'!N384</f>
        <v>100000000</v>
      </c>
      <c r="O384" s="335">
        <f>'ALL ML SYSTEMS'!O384</f>
        <v>1000000000000000</v>
      </c>
      <c r="P384" s="336">
        <f>'ALL ML SYSTEMS'!P384</f>
        <v>0</v>
      </c>
      <c r="Q384" s="335">
        <f>'ALL ML SYSTEMS'!Q384</f>
        <v>1000000</v>
      </c>
      <c r="R384" s="323">
        <f>'ALL ML SYSTEMS'!R384</f>
        <v>0</v>
      </c>
      <c r="S384" s="335">
        <f>'ALL ML SYSTEMS'!S384</f>
        <v>0</v>
      </c>
      <c r="T384" s="323">
        <f>'ALL ML SYSTEMS'!T384</f>
        <v>0</v>
      </c>
      <c r="U384" s="323">
        <f>'ALL ML SYSTEMS'!U384</f>
        <v>0</v>
      </c>
      <c r="V384" s="323">
        <f>'ALL ML SYSTEMS'!V384</f>
        <v>0</v>
      </c>
      <c r="W384" s="323">
        <f>'ALL ML SYSTEMS'!W384</f>
        <v>0</v>
      </c>
      <c r="X384" s="323">
        <f>'ALL ML SYSTEMS'!X384</f>
        <v>0</v>
      </c>
      <c r="Y384" s="323">
        <f>'ALL ML SYSTEMS'!Y384</f>
        <v>0</v>
      </c>
      <c r="Z384" s="323">
        <f>'ALL ML SYSTEMS'!Z384</f>
        <v>0</v>
      </c>
      <c r="AA384" s="340">
        <f>'ALL ML SYSTEMS'!AA384</f>
        <v>0.0567799020351146</v>
      </c>
      <c r="AB384" s="323"/>
      <c r="AC384" s="323">
        <f>'ALL ML SYSTEMS'!AB384</f>
        <v>0</v>
      </c>
      <c r="AD384" s="323">
        <f>'ALL ML SYSTEMS'!AC384</f>
        <v>0</v>
      </c>
    </row>
    <row r="385" customHeight="1" spans="1:30">
      <c r="A385" s="325" t="str">
        <f>'ALL ML SYSTEMS'!A385</f>
        <v>Deep Boltzmann Machines</v>
      </c>
      <c r="B385" s="325">
        <f>'ALL ML SYSTEMS'!B385</f>
        <v>0</v>
      </c>
      <c r="C385" s="325">
        <f>'ALL ML SYSTEMS'!C385</f>
        <v>0</v>
      </c>
      <c r="D385" s="325" t="str">
        <f>'ALL ML SYSTEMS'!D385</f>
        <v>University of Toronto</v>
      </c>
      <c r="E385" s="325" t="str">
        <f>'ALL ML SYSTEMS'!E385</f>
        <v>Academia</v>
      </c>
      <c r="F385" s="325" t="str">
        <f>'ALL ML SYSTEMS'!F385</f>
        <v>Ruslan Salakhutdinov, Geoffrey Hinton</v>
      </c>
      <c r="G385" s="326">
        <f>'ALL ML SYSTEMS'!G385</f>
        <v>39919</v>
      </c>
      <c r="H385" s="327">
        <f>'ALL ML SYSTEMS'!H385</f>
        <v>9919</v>
      </c>
      <c r="I385" s="325" t="str">
        <f>'ALL ML SYSTEMS'!I385</f>
        <v>Deep Boltzmann Machines</v>
      </c>
      <c r="J385" s="337" t="str">
        <f>'ALL ML SYSTEMS'!J385</f>
        <v>https://www.sciencedirect.com/topics/computer-science/deep-boltzmann-machine</v>
      </c>
      <c r="K385" s="338">
        <f>'ALL ML SYSTEMS'!K385</f>
        <v>2666</v>
      </c>
      <c r="L385" s="325" t="str">
        <f>'ALL ML SYSTEMS'!L385</f>
        <v>Highly cited</v>
      </c>
      <c r="M385" s="338" t="str">
        <f>'ALL ML SYSTEMS'!M385</f>
        <v>Yes</v>
      </c>
      <c r="N385" s="338">
        <f>'ALL ML SYSTEMS'!N385</f>
        <v>0</v>
      </c>
      <c r="O385" s="338">
        <f>'ALL ML SYSTEMS'!O385</f>
        <v>0</v>
      </c>
      <c r="P385" s="339">
        <f>'ALL ML SYSTEMS'!P385</f>
        <v>0</v>
      </c>
      <c r="Q385" s="338">
        <f>'ALL ML SYSTEMS'!Q385</f>
        <v>0</v>
      </c>
      <c r="R385" s="325">
        <f>'ALL ML SYSTEMS'!R385</f>
        <v>0</v>
      </c>
      <c r="S385" s="338">
        <f>'ALL ML SYSTEMS'!S385</f>
        <v>0</v>
      </c>
      <c r="T385" s="325">
        <f>'ALL ML SYSTEMS'!T385</f>
        <v>0</v>
      </c>
      <c r="U385" s="325">
        <f>'ALL ML SYSTEMS'!U385</f>
        <v>0</v>
      </c>
      <c r="V385" s="325">
        <f>'ALL ML SYSTEMS'!V385</f>
        <v>0</v>
      </c>
      <c r="W385" s="325">
        <f>'ALL ML SYSTEMS'!W385</f>
        <v>0</v>
      </c>
      <c r="X385" s="325">
        <f>'ALL ML SYSTEMS'!X385</f>
        <v>0</v>
      </c>
      <c r="Y385" s="325">
        <f>'ALL ML SYSTEMS'!Y385</f>
        <v>0</v>
      </c>
      <c r="Z385" s="325">
        <f>'ALL ML SYSTEMS'!Z385</f>
        <v>0</v>
      </c>
      <c r="AA385" s="341" t="str">
        <f>'ALL ML SYSTEMS'!AA385</f>
        <v/>
      </c>
      <c r="AB385" s="325">
        <f>'ALL ML SYSTEMS'!AB385</f>
        <v>0</v>
      </c>
      <c r="AC385" s="325">
        <f>'ALL ML SYSTEMS'!AC385</f>
        <v>0</v>
      </c>
      <c r="AD385" s="325" t="str">
        <f>'ALL ML SYSTEMS'!AD385</f>
        <v>Academia</v>
      </c>
    </row>
    <row r="386" customHeight="1" spans="1:30">
      <c r="A386" s="323">
        <f>'ALL ML SYSTEMS'!A386</f>
        <v>0</v>
      </c>
      <c r="B386" s="323">
        <f>'ALL ML SYSTEMS'!B386</f>
        <v>0</v>
      </c>
      <c r="C386" s="323">
        <f>'ALL ML SYSTEMS'!C386</f>
        <v>0</v>
      </c>
      <c r="D386" s="323" t="str">
        <f>'ALL ML SYSTEMS'!D386</f>
        <v>Stanford</v>
      </c>
      <c r="E386" s="323" t="str">
        <f>'ALL ML SYSTEMS'!E386</f>
        <v>Academia</v>
      </c>
      <c r="F386" s="323" t="str">
        <f>'ALL ML SYSTEMS'!F386</f>
        <v>H Lee, R Grosse, R Ranganath, AY Ng</v>
      </c>
      <c r="G386" s="324">
        <f>'ALL ML SYSTEMS'!G386</f>
        <v>39978</v>
      </c>
      <c r="H386" s="329">
        <f>'ALL ML SYSTEMS'!H386</f>
        <v>9978</v>
      </c>
      <c r="I386" s="323" t="str">
        <f>'ALL ML SYSTEMS'!I386</f>
        <v>Convolutional deep belief networks for scalable unsupervised learning of hierarchical representations</v>
      </c>
      <c r="J386" s="334" t="str">
        <f>'ALL ML SYSTEMS'!J386</f>
        <v>https://dl.acm.org/doi/10.1145/1553374.1553453</v>
      </c>
      <c r="K386" s="335">
        <f>'ALL ML SYSTEMS'!K386</f>
        <v>2964</v>
      </c>
      <c r="L386" s="323" t="str">
        <f>'ALL ML SYSTEMS'!L386</f>
        <v>Highly cited</v>
      </c>
      <c r="M386" s="335" t="str">
        <f>'ALL ML SYSTEMS'!M386</f>
        <v>Yes</v>
      </c>
      <c r="N386" s="335">
        <f>'ALL ML SYSTEMS'!N386</f>
        <v>0</v>
      </c>
      <c r="O386" s="335">
        <f>'ALL ML SYSTEMS'!O386</f>
        <v>0</v>
      </c>
      <c r="P386" s="336">
        <f>'ALL ML SYSTEMS'!P386</f>
        <v>0</v>
      </c>
      <c r="Q386" s="335">
        <f>'ALL ML SYSTEMS'!Q386</f>
        <v>0</v>
      </c>
      <c r="R386" s="323">
        <f>'ALL ML SYSTEMS'!R386</f>
        <v>0</v>
      </c>
      <c r="S386" s="335">
        <f>'ALL ML SYSTEMS'!S386</f>
        <v>0</v>
      </c>
      <c r="T386" s="323">
        <f>'ALL ML SYSTEMS'!T386</f>
        <v>0</v>
      </c>
      <c r="U386" s="323">
        <f>'ALL ML SYSTEMS'!U386</f>
        <v>0</v>
      </c>
      <c r="V386" s="323">
        <f>'ALL ML SYSTEMS'!V386</f>
        <v>0</v>
      </c>
      <c r="W386" s="323">
        <f>'ALL ML SYSTEMS'!W386</f>
        <v>0</v>
      </c>
      <c r="X386" s="323">
        <f>'ALL ML SYSTEMS'!X386</f>
        <v>0</v>
      </c>
      <c r="Y386" s="323">
        <f>'ALL ML SYSTEMS'!Y386</f>
        <v>0</v>
      </c>
      <c r="Z386" s="323">
        <f>'ALL ML SYSTEMS'!Z386</f>
        <v>0</v>
      </c>
      <c r="AA386" s="340" t="str">
        <f>'ALL ML SYSTEMS'!AA386</f>
        <v/>
      </c>
      <c r="AB386" s="323">
        <f>'ALL ML SYSTEMS'!AB386</f>
        <v>0</v>
      </c>
      <c r="AC386" s="323">
        <f>'ALL ML SYSTEMS'!AC386</f>
        <v>0</v>
      </c>
      <c r="AD386" s="323" t="str">
        <f>'ALL ML SYSTEMS'!AD386</f>
        <v>Academia</v>
      </c>
    </row>
    <row r="387" hidden="1" customHeight="1" spans="1:30">
      <c r="A387" s="325" t="str">
        <f>'ALL ML SYSTEMS'!A387</f>
        <v>BellKor 2008</v>
      </c>
      <c r="B387" s="325" t="str">
        <f>'ALL ML SYSTEMS'!B387</f>
        <v>Recommendation</v>
      </c>
      <c r="C387" s="325" t="str">
        <f>'ALL ML SYSTEMS'!C387</f>
        <v>Movie ratings</v>
      </c>
      <c r="D387" s="325" t="str">
        <f>'ALL ML SYSTEMS'!D387</f>
        <v>AT&amp;T Labs</v>
      </c>
      <c r="E387" s="325" t="str">
        <f>'ALL ML SYSTEMS'!E387</f>
        <v>Industry</v>
      </c>
      <c r="F387" s="325" t="str">
        <f>'ALL ML SYSTEMS'!F387</f>
        <v>RM Bell, Y Koren, C Volinsky</v>
      </c>
      <c r="G387" s="326">
        <f>'ALL ML SYSTEMS'!G387</f>
        <v>40026</v>
      </c>
      <c r="H387" s="327">
        <f>'ALL ML SYSTEMS'!H387</f>
        <v>26</v>
      </c>
      <c r="I387" s="325" t="str">
        <f>'ALL ML SYSTEMS'!I387</f>
        <v>The BellKor 2008 Solution to the Netflix Prize</v>
      </c>
      <c r="J387" s="337" t="str">
        <f>'ALL ML SYSTEMS'!J387</f>
        <v>https://www.researchgate.net/publication/228766792_The_BellKor_2008_solution_to_the_Netflix_Prize</v>
      </c>
      <c r="K387" s="338">
        <f>'ALL ML SYSTEMS'!K387</f>
        <v>158</v>
      </c>
      <c r="L387" s="325">
        <f>'ALL ML SYSTEMS'!L387</f>
        <v>0</v>
      </c>
      <c r="M387" s="338" t="str">
        <f>'ALL ML SYSTEMS'!M387</f>
        <v>No</v>
      </c>
      <c r="N387" s="338">
        <f>'ALL ML SYSTEMS'!N387</f>
        <v>0</v>
      </c>
      <c r="O387" s="338">
        <f>'ALL ML SYSTEMS'!O387</f>
        <v>0</v>
      </c>
      <c r="P387" s="339" t="str">
        <f>'ALL ML SYSTEMS'!P387</f>
        <v>Netflix Prize</v>
      </c>
      <c r="Q387" s="338">
        <f>'ALL ML SYSTEMS'!Q387</f>
        <v>100480507</v>
      </c>
      <c r="R387" s="325">
        <f>'ALL ML SYSTEMS'!R387</f>
        <v>0</v>
      </c>
      <c r="S387" s="338">
        <f>'ALL ML SYSTEMS'!S387</f>
        <v>0</v>
      </c>
      <c r="T387" s="325">
        <f>'ALL ML SYSTEMS'!T387</f>
        <v>0</v>
      </c>
      <c r="U387" s="325">
        <f>'ALL ML SYSTEMS'!U387</f>
        <v>0</v>
      </c>
      <c r="V387" s="325">
        <f>'ALL ML SYSTEMS'!V387</f>
        <v>0</v>
      </c>
      <c r="W387" s="325">
        <f>'ALL ML SYSTEMS'!W387</f>
        <v>0</v>
      </c>
      <c r="X387" s="325">
        <f>'ALL ML SYSTEMS'!X387</f>
        <v>0</v>
      </c>
      <c r="Y387" s="325">
        <f>'ALL ML SYSTEMS'!Y387</f>
        <v>0</v>
      </c>
      <c r="Z387" s="325">
        <f>'ALL ML SYSTEMS'!Z387</f>
        <v>0</v>
      </c>
      <c r="AA387" s="341" t="str">
        <f>'ALL ML SYSTEMS'!AA387</f>
        <v/>
      </c>
      <c r="AB387" s="325"/>
      <c r="AC387" s="325">
        <f>'ALL ML SYSTEMS'!AB387</f>
        <v>0</v>
      </c>
      <c r="AD387" s="325">
        <f>'ALL ML SYSTEMS'!AC387</f>
        <v>0</v>
      </c>
    </row>
    <row r="388" hidden="1" customHeight="1" spans="1:30">
      <c r="A388" s="323" t="str">
        <f>'ALL ML SYSTEMS'!A388</f>
        <v>RL mapping instructions (games)</v>
      </c>
      <c r="B388" s="323" t="str">
        <f>'ALL ML SYSTEMS'!B388</f>
        <v>Reading</v>
      </c>
      <c r="C388" s="323" t="str">
        <f>'ALL ML SYSTEMS'!C388</f>
        <v>Instruction interpretation</v>
      </c>
      <c r="D388" s="323" t="str">
        <f>'ALL ML SYSTEMS'!D388</f>
        <v>MIT</v>
      </c>
      <c r="E388" s="323" t="str">
        <f>'ALL ML SYSTEMS'!E388</f>
        <v>Academia</v>
      </c>
      <c r="F388" s="323" t="str">
        <f>'ALL ML SYSTEMS'!F388</f>
        <v>SRK Branavan, H Chen, LS Zettlemoyer, R Barzilay</v>
      </c>
      <c r="G388" s="324">
        <f>'ALL ML SYSTEMS'!G388</f>
        <v>40026</v>
      </c>
      <c r="H388" s="329">
        <f>'ALL ML SYSTEMS'!H388</f>
        <v>26</v>
      </c>
      <c r="I388" s="323" t="str">
        <f>'ALL ML SYSTEMS'!I388</f>
        <v>Reinforcement Learning for Mapping Instructions to Actions</v>
      </c>
      <c r="J388" s="334" t="str">
        <f>'ALL ML SYSTEMS'!J388</f>
        <v>https://aclanthology.org/P09-1010/</v>
      </c>
      <c r="K388" s="335">
        <f>'ALL ML SYSTEMS'!K388</f>
        <v>295</v>
      </c>
      <c r="L388" s="323">
        <f>'ALL ML SYSTEMS'!L388</f>
        <v>0</v>
      </c>
      <c r="M388" s="335" t="str">
        <f>'ALL ML SYSTEMS'!M388</f>
        <v>No</v>
      </c>
      <c r="N388" s="335">
        <f>'ALL ML SYSTEMS'!N388</f>
        <v>80940</v>
      </c>
      <c r="O388" s="335">
        <f>'ALL ML SYSTEMS'!O388</f>
        <v>0</v>
      </c>
      <c r="P388" s="336" t="str">
        <f>'ALL ML SYSTEMS'!P388</f>
        <v>Windows Help and Support</v>
      </c>
      <c r="Q388" s="335">
        <f>'ALL ML SYSTEMS'!Q388</f>
        <v>293</v>
      </c>
      <c r="R388" s="323">
        <f>'ALL ML SYSTEMS'!R388</f>
        <v>0</v>
      </c>
      <c r="S388" s="335">
        <f>'ALL ML SYSTEMS'!S388</f>
        <v>0</v>
      </c>
      <c r="T388" s="323">
        <f>'ALL ML SYSTEMS'!T388</f>
        <v>0</v>
      </c>
      <c r="U388" s="323">
        <f>'ALL ML SYSTEMS'!U388</f>
        <v>0</v>
      </c>
      <c r="V388" s="323">
        <f>'ALL ML SYSTEMS'!V388</f>
        <v>0</v>
      </c>
      <c r="W388" s="323">
        <f>'ALL ML SYSTEMS'!W388</f>
        <v>0</v>
      </c>
      <c r="X388" s="323">
        <f>'ALL ML SYSTEMS'!X388</f>
        <v>0</v>
      </c>
      <c r="Y388" s="323">
        <f>'ALL ML SYSTEMS'!Y388</f>
        <v>0</v>
      </c>
      <c r="Z388" s="323">
        <f>'ALL ML SYSTEMS'!Z388</f>
        <v>0</v>
      </c>
      <c r="AA388" s="340" t="str">
        <f>'ALL ML SYSTEMS'!AA388</f>
        <v/>
      </c>
      <c r="AB388" s="323"/>
      <c r="AC388" s="323">
        <f>'ALL ML SYSTEMS'!AB388</f>
        <v>0</v>
      </c>
      <c r="AD388" s="323" t="str">
        <f>'ALL ML SYSTEMS'!AC388</f>
        <v>Log-linear model?</v>
      </c>
    </row>
    <row r="389" hidden="1" customHeight="1" spans="1:30">
      <c r="A389" s="325">
        <f>'ALL ML SYSTEMS'!A389</f>
        <v>0</v>
      </c>
      <c r="B389" s="325" t="str">
        <f>'ALL ML SYSTEMS'!B389</f>
        <v>Recommendation</v>
      </c>
      <c r="C389" s="325" t="str">
        <f>'ALL ML SYSTEMS'!C389</f>
        <v>Movie ratings</v>
      </c>
      <c r="D389" s="325" t="str">
        <f>'ALL ML SYSTEMS'!D389</f>
        <v>AT&amp;T Labs</v>
      </c>
      <c r="E389" s="325" t="str">
        <f>'ALL ML SYSTEMS'!E389</f>
        <v>Industry</v>
      </c>
      <c r="F389" s="325" t="str">
        <f>'ALL ML SYSTEMS'!F389</f>
        <v>Y Koren</v>
      </c>
      <c r="G389" s="326">
        <f>'ALL ML SYSTEMS'!G389</f>
        <v>40026</v>
      </c>
      <c r="H389" s="327">
        <f>'ALL ML SYSTEMS'!H389</f>
        <v>26</v>
      </c>
      <c r="I389" s="325" t="str">
        <f>'ALL ML SYSTEMS'!I389</f>
        <v>The BellKor Solution to the Netflix Grand Prize</v>
      </c>
      <c r="J389" s="337" t="str">
        <f>'ALL ML SYSTEMS'!J389</f>
        <v>https://www2.seas.gwu.edu/~simhaweb/champalg/cf/papers/KorenBellKor2009.pdf</v>
      </c>
      <c r="K389" s="338">
        <f>'ALL ML SYSTEMS'!K389</f>
        <v>507</v>
      </c>
      <c r="L389" s="325">
        <f>'ALL ML SYSTEMS'!L389</f>
        <v>0</v>
      </c>
      <c r="M389" s="338" t="str">
        <f>'ALL ML SYSTEMS'!M389</f>
        <v>No</v>
      </c>
      <c r="N389" s="338">
        <f>'ALL ML SYSTEMS'!N389</f>
        <v>0</v>
      </c>
      <c r="O389" s="338">
        <f>'ALL ML SYSTEMS'!O389</f>
        <v>0</v>
      </c>
      <c r="P389" s="339" t="str">
        <f>'ALL ML SYSTEMS'!P389</f>
        <v>Netflix Prize</v>
      </c>
      <c r="Q389" s="338">
        <f>'ALL ML SYSTEMS'!Q389</f>
        <v>100480507</v>
      </c>
      <c r="R389" s="325">
        <f>'ALL ML SYSTEMS'!R389</f>
        <v>0</v>
      </c>
      <c r="S389" s="338">
        <f>'ALL ML SYSTEMS'!S389</f>
        <v>0</v>
      </c>
      <c r="T389" s="325">
        <f>'ALL ML SYSTEMS'!T389</f>
        <v>0</v>
      </c>
      <c r="U389" s="325">
        <f>'ALL ML SYSTEMS'!U389</f>
        <v>0</v>
      </c>
      <c r="V389" s="325">
        <f>'ALL ML SYSTEMS'!V389</f>
        <v>0</v>
      </c>
      <c r="W389" s="325">
        <f>'ALL ML SYSTEMS'!W389</f>
        <v>0</v>
      </c>
      <c r="X389" s="325">
        <f>'ALL ML SYSTEMS'!X389</f>
        <v>0</v>
      </c>
      <c r="Y389" s="325">
        <f>'ALL ML SYSTEMS'!Y389</f>
        <v>0</v>
      </c>
      <c r="Z389" s="325">
        <f>'ALL ML SYSTEMS'!Z389</f>
        <v>0</v>
      </c>
      <c r="AA389" s="341" t="str">
        <f>'ALL ML SYSTEMS'!AA389</f>
        <v/>
      </c>
      <c r="AB389" s="325"/>
      <c r="AC389" s="325">
        <f>'ALL ML SYSTEMS'!AB389</f>
        <v>0</v>
      </c>
      <c r="AD389" s="325">
        <f>'ALL ML SYSTEMS'!AC389</f>
        <v>0</v>
      </c>
    </row>
    <row r="390" hidden="1" customHeight="1" spans="1:30">
      <c r="A390" s="323">
        <f>'ALL ML SYSTEMS'!A390</f>
        <v>0</v>
      </c>
      <c r="B390" s="323" t="str">
        <f>'ALL ML SYSTEMS'!B390</f>
        <v>Recommendation</v>
      </c>
      <c r="C390" s="323" t="str">
        <f>'ALL ML SYSTEMS'!C390</f>
        <v>Movie ratings</v>
      </c>
      <c r="D390" s="323" t="str">
        <f>'ALL ML SYSTEMS'!D390</f>
        <v>AT&amp;T Labs</v>
      </c>
      <c r="E390" s="323" t="str">
        <f>'ALL ML SYSTEMS'!E390</f>
        <v>Industry</v>
      </c>
      <c r="F390" s="323" t="str">
        <f>'ALL ML SYSTEMS'!F390</f>
        <v>A Töscher, M Jahrer, RM Bell</v>
      </c>
      <c r="G390" s="324">
        <f>'ALL ML SYSTEMS'!G390</f>
        <v>40026</v>
      </c>
      <c r="H390" s="329">
        <f>'ALL ML SYSTEMS'!H390</f>
        <v>26</v>
      </c>
      <c r="I390" s="323" t="str">
        <f>'ALL ML SYSTEMS'!I390</f>
        <v>The BigChaos Solution to the Netflix Grand Prize</v>
      </c>
      <c r="J390" s="334" t="str">
        <f>'ALL ML SYSTEMS'!J390</f>
        <v>https://www.asc.ohio-state.edu/statistics/statgen/joul_aut2009/BigChaos.pdf</v>
      </c>
      <c r="K390" s="335">
        <f>'ALL ML SYSTEMS'!K390</f>
        <v>237</v>
      </c>
      <c r="L390" s="323">
        <f>'ALL ML SYSTEMS'!L390</f>
        <v>0</v>
      </c>
      <c r="M390" s="335" t="str">
        <f>'ALL ML SYSTEMS'!M390</f>
        <v>No</v>
      </c>
      <c r="N390" s="335">
        <f>'ALL ML SYSTEMS'!N390</f>
        <v>0</v>
      </c>
      <c r="O390" s="335">
        <f>'ALL ML SYSTEMS'!O390</f>
        <v>0</v>
      </c>
      <c r="P390" s="336" t="str">
        <f>'ALL ML SYSTEMS'!P390</f>
        <v>Netflix Prize</v>
      </c>
      <c r="Q390" s="335">
        <f>'ALL ML SYSTEMS'!Q390</f>
        <v>100480507</v>
      </c>
      <c r="R390" s="323">
        <f>'ALL ML SYSTEMS'!R390</f>
        <v>0</v>
      </c>
      <c r="S390" s="335">
        <f>'ALL ML SYSTEMS'!S390</f>
        <v>0</v>
      </c>
      <c r="T390" s="323">
        <f>'ALL ML SYSTEMS'!T390</f>
        <v>0</v>
      </c>
      <c r="U390" s="323">
        <f>'ALL ML SYSTEMS'!U390</f>
        <v>0</v>
      </c>
      <c r="V390" s="323">
        <f>'ALL ML SYSTEMS'!V390</f>
        <v>0</v>
      </c>
      <c r="W390" s="323">
        <f>'ALL ML SYSTEMS'!W390</f>
        <v>0</v>
      </c>
      <c r="X390" s="323">
        <f>'ALL ML SYSTEMS'!X390</f>
        <v>0</v>
      </c>
      <c r="Y390" s="323">
        <f>'ALL ML SYSTEMS'!Y390</f>
        <v>0</v>
      </c>
      <c r="Z390" s="323">
        <f>'ALL ML SYSTEMS'!Z390</f>
        <v>0</v>
      </c>
      <c r="AA390" s="340" t="str">
        <f>'ALL ML SYSTEMS'!AA390</f>
        <v/>
      </c>
      <c r="AB390" s="323"/>
      <c r="AC390" s="323">
        <f>'ALL ML SYSTEMS'!AB390</f>
        <v>0</v>
      </c>
      <c r="AD390" s="323">
        <f>'ALL ML SYSTEMS'!AC390</f>
        <v>0</v>
      </c>
    </row>
    <row r="391" hidden="1" customHeight="1" spans="1:30">
      <c r="A391" s="325">
        <f>'ALL ML SYSTEMS'!A391</f>
        <v>0</v>
      </c>
      <c r="B391" s="325" t="str">
        <f>'ALL ML SYSTEMS'!B391</f>
        <v>Recommendation</v>
      </c>
      <c r="C391" s="325" t="str">
        <f>'ALL ML SYSTEMS'!C391</f>
        <v>Movie ratings</v>
      </c>
      <c r="D391" s="325" t="str">
        <f>'ALL ML SYSTEMS'!D391</f>
        <v>Pragmatic Theory Inc.</v>
      </c>
      <c r="E391" s="325" t="str">
        <f>'ALL ML SYSTEMS'!E391</f>
        <v>Industry</v>
      </c>
      <c r="F391" s="325" t="str">
        <f>'ALL ML SYSTEMS'!F391</f>
        <v>M Piotte, M Chabbert</v>
      </c>
      <c r="G391" s="326">
        <f>'ALL ML SYSTEMS'!G391</f>
        <v>40026</v>
      </c>
      <c r="H391" s="327">
        <f>'ALL ML SYSTEMS'!H391</f>
        <v>26</v>
      </c>
      <c r="I391" s="325" t="str">
        <f>'ALL ML SYSTEMS'!I391</f>
        <v>The Pragmatic Theory solution to the Netflix Grand Prize</v>
      </c>
      <c r="J391" s="337" t="str">
        <f>'ALL ML SYSTEMS'!J391</f>
        <v>https://www.asc.ohio-state.edu/statistics/statgen/joul_aut2009/PragmaticTheory.pdf</v>
      </c>
      <c r="K391" s="338">
        <f>'ALL ML SYSTEMS'!K391</f>
        <v>111</v>
      </c>
      <c r="L391" s="325">
        <f>'ALL ML SYSTEMS'!L391</f>
        <v>0</v>
      </c>
      <c r="M391" s="338" t="str">
        <f>'ALL ML SYSTEMS'!M391</f>
        <v>No</v>
      </c>
      <c r="N391" s="338">
        <f>'ALL ML SYSTEMS'!N391</f>
        <v>0</v>
      </c>
      <c r="O391" s="338">
        <f>'ALL ML SYSTEMS'!O391</f>
        <v>0</v>
      </c>
      <c r="P391" s="339" t="str">
        <f>'ALL ML SYSTEMS'!P391</f>
        <v>Netflix Prize</v>
      </c>
      <c r="Q391" s="338">
        <f>'ALL ML SYSTEMS'!Q391</f>
        <v>100480507</v>
      </c>
      <c r="R391" s="325">
        <f>'ALL ML SYSTEMS'!R391</f>
        <v>0</v>
      </c>
      <c r="S391" s="338">
        <f>'ALL ML SYSTEMS'!S391</f>
        <v>0</v>
      </c>
      <c r="T391" s="325">
        <f>'ALL ML SYSTEMS'!T391</f>
        <v>0</v>
      </c>
      <c r="U391" s="325">
        <f>'ALL ML SYSTEMS'!U391</f>
        <v>0</v>
      </c>
      <c r="V391" s="325">
        <f>'ALL ML SYSTEMS'!V391</f>
        <v>0</v>
      </c>
      <c r="W391" s="325">
        <f>'ALL ML SYSTEMS'!W391</f>
        <v>0</v>
      </c>
      <c r="X391" s="325">
        <f>'ALL ML SYSTEMS'!X391</f>
        <v>0</v>
      </c>
      <c r="Y391" s="325">
        <f>'ALL ML SYSTEMS'!Y391</f>
        <v>0</v>
      </c>
      <c r="Z391" s="325">
        <f>'ALL ML SYSTEMS'!Z391</f>
        <v>0</v>
      </c>
      <c r="AA391" s="341" t="str">
        <f>'ALL ML SYSTEMS'!AA391</f>
        <v/>
      </c>
      <c r="AB391" s="325"/>
      <c r="AC391" s="325">
        <f>'ALL ML SYSTEMS'!AB391</f>
        <v>0</v>
      </c>
      <c r="AD391" s="325">
        <f>'ALL ML SYSTEMS'!AC391</f>
        <v>0</v>
      </c>
    </row>
    <row r="392" hidden="1" customHeight="1" spans="1:30">
      <c r="A392" s="323" t="str">
        <f>'ALL ML SYSTEMS'!A392</f>
        <v>RL mapping instructions (troubleshooting)</v>
      </c>
      <c r="B392" s="323" t="str">
        <f>'ALL ML SYSTEMS'!B392</f>
        <v>Reading</v>
      </c>
      <c r="C392" s="323" t="str">
        <f>'ALL ML SYSTEMS'!C392</f>
        <v>Instruction interpretation</v>
      </c>
      <c r="D392" s="323" t="str">
        <f>'ALL ML SYSTEMS'!D392</f>
        <v>MIT</v>
      </c>
      <c r="E392" s="323" t="str">
        <f>'ALL ML SYSTEMS'!E392</f>
        <v>Academia</v>
      </c>
      <c r="F392" s="323" t="str">
        <f>'ALL ML SYSTEMS'!F392</f>
        <v>SRK Branavan, H Chen, LS Zettlemoyer, R Barzilay</v>
      </c>
      <c r="G392" s="324">
        <f>'ALL ML SYSTEMS'!G392</f>
        <v>40027</v>
      </c>
      <c r="H392" s="329">
        <f>'ALL ML SYSTEMS'!H392</f>
        <v>27</v>
      </c>
      <c r="I392" s="323" t="str">
        <f>'ALL ML SYSTEMS'!I392</f>
        <v>Reinforcement Learning for Mapping Instructions to Actions</v>
      </c>
      <c r="J392" s="334" t="str">
        <f>'ALL ML SYSTEMS'!J392</f>
        <v>https://aclanthology.org/P09-1010/</v>
      </c>
      <c r="K392" s="335">
        <f>'ALL ML SYSTEMS'!K392</f>
        <v>295</v>
      </c>
      <c r="L392" s="323">
        <f>'ALL ML SYSTEMS'!L392</f>
        <v>0</v>
      </c>
      <c r="M392" s="335" t="str">
        <f>'ALL ML SYSTEMS'!M392</f>
        <v>No</v>
      </c>
      <c r="N392" s="335">
        <f>'ALL ML SYSTEMS'!N392</f>
        <v>133140</v>
      </c>
      <c r="O392" s="335">
        <f>'ALL ML SYSTEMS'!O392</f>
        <v>0</v>
      </c>
      <c r="P392" s="336" t="str">
        <f>'ALL ML SYSTEMS'!P392</f>
        <v>Windows Help and Support</v>
      </c>
      <c r="Q392" s="335">
        <f>'ALL ML SYSTEMS'!Q392</f>
        <v>1327.36</v>
      </c>
      <c r="R392" s="323">
        <f>'ALL ML SYSTEMS'!R392</f>
        <v>0</v>
      </c>
      <c r="S392" s="335">
        <f>'ALL ML SYSTEMS'!S392</f>
        <v>0</v>
      </c>
      <c r="T392" s="323">
        <f>'ALL ML SYSTEMS'!T392</f>
        <v>0</v>
      </c>
      <c r="U392" s="323">
        <f>'ALL ML SYSTEMS'!U392</f>
        <v>0</v>
      </c>
      <c r="V392" s="323">
        <f>'ALL ML SYSTEMS'!V392</f>
        <v>0</v>
      </c>
      <c r="W392" s="323">
        <f>'ALL ML SYSTEMS'!W392</f>
        <v>0</v>
      </c>
      <c r="X392" s="323">
        <f>'ALL ML SYSTEMS'!X392</f>
        <v>0</v>
      </c>
      <c r="Y392" s="323">
        <f>'ALL ML SYSTEMS'!Y392</f>
        <v>0</v>
      </c>
      <c r="Z392" s="323">
        <f>'ALL ML SYSTEMS'!Z392</f>
        <v>0</v>
      </c>
      <c r="AA392" s="340" t="str">
        <f>'ALL ML SYSTEMS'!AA392</f>
        <v/>
      </c>
      <c r="AB392" s="323"/>
      <c r="AC392" s="323">
        <f>'ALL ML SYSTEMS'!AB392</f>
        <v>0</v>
      </c>
      <c r="AD392" s="323" t="str">
        <f>'ALL ML SYSTEMS'!AC392</f>
        <v>Log-linear model?</v>
      </c>
    </row>
    <row r="393" customHeight="1" spans="1:30">
      <c r="A393" s="325">
        <f>'ALL ML SYSTEMS'!A393</f>
        <v>0</v>
      </c>
      <c r="B393" s="325" t="str">
        <f>'ALL ML SYSTEMS'!B393</f>
        <v>Recommendation</v>
      </c>
      <c r="C393" s="325">
        <f>'ALL ML SYSTEMS'!C393</f>
        <v>0</v>
      </c>
      <c r="D393" s="325" t="str">
        <f>'ALL ML SYSTEMS'!D393</f>
        <v>AT&amp;T Labs, Yahoo Research</v>
      </c>
      <c r="E393" s="325" t="str">
        <f>'ALL ML SYSTEMS'!E393</f>
        <v>Industry</v>
      </c>
      <c r="F393" s="325" t="str">
        <f>'ALL ML SYSTEMS'!F393</f>
        <v>Yehuda Koren, Robert Bell, and Chris Volinsky</v>
      </c>
      <c r="G393" s="326">
        <f>'ALL ML SYSTEMS'!G393</f>
        <v>40032</v>
      </c>
      <c r="H393" s="327">
        <f>'ALL ML SYSTEMS'!H393</f>
        <v>32</v>
      </c>
      <c r="I393" s="325" t="str">
        <f>'ALL ML SYSTEMS'!I393</f>
        <v>Matrix factorization techniques for recommender systems</v>
      </c>
      <c r="J393" s="337" t="str">
        <f>'ALL ML SYSTEMS'!J393</f>
        <v>https://ieeexplore.ieee.org/document/5197422</v>
      </c>
      <c r="K393" s="338">
        <f>'ALL ML SYSTEMS'!K393</f>
        <v>8913</v>
      </c>
      <c r="L393" s="325" t="str">
        <f>'ALL ML SYSTEMS'!L393</f>
        <v>Highly cited</v>
      </c>
      <c r="M393" s="338" t="str">
        <f>'ALL ML SYSTEMS'!M393</f>
        <v>Yes</v>
      </c>
      <c r="N393" s="338">
        <f>'ALL ML SYSTEMS'!N393</f>
        <v>0</v>
      </c>
      <c r="O393" s="338">
        <f>'ALL ML SYSTEMS'!O393</f>
        <v>0</v>
      </c>
      <c r="P393" s="339" t="str">
        <f>'ALL ML SYSTEMS'!P393</f>
        <v>Netflix Prize</v>
      </c>
      <c r="Q393" s="338">
        <f>'ALL ML SYSTEMS'!Q393</f>
        <v>100480507</v>
      </c>
      <c r="R393" s="325">
        <f>'ALL ML SYSTEMS'!R393</f>
        <v>0</v>
      </c>
      <c r="S393" s="338">
        <f>'ALL ML SYSTEMS'!S393</f>
        <v>0</v>
      </c>
      <c r="T393" s="325">
        <f>'ALL ML SYSTEMS'!T393</f>
        <v>0</v>
      </c>
      <c r="U393" s="325">
        <f>'ALL ML SYSTEMS'!U393</f>
        <v>0</v>
      </c>
      <c r="V393" s="325">
        <f>'ALL ML SYSTEMS'!V393</f>
        <v>0</v>
      </c>
      <c r="W393" s="325">
        <f>'ALL ML SYSTEMS'!W393</f>
        <v>0</v>
      </c>
      <c r="X393" s="325">
        <f>'ALL ML SYSTEMS'!X393</f>
        <v>0</v>
      </c>
      <c r="Y393" s="325">
        <f>'ALL ML SYSTEMS'!Y393</f>
        <v>0</v>
      </c>
      <c r="Z393" s="325">
        <f>'ALL ML SYSTEMS'!Z393</f>
        <v>0</v>
      </c>
      <c r="AA393" s="341" t="str">
        <f>'ALL ML SYSTEMS'!AA393</f>
        <v/>
      </c>
      <c r="AB393" s="325">
        <f>'ALL ML SYSTEMS'!AB393</f>
        <v>0</v>
      </c>
      <c r="AC393" s="325">
        <f>'ALL ML SYSTEMS'!AC393</f>
        <v>0</v>
      </c>
      <c r="AD393" s="325" t="str">
        <f>'ALL ML SYSTEMS'!AD393</f>
        <v>Industry</v>
      </c>
    </row>
    <row r="394" hidden="1" customHeight="1" spans="1:30">
      <c r="A394" s="323">
        <f>'ALL ML SYSTEMS'!A394</f>
        <v>0</v>
      </c>
      <c r="B394" s="323" t="str">
        <f>'ALL ML SYSTEMS'!B394</f>
        <v>Language</v>
      </c>
      <c r="C394" s="323">
        <f>'ALL ML SYSTEMS'!C394</f>
        <v>0</v>
      </c>
      <c r="D394" s="323" t="str">
        <f>'ALL ML SYSTEMS'!D394</f>
        <v>University of Edinburgh, University of Pittsburgh</v>
      </c>
      <c r="E394" s="323" t="str">
        <f>'ALL ML SYSTEMS'!E394</f>
        <v>Academia</v>
      </c>
      <c r="F394" s="323" t="str">
        <f>'ALL ML SYSTEMS'!F394</f>
        <v>Theresa Wilson, Janyce Wiebe, Paul Hoffmann.</v>
      </c>
      <c r="G394" s="324">
        <f>'ALL ML SYSTEMS'!G394</f>
        <v>40057</v>
      </c>
      <c r="H394" s="329">
        <f>'ALL ML SYSTEMS'!H394</f>
        <v>57</v>
      </c>
      <c r="I394" s="323" t="str">
        <f>'ALL ML SYSTEMS'!I394</f>
        <v>Recognizing Contextual Polarity: An Exploration of Features for Phrase-Level Sentiment Analysis</v>
      </c>
      <c r="J394" s="334" t="str">
        <f>'ALL ML SYSTEMS'!J394</f>
        <v>https://aclanthology.org/J09-3003.pdf</v>
      </c>
      <c r="K394" s="335">
        <f>'ALL ML SYSTEMS'!K394</f>
        <v>787</v>
      </c>
      <c r="L394" s="323">
        <f>'ALL ML SYSTEMS'!L394</f>
        <v>0</v>
      </c>
      <c r="M394" s="335" t="str">
        <f>'ALL ML SYSTEMS'!M394</f>
        <v>No</v>
      </c>
      <c r="N394" s="335">
        <f>'ALL ML SYSTEMS'!N394</f>
        <v>0</v>
      </c>
      <c r="O394" s="335">
        <f>'ALL ML SYSTEMS'!O394</f>
        <v>0</v>
      </c>
      <c r="P394" s="336">
        <f>'ALL ML SYSTEMS'!P394</f>
        <v>0</v>
      </c>
      <c r="Q394" s="335">
        <f>'ALL ML SYSTEMS'!Q394</f>
        <v>11112</v>
      </c>
      <c r="R394" s="323">
        <f>'ALL ML SYSTEMS'!R394</f>
        <v>0</v>
      </c>
      <c r="S394" s="335">
        <f>'ALL ML SYSTEMS'!S394</f>
        <v>0</v>
      </c>
      <c r="T394" s="323">
        <f>'ALL ML SYSTEMS'!T394</f>
        <v>0</v>
      </c>
      <c r="U394" s="323">
        <f>'ALL ML SYSTEMS'!U394</f>
        <v>0</v>
      </c>
      <c r="V394" s="323">
        <f>'ALL ML SYSTEMS'!V394</f>
        <v>0</v>
      </c>
      <c r="W394" s="323">
        <f>'ALL ML SYSTEMS'!W394</f>
        <v>0</v>
      </c>
      <c r="X394" s="323">
        <f>'ALL ML SYSTEMS'!X394</f>
        <v>0</v>
      </c>
      <c r="Y394" s="323">
        <f>'ALL ML SYSTEMS'!Y394</f>
        <v>0</v>
      </c>
      <c r="Z394" s="323">
        <f>'ALL ML SYSTEMS'!Z394</f>
        <v>0</v>
      </c>
      <c r="AA394" s="340" t="str">
        <f>'ALL ML SYSTEMS'!AA394</f>
        <v/>
      </c>
      <c r="AB394" s="323"/>
      <c r="AC394" s="323">
        <f>'ALL ML SYSTEMS'!AB394</f>
        <v>0</v>
      </c>
      <c r="AD394" s="323">
        <f>'ALL ML SYSTEMS'!AC394</f>
        <v>0</v>
      </c>
    </row>
    <row r="395" hidden="1" customHeight="1" spans="1:30">
      <c r="A395" s="325" t="str">
        <f>'ALL ML SYSTEMS'!A395</f>
        <v>BellKor 2007</v>
      </c>
      <c r="B395" s="325" t="str">
        <f>'ALL ML SYSTEMS'!B395</f>
        <v>Recommendation</v>
      </c>
      <c r="C395" s="325" t="str">
        <f>'ALL ML SYSTEMS'!C395</f>
        <v>Movie ratings</v>
      </c>
      <c r="D395" s="325" t="str">
        <f>'ALL ML SYSTEMS'!D395</f>
        <v>AT&amp;T Labs</v>
      </c>
      <c r="E395" s="325" t="str">
        <f>'ALL ML SYSTEMS'!E395</f>
        <v>Industry</v>
      </c>
      <c r="F395" s="325" t="str">
        <f>'ALL ML SYSTEMS'!F395</f>
        <v>RM Bell, Y Koren, C Volinsky</v>
      </c>
      <c r="G395" s="326">
        <f>'ALL ML SYSTEMS'!G395</f>
        <v>40077</v>
      </c>
      <c r="H395" s="327">
        <f>'ALL ML SYSTEMS'!H395</f>
        <v>77</v>
      </c>
      <c r="I395" s="325" t="str">
        <f>'ALL ML SYSTEMS'!I395</f>
        <v>The BellKor solution to the Netflix Prize</v>
      </c>
      <c r="J395" s="337" t="str">
        <f>'ALL ML SYSTEMS'!J395</f>
        <v>https://www.semanticscholar.org/paper/The-BellKor-solution-to-the-Netflix-Prize-Bell-Koren/f4ebb542c752a0dc423f94fd121e2edb8f6275ba</v>
      </c>
      <c r="K395" s="338">
        <f>'ALL ML SYSTEMS'!K395</f>
        <v>238</v>
      </c>
      <c r="L395" s="325">
        <f>'ALL ML SYSTEMS'!L395</f>
        <v>0</v>
      </c>
      <c r="M395" s="338" t="str">
        <f>'ALL ML SYSTEMS'!M395</f>
        <v>No</v>
      </c>
      <c r="N395" s="338">
        <f>'ALL ML SYSTEMS'!N395</f>
        <v>0</v>
      </c>
      <c r="O395" s="338">
        <f>'ALL ML SYSTEMS'!O395</f>
        <v>0</v>
      </c>
      <c r="P395" s="339" t="str">
        <f>'ALL ML SYSTEMS'!P395</f>
        <v>Netflix Prize</v>
      </c>
      <c r="Q395" s="338">
        <f>'ALL ML SYSTEMS'!Q395</f>
        <v>100480507</v>
      </c>
      <c r="R395" s="325">
        <f>'ALL ML SYSTEMS'!R395</f>
        <v>0</v>
      </c>
      <c r="S395" s="338">
        <f>'ALL ML SYSTEMS'!S395</f>
        <v>0</v>
      </c>
      <c r="T395" s="325">
        <f>'ALL ML SYSTEMS'!T395</f>
        <v>0</v>
      </c>
      <c r="U395" s="325">
        <f>'ALL ML SYSTEMS'!U395</f>
        <v>0</v>
      </c>
      <c r="V395" s="325">
        <f>'ALL ML SYSTEMS'!V395</f>
        <v>0</v>
      </c>
      <c r="W395" s="325">
        <f>'ALL ML SYSTEMS'!W395</f>
        <v>0</v>
      </c>
      <c r="X395" s="325">
        <f>'ALL ML SYSTEMS'!X395</f>
        <v>0</v>
      </c>
      <c r="Y395" s="325">
        <f>'ALL ML SYSTEMS'!Y395</f>
        <v>0</v>
      </c>
      <c r="Z395" s="325">
        <f>'ALL ML SYSTEMS'!Z395</f>
        <v>0</v>
      </c>
      <c r="AA395" s="341" t="str">
        <f>'ALL ML SYSTEMS'!AA395</f>
        <v/>
      </c>
      <c r="AB395" s="325"/>
      <c r="AC395" s="325">
        <f>'ALL ML SYSTEMS'!AB395</f>
        <v>0</v>
      </c>
      <c r="AD395" s="325">
        <f>'ALL ML SYSTEMS'!AC395</f>
        <v>0</v>
      </c>
    </row>
    <row r="396" customHeight="1" spans="1:30">
      <c r="A396" s="323">
        <f>'ALL ML SYSTEMS'!A396</f>
        <v>0</v>
      </c>
      <c r="B396" s="323" t="str">
        <f>'ALL ML SYSTEMS'!B396</f>
        <v>3D reconstruction</v>
      </c>
      <c r="C396" s="323">
        <f>'ALL ML SYSTEMS'!C396</f>
        <v>0</v>
      </c>
      <c r="D396" s="323" t="str">
        <f>'ALL ML SYSTEMS'!D396</f>
        <v>University of Washington, Cornell, Microsoft Research</v>
      </c>
      <c r="E396" s="323" t="str">
        <f>'ALL ML SYSTEMS'!E396</f>
        <v>Industry - Academia Collaboration (Academia leaning)</v>
      </c>
      <c r="F396" s="323" t="str">
        <f>'ALL ML SYSTEMS'!F396</f>
        <v>Sameer Agarwal, Noah Snavely, Ian Simon, Steven M. Seitz and Richard Szeliski</v>
      </c>
      <c r="G396" s="324">
        <f>'ALL ML SYSTEMS'!G396</f>
        <v>40085</v>
      </c>
      <c r="H396" s="329">
        <f>'ALL ML SYSTEMS'!H396</f>
        <v>85</v>
      </c>
      <c r="I396" s="323" t="str">
        <f>'ALL ML SYSTEMS'!I396</f>
        <v>Building Rome in a Day</v>
      </c>
      <c r="J396" s="334" t="str">
        <f>'ALL ML SYSTEMS'!J396</f>
        <v>https://grail.cs.washington.edu/rome/</v>
      </c>
      <c r="K396" s="335">
        <f>'ALL ML SYSTEMS'!K396</f>
        <v>2203</v>
      </c>
      <c r="L396" s="323" t="str">
        <f>'ALL ML SYSTEMS'!L396</f>
        <v>Highly cited</v>
      </c>
      <c r="M396" s="335" t="str">
        <f>'ALL ML SYSTEMS'!M396</f>
        <v>Yes</v>
      </c>
      <c r="N396" s="335">
        <f>'ALL ML SYSTEMS'!N396</f>
        <v>0</v>
      </c>
      <c r="O396" s="335">
        <f>'ALL ML SYSTEMS'!O396</f>
        <v>0</v>
      </c>
      <c r="P396" s="336">
        <f>'ALL ML SYSTEMS'!P396</f>
        <v>0</v>
      </c>
      <c r="Q396" s="335">
        <f>'ALL ML SYSTEMS'!Q396</f>
        <v>0</v>
      </c>
      <c r="R396" s="323">
        <f>'ALL ML SYSTEMS'!R396</f>
        <v>0</v>
      </c>
      <c r="S396" s="335">
        <f>'ALL ML SYSTEMS'!S396</f>
        <v>0</v>
      </c>
      <c r="T396" s="323">
        <f>'ALL ML SYSTEMS'!T396</f>
        <v>0</v>
      </c>
      <c r="U396" s="323">
        <f>'ALL ML SYSTEMS'!U396</f>
        <v>0</v>
      </c>
      <c r="V396" s="323">
        <f>'ALL ML SYSTEMS'!V396</f>
        <v>0</v>
      </c>
      <c r="W396" s="323">
        <f>'ALL ML SYSTEMS'!W396</f>
        <v>0</v>
      </c>
      <c r="X396" s="323">
        <f>'ALL ML SYSTEMS'!X396</f>
        <v>0</v>
      </c>
      <c r="Y396" s="323">
        <f>'ALL ML SYSTEMS'!Y396</f>
        <v>0</v>
      </c>
      <c r="Z396" s="323">
        <f>'ALL ML SYSTEMS'!Z396</f>
        <v>0</v>
      </c>
      <c r="AA396" s="340" t="str">
        <f>'ALL ML SYSTEMS'!AA396</f>
        <v/>
      </c>
      <c r="AB396" s="323">
        <f>'ALL ML SYSTEMS'!AB396</f>
        <v>0</v>
      </c>
      <c r="AC396" s="323">
        <f>'ALL ML SYSTEMS'!AC396</f>
        <v>0</v>
      </c>
      <c r="AD396" s="323" t="str">
        <f>'ALL ML SYSTEMS'!AD396</f>
        <v>Industry</v>
      </c>
    </row>
    <row r="397" customHeight="1" spans="1:30">
      <c r="A397" s="325">
        <f>'ALL ML SYSTEMS'!A397</f>
        <v>0</v>
      </c>
      <c r="B397" s="325" t="str">
        <f>'ALL ML SYSTEMS'!B397</f>
        <v>Language</v>
      </c>
      <c r="C397" s="325">
        <f>'ALL ML SYSTEMS'!C397</f>
        <v>0</v>
      </c>
      <c r="D397" s="325" t="str">
        <f>'ALL ML SYSTEMS'!D397</f>
        <v>University of Colorado &amp; New Mexico State University</v>
      </c>
      <c r="E397" s="325" t="str">
        <f>'ALL ML SYSTEMS'!E397</f>
        <v>Academia</v>
      </c>
      <c r="F397" s="325" t="str">
        <f>'ALL ML SYSTEMS'!F397</f>
        <v>Thomas K Landauer, Peter W. Foltz &amp; Darrell Laham</v>
      </c>
      <c r="G397" s="326">
        <f>'ALL ML SYSTEMS'!G397</f>
        <v>40128</v>
      </c>
      <c r="H397" s="327">
        <f>'ALL ML SYSTEMS'!H397</f>
        <v>128</v>
      </c>
      <c r="I397" s="325" t="str">
        <f>'ALL ML SYSTEMS'!I397</f>
        <v>An Introduction to Latent Semantic Analysis</v>
      </c>
      <c r="J397" s="337" t="str">
        <f>'ALL ML SYSTEMS'!J397</f>
        <v>https://www.tandfonline.com/doi/abs/10.1080/01638539809545028</v>
      </c>
      <c r="K397" s="338">
        <f>'ALL ML SYSTEMS'!K397</f>
        <v>6424</v>
      </c>
      <c r="L397" s="325" t="str">
        <f>'ALL ML SYSTEMS'!L397</f>
        <v>Highly cited</v>
      </c>
      <c r="M397" s="338" t="str">
        <f>'ALL ML SYSTEMS'!M397</f>
        <v>Yes</v>
      </c>
      <c r="N397" s="338">
        <f>'ALL ML SYSTEMS'!N397</f>
        <v>0</v>
      </c>
      <c r="O397" s="338">
        <f>'ALL ML SYSTEMS'!O397</f>
        <v>0</v>
      </c>
      <c r="P397" s="339">
        <f>'ALL ML SYSTEMS'!P397</f>
        <v>0</v>
      </c>
      <c r="Q397" s="338">
        <f>'ALL ML SYSTEMS'!Q397</f>
        <v>0</v>
      </c>
      <c r="R397" s="325">
        <f>'ALL ML SYSTEMS'!R397</f>
        <v>0</v>
      </c>
      <c r="S397" s="338">
        <f>'ALL ML SYSTEMS'!S397</f>
        <v>0</v>
      </c>
      <c r="T397" s="325">
        <f>'ALL ML SYSTEMS'!T397</f>
        <v>0</v>
      </c>
      <c r="U397" s="325">
        <f>'ALL ML SYSTEMS'!U397</f>
        <v>0</v>
      </c>
      <c r="V397" s="325">
        <f>'ALL ML SYSTEMS'!V397</f>
        <v>0</v>
      </c>
      <c r="W397" s="325">
        <f>'ALL ML SYSTEMS'!W397</f>
        <v>0</v>
      </c>
      <c r="X397" s="325">
        <f>'ALL ML SYSTEMS'!X397</f>
        <v>0</v>
      </c>
      <c r="Y397" s="325">
        <f>'ALL ML SYSTEMS'!Y397</f>
        <v>0</v>
      </c>
      <c r="Z397" s="325">
        <f>'ALL ML SYSTEMS'!Z397</f>
        <v>0</v>
      </c>
      <c r="AA397" s="341" t="str">
        <f>'ALL ML SYSTEMS'!AA397</f>
        <v/>
      </c>
      <c r="AB397" s="325">
        <f>'ALL ML SYSTEMS'!AB397</f>
        <v>0</v>
      </c>
      <c r="AC397" s="325">
        <f>'ALL ML SYSTEMS'!AC397</f>
        <v>0</v>
      </c>
      <c r="AD397" s="325" t="str">
        <f>'ALL ML SYSTEMS'!AD397</f>
        <v>Academia</v>
      </c>
    </row>
    <row r="398" customHeight="1" spans="1:30">
      <c r="A398" s="323">
        <f>'ALL ML SYSTEMS'!A398</f>
        <v>0</v>
      </c>
      <c r="B398" s="323">
        <f>'ALL ML SYSTEMS'!B398</f>
        <v>0</v>
      </c>
      <c r="C398" s="323">
        <f>'ALL ML SYSTEMS'!C398</f>
        <v>0</v>
      </c>
      <c r="D398" s="323" t="str">
        <f>'ALL ML SYSTEMS'!D398</f>
        <v>University of Montreal, Microsoft Research</v>
      </c>
      <c r="E398" s="323" t="str">
        <f>'ALL ML SYSTEMS'!E398</f>
        <v>Academia</v>
      </c>
      <c r="F398" s="323" t="str">
        <f>'ALL ML SYSTEMS'!F398</f>
        <v>Y Bengio</v>
      </c>
      <c r="G398" s="324">
        <f>'ALL ML SYSTEMS'!G398</f>
        <v>40132</v>
      </c>
      <c r="H398" s="329">
        <f>'ALL ML SYSTEMS'!H398</f>
        <v>132</v>
      </c>
      <c r="I398" s="323" t="str">
        <f>'ALL ML SYSTEMS'!I398</f>
        <v>Learning deep architectures for AI</v>
      </c>
      <c r="J398" s="334" t="str">
        <f>'ALL ML SYSTEMS'!J398</f>
        <v>https://www.nowpublishers.com/article/Details/MAL-006</v>
      </c>
      <c r="K398" s="335">
        <f>'ALL ML SYSTEMS'!K398</f>
        <v>9782</v>
      </c>
      <c r="L398" s="323" t="str">
        <f>'ALL ML SYSTEMS'!L398</f>
        <v>Highly cited</v>
      </c>
      <c r="M398" s="335" t="str">
        <f>'ALL ML SYSTEMS'!M398</f>
        <v>Yes</v>
      </c>
      <c r="N398" s="335">
        <f>'ALL ML SYSTEMS'!N398</f>
        <v>0</v>
      </c>
      <c r="O398" s="335">
        <f>'ALL ML SYSTEMS'!O398</f>
        <v>0</v>
      </c>
      <c r="P398" s="336">
        <f>'ALL ML SYSTEMS'!P398</f>
        <v>0</v>
      </c>
      <c r="Q398" s="335">
        <f>'ALL ML SYSTEMS'!Q398</f>
        <v>0</v>
      </c>
      <c r="R398" s="323">
        <f>'ALL ML SYSTEMS'!R398</f>
        <v>0</v>
      </c>
      <c r="S398" s="335">
        <f>'ALL ML SYSTEMS'!S398</f>
        <v>0</v>
      </c>
      <c r="T398" s="323">
        <f>'ALL ML SYSTEMS'!T398</f>
        <v>0</v>
      </c>
      <c r="U398" s="323">
        <f>'ALL ML SYSTEMS'!U398</f>
        <v>0</v>
      </c>
      <c r="V398" s="323">
        <f>'ALL ML SYSTEMS'!V398</f>
        <v>0</v>
      </c>
      <c r="W398" s="323">
        <f>'ALL ML SYSTEMS'!W398</f>
        <v>0</v>
      </c>
      <c r="X398" s="323">
        <f>'ALL ML SYSTEMS'!X398</f>
        <v>0</v>
      </c>
      <c r="Y398" s="323">
        <f>'ALL ML SYSTEMS'!Y398</f>
        <v>0</v>
      </c>
      <c r="Z398" s="323">
        <f>'ALL ML SYSTEMS'!Z398</f>
        <v>0</v>
      </c>
      <c r="AA398" s="340" t="str">
        <f>'ALL ML SYSTEMS'!AA398</f>
        <v/>
      </c>
      <c r="AB398" s="323">
        <f>'ALL ML SYSTEMS'!AB398</f>
        <v>0</v>
      </c>
      <c r="AC398" s="323">
        <f>'ALL ML SYSTEMS'!AC398</f>
        <v>0</v>
      </c>
      <c r="AD398" s="323" t="str">
        <f>'ALL ML SYSTEMS'!AD398</f>
        <v>Academia</v>
      </c>
    </row>
    <row r="399" customHeight="1" spans="1:30">
      <c r="A399" s="325">
        <f>'ALL ML SYSTEMS'!A399</f>
        <v>0</v>
      </c>
      <c r="B399" s="325" t="str">
        <f>'ALL ML SYSTEMS'!B399</f>
        <v>Vision</v>
      </c>
      <c r="C399" s="325">
        <f>'ALL ML SYSTEMS'!C399</f>
        <v>0</v>
      </c>
      <c r="D399" s="325" t="str">
        <f>'ALL ML SYSTEMS'!D399</f>
        <v>University of Chicago &amp; Toyota Technological Institute, Chicago &amp; University of California, Irvine</v>
      </c>
      <c r="E399" s="325" t="str">
        <f>'ALL ML SYSTEMS'!E399</f>
        <v>Academia</v>
      </c>
      <c r="F399" s="325" t="str">
        <f>'ALL ML SYSTEMS'!F399</f>
        <v>Pedro Felzenszwalb, David McAllester, Deva Ramanan</v>
      </c>
      <c r="G399" s="326">
        <f>'ALL ML SYSTEMS'!G399</f>
        <v>39622</v>
      </c>
      <c r="H399" s="327">
        <f>'ALL ML SYSTEMS'!H399</f>
        <v>9622</v>
      </c>
      <c r="I399" s="325" t="str">
        <f>'ALL ML SYSTEMS'!I399</f>
        <v>A discriminatively trained, multiscale, deformable part model</v>
      </c>
      <c r="J399" s="337" t="str">
        <f>'ALL ML SYSTEMS'!J399</f>
        <v>https://ieeexplore.ieee.org/abstract/document/4587597</v>
      </c>
      <c r="K399" s="338">
        <f>'ALL ML SYSTEMS'!K399</f>
        <v>3093</v>
      </c>
      <c r="L399" s="325" t="str">
        <f>'ALL ML SYSTEMS'!L399</f>
        <v>Highly cited</v>
      </c>
      <c r="M399" s="338" t="str">
        <f>'ALL ML SYSTEMS'!M399</f>
        <v>Yes</v>
      </c>
      <c r="N399" s="338">
        <f>'ALL ML SYSTEMS'!N399</f>
        <v>0</v>
      </c>
      <c r="O399" s="338">
        <f>'ALL ML SYSTEMS'!O399</f>
        <v>0</v>
      </c>
      <c r="P399" s="339">
        <f>'ALL ML SYSTEMS'!P399</f>
        <v>0</v>
      </c>
      <c r="Q399" s="338">
        <f>'ALL ML SYSTEMS'!Q399</f>
        <v>0</v>
      </c>
      <c r="R399" s="325">
        <f>'ALL ML SYSTEMS'!R399</f>
        <v>0</v>
      </c>
      <c r="S399" s="338">
        <f>'ALL ML SYSTEMS'!S399</f>
        <v>0</v>
      </c>
      <c r="T399" s="325">
        <f>'ALL ML SYSTEMS'!T399</f>
        <v>0</v>
      </c>
      <c r="U399" s="325">
        <f>'ALL ML SYSTEMS'!U399</f>
        <v>0</v>
      </c>
      <c r="V399" s="325">
        <f>'ALL ML SYSTEMS'!V399</f>
        <v>0</v>
      </c>
      <c r="W399" s="325">
        <f>'ALL ML SYSTEMS'!W399</f>
        <v>0</v>
      </c>
      <c r="X399" s="325">
        <f>'ALL ML SYSTEMS'!X399</f>
        <v>0</v>
      </c>
      <c r="Y399" s="325">
        <f>'ALL ML SYSTEMS'!Y399</f>
        <v>0</v>
      </c>
      <c r="Z399" s="325">
        <f>'ALL ML SYSTEMS'!Z399</f>
        <v>0</v>
      </c>
      <c r="AA399" s="341" t="str">
        <f>'ALL ML SYSTEMS'!AA399</f>
        <v/>
      </c>
      <c r="AB399" s="325">
        <f>'ALL ML SYSTEMS'!AB399</f>
        <v>0</v>
      </c>
      <c r="AC399" s="325">
        <f>'ALL ML SYSTEMS'!AC399</f>
        <v>0</v>
      </c>
      <c r="AD399" s="325" t="str">
        <f>'ALL ML SYSTEMS'!AD399</f>
        <v>Academia</v>
      </c>
    </row>
    <row r="400" customHeight="1" spans="1:30">
      <c r="A400" s="323" t="str">
        <f>'ALL ML SYSTEMS'!A400</f>
        <v>Denoising Autoencoders</v>
      </c>
      <c r="B400" s="323">
        <f>'ALL ML SYSTEMS'!B400</f>
        <v>0</v>
      </c>
      <c r="C400" s="323">
        <f>'ALL ML SYSTEMS'!C400</f>
        <v>0</v>
      </c>
      <c r="D400" s="323" t="str">
        <f>'ALL ML SYSTEMS'!D400</f>
        <v>University of Montreal</v>
      </c>
      <c r="E400" s="323" t="str">
        <f>'ALL ML SYSTEMS'!E400</f>
        <v>Academia</v>
      </c>
      <c r="F400" s="323" t="str">
        <f>'ALL ML SYSTEMS'!F400</f>
        <v>Pascal Vincent, Hugo Larechelle, Yoshua Bengio, Pierre- Antoine Manzagol</v>
      </c>
      <c r="G400" s="324">
        <f>'ALL ML SYSTEMS'!G400</f>
        <v>39634</v>
      </c>
      <c r="H400" s="329">
        <f>'ALL ML SYSTEMS'!H400</f>
        <v>9634</v>
      </c>
      <c r="I400" s="323" t="str">
        <f>'ALL ML SYSTEMS'!I400</f>
        <v>Extracting and Composing Robust Features with Denoising Autoencoders</v>
      </c>
      <c r="J400" s="334" t="str">
        <f>'ALL ML SYSTEMS'!J400</f>
        <v>https://dl.acm.org/doi/10.1145/1390156.1390294</v>
      </c>
      <c r="K400" s="335">
        <f>'ALL ML SYSTEMS'!K400</f>
        <v>6295</v>
      </c>
      <c r="L400" s="323">
        <f>'ALL ML SYSTEMS'!L400</f>
        <v>0</v>
      </c>
      <c r="M400" s="335" t="str">
        <f>'ALL ML SYSTEMS'!M400</f>
        <v>Yes</v>
      </c>
      <c r="N400" s="335">
        <f>'ALL ML SYSTEMS'!N400</f>
        <v>0</v>
      </c>
      <c r="O400" s="335">
        <f>'ALL ML SYSTEMS'!O400</f>
        <v>0</v>
      </c>
      <c r="P400" s="336">
        <f>'ALL ML SYSTEMS'!P400</f>
        <v>0</v>
      </c>
      <c r="Q400" s="335">
        <f>'ALL ML SYSTEMS'!Q400</f>
        <v>0</v>
      </c>
      <c r="R400" s="323">
        <f>'ALL ML SYSTEMS'!R400</f>
        <v>0</v>
      </c>
      <c r="S400" s="335">
        <f>'ALL ML SYSTEMS'!S400</f>
        <v>0</v>
      </c>
      <c r="T400" s="323">
        <f>'ALL ML SYSTEMS'!T400</f>
        <v>0</v>
      </c>
      <c r="U400" s="323">
        <f>'ALL ML SYSTEMS'!U400</f>
        <v>0</v>
      </c>
      <c r="V400" s="323">
        <f>'ALL ML SYSTEMS'!V400</f>
        <v>0</v>
      </c>
      <c r="W400" s="323">
        <f>'ALL ML SYSTEMS'!W400</f>
        <v>0</v>
      </c>
      <c r="X400" s="323">
        <f>'ALL ML SYSTEMS'!X400</f>
        <v>0</v>
      </c>
      <c r="Y400" s="323">
        <f>'ALL ML SYSTEMS'!Y400</f>
        <v>0</v>
      </c>
      <c r="Z400" s="323">
        <f>'ALL ML SYSTEMS'!Z400</f>
        <v>0</v>
      </c>
      <c r="AA400" s="340" t="str">
        <f>'ALL ML SYSTEMS'!AA400</f>
        <v/>
      </c>
      <c r="AB400" s="323">
        <f>'ALL ML SYSTEMS'!AB400</f>
        <v>0</v>
      </c>
      <c r="AC400" s="323">
        <f>'ALL ML SYSTEMS'!AC400</f>
        <v>0</v>
      </c>
      <c r="AD400" s="323" t="str">
        <f>'ALL ML SYSTEMS'!AD400</f>
        <v>Academia</v>
      </c>
    </row>
    <row r="401" customHeight="1" spans="1:30">
      <c r="A401" s="325">
        <f>'ALL ML SYSTEMS'!A401</f>
        <v>0</v>
      </c>
      <c r="B401" s="325">
        <f>'ALL ML SYSTEMS'!B401</f>
        <v>0</v>
      </c>
      <c r="C401" s="325">
        <f>'ALL ML SYSTEMS'!C401</f>
        <v>0</v>
      </c>
      <c r="D401" s="325" t="str">
        <f>'ALL ML SYSTEMS'!D401</f>
        <v>Google, NUANCE Communications, UIUC, IDIAP</v>
      </c>
      <c r="E401" s="325" t="str">
        <f>'ALL ML SYSTEMS'!E401</f>
        <v>Industry - Academia Collaboration</v>
      </c>
      <c r="F401" s="325" t="str">
        <f>'ALL ML SYSTEMS'!F401</f>
        <v>Jason Weston, Frederick, Ratle, Hossein Mobahi, Ronan Collobert</v>
      </c>
      <c r="G401" s="326">
        <f>'ALL ML SYSTEMS'!G401</f>
        <v>39634</v>
      </c>
      <c r="H401" s="327">
        <f>'ALL ML SYSTEMS'!H401</f>
        <v>9634</v>
      </c>
      <c r="I401" s="325" t="str">
        <f>'ALL ML SYSTEMS'!I401</f>
        <v>Deep Learning via Semi-Supervised Embedding</v>
      </c>
      <c r="J401" s="337" t="str">
        <f>'ALL ML SYSTEMS'!J401</f>
        <v>https://dl.acm.org/doi/10.1145/1390156.1390303</v>
      </c>
      <c r="K401" s="338">
        <f>'ALL ML SYSTEMS'!K401</f>
        <v>1087</v>
      </c>
      <c r="L401" s="325">
        <f>'ALL ML SYSTEMS'!L401</f>
        <v>0</v>
      </c>
      <c r="M401" s="338" t="str">
        <f>'ALL ML SYSTEMS'!M401</f>
        <v>Yes</v>
      </c>
      <c r="N401" s="338">
        <f>'ALL ML SYSTEMS'!N401</f>
        <v>0</v>
      </c>
      <c r="O401" s="338">
        <f>'ALL ML SYSTEMS'!O401</f>
        <v>0</v>
      </c>
      <c r="P401" s="339">
        <f>'ALL ML SYSTEMS'!P401</f>
        <v>0</v>
      </c>
      <c r="Q401" s="338">
        <f>'ALL ML SYSTEMS'!Q401</f>
        <v>0</v>
      </c>
      <c r="R401" s="325">
        <f>'ALL ML SYSTEMS'!R401</f>
        <v>0</v>
      </c>
      <c r="S401" s="338">
        <f>'ALL ML SYSTEMS'!S401</f>
        <v>0</v>
      </c>
      <c r="T401" s="325">
        <f>'ALL ML SYSTEMS'!T401</f>
        <v>0</v>
      </c>
      <c r="U401" s="325">
        <f>'ALL ML SYSTEMS'!U401</f>
        <v>0</v>
      </c>
      <c r="V401" s="325">
        <f>'ALL ML SYSTEMS'!V401</f>
        <v>0</v>
      </c>
      <c r="W401" s="325">
        <f>'ALL ML SYSTEMS'!W401</f>
        <v>0</v>
      </c>
      <c r="X401" s="325">
        <f>'ALL ML SYSTEMS'!X401</f>
        <v>0</v>
      </c>
      <c r="Y401" s="325">
        <f>'ALL ML SYSTEMS'!Y401</f>
        <v>0</v>
      </c>
      <c r="Z401" s="325">
        <f>'ALL ML SYSTEMS'!Z401</f>
        <v>0</v>
      </c>
      <c r="AA401" s="341" t="str">
        <f>'ALL ML SYSTEMS'!AA401</f>
        <v/>
      </c>
      <c r="AB401" s="325">
        <f>'ALL ML SYSTEMS'!AB401</f>
        <v>0</v>
      </c>
      <c r="AC401" s="325">
        <f>'ALL ML SYSTEMS'!AC401</f>
        <v>0</v>
      </c>
      <c r="AD401" s="325" t="str">
        <f>'ALL ML SYSTEMS'!AD401</f>
        <v>Industry</v>
      </c>
    </row>
    <row r="402" customHeight="1" spans="1:30">
      <c r="A402" s="323">
        <f>'ALL ML SYSTEMS'!A402</f>
        <v>0</v>
      </c>
      <c r="B402" s="323" t="str">
        <f>'ALL ML SYSTEMS'!B402</f>
        <v>Language</v>
      </c>
      <c r="C402" s="323">
        <f>'ALL ML SYSTEMS'!C402</f>
        <v>0</v>
      </c>
      <c r="D402" s="323" t="str">
        <f>'ALL ML SYSTEMS'!D402</f>
        <v>NEC Laboratories</v>
      </c>
      <c r="E402" s="323" t="str">
        <f>'ALL ML SYSTEMS'!E402</f>
        <v>Industry</v>
      </c>
      <c r="F402" s="323" t="str">
        <f>'ALL ML SYSTEMS'!F402</f>
        <v>R Collobert, J Weston</v>
      </c>
      <c r="G402" s="324">
        <f>'ALL ML SYSTEMS'!G402</f>
        <v>39634</v>
      </c>
      <c r="H402" s="329">
        <f>'ALL ML SYSTEMS'!H402</f>
        <v>9634</v>
      </c>
      <c r="I402" s="323" t="str">
        <f>'ALL ML SYSTEMS'!I402</f>
        <v>A unified architecture for natural language processing: Deep neural networks with multitask learning</v>
      </c>
      <c r="J402" s="334" t="str">
        <f>'ALL ML SYSTEMS'!J402</f>
        <v>https://dl.acm.org/doi/10.1145/1390156.1390177</v>
      </c>
      <c r="K402" s="335">
        <f>'ALL ML SYSTEMS'!K402</f>
        <v>5759</v>
      </c>
      <c r="L402" s="323" t="str">
        <f>'ALL ML SYSTEMS'!L402</f>
        <v>Highly cited</v>
      </c>
      <c r="M402" s="335" t="str">
        <f>'ALL ML SYSTEMS'!M402</f>
        <v>Yes</v>
      </c>
      <c r="N402" s="335">
        <f>'ALL ML SYSTEMS'!N402</f>
        <v>0</v>
      </c>
      <c r="O402" s="335">
        <f>'ALL ML SYSTEMS'!O402</f>
        <v>0</v>
      </c>
      <c r="P402" s="336">
        <f>'ALL ML SYSTEMS'!P402</f>
        <v>0</v>
      </c>
      <c r="Q402" s="335">
        <f>'ALL ML SYSTEMS'!Q402</f>
        <v>631000000</v>
      </c>
      <c r="R402" s="323">
        <f>'ALL ML SYSTEMS'!R402</f>
        <v>0</v>
      </c>
      <c r="S402" s="335">
        <f>'ALL ML SYSTEMS'!S402</f>
        <v>0</v>
      </c>
      <c r="T402" s="323">
        <f>'ALL ML SYSTEMS'!T402</f>
        <v>0</v>
      </c>
      <c r="U402" s="323">
        <f>'ALL ML SYSTEMS'!U402</f>
        <v>0</v>
      </c>
      <c r="V402" s="323">
        <f>'ALL ML SYSTEMS'!V402</f>
        <v>0</v>
      </c>
      <c r="W402" s="323">
        <f>'ALL ML SYSTEMS'!W402</f>
        <v>0</v>
      </c>
      <c r="X402" s="323">
        <f>'ALL ML SYSTEMS'!X402</f>
        <v>0</v>
      </c>
      <c r="Y402" s="323">
        <f>'ALL ML SYSTEMS'!Y402</f>
        <v>0</v>
      </c>
      <c r="Z402" s="323">
        <f>'ALL ML SYSTEMS'!Z402</f>
        <v>0</v>
      </c>
      <c r="AA402" s="340" t="str">
        <f>'ALL ML SYSTEMS'!AA402</f>
        <v/>
      </c>
      <c r="AB402" s="323">
        <f>'ALL ML SYSTEMS'!AB402</f>
        <v>0</v>
      </c>
      <c r="AC402" s="323" t="str">
        <f>'ALL ML SYSTEMS'!AC402</f>
        <v>Convolutional Neural Network</v>
      </c>
      <c r="AD402" s="323" t="str">
        <f>'ALL ML SYSTEMS'!AD402</f>
        <v>Industry</v>
      </c>
    </row>
    <row r="403" hidden="1" customHeight="1" spans="1:30">
      <c r="A403" s="325" t="str">
        <f>'ALL ML SYSTEMS'!A403</f>
        <v>Stacked Semisuperviser Autoencoders</v>
      </c>
      <c r="B403" s="325" t="str">
        <f>'ALL ML SYSTEMS'!B403</f>
        <v>Language</v>
      </c>
      <c r="C403" s="325" t="str">
        <f>'ALL ML SYSTEMS'!C403</f>
        <v>Document representation</v>
      </c>
      <c r="D403" s="325" t="str">
        <f>'ALL ML SYSTEMS'!D403</f>
        <v>New York University and Microsoft Research Cambridge</v>
      </c>
      <c r="E403" s="325" t="str">
        <f>'ALL ML SYSTEMS'!E403</f>
        <v>Industry - Academia Collaboration</v>
      </c>
      <c r="F403" s="325" t="str">
        <f>'ALL ML SYSTEMS'!F403</f>
        <v>MA Ranzato, M Szummer</v>
      </c>
      <c r="G403" s="326">
        <f>'ALL ML SYSTEMS'!G403</f>
        <v>39644</v>
      </c>
      <c r="H403" s="327">
        <f>'ALL ML SYSTEMS'!H403</f>
        <v>9644</v>
      </c>
      <c r="I403" s="325" t="str">
        <f>'ALL ML SYSTEMS'!I403</f>
        <v>Semisupervised learning of compact document representations with deep networks</v>
      </c>
      <c r="J403" s="337" t="str">
        <f>'ALL ML SYSTEMS'!J403</f>
        <v>https://dl.acm.org/doi/10.1145/1390156.1390256</v>
      </c>
      <c r="K403" s="338">
        <f>'ALL ML SYSTEMS'!K403</f>
        <v>243</v>
      </c>
      <c r="L403" s="325">
        <f>'ALL ML SYSTEMS'!L403</f>
        <v>0</v>
      </c>
      <c r="M403" s="338" t="str">
        <f>'ALL ML SYSTEMS'!M403</f>
        <v>No</v>
      </c>
      <c r="N403" s="338">
        <f>'ALL ML SYSTEMS'!N403</f>
        <v>3000000</v>
      </c>
      <c r="O403" s="338">
        <f>'ALL ML SYSTEMS'!O403</f>
        <v>0</v>
      </c>
      <c r="P403" s="339">
        <f>'ALL ML SYSTEMS'!P403</f>
        <v>0</v>
      </c>
      <c r="Q403" s="338">
        <f>'ALL ML SYSTEMS'!Q403</f>
        <v>66087</v>
      </c>
      <c r="R403" s="325">
        <f>'ALL ML SYSTEMS'!R403</f>
        <v>0</v>
      </c>
      <c r="S403" s="338">
        <f>'ALL ML SYSTEMS'!S403</f>
        <v>0</v>
      </c>
      <c r="T403" s="325">
        <f>'ALL ML SYSTEMS'!T403</f>
        <v>0</v>
      </c>
      <c r="U403" s="325">
        <f>'ALL ML SYSTEMS'!U403</f>
        <v>0</v>
      </c>
      <c r="V403" s="325">
        <f>'ALL ML SYSTEMS'!V403</f>
        <v>0</v>
      </c>
      <c r="W403" s="325">
        <f>'ALL ML SYSTEMS'!W403</f>
        <v>0</v>
      </c>
      <c r="X403" s="325">
        <f>'ALL ML SYSTEMS'!X403</f>
        <v>0</v>
      </c>
      <c r="Y403" s="325">
        <f>'ALL ML SYSTEMS'!Y403</f>
        <v>0</v>
      </c>
      <c r="Z403" s="325">
        <f>'ALL ML SYSTEMS'!Z403</f>
        <v>0</v>
      </c>
      <c r="AA403" s="341" t="str">
        <f>'ALL ML SYSTEMS'!AA403</f>
        <v/>
      </c>
      <c r="AB403" s="325"/>
      <c r="AC403" s="325">
        <f>'ALL ML SYSTEMS'!AB403</f>
        <v>0</v>
      </c>
      <c r="AD403" s="325">
        <f>'ALL ML SYSTEMS'!AC403</f>
        <v>0</v>
      </c>
    </row>
    <row r="404" customHeight="1" spans="1:30">
      <c r="A404" s="323" t="str">
        <f>'ALL ML SYSTEMS'!A404</f>
        <v>Boss (DARPA Urban Challenge)</v>
      </c>
      <c r="B404" s="323" t="str">
        <f>'ALL ML SYSTEMS'!B404</f>
        <v>Driving</v>
      </c>
      <c r="C404" s="323" t="str">
        <f>'ALL ML SYSTEMS'!C404</f>
        <v>Self-driving car</v>
      </c>
      <c r="D404" s="323" t="str">
        <f>'ALL ML SYSTEMS'!D404</f>
        <v>Carnegie Mellon University</v>
      </c>
      <c r="E404" s="323" t="str">
        <f>'ALL ML SYSTEMS'!E404</f>
        <v>Industry - Academia Collaboration</v>
      </c>
      <c r="F404" s="323" t="str">
        <f>'ALL ML SYSTEMS'!F404</f>
        <v>Chris Urmson, Joshua Anhalt, Drew Bagnell,Christopher Baker, Robert Bittner,M. N. Clark, John Dolan, Dave Duggins,Tugrul Galatali, Chris Geyer,Michele Gittleman, Sam Harbaugh,Martial Hebert, Thomas M. Howard,Sascha Kolski, Alonzo Kelly,Maxim Likhachev, Matt McNaughton,Nick Miller, Kevin Peterson, Brian Pilnick,Raj Rajkumar, Paul Rybski, Bryan Salesky,Young-Woo Seo, Sanjiv Singh, Jarrod Snider,Anthony Stentz, William “Red” Whittaker,Ziv Wolkowicki, and Jason Ziglar</v>
      </c>
      <c r="G404" s="324">
        <f>'ALL ML SYSTEMS'!G404</f>
        <v>39652</v>
      </c>
      <c r="H404" s="329">
        <f>'ALL ML SYSTEMS'!H404</f>
        <v>9652</v>
      </c>
      <c r="I404" s="323" t="str">
        <f>'ALL ML SYSTEMS'!I404</f>
        <v>Autonomous Driving in UrbanEnvironments: Boss and theUrban Challenge</v>
      </c>
      <c r="J404" s="334" t="str">
        <f>'ALL ML SYSTEMS'!J404</f>
        <v>https://onlinelibrary.wiley.com/doi/abs/10.1002/rob.20255</v>
      </c>
      <c r="K404" s="335">
        <f>'ALL ML SYSTEMS'!K404</f>
        <v>1840</v>
      </c>
      <c r="L404" s="323" t="str">
        <f>'ALL ML SYSTEMS'!L404</f>
        <v>Highly cited</v>
      </c>
      <c r="M404" s="335" t="str">
        <f>'ALL ML SYSTEMS'!M404</f>
        <v>Yes</v>
      </c>
      <c r="N404" s="335">
        <f>'ALL ML SYSTEMS'!N404</f>
        <v>0</v>
      </c>
      <c r="O404" s="335">
        <f>'ALL ML SYSTEMS'!O404</f>
        <v>0</v>
      </c>
      <c r="P404" s="336">
        <f>'ALL ML SYSTEMS'!P404</f>
        <v>0</v>
      </c>
      <c r="Q404" s="335">
        <f>'ALL ML SYSTEMS'!Q404</f>
        <v>0</v>
      </c>
      <c r="R404" s="323">
        <f>'ALL ML SYSTEMS'!R404</f>
        <v>0</v>
      </c>
      <c r="S404" s="335">
        <f>'ALL ML SYSTEMS'!S404</f>
        <v>0</v>
      </c>
      <c r="T404" s="323">
        <f>'ALL ML SYSTEMS'!T404</f>
        <v>0</v>
      </c>
      <c r="U404" s="323">
        <f>'ALL ML SYSTEMS'!U404</f>
        <v>0</v>
      </c>
      <c r="V404" s="323">
        <f>'ALL ML SYSTEMS'!V404</f>
        <v>0</v>
      </c>
      <c r="W404" s="323">
        <f>'ALL ML SYSTEMS'!W404</f>
        <v>0</v>
      </c>
      <c r="X404" s="323">
        <f>'ALL ML SYSTEMS'!X404</f>
        <v>0</v>
      </c>
      <c r="Y404" s="323">
        <f>'ALL ML SYSTEMS'!Y404</f>
        <v>0</v>
      </c>
      <c r="Z404" s="323">
        <f>'ALL ML SYSTEMS'!Z404</f>
        <v>0</v>
      </c>
      <c r="AA404" s="340" t="str">
        <f>'ALL ML SYSTEMS'!AA404</f>
        <v/>
      </c>
      <c r="AB404" s="323">
        <f>'ALL ML SYSTEMS'!AB404</f>
        <v>0</v>
      </c>
      <c r="AC404" s="323">
        <f>'ALL ML SYSTEMS'!AC404</f>
        <v>0</v>
      </c>
      <c r="AD404" s="323" t="str">
        <f>'ALL ML SYSTEMS'!AD404</f>
        <v>Industry</v>
      </c>
    </row>
    <row r="405" hidden="1" customHeight="1" spans="1:30">
      <c r="A405" s="325">
        <f>'ALL ML SYSTEMS'!A405</f>
        <v>0</v>
      </c>
      <c r="B405" s="325" t="str">
        <f>'ALL ML SYSTEMS'!B405</f>
        <v>Vision</v>
      </c>
      <c r="C405" s="325">
        <f>'ALL ML SYSTEMS'!C405</f>
        <v>0</v>
      </c>
      <c r="D405" s="325" t="str">
        <f>'ALL ML SYSTEMS'!D405</f>
        <v>Univeristy of Lubeck, Germany</v>
      </c>
      <c r="E405" s="325" t="str">
        <f>'ALL ML SYSTEMS'!E405</f>
        <v>Academia</v>
      </c>
      <c r="F405" s="325" t="str">
        <f>'ALL ML SYSTEMS'!F405</f>
        <v>Kai Labusch, Erhadt Barth, Thomas Martinetz</v>
      </c>
      <c r="G405" s="326">
        <f>'ALL ML SYSTEMS'!G405</f>
        <v>39771</v>
      </c>
      <c r="H405" s="327">
        <f>'ALL ML SYSTEMS'!H405</f>
        <v>9771</v>
      </c>
      <c r="I405" s="325" t="str">
        <f>'ALL ML SYSTEMS'!I405</f>
        <v>Simple method for high-performance digit recognition based on sparse coding</v>
      </c>
      <c r="J405" s="337" t="str">
        <f>'ALL ML SYSTEMS'!J405</f>
        <v>https://pubmed.ncbi.nlm.nih.gov/19000969/</v>
      </c>
      <c r="K405" s="338">
        <f>'ALL ML SYSTEMS'!K405</f>
        <v>124</v>
      </c>
      <c r="L405" s="325">
        <f>'ALL ML SYSTEMS'!L405</f>
        <v>0</v>
      </c>
      <c r="M405" s="338" t="str">
        <f>'ALL ML SYSTEMS'!M405</f>
        <v>No</v>
      </c>
      <c r="N405" s="338">
        <f>'ALL ML SYSTEMS'!N405</f>
        <v>0</v>
      </c>
      <c r="O405" s="338">
        <f>'ALL ML SYSTEMS'!O405</f>
        <v>0</v>
      </c>
      <c r="P405" s="339">
        <f>'ALL ML SYSTEMS'!P405</f>
        <v>0</v>
      </c>
      <c r="Q405" s="338">
        <f>'ALL ML SYSTEMS'!Q405</f>
        <v>0</v>
      </c>
      <c r="R405" s="325">
        <f>'ALL ML SYSTEMS'!R405</f>
        <v>0</v>
      </c>
      <c r="S405" s="338">
        <f>'ALL ML SYSTEMS'!S405</f>
        <v>0</v>
      </c>
      <c r="T405" s="325">
        <f>'ALL ML SYSTEMS'!T405</f>
        <v>0</v>
      </c>
      <c r="U405" s="325">
        <f>'ALL ML SYSTEMS'!U405</f>
        <v>0</v>
      </c>
      <c r="V405" s="325">
        <f>'ALL ML SYSTEMS'!V405</f>
        <v>0</v>
      </c>
      <c r="W405" s="325">
        <f>'ALL ML SYSTEMS'!W405</f>
        <v>0</v>
      </c>
      <c r="X405" s="325">
        <f>'ALL ML SYSTEMS'!X405</f>
        <v>0</v>
      </c>
      <c r="Y405" s="325">
        <f>'ALL ML SYSTEMS'!Y405</f>
        <v>0</v>
      </c>
      <c r="Z405" s="325">
        <f>'ALL ML SYSTEMS'!Z405</f>
        <v>0</v>
      </c>
      <c r="AA405" s="341" t="str">
        <f>'ALL ML SYSTEMS'!AA405</f>
        <v/>
      </c>
      <c r="AB405" s="325"/>
      <c r="AC405" s="325">
        <f>'ALL ML SYSTEMS'!AB405</f>
        <v>0</v>
      </c>
      <c r="AD405" s="325">
        <f>'ALL ML SYSTEMS'!AC405</f>
        <v>0</v>
      </c>
    </row>
    <row r="406" customHeight="1" spans="1:30">
      <c r="A406" s="323" t="str">
        <f>'ALL ML SYSTEMS'!A406</f>
        <v>BigChaos 2008</v>
      </c>
      <c r="B406" s="323" t="str">
        <f>'ALL ML SYSTEMS'!B406</f>
        <v>Recommendation</v>
      </c>
      <c r="C406" s="323" t="str">
        <f>'ALL ML SYSTEMS'!C406</f>
        <v>Movie ratings</v>
      </c>
      <c r="D406" s="323" t="str">
        <f>'ALL ML SYSTEMS'!D406</f>
        <v>AT&amp;T Labs</v>
      </c>
      <c r="E406" s="323" t="str">
        <f>'ALL ML SYSTEMS'!E406</f>
        <v>Industry</v>
      </c>
      <c r="F406" s="323" t="str">
        <f>'ALL ML SYSTEMS'!F406</f>
        <v>A Töscher, M Jahrer</v>
      </c>
      <c r="G406" s="324">
        <f>'ALL ML SYSTEMS'!G406</f>
        <v>39777</v>
      </c>
      <c r="H406" s="329">
        <f>'ALL ML SYSTEMS'!H406</f>
        <v>9777</v>
      </c>
      <c r="I406" s="323" t="str">
        <f>'ALL ML SYSTEMS'!I406</f>
        <v>The BigChaos Solution to the Netflix Prize 2008</v>
      </c>
      <c r="J406" s="334" t="str">
        <f>'ALL ML SYSTEMS'!J406</f>
        <v>https://www.researchgate.net/publication/228419683_The_bigchaos_solution_to_the_netflix_prize_2008</v>
      </c>
      <c r="K406" s="335">
        <f>'ALL ML SYSTEMS'!K406</f>
        <v>35</v>
      </c>
      <c r="L406" s="323" t="str">
        <f>'ALL ML SYSTEMS'!L406</f>
        <v>Historical relevance</v>
      </c>
      <c r="M406" s="335" t="str">
        <f>'ALL ML SYSTEMS'!M406</f>
        <v>Yes</v>
      </c>
      <c r="N406" s="335">
        <f>'ALL ML SYSTEMS'!N406</f>
        <v>0</v>
      </c>
      <c r="O406" s="335">
        <f>'ALL ML SYSTEMS'!O406</f>
        <v>0</v>
      </c>
      <c r="P406" s="336" t="str">
        <f>'ALL ML SYSTEMS'!P406</f>
        <v>Netflix Prize</v>
      </c>
      <c r="Q406" s="335">
        <f>'ALL ML SYSTEMS'!Q406</f>
        <v>100480507</v>
      </c>
      <c r="R406" s="323">
        <f>'ALL ML SYSTEMS'!R406</f>
        <v>0</v>
      </c>
      <c r="S406" s="335">
        <f>'ALL ML SYSTEMS'!S406</f>
        <v>0</v>
      </c>
      <c r="T406" s="323">
        <f>'ALL ML SYSTEMS'!T406</f>
        <v>0</v>
      </c>
      <c r="U406" s="323">
        <f>'ALL ML SYSTEMS'!U406</f>
        <v>0</v>
      </c>
      <c r="V406" s="323">
        <f>'ALL ML SYSTEMS'!V406</f>
        <v>0</v>
      </c>
      <c r="W406" s="323">
        <f>'ALL ML SYSTEMS'!W406</f>
        <v>0</v>
      </c>
      <c r="X406" s="323">
        <f>'ALL ML SYSTEMS'!X406</f>
        <v>0</v>
      </c>
      <c r="Y406" s="323">
        <f>'ALL ML SYSTEMS'!Y406</f>
        <v>0</v>
      </c>
      <c r="Z406" s="323">
        <f>'ALL ML SYSTEMS'!Z406</f>
        <v>0</v>
      </c>
      <c r="AA406" s="340" t="str">
        <f>'ALL ML SYSTEMS'!AA406</f>
        <v/>
      </c>
      <c r="AB406" s="323">
        <f>'ALL ML SYSTEMS'!AB406</f>
        <v>0</v>
      </c>
      <c r="AC406" s="323">
        <f>'ALL ML SYSTEMS'!AC406</f>
        <v>0</v>
      </c>
      <c r="AD406" s="323" t="str">
        <f>'ALL ML SYSTEMS'!AD406</f>
        <v>Industry</v>
      </c>
    </row>
    <row r="407" customHeight="1" spans="1:30">
      <c r="A407" s="325" t="str">
        <f>'ALL ML SYSTEMS'!A407</f>
        <v>Semantic Hashing</v>
      </c>
      <c r="B407" s="325" t="str">
        <f>'ALL ML SYSTEMS'!B407</f>
        <v>Other</v>
      </c>
      <c r="C407" s="325">
        <f>'ALL ML SYSTEMS'!C407</f>
        <v>0</v>
      </c>
      <c r="D407" s="325" t="str">
        <f>'ALL ML SYSTEMS'!D407</f>
        <v>University of Toronto</v>
      </c>
      <c r="E407" s="325" t="str">
        <f>'ALL ML SYSTEMS'!E407</f>
        <v>Academia</v>
      </c>
      <c r="F407" s="325" t="str">
        <f>'ALL ML SYSTEMS'!F407</f>
        <v>R Salakhutdinov, G Hinton</v>
      </c>
      <c r="G407" s="326">
        <f>'ALL ML SYSTEMS'!G407</f>
        <v>39792</v>
      </c>
      <c r="H407" s="327">
        <f>'ALL ML SYSTEMS'!H407</f>
        <v>9792</v>
      </c>
      <c r="I407" s="325" t="str">
        <f>'ALL ML SYSTEMS'!I407</f>
        <v>Semantic Hashing</v>
      </c>
      <c r="J407" s="337" t="str">
        <f>'ALL ML SYSTEMS'!J407</f>
        <v>https://www.cs.cmu.edu/~rsalakhu/papers/sdarticle.pdf</v>
      </c>
      <c r="K407" s="338">
        <f>'ALL ML SYSTEMS'!K407</f>
        <v>1487</v>
      </c>
      <c r="L407" s="325" t="str">
        <f>'ALL ML SYSTEMS'!L407</f>
        <v>Highly cited</v>
      </c>
      <c r="M407" s="338" t="str">
        <f>'ALL ML SYSTEMS'!M407</f>
        <v>Yes</v>
      </c>
      <c r="N407" s="338">
        <f>'ALL ML SYSTEMS'!N407</f>
        <v>2600000</v>
      </c>
      <c r="O407" s="338">
        <f>'ALL ML SYSTEMS'!O407</f>
        <v>0</v>
      </c>
      <c r="P407" s="339">
        <f>'ALL ML SYSTEMS'!P407</f>
        <v>0</v>
      </c>
      <c r="Q407" s="338">
        <f>'ALL ML SYSTEMS'!Q407</f>
        <v>310521</v>
      </c>
      <c r="R407" s="325">
        <f>'ALL ML SYSTEMS'!R407</f>
        <v>0</v>
      </c>
      <c r="S407" s="338">
        <f>'ALL ML SYSTEMS'!S407</f>
        <v>0</v>
      </c>
      <c r="T407" s="325">
        <f>'ALL ML SYSTEMS'!T407</f>
        <v>0</v>
      </c>
      <c r="U407" s="325">
        <f>'ALL ML SYSTEMS'!U407</f>
        <v>0</v>
      </c>
      <c r="V407" s="325">
        <f>'ALL ML SYSTEMS'!V407</f>
        <v>0</v>
      </c>
      <c r="W407" s="325">
        <f>'ALL ML SYSTEMS'!W407</f>
        <v>0</v>
      </c>
      <c r="X407" s="325">
        <f>'ALL ML SYSTEMS'!X407</f>
        <v>0</v>
      </c>
      <c r="Y407" s="325">
        <f>'ALL ML SYSTEMS'!Y407</f>
        <v>0</v>
      </c>
      <c r="Z407" s="325">
        <f>'ALL ML SYSTEMS'!Z407</f>
        <v>0</v>
      </c>
      <c r="AA407" s="341" t="str">
        <f>'ALL ML SYSTEMS'!AA407</f>
        <v/>
      </c>
      <c r="AB407" s="325">
        <f>'ALL ML SYSTEMS'!AB407</f>
        <v>0</v>
      </c>
      <c r="AC407" s="325">
        <f>'ALL ML SYSTEMS'!AC407</f>
        <v>0</v>
      </c>
      <c r="AD407" s="325" t="str">
        <f>'ALL ML SYSTEMS'!AD407</f>
        <v>Academia</v>
      </c>
    </row>
    <row r="408" customHeight="1" spans="1:30">
      <c r="A408" s="323">
        <f>'ALL ML SYSTEMS'!A408</f>
        <v>0</v>
      </c>
      <c r="B408" s="323" t="str">
        <f>'ALL ML SYSTEMS'!B408</f>
        <v>Language</v>
      </c>
      <c r="C408" s="323">
        <f>'ALL ML SYSTEMS'!C408</f>
        <v>0</v>
      </c>
      <c r="D408" s="323" t="str">
        <f>'ALL ML SYSTEMS'!D408</f>
        <v>University of Edinburgh</v>
      </c>
      <c r="E408" s="323" t="str">
        <f>'ALL ML SYSTEMS'!E408</f>
        <v>Academia</v>
      </c>
      <c r="F408" s="323" t="str">
        <f>'ALL ML SYSTEMS'!F408</f>
        <v>Philipp Koehn, Hieu Hoang, Alexandra Birch, Chris Callison-Burch</v>
      </c>
      <c r="G408" s="324">
        <f>'ALL ML SYSTEMS'!G408</f>
        <v>39234</v>
      </c>
      <c r="H408" s="329">
        <f>'ALL ML SYSTEMS'!H408</f>
        <v>9234</v>
      </c>
      <c r="I408" s="323" t="str">
        <f>'ALL ML SYSTEMS'!I408</f>
        <v>Moses: Open Source Toolkit for Statistical Machine Translation</v>
      </c>
      <c r="J408" s="334" t="str">
        <f>'ALL ML SYSTEMS'!J408</f>
        <v>https://aclanthology.org/P07-2045.pdf</v>
      </c>
      <c r="K408" s="335">
        <f>'ALL ML SYSTEMS'!K408</f>
        <v>6097</v>
      </c>
      <c r="L408" s="323" t="str">
        <f>'ALL ML SYSTEMS'!L408</f>
        <v>Highly cited</v>
      </c>
      <c r="M408" s="335" t="str">
        <f>'ALL ML SYSTEMS'!M408</f>
        <v>Yes</v>
      </c>
      <c r="N408" s="335">
        <f>'ALL ML SYSTEMS'!N408</f>
        <v>0</v>
      </c>
      <c r="O408" s="335">
        <f>'ALL ML SYSTEMS'!O408</f>
        <v>0</v>
      </c>
      <c r="P408" s="336">
        <f>'ALL ML SYSTEMS'!P408</f>
        <v>0</v>
      </c>
      <c r="Q408" s="335">
        <f>'ALL ML SYSTEMS'!Q408</f>
        <v>0</v>
      </c>
      <c r="R408" s="323">
        <f>'ALL ML SYSTEMS'!R408</f>
        <v>0</v>
      </c>
      <c r="S408" s="335">
        <f>'ALL ML SYSTEMS'!S408</f>
        <v>0</v>
      </c>
      <c r="T408" s="323">
        <f>'ALL ML SYSTEMS'!T408</f>
        <v>0</v>
      </c>
      <c r="U408" s="323">
        <f>'ALL ML SYSTEMS'!U408</f>
        <v>0</v>
      </c>
      <c r="V408" s="323">
        <f>'ALL ML SYSTEMS'!V408</f>
        <v>0</v>
      </c>
      <c r="W408" s="323">
        <f>'ALL ML SYSTEMS'!W408</f>
        <v>0</v>
      </c>
      <c r="X408" s="323">
        <f>'ALL ML SYSTEMS'!X408</f>
        <v>0</v>
      </c>
      <c r="Y408" s="323">
        <f>'ALL ML SYSTEMS'!Y408</f>
        <v>0</v>
      </c>
      <c r="Z408" s="323">
        <f>'ALL ML SYSTEMS'!Z408</f>
        <v>0</v>
      </c>
      <c r="AA408" s="340" t="str">
        <f>'ALL ML SYSTEMS'!AA408</f>
        <v/>
      </c>
      <c r="AB408" s="323">
        <f>'ALL ML SYSTEMS'!AB408</f>
        <v>0</v>
      </c>
      <c r="AC408" s="323">
        <f>'ALL ML SYSTEMS'!AC408</f>
        <v>0</v>
      </c>
      <c r="AD408" s="323" t="str">
        <f>'ALL ML SYSTEMS'!AD408</f>
        <v>Academia</v>
      </c>
    </row>
    <row r="409" hidden="1" customHeight="1" spans="1:30">
      <c r="A409" s="325" t="str">
        <f>'ALL ML SYSTEMS'!A409</f>
        <v>λ-WASP</v>
      </c>
      <c r="B409" s="325" t="str">
        <f>'ALL ML SYSTEMS'!B409</f>
        <v>Language</v>
      </c>
      <c r="C409" s="325">
        <f>'ALL ML SYSTEMS'!C409</f>
        <v>0</v>
      </c>
      <c r="D409" s="325" t="str">
        <f>'ALL ML SYSTEMS'!D409</f>
        <v>UT Austin</v>
      </c>
      <c r="E409" s="325" t="str">
        <f>'ALL ML SYSTEMS'!E409</f>
        <v>Academia</v>
      </c>
      <c r="F409" s="325" t="str">
        <f>'ALL ML SYSTEMS'!F409</f>
        <v>YW Wong, R Mooney</v>
      </c>
      <c r="G409" s="326">
        <f>'ALL ML SYSTEMS'!G409</f>
        <v>39234</v>
      </c>
      <c r="H409" s="327">
        <f>'ALL ML SYSTEMS'!H409</f>
        <v>9234</v>
      </c>
      <c r="I409" s="325" t="str">
        <f>'ALL ML SYSTEMS'!I409</f>
        <v>Learning Synchronous Grammars for Semantic Parsing with Lambda Calculus</v>
      </c>
      <c r="J409" s="337" t="str">
        <f>'ALL ML SYSTEMS'!J409</f>
        <v>https://www.aclweb.org/anthology/P07-1121/</v>
      </c>
      <c r="K409" s="338">
        <f>'ALL ML SYSTEMS'!K409</f>
        <v>383</v>
      </c>
      <c r="L409" s="325">
        <f>'ALL ML SYSTEMS'!L409</f>
        <v>0</v>
      </c>
      <c r="M409" s="338" t="str">
        <f>'ALL ML SYSTEMS'!M409</f>
        <v>No</v>
      </c>
      <c r="N409" s="338">
        <f>'ALL ML SYSTEMS'!N409</f>
        <v>490000</v>
      </c>
      <c r="O409" s="338">
        <f>'ALL ML SYSTEMS'!O409</f>
        <v>0</v>
      </c>
      <c r="P409" s="339">
        <f>'ALL ML SYSTEMS'!P409</f>
        <v>0</v>
      </c>
      <c r="Q409" s="338">
        <f>'ALL ML SYSTEMS'!Q409</f>
        <v>792</v>
      </c>
      <c r="R409" s="325">
        <f>'ALL ML SYSTEMS'!R409</f>
        <v>0</v>
      </c>
      <c r="S409" s="338">
        <f>'ALL ML SYSTEMS'!S409</f>
        <v>0</v>
      </c>
      <c r="T409" s="325">
        <f>'ALL ML SYSTEMS'!T409</f>
        <v>0</v>
      </c>
      <c r="U409" s="325">
        <f>'ALL ML SYSTEMS'!U409</f>
        <v>0</v>
      </c>
      <c r="V409" s="325">
        <f>'ALL ML SYSTEMS'!V409</f>
        <v>0</v>
      </c>
      <c r="W409" s="325">
        <f>'ALL ML SYSTEMS'!W409</f>
        <v>0</v>
      </c>
      <c r="X409" s="325">
        <f>'ALL ML SYSTEMS'!X409</f>
        <v>0</v>
      </c>
      <c r="Y409" s="325">
        <f>'ALL ML SYSTEMS'!Y409</f>
        <v>0</v>
      </c>
      <c r="Z409" s="325">
        <f>'ALL ML SYSTEMS'!Z409</f>
        <v>0</v>
      </c>
      <c r="AA409" s="341" t="str">
        <f>'ALL ML SYSTEMS'!AA409</f>
        <v/>
      </c>
      <c r="AB409" s="325"/>
      <c r="AC409" s="325">
        <f>'ALL ML SYSTEMS'!AB409</f>
        <v>0</v>
      </c>
      <c r="AD409" s="325" t="str">
        <f>'ALL ML SYSTEMS'!AC409</f>
        <v>Statistical Alignment Model?</v>
      </c>
    </row>
    <row r="410" customHeight="1" spans="1:30">
      <c r="A410" s="323">
        <f>'ALL ML SYSTEMS'!A410</f>
        <v>0</v>
      </c>
      <c r="B410" s="323">
        <f>'ALL ML SYSTEMS'!B410</f>
        <v>0</v>
      </c>
      <c r="C410" s="323">
        <f>'ALL ML SYSTEMS'!C410</f>
        <v>0</v>
      </c>
      <c r="D410" s="323" t="str">
        <f>'ALL ML SYSTEMS'!D410</f>
        <v>University of Montreal</v>
      </c>
      <c r="E410" s="323" t="str">
        <f>'ALL ML SYSTEMS'!E410</f>
        <v>Academia</v>
      </c>
      <c r="F410" s="323" t="str">
        <f>'ALL ML SYSTEMS'!F410</f>
        <v>Hugo Larechelle, Dumithru Erhan, Aaron C Courville, James Bergsta, Yoshua Bengio</v>
      </c>
      <c r="G410" s="324">
        <f>'ALL ML SYSTEMS'!G410</f>
        <v>39234</v>
      </c>
      <c r="H410" s="329">
        <f>'ALL ML SYSTEMS'!H410</f>
        <v>9234</v>
      </c>
      <c r="I410" s="323" t="str">
        <f>'ALL ML SYSTEMS'!I410</f>
        <v>An empirical evaluation of deep architectures on problems with many factors of variation</v>
      </c>
      <c r="J410" s="334" t="str">
        <f>'ALL ML SYSTEMS'!J410</f>
        <v>https://dl.acm.org/doi/10.1145/1273496.1273556</v>
      </c>
      <c r="K410" s="335">
        <f>'ALL ML SYSTEMS'!K410</f>
        <v>1115</v>
      </c>
      <c r="L410" s="323">
        <f>'ALL ML SYSTEMS'!L410</f>
        <v>0</v>
      </c>
      <c r="M410" s="335" t="str">
        <f>'ALL ML SYSTEMS'!M410</f>
        <v>Yes</v>
      </c>
      <c r="N410" s="335">
        <f>'ALL ML SYSTEMS'!N410</f>
        <v>0</v>
      </c>
      <c r="O410" s="335">
        <f>'ALL ML SYSTEMS'!O410</f>
        <v>0</v>
      </c>
      <c r="P410" s="336">
        <f>'ALL ML SYSTEMS'!P410</f>
        <v>0</v>
      </c>
      <c r="Q410" s="335">
        <f>'ALL ML SYSTEMS'!Q410</f>
        <v>0</v>
      </c>
      <c r="R410" s="323">
        <f>'ALL ML SYSTEMS'!R410</f>
        <v>0</v>
      </c>
      <c r="S410" s="335">
        <f>'ALL ML SYSTEMS'!S410</f>
        <v>0</v>
      </c>
      <c r="T410" s="323">
        <f>'ALL ML SYSTEMS'!T410</f>
        <v>0</v>
      </c>
      <c r="U410" s="323">
        <f>'ALL ML SYSTEMS'!U410</f>
        <v>0</v>
      </c>
      <c r="V410" s="323">
        <f>'ALL ML SYSTEMS'!V410</f>
        <v>0</v>
      </c>
      <c r="W410" s="323">
        <f>'ALL ML SYSTEMS'!W410</f>
        <v>0</v>
      </c>
      <c r="X410" s="323">
        <f>'ALL ML SYSTEMS'!X410</f>
        <v>0</v>
      </c>
      <c r="Y410" s="323">
        <f>'ALL ML SYSTEMS'!Y410</f>
        <v>0</v>
      </c>
      <c r="Z410" s="323">
        <f>'ALL ML SYSTEMS'!Z410</f>
        <v>0</v>
      </c>
      <c r="AA410" s="340" t="str">
        <f>'ALL ML SYSTEMS'!AA410</f>
        <v/>
      </c>
      <c r="AB410" s="323">
        <f>'ALL ML SYSTEMS'!AB410</f>
        <v>0</v>
      </c>
      <c r="AC410" s="323">
        <f>'ALL ML SYSTEMS'!AC410</f>
        <v>0</v>
      </c>
      <c r="AD410" s="323" t="str">
        <f>'ALL ML SYSTEMS'!AD410</f>
        <v>Academia</v>
      </c>
    </row>
    <row r="411" customHeight="1" spans="1:30">
      <c r="A411" s="325" t="str">
        <f>'ALL ML SYSTEMS'!A411</f>
        <v>Restricted Bolzmann machines</v>
      </c>
      <c r="B411" s="325" t="str">
        <f>'ALL ML SYSTEMS'!B411</f>
        <v>Recommendation</v>
      </c>
      <c r="C411" s="325">
        <f>'ALL ML SYSTEMS'!C411</f>
        <v>0</v>
      </c>
      <c r="D411" s="325" t="str">
        <f>'ALL ML SYSTEMS'!D411</f>
        <v>University of Toronto</v>
      </c>
      <c r="E411" s="325" t="str">
        <f>'ALL ML SYSTEMS'!E411</f>
        <v>Academia</v>
      </c>
      <c r="F411" s="325" t="str">
        <f>'ALL ML SYSTEMS'!F411</f>
        <v>Russ Salukhutdinov, Andriy Mnih, GE Hinton</v>
      </c>
      <c r="G411" s="326">
        <f>'ALL ML SYSTEMS'!G411</f>
        <v>39253</v>
      </c>
      <c r="H411" s="327">
        <f>'ALL ML SYSTEMS'!H411</f>
        <v>9253</v>
      </c>
      <c r="I411" s="325" t="str">
        <f>'ALL ML SYSTEMS'!I411</f>
        <v>Restricted Boltzmann machines for collaborative filtering</v>
      </c>
      <c r="J411" s="337" t="str">
        <f>'ALL ML SYSTEMS'!J411</f>
        <v>https://dl.acm.org/doi/abs/10.1145/1273496.1273596?casa_token=cfdkH2x12MwAAAAA:sEUzfllIGyPcOfzgUoDPHlpC1ukfCAo8ewocBXWBswIIF9eS5HdFo30nOtfmIV8gm-XpBpQJJ5zYVO8</v>
      </c>
      <c r="K411" s="338">
        <f>'ALL ML SYSTEMS'!K411</f>
        <v>2140</v>
      </c>
      <c r="L411" s="325">
        <f>'ALL ML SYSTEMS'!L411</f>
        <v>0</v>
      </c>
      <c r="M411" s="338" t="str">
        <f>'ALL ML SYSTEMS'!M411</f>
        <v>Yes</v>
      </c>
      <c r="N411" s="338">
        <f>'ALL ML SYSTEMS'!N411</f>
        <v>0</v>
      </c>
      <c r="O411" s="338">
        <f>'ALL ML SYSTEMS'!O411</f>
        <v>0</v>
      </c>
      <c r="P411" s="339" t="str">
        <f>'ALL ML SYSTEMS'!P411</f>
        <v>Netflix Prize</v>
      </c>
      <c r="Q411" s="338">
        <f>'ALL ML SYSTEMS'!Q411</f>
        <v>100480507</v>
      </c>
      <c r="R411" s="325">
        <f>'ALL ML SYSTEMS'!R411</f>
        <v>0</v>
      </c>
      <c r="S411" s="338">
        <f>'ALL ML SYSTEMS'!S411</f>
        <v>0</v>
      </c>
      <c r="T411" s="325">
        <f>'ALL ML SYSTEMS'!T411</f>
        <v>0</v>
      </c>
      <c r="U411" s="325">
        <f>'ALL ML SYSTEMS'!U411</f>
        <v>0</v>
      </c>
      <c r="V411" s="325">
        <f>'ALL ML SYSTEMS'!V411</f>
        <v>0</v>
      </c>
      <c r="W411" s="325">
        <f>'ALL ML SYSTEMS'!W411</f>
        <v>0</v>
      </c>
      <c r="X411" s="325">
        <f>'ALL ML SYSTEMS'!X411</f>
        <v>0</v>
      </c>
      <c r="Y411" s="325">
        <f>'ALL ML SYSTEMS'!Y411</f>
        <v>0</v>
      </c>
      <c r="Z411" s="325">
        <f>'ALL ML SYSTEMS'!Z411</f>
        <v>0</v>
      </c>
      <c r="AA411" s="341" t="str">
        <f>'ALL ML SYSTEMS'!AA411</f>
        <v/>
      </c>
      <c r="AB411" s="325">
        <f>'ALL ML SYSTEMS'!AB411</f>
        <v>0</v>
      </c>
      <c r="AC411" s="325">
        <f>'ALL ML SYSTEMS'!AC411</f>
        <v>0</v>
      </c>
      <c r="AD411" s="325" t="str">
        <f>'ALL ML SYSTEMS'!AD411</f>
        <v>Academia</v>
      </c>
    </row>
    <row r="412" customHeight="1" spans="1:30">
      <c r="A412" s="323">
        <f>'ALL ML SYSTEMS'!A412</f>
        <v>0</v>
      </c>
      <c r="B412" s="323" t="str">
        <f>'ALL ML SYSTEMS'!B412</f>
        <v>Recommendation</v>
      </c>
      <c r="C412" s="323">
        <f>'ALL ML SYSTEMS'!C412</f>
        <v>0</v>
      </c>
      <c r="D412" s="323" t="str">
        <f>'ALL ML SYSTEMS'!D412</f>
        <v>Warsaw University</v>
      </c>
      <c r="E412" s="323" t="str">
        <f>'ALL ML SYSTEMS'!E412</f>
        <v>Academia</v>
      </c>
      <c r="F412" s="323" t="str">
        <f>'ALL ML SYSTEMS'!F412</f>
        <v>A Paterek</v>
      </c>
      <c r="G412" s="324">
        <f>'ALL ML SYSTEMS'!G412</f>
        <v>39306</v>
      </c>
      <c r="H412" s="329">
        <f>'ALL ML SYSTEMS'!H412</f>
        <v>9306</v>
      </c>
      <c r="I412" s="323" t="str">
        <f>'ALL ML SYSTEMS'!I412</f>
        <v>Improving regularized singular value decomposition for collaborative filtering</v>
      </c>
      <c r="J412" s="334" t="str">
        <f>'ALL ML SYSTEMS'!J412</f>
        <v>https://www.semanticscholar.org/paper/Improving-regularized-singular-value-decomposition-Paterek/f732d0f69fe4e84a95c32706b28b9e4ef1753c61</v>
      </c>
      <c r="K412" s="335">
        <f>'ALL ML SYSTEMS'!K412</f>
        <v>1117</v>
      </c>
      <c r="L412" s="323" t="str">
        <f>'ALL ML SYSTEMS'!L412</f>
        <v>Highly cited</v>
      </c>
      <c r="M412" s="335" t="str">
        <f>'ALL ML SYSTEMS'!M412</f>
        <v>Yes</v>
      </c>
      <c r="N412" s="335">
        <f>'ALL ML SYSTEMS'!N412</f>
        <v>0</v>
      </c>
      <c r="O412" s="335">
        <f>'ALL ML SYSTEMS'!O412</f>
        <v>0</v>
      </c>
      <c r="P412" s="336" t="str">
        <f>'ALL ML SYSTEMS'!P412</f>
        <v>Netflix Prize</v>
      </c>
      <c r="Q412" s="335">
        <f>'ALL ML SYSTEMS'!Q412</f>
        <v>100480507</v>
      </c>
      <c r="R412" s="323">
        <f>'ALL ML SYSTEMS'!R412</f>
        <v>0</v>
      </c>
      <c r="S412" s="335">
        <f>'ALL ML SYSTEMS'!S412</f>
        <v>0</v>
      </c>
      <c r="T412" s="323">
        <f>'ALL ML SYSTEMS'!T412</f>
        <v>0</v>
      </c>
      <c r="U412" s="323">
        <f>'ALL ML SYSTEMS'!U412</f>
        <v>0</v>
      </c>
      <c r="V412" s="323">
        <f>'ALL ML SYSTEMS'!V412</f>
        <v>0</v>
      </c>
      <c r="W412" s="323">
        <f>'ALL ML SYSTEMS'!W412</f>
        <v>0</v>
      </c>
      <c r="X412" s="323">
        <f>'ALL ML SYSTEMS'!X412</f>
        <v>0</v>
      </c>
      <c r="Y412" s="323">
        <f>'ALL ML SYSTEMS'!Y412</f>
        <v>0</v>
      </c>
      <c r="Z412" s="323">
        <f>'ALL ML SYSTEMS'!Z412</f>
        <v>0</v>
      </c>
      <c r="AA412" s="340" t="str">
        <f>'ALL ML SYSTEMS'!AA412</f>
        <v/>
      </c>
      <c r="AB412" s="323">
        <f>'ALL ML SYSTEMS'!AB412</f>
        <v>0</v>
      </c>
      <c r="AC412" s="323">
        <f>'ALL ML SYSTEMS'!AC412</f>
        <v>0</v>
      </c>
      <c r="AD412" s="323" t="str">
        <f>'ALL ML SYSTEMS'!AD412</f>
        <v>Academia</v>
      </c>
    </row>
    <row r="413" hidden="1" customHeight="1" spans="1:30">
      <c r="A413" s="325">
        <f>'ALL ML SYSTEMS'!A413</f>
        <v>0</v>
      </c>
      <c r="B413" s="325" t="str">
        <f>'ALL ML SYSTEMS'!B413</f>
        <v>Vision</v>
      </c>
      <c r="C413" s="325">
        <f>'ALL ML SYSTEMS'!C413</f>
        <v>0</v>
      </c>
      <c r="D413" s="325" t="str">
        <f>'ALL ML SYSTEMS'!D413</f>
        <v>University of Bern, IDSIA, TU Munich</v>
      </c>
      <c r="E413" s="325" t="str">
        <f>'ALL ML SYSTEMS'!E413</f>
        <v>Academia</v>
      </c>
      <c r="F413" s="325" t="str">
        <f>'ALL ML SYSTEMS'!F413</f>
        <v>M Liwicki, A Graves, S Fernàndez</v>
      </c>
      <c r="G413" s="326">
        <f>'ALL ML SYSTEMS'!G413</f>
        <v>39348</v>
      </c>
      <c r="H413" s="327">
        <f>'ALL ML SYSTEMS'!H413</f>
        <v>9348</v>
      </c>
      <c r="I413" s="325" t="str">
        <f>'ALL ML SYSTEMS'!I413</f>
        <v>A Novel Approach to On-Line Handwriting Recognition Based on Bidirectional Long Short-Term Memory Networks</v>
      </c>
      <c r="J413" s="337" t="str">
        <f>'ALL ML SYSTEMS'!J413</f>
        <v>https://people.idsia.ch//~juergen/icdar_2007.pdf</v>
      </c>
      <c r="K413" s="338">
        <f>'ALL ML SYSTEMS'!K413</f>
        <v>287</v>
      </c>
      <c r="L413" s="325">
        <f>'ALL ML SYSTEMS'!L413</f>
        <v>0</v>
      </c>
      <c r="M413" s="338" t="str">
        <f>'ALL ML SYSTEMS'!M413</f>
        <v>No</v>
      </c>
      <c r="N413" s="338">
        <f>'ALL ML SYSTEMS'!N413</f>
        <v>0</v>
      </c>
      <c r="O413" s="338">
        <f>'ALL ML SYSTEMS'!O413</f>
        <v>0</v>
      </c>
      <c r="P413" s="339">
        <f>'ALL ML SYSTEMS'!P413</f>
        <v>0</v>
      </c>
      <c r="Q413" s="338">
        <f>'ALL ML SYSTEMS'!Q413</f>
        <v>0</v>
      </c>
      <c r="R413" s="325">
        <f>'ALL ML SYSTEMS'!R413</f>
        <v>0</v>
      </c>
      <c r="S413" s="338">
        <f>'ALL ML SYSTEMS'!S413</f>
        <v>0</v>
      </c>
      <c r="T413" s="325">
        <f>'ALL ML SYSTEMS'!T413</f>
        <v>0</v>
      </c>
      <c r="U413" s="325">
        <f>'ALL ML SYSTEMS'!U413</f>
        <v>0</v>
      </c>
      <c r="V413" s="325">
        <f>'ALL ML SYSTEMS'!V413</f>
        <v>0</v>
      </c>
      <c r="W413" s="325">
        <f>'ALL ML SYSTEMS'!W413</f>
        <v>0</v>
      </c>
      <c r="X413" s="325">
        <f>'ALL ML SYSTEMS'!X413</f>
        <v>0</v>
      </c>
      <c r="Y413" s="325">
        <f>'ALL ML SYSTEMS'!Y413</f>
        <v>0</v>
      </c>
      <c r="Z413" s="325">
        <f>'ALL ML SYSTEMS'!Z413</f>
        <v>0</v>
      </c>
      <c r="AA413" s="341" t="str">
        <f>'ALL ML SYSTEMS'!AA413</f>
        <v/>
      </c>
      <c r="AB413" s="325"/>
      <c r="AC413" s="325">
        <f>'ALL ML SYSTEMS'!AB413</f>
        <v>0</v>
      </c>
      <c r="AD413" s="325">
        <f>'ALL ML SYSTEMS'!AC413</f>
        <v>0</v>
      </c>
    </row>
    <row r="414" hidden="1" customHeight="1" spans="1:30">
      <c r="A414" s="323">
        <f>'ALL ML SYSTEMS'!A414</f>
        <v>0</v>
      </c>
      <c r="B414" s="323" t="str">
        <f>'ALL ML SYSTEMS'!B414</f>
        <v>Recommendation</v>
      </c>
      <c r="C414" s="323">
        <f>'ALL ML SYSTEMS'!C414</f>
        <v>0</v>
      </c>
      <c r="D414" s="323" t="str">
        <f>'ALL ML SYSTEMS'!D414</f>
        <v>AT&amp;T Labs</v>
      </c>
      <c r="E414" s="323" t="str">
        <f>'ALL ML SYSTEMS'!E414</f>
        <v>Industry</v>
      </c>
      <c r="F414" s="323" t="str">
        <f>'ALL ML SYSTEMS'!F414</f>
        <v>RM Bell, Y Koren</v>
      </c>
      <c r="G414" s="324">
        <f>'ALL ML SYSTEMS'!G414</f>
        <v>39383</v>
      </c>
      <c r="H414" s="329">
        <f>'ALL ML SYSTEMS'!H414</f>
        <v>9383</v>
      </c>
      <c r="I414" s="323" t="str">
        <f>'ALL ML SYSTEMS'!I414</f>
        <v>Scalable Collaborative Filtering with Jointly Derived Neighborhood Interpolation Weights</v>
      </c>
      <c r="J414" s="334" t="str">
        <f>'ALL ML SYSTEMS'!J414</f>
        <v>http://brettb.net/project/papers/2007%20Scalable%20collaborative%20filtering%20with%20jointly%20derived%20neighborhood%20interpolation%20weights.pdf</v>
      </c>
      <c r="K414" s="335">
        <f>'ALL ML SYSTEMS'!K414</f>
        <v>687</v>
      </c>
      <c r="L414" s="323">
        <f>'ALL ML SYSTEMS'!L414</f>
        <v>0</v>
      </c>
      <c r="M414" s="335" t="str">
        <f>'ALL ML SYSTEMS'!M414</f>
        <v>No</v>
      </c>
      <c r="N414" s="335">
        <f>'ALL ML SYSTEMS'!N414</f>
        <v>0</v>
      </c>
      <c r="O414" s="335">
        <f>'ALL ML SYSTEMS'!O414</f>
        <v>0</v>
      </c>
      <c r="P414" s="336">
        <f>'ALL ML SYSTEMS'!P414</f>
        <v>0</v>
      </c>
      <c r="Q414" s="335">
        <f>'ALL ML SYSTEMS'!Q414</f>
        <v>0</v>
      </c>
      <c r="R414" s="323">
        <f>'ALL ML SYSTEMS'!R414</f>
        <v>0</v>
      </c>
      <c r="S414" s="335">
        <f>'ALL ML SYSTEMS'!S414</f>
        <v>0</v>
      </c>
      <c r="T414" s="323">
        <f>'ALL ML SYSTEMS'!T414</f>
        <v>0</v>
      </c>
      <c r="U414" s="323">
        <f>'ALL ML SYSTEMS'!U414</f>
        <v>0</v>
      </c>
      <c r="V414" s="323">
        <f>'ALL ML SYSTEMS'!V414</f>
        <v>0</v>
      </c>
      <c r="W414" s="323">
        <f>'ALL ML SYSTEMS'!W414</f>
        <v>0</v>
      </c>
      <c r="X414" s="323">
        <f>'ALL ML SYSTEMS'!X414</f>
        <v>0</v>
      </c>
      <c r="Y414" s="323">
        <f>'ALL ML SYSTEMS'!Y414</f>
        <v>0</v>
      </c>
      <c r="Z414" s="323">
        <f>'ALL ML SYSTEMS'!Z414</f>
        <v>0</v>
      </c>
      <c r="AA414" s="340" t="str">
        <f>'ALL ML SYSTEMS'!AA414</f>
        <v/>
      </c>
      <c r="AB414" s="323"/>
      <c r="AC414" s="323">
        <f>'ALL ML SYSTEMS'!AB414</f>
        <v>0</v>
      </c>
      <c r="AD414" s="323">
        <f>'ALL ML SYSTEMS'!AC414</f>
        <v>0</v>
      </c>
    </row>
    <row r="415" customHeight="1" spans="1:30">
      <c r="A415" s="325">
        <f>'ALL ML SYSTEMS'!A415</f>
        <v>0</v>
      </c>
      <c r="B415" s="325">
        <f>'ALL ML SYSTEMS'!B415</f>
        <v>0</v>
      </c>
      <c r="C415" s="325">
        <f>'ALL ML SYSTEMS'!C415</f>
        <v>0</v>
      </c>
      <c r="D415" s="325" t="str">
        <f>'ALL ML SYSTEMS'!D415</f>
        <v>NEC Laboratories, Google Zurich</v>
      </c>
      <c r="E415" s="325" t="str">
        <f>'ALL ML SYSTEMS'!E415</f>
        <v>Industry</v>
      </c>
      <c r="F415" s="325" t="str">
        <f>'ALL ML SYSTEMS'!F415</f>
        <v>L Bottou, O Bousquet</v>
      </c>
      <c r="G415" s="326">
        <f>'ALL ML SYSTEMS'!G415</f>
        <v>39419</v>
      </c>
      <c r="H415" s="327">
        <f>'ALL ML SYSTEMS'!H415</f>
        <v>9419</v>
      </c>
      <c r="I415" s="325" t="str">
        <f>'ALL ML SYSTEMS'!I415</f>
        <v>The Tradeoffs of Large Scale Learning</v>
      </c>
      <c r="J415" s="337" t="str">
        <f>'ALL ML SYSTEMS'!J415</f>
        <v>https://dl.acm.org/doi/10.5555/2981562.2981583</v>
      </c>
      <c r="K415" s="338">
        <f>'ALL ML SYSTEMS'!K415</f>
        <v>1695</v>
      </c>
      <c r="L415" s="325" t="str">
        <f>'ALL ML SYSTEMS'!L415</f>
        <v>Highly cited</v>
      </c>
      <c r="M415" s="338" t="str">
        <f>'ALL ML SYSTEMS'!M415</f>
        <v>Yes</v>
      </c>
      <c r="N415" s="338">
        <f>'ALL ML SYSTEMS'!N415</f>
        <v>0</v>
      </c>
      <c r="O415" s="338">
        <f>'ALL ML SYSTEMS'!O415</f>
        <v>0</v>
      </c>
      <c r="P415" s="339">
        <f>'ALL ML SYSTEMS'!P415</f>
        <v>0</v>
      </c>
      <c r="Q415" s="338">
        <f>'ALL ML SYSTEMS'!Q415</f>
        <v>0</v>
      </c>
      <c r="R415" s="325">
        <f>'ALL ML SYSTEMS'!R415</f>
        <v>0</v>
      </c>
      <c r="S415" s="338">
        <f>'ALL ML SYSTEMS'!S415</f>
        <v>0</v>
      </c>
      <c r="T415" s="325">
        <f>'ALL ML SYSTEMS'!T415</f>
        <v>0</v>
      </c>
      <c r="U415" s="325">
        <f>'ALL ML SYSTEMS'!U415</f>
        <v>0</v>
      </c>
      <c r="V415" s="325">
        <f>'ALL ML SYSTEMS'!V415</f>
        <v>0</v>
      </c>
      <c r="W415" s="325">
        <f>'ALL ML SYSTEMS'!W415</f>
        <v>0</v>
      </c>
      <c r="X415" s="325">
        <f>'ALL ML SYSTEMS'!X415</f>
        <v>0</v>
      </c>
      <c r="Y415" s="325">
        <f>'ALL ML SYSTEMS'!Y415</f>
        <v>0</v>
      </c>
      <c r="Z415" s="325">
        <f>'ALL ML SYSTEMS'!Z415</f>
        <v>0</v>
      </c>
      <c r="AA415" s="341" t="str">
        <f>'ALL ML SYSTEMS'!AA415</f>
        <v/>
      </c>
      <c r="AB415" s="325">
        <f>'ALL ML SYSTEMS'!AB415</f>
        <v>0</v>
      </c>
      <c r="AC415" s="325">
        <f>'ALL ML SYSTEMS'!AC415</f>
        <v>0</v>
      </c>
      <c r="AD415" s="325" t="str">
        <f>'ALL ML SYSTEMS'!AD415</f>
        <v>Industry</v>
      </c>
    </row>
    <row r="416" hidden="1" customHeight="1" spans="1:30">
      <c r="A416" s="323" t="str">
        <f>'ALL ML SYSTEMS'!A416</f>
        <v>BLSTM</v>
      </c>
      <c r="B416" s="323" t="str">
        <f>'ALL ML SYSTEMS'!B416</f>
        <v>Vision</v>
      </c>
      <c r="C416" s="323" t="str">
        <f>'ALL ML SYSTEMS'!C416</f>
        <v>Character recognition</v>
      </c>
      <c r="D416" s="323" t="str">
        <f>'ALL ML SYSTEMS'!D416</f>
        <v>University of Bern, IDSIA, TU Munich</v>
      </c>
      <c r="E416" s="323" t="str">
        <f>'ALL ML SYSTEMS'!E416</f>
        <v>Academia</v>
      </c>
      <c r="F416" s="323" t="str">
        <f>'ALL ML SYSTEMS'!F416</f>
        <v>Alex Graves, Marcus Liwicki, Horst Bunke, Jürgen Schmidhuber, Santiago Fernández</v>
      </c>
      <c r="G416" s="324">
        <f>'ALL ML SYSTEMS'!G416</f>
        <v>39419</v>
      </c>
      <c r="H416" s="329">
        <f>'ALL ML SYSTEMS'!H416</f>
        <v>9419</v>
      </c>
      <c r="I416" s="323" t="str">
        <f>'ALL ML SYSTEMS'!I416</f>
        <v>Unconstrained online handwriting recognition with recurrent neural networks</v>
      </c>
      <c r="J416" s="334" t="str">
        <f>'ALL ML SYSTEMS'!J416</f>
        <v>https://proceedings.neurips.cc/paper/2007/hash/4b0250793549726d5c1ea3906726ebfe-Abstract.html</v>
      </c>
      <c r="K416" s="335">
        <f>'ALL ML SYSTEMS'!K416</f>
        <v>341</v>
      </c>
      <c r="L416" s="323">
        <f>'ALL ML SYSTEMS'!L416</f>
        <v>0</v>
      </c>
      <c r="M416" s="335" t="str">
        <f>'ALL ML SYSTEMS'!M416</f>
        <v>No</v>
      </c>
      <c r="N416" s="335">
        <f>'ALL ML SYSTEMS'!N416</f>
        <v>100881</v>
      </c>
      <c r="O416" s="335">
        <f>'ALL ML SYSTEMS'!O416</f>
        <v>0</v>
      </c>
      <c r="P416" s="336">
        <f>'ALL ML SYSTEMS'!P416</f>
        <v>0</v>
      </c>
      <c r="Q416" s="335">
        <f>'ALL ML SYSTEMS'!Q416</f>
        <v>0</v>
      </c>
      <c r="R416" s="323">
        <f>'ALL ML SYSTEMS'!R416</f>
        <v>0</v>
      </c>
      <c r="S416" s="335">
        <f>'ALL ML SYSTEMS'!S416</f>
        <v>0</v>
      </c>
      <c r="T416" s="323">
        <f>'ALL ML SYSTEMS'!T416</f>
        <v>0</v>
      </c>
      <c r="U416" s="323">
        <f>'ALL ML SYSTEMS'!U416</f>
        <v>0</v>
      </c>
      <c r="V416" s="323">
        <f>'ALL ML SYSTEMS'!V416</f>
        <v>0</v>
      </c>
      <c r="W416" s="323">
        <f>'ALL ML SYSTEMS'!W416</f>
        <v>0</v>
      </c>
      <c r="X416" s="323">
        <f>'ALL ML SYSTEMS'!X416</f>
        <v>0</v>
      </c>
      <c r="Y416" s="323">
        <f>'ALL ML SYSTEMS'!Y416</f>
        <v>0</v>
      </c>
      <c r="Z416" s="323">
        <f>'ALL ML SYSTEMS'!Z416</f>
        <v>0</v>
      </c>
      <c r="AA416" s="340" t="str">
        <f>'ALL ML SYSTEMS'!AA416</f>
        <v/>
      </c>
      <c r="AB416" s="323"/>
      <c r="AC416" s="323">
        <f>'ALL ML SYSTEMS'!AB416</f>
        <v>0</v>
      </c>
      <c r="AD416" s="323">
        <f>'ALL ML SYSTEMS'!AC416</f>
        <v>0</v>
      </c>
    </row>
    <row r="417" customHeight="1" spans="1:30">
      <c r="A417" s="325" t="str">
        <f>'ALL ML SYSTEMS'!A417</f>
        <v>Stanley (DARPA Grand Challenge 2)</v>
      </c>
      <c r="B417" s="325" t="str">
        <f>'ALL ML SYSTEMS'!B417</f>
        <v>Driving</v>
      </c>
      <c r="C417" s="325" t="str">
        <f>'ALL ML SYSTEMS'!C417</f>
        <v>Self-driving car</v>
      </c>
      <c r="D417" s="325" t="str">
        <f>'ALL ML SYSTEMS'!D417</f>
        <v>Stanford University</v>
      </c>
      <c r="E417" s="325" t="str">
        <f>'ALL ML SYSTEMS'!E417</f>
        <v>Industry - Academia Collaboration</v>
      </c>
      <c r="F417" s="325" t="str">
        <f>'ALL ML SYSTEMS'!F417</f>
        <v>S Thrun, M Montemerlo, H Dahlkamp</v>
      </c>
      <c r="G417" s="326">
        <f>'ALL ML SYSTEMS'!G417</f>
        <v>38718</v>
      </c>
      <c r="H417" s="327">
        <f>'ALL ML SYSTEMS'!H417</f>
        <v>8718</v>
      </c>
      <c r="I417" s="325" t="str">
        <f>'ALL ML SYSTEMS'!I417</f>
        <v>Stanley: The Robot that Wonthe DARPA Grand Challenge</v>
      </c>
      <c r="J417" s="337" t="str">
        <f>'ALL ML SYSTEMS'!J417</f>
        <v>https://www.researchgate.net/publication/220648006_Stanley_The_robot_that_won_the_DARPA_Grand_Challenge</v>
      </c>
      <c r="K417" s="338">
        <f>'ALL ML SYSTEMS'!K417</f>
        <v>2561</v>
      </c>
      <c r="L417" s="325" t="str">
        <f>'ALL ML SYSTEMS'!L417</f>
        <v>Highly cited</v>
      </c>
      <c r="M417" s="338" t="str">
        <f>'ALL ML SYSTEMS'!M417</f>
        <v>Yes</v>
      </c>
      <c r="N417" s="338">
        <f>'ALL ML SYSTEMS'!N417</f>
        <v>0</v>
      </c>
      <c r="O417" s="338">
        <f>'ALL ML SYSTEMS'!O417</f>
        <v>0</v>
      </c>
      <c r="P417" s="339">
        <f>'ALL ML SYSTEMS'!P417</f>
        <v>0</v>
      </c>
      <c r="Q417" s="338">
        <f>'ALL ML SYSTEMS'!Q417</f>
        <v>0</v>
      </c>
      <c r="R417" s="325">
        <f>'ALL ML SYSTEMS'!R417</f>
        <v>0</v>
      </c>
      <c r="S417" s="338">
        <f>'ALL ML SYSTEMS'!S417</f>
        <v>0</v>
      </c>
      <c r="T417" s="325">
        <f>'ALL ML SYSTEMS'!T417</f>
        <v>0</v>
      </c>
      <c r="U417" s="325">
        <f>'ALL ML SYSTEMS'!U417</f>
        <v>0</v>
      </c>
      <c r="V417" s="325">
        <f>'ALL ML SYSTEMS'!V417</f>
        <v>0</v>
      </c>
      <c r="W417" s="325">
        <f>'ALL ML SYSTEMS'!W417</f>
        <v>0</v>
      </c>
      <c r="X417" s="325">
        <f>'ALL ML SYSTEMS'!X417</f>
        <v>0</v>
      </c>
      <c r="Y417" s="325">
        <f>'ALL ML SYSTEMS'!Y417</f>
        <v>0</v>
      </c>
      <c r="Z417" s="325">
        <f>'ALL ML SYSTEMS'!Z417</f>
        <v>0</v>
      </c>
      <c r="AA417" s="341" t="str">
        <f>'ALL ML SYSTEMS'!AA417</f>
        <v/>
      </c>
      <c r="AB417" s="325">
        <f>'ALL ML SYSTEMS'!AB417</f>
        <v>0</v>
      </c>
      <c r="AC417" s="325">
        <f>'ALL ML SYSTEMS'!AC417</f>
        <v>0</v>
      </c>
      <c r="AD417" s="325" t="str">
        <f>'ALL ML SYSTEMS'!AD417</f>
        <v>Industry</v>
      </c>
    </row>
    <row r="418" hidden="1" customHeight="1" spans="1:30">
      <c r="A418" s="323">
        <f>'ALL ML SYSTEMS'!A418</f>
        <v>0</v>
      </c>
      <c r="B418" s="323">
        <f>'ALL ML SYSTEMS'!B418</f>
        <v>0</v>
      </c>
      <c r="C418" s="323">
        <f>'ALL ML SYSTEMS'!C418</f>
        <v>0</v>
      </c>
      <c r="D418" s="323" t="str">
        <f>'ALL ML SYSTEMS'!D418</f>
        <v>CRAN, CENPARMI</v>
      </c>
      <c r="E418" s="323" t="str">
        <f>'ALL ML SYSTEMS'!E418</f>
        <v>Academia</v>
      </c>
      <c r="F418" s="323" t="str">
        <f>'ALL ML SYSTEMS'!F418</f>
        <v>Fabian Lauer, Ching Y Suen, Gerard Bloch</v>
      </c>
      <c r="G418" s="324">
        <f>'ALL ML SYSTEMS'!G418</f>
        <v>38750</v>
      </c>
      <c r="H418" s="329">
        <f>'ALL ML SYSTEMS'!H418</f>
        <v>8750</v>
      </c>
      <c r="I418" s="323" t="str">
        <f>'ALL ML SYSTEMS'!I418</f>
        <v>A trainable feature extractor for handwritten digit recognition</v>
      </c>
      <c r="J418" s="334" t="str">
        <f>'ALL ML SYSTEMS'!J418</f>
        <v>https://hal.archives-ouvertes.fr/hal-00018426/en</v>
      </c>
      <c r="K418" s="335">
        <f>'ALL ML SYSTEMS'!K418</f>
        <v>365</v>
      </c>
      <c r="L418" s="323">
        <f>'ALL ML SYSTEMS'!L418</f>
        <v>0</v>
      </c>
      <c r="M418" s="335" t="str">
        <f>'ALL ML SYSTEMS'!M418</f>
        <v>No</v>
      </c>
      <c r="N418" s="335">
        <f>'ALL ML SYSTEMS'!N418</f>
        <v>0</v>
      </c>
      <c r="O418" s="335">
        <f>'ALL ML SYSTEMS'!O418</f>
        <v>0</v>
      </c>
      <c r="P418" s="336">
        <f>'ALL ML SYSTEMS'!P418</f>
        <v>0</v>
      </c>
      <c r="Q418" s="335">
        <f>'ALL ML SYSTEMS'!Q418</f>
        <v>0</v>
      </c>
      <c r="R418" s="323">
        <f>'ALL ML SYSTEMS'!R418</f>
        <v>0</v>
      </c>
      <c r="S418" s="335">
        <f>'ALL ML SYSTEMS'!S418</f>
        <v>0</v>
      </c>
      <c r="T418" s="323">
        <f>'ALL ML SYSTEMS'!T418</f>
        <v>0</v>
      </c>
      <c r="U418" s="323">
        <f>'ALL ML SYSTEMS'!U418</f>
        <v>0</v>
      </c>
      <c r="V418" s="323">
        <f>'ALL ML SYSTEMS'!V418</f>
        <v>0</v>
      </c>
      <c r="W418" s="323">
        <f>'ALL ML SYSTEMS'!W418</f>
        <v>0</v>
      </c>
      <c r="X418" s="323">
        <f>'ALL ML SYSTEMS'!X418</f>
        <v>0</v>
      </c>
      <c r="Y418" s="323">
        <f>'ALL ML SYSTEMS'!Y418</f>
        <v>0</v>
      </c>
      <c r="Z418" s="323">
        <f>'ALL ML SYSTEMS'!Z418</f>
        <v>0</v>
      </c>
      <c r="AA418" s="340" t="str">
        <f>'ALL ML SYSTEMS'!AA418</f>
        <v/>
      </c>
      <c r="AB418" s="323"/>
      <c r="AC418" s="323">
        <f>'ALL ML SYSTEMS'!AB418</f>
        <v>0</v>
      </c>
      <c r="AD418" s="323">
        <f>'ALL ML SYSTEMS'!AC418</f>
        <v>0</v>
      </c>
    </row>
    <row r="419" hidden="1" customHeight="1" spans="1:30">
      <c r="A419" s="325">
        <f>'ALL ML SYSTEMS'!A419</f>
        <v>0</v>
      </c>
      <c r="B419" s="325" t="str">
        <f>'ALL ML SYSTEMS'!B419</f>
        <v>Driving</v>
      </c>
      <c r="C419" s="325" t="str">
        <f>'ALL ML SYSTEMS'!C419</f>
        <v>Helicopter driving</v>
      </c>
      <c r="D419" s="325" t="str">
        <f>'ALL ML SYSTEMS'!D419</f>
        <v>Stanford and UC Berkeley</v>
      </c>
      <c r="E419" s="325" t="str">
        <f>'ALL ML SYSTEMS'!E419</f>
        <v>Academia</v>
      </c>
      <c r="F419" s="325" t="str">
        <f>'ALL ML SYSTEMS'!F419</f>
        <v>H. Kim, Michael Jordan, Shankar Sastry, Andrew Ng</v>
      </c>
      <c r="G419" s="326">
        <f>'ALL ML SYSTEMS'!G419</f>
        <v>38785</v>
      </c>
      <c r="H419" s="327">
        <f>'ALL ML SYSTEMS'!H419</f>
        <v>8785</v>
      </c>
      <c r="I419" s="325" t="str">
        <f>'ALL ML SYSTEMS'!I419</f>
        <v>Autonomous helicopter flight via reinforcement learning</v>
      </c>
      <c r="J419" s="337" t="str">
        <f>'ALL ML SYSTEMS'!J419</f>
        <v>https://papers.nips.cc/paper/2003/hash/b427426b8acd2c2e53827970f2c2f526-Abstract.html</v>
      </c>
      <c r="K419" s="338">
        <f>'ALL ML SYSTEMS'!K419</f>
        <v>81</v>
      </c>
      <c r="L419" s="325">
        <f>'ALL ML SYSTEMS'!L419</f>
        <v>0</v>
      </c>
      <c r="M419" s="338" t="str">
        <f>'ALL ML SYSTEMS'!M419</f>
        <v>No</v>
      </c>
      <c r="N419" s="338">
        <f>'ALL ML SYSTEMS'!N419</f>
        <v>0</v>
      </c>
      <c r="O419" s="338">
        <f>'ALL ML SYSTEMS'!O419</f>
        <v>0</v>
      </c>
      <c r="P419" s="339">
        <f>'ALL ML SYSTEMS'!P419</f>
        <v>0</v>
      </c>
      <c r="Q419" s="338">
        <f>'ALL ML SYSTEMS'!Q419</f>
        <v>0</v>
      </c>
      <c r="R419" s="325">
        <f>'ALL ML SYSTEMS'!R419</f>
        <v>0</v>
      </c>
      <c r="S419" s="338">
        <f>'ALL ML SYSTEMS'!S419</f>
        <v>0</v>
      </c>
      <c r="T419" s="325">
        <f>'ALL ML SYSTEMS'!T419</f>
        <v>0</v>
      </c>
      <c r="U419" s="325">
        <f>'ALL ML SYSTEMS'!U419</f>
        <v>0</v>
      </c>
      <c r="V419" s="325">
        <f>'ALL ML SYSTEMS'!V419</f>
        <v>0</v>
      </c>
      <c r="W419" s="325">
        <f>'ALL ML SYSTEMS'!W419</f>
        <v>0</v>
      </c>
      <c r="X419" s="325">
        <f>'ALL ML SYSTEMS'!X419</f>
        <v>0</v>
      </c>
      <c r="Y419" s="325">
        <f>'ALL ML SYSTEMS'!Y419</f>
        <v>0</v>
      </c>
      <c r="Z419" s="325">
        <f>'ALL ML SYSTEMS'!Z419</f>
        <v>0</v>
      </c>
      <c r="AA419" s="341" t="str">
        <f>'ALL ML SYSTEMS'!AA419</f>
        <v/>
      </c>
      <c r="AB419" s="325"/>
      <c r="AC419" s="325">
        <f>'ALL ML SYSTEMS'!AB419</f>
        <v>0</v>
      </c>
      <c r="AD419" s="325">
        <f>'ALL ML SYSTEMS'!AC419</f>
        <v>0</v>
      </c>
    </row>
    <row r="420" customHeight="1" spans="1:30">
      <c r="A420" s="323" t="str">
        <f>'ALL ML SYSTEMS'!A420</f>
        <v>FAST</v>
      </c>
      <c r="B420" s="323" t="str">
        <f>'ALL ML SYSTEMS'!B420</f>
        <v>Vision</v>
      </c>
      <c r="C420" s="323" t="str">
        <f>'ALL ML SYSTEMS'!C420</f>
        <v>Corner detection</v>
      </c>
      <c r="D420" s="323" t="str">
        <f>'ALL ML SYSTEMS'!D420</f>
        <v>University of Cambridge</v>
      </c>
      <c r="E420" s="323" t="str">
        <f>'ALL ML SYSTEMS'!E420</f>
        <v>Academia</v>
      </c>
      <c r="F420" s="323" t="str">
        <f>'ALL ML SYSTEMS'!F420</f>
        <v>Edward Rosten and Tom Drummond</v>
      </c>
      <c r="G420" s="324">
        <f>'ALL ML SYSTEMS'!G420</f>
        <v>38844</v>
      </c>
      <c r="H420" s="329">
        <f>'ALL ML SYSTEMS'!H420</f>
        <v>8844</v>
      </c>
      <c r="I420" s="323" t="str">
        <f>'ALL ML SYSTEMS'!I420</f>
        <v>Machine Learning for High-Speed Corner Detection</v>
      </c>
      <c r="J420" s="334" t="str">
        <f>'ALL ML SYSTEMS'!J420</f>
        <v>https://link.springer.com/chapter/10.1007/11744023_34</v>
      </c>
      <c r="K420" s="335">
        <f>'ALL ML SYSTEMS'!K420</f>
        <v>5419</v>
      </c>
      <c r="L420" s="323" t="str">
        <f>'ALL ML SYSTEMS'!L420</f>
        <v>Highly cited</v>
      </c>
      <c r="M420" s="335" t="str">
        <f>'ALL ML SYSTEMS'!M420</f>
        <v>Yes</v>
      </c>
      <c r="N420" s="335">
        <f>'ALL ML SYSTEMS'!N420</f>
        <v>0</v>
      </c>
      <c r="O420" s="335">
        <f>'ALL ML SYSTEMS'!O420</f>
        <v>0</v>
      </c>
      <c r="P420" s="336">
        <f>'ALL ML SYSTEMS'!P420</f>
        <v>0</v>
      </c>
      <c r="Q420" s="335">
        <f>'ALL ML SYSTEMS'!Q420</f>
        <v>0</v>
      </c>
      <c r="R420" s="323">
        <f>'ALL ML SYSTEMS'!R420</f>
        <v>0</v>
      </c>
      <c r="S420" s="335">
        <f>'ALL ML SYSTEMS'!S420</f>
        <v>0</v>
      </c>
      <c r="T420" s="323">
        <f>'ALL ML SYSTEMS'!T420</f>
        <v>0</v>
      </c>
      <c r="U420" s="323">
        <f>'ALL ML SYSTEMS'!U420</f>
        <v>0</v>
      </c>
      <c r="V420" s="323">
        <f>'ALL ML SYSTEMS'!V420</f>
        <v>0</v>
      </c>
      <c r="W420" s="323">
        <f>'ALL ML SYSTEMS'!W420</f>
        <v>0</v>
      </c>
      <c r="X420" s="323">
        <f>'ALL ML SYSTEMS'!X420</f>
        <v>0</v>
      </c>
      <c r="Y420" s="323">
        <f>'ALL ML SYSTEMS'!Y420</f>
        <v>0</v>
      </c>
      <c r="Z420" s="323">
        <f>'ALL ML SYSTEMS'!Z420</f>
        <v>0</v>
      </c>
      <c r="AA420" s="340" t="str">
        <f>'ALL ML SYSTEMS'!AA420</f>
        <v/>
      </c>
      <c r="AB420" s="323">
        <f>'ALL ML SYSTEMS'!AB420</f>
        <v>0</v>
      </c>
      <c r="AC420" s="323">
        <f>'ALL ML SYSTEMS'!AC420</f>
        <v>0</v>
      </c>
      <c r="AD420" s="323" t="str">
        <f>'ALL ML SYSTEMS'!AD420</f>
        <v>Academia</v>
      </c>
    </row>
    <row r="421" customHeight="1" spans="1:30">
      <c r="A421" s="325">
        <f>'ALL ML SYSTEMS'!A421</f>
        <v>0</v>
      </c>
      <c r="B421" s="325" t="str">
        <f>'ALL ML SYSTEMS'!B421</f>
        <v>Vision</v>
      </c>
      <c r="C421" s="325">
        <f>'ALL ML SYSTEMS'!C421</f>
        <v>0</v>
      </c>
      <c r="D421" s="325" t="str">
        <f>'ALL ML SYSTEMS'!D421</f>
        <v>University of Illinois, INRIA, Ecole Normale</v>
      </c>
      <c r="E421" s="325" t="str">
        <f>'ALL ML SYSTEMS'!E421</f>
        <v>Academia</v>
      </c>
      <c r="F421" s="325" t="str">
        <f>'ALL ML SYSTEMS'!F421</f>
        <v>S Lazebnik, C Schmid, J Ponce</v>
      </c>
      <c r="G421" s="326">
        <f>'ALL ML SYSTEMS'!G421</f>
        <v>38885</v>
      </c>
      <c r="H421" s="327">
        <f>'ALL ML SYSTEMS'!H421</f>
        <v>8885</v>
      </c>
      <c r="I421" s="325" t="str">
        <f>'ALL ML SYSTEMS'!I421</f>
        <v>Beyond Bags of Features: Spatial Pyramid Matching for Recognizing Natural Scene Categories</v>
      </c>
      <c r="J421" s="337" t="str">
        <f>'ALL ML SYSTEMS'!J421</f>
        <v>https://inc.ucsd.edu/mplab/users/marni/Igert/Lazebnik_06.pdf</v>
      </c>
      <c r="K421" s="338">
        <f>'ALL ML SYSTEMS'!K421</f>
        <v>9807</v>
      </c>
      <c r="L421" s="325" t="str">
        <f>'ALL ML SYSTEMS'!L421</f>
        <v>Highly cited</v>
      </c>
      <c r="M421" s="338" t="str">
        <f>'ALL ML SYSTEMS'!M421</f>
        <v>Yes</v>
      </c>
      <c r="N421" s="338">
        <f>'ALL ML SYSTEMS'!N421</f>
        <v>0</v>
      </c>
      <c r="O421" s="338">
        <f>'ALL ML SYSTEMS'!O421</f>
        <v>0</v>
      </c>
      <c r="P421" s="339">
        <f>'ALL ML SYSTEMS'!P421</f>
        <v>0</v>
      </c>
      <c r="Q421" s="338">
        <f>'ALL ML SYSTEMS'!Q421</f>
        <v>0</v>
      </c>
      <c r="R421" s="325">
        <f>'ALL ML SYSTEMS'!R421</f>
        <v>0</v>
      </c>
      <c r="S421" s="338">
        <f>'ALL ML SYSTEMS'!S421</f>
        <v>0</v>
      </c>
      <c r="T421" s="325">
        <f>'ALL ML SYSTEMS'!T421</f>
        <v>0</v>
      </c>
      <c r="U421" s="325">
        <f>'ALL ML SYSTEMS'!U421</f>
        <v>0</v>
      </c>
      <c r="V421" s="325">
        <f>'ALL ML SYSTEMS'!V421</f>
        <v>0</v>
      </c>
      <c r="W421" s="325">
        <f>'ALL ML SYSTEMS'!W421</f>
        <v>0</v>
      </c>
      <c r="X421" s="325">
        <f>'ALL ML SYSTEMS'!X421</f>
        <v>0</v>
      </c>
      <c r="Y421" s="325">
        <f>'ALL ML SYSTEMS'!Y421</f>
        <v>0</v>
      </c>
      <c r="Z421" s="325">
        <f>'ALL ML SYSTEMS'!Z421</f>
        <v>0</v>
      </c>
      <c r="AA421" s="341" t="str">
        <f>'ALL ML SYSTEMS'!AA421</f>
        <v/>
      </c>
      <c r="AB421" s="325">
        <f>'ALL ML SYSTEMS'!AB421</f>
        <v>0</v>
      </c>
      <c r="AC421" s="325">
        <f>'ALL ML SYSTEMS'!AC421</f>
        <v>0</v>
      </c>
      <c r="AD421" s="325" t="str">
        <f>'ALL ML SYSTEMS'!AD421</f>
        <v>Academia</v>
      </c>
    </row>
    <row r="422" customHeight="1" spans="1:30">
      <c r="A422" s="323" t="str">
        <f>'ALL ML SYSTEMS'!A422</f>
        <v>DrLIM</v>
      </c>
      <c r="B422" s="323" t="str">
        <f>'ALL ML SYSTEMS'!B422</f>
        <v>Vision</v>
      </c>
      <c r="C422" s="323" t="str">
        <f>'ALL ML SYSTEMS'!C422</f>
        <v>Image embedding</v>
      </c>
      <c r="D422" s="323" t="str">
        <f>'ALL ML SYSTEMS'!D422</f>
        <v>New York University</v>
      </c>
      <c r="E422" s="323" t="str">
        <f>'ALL ML SYSTEMS'!E422</f>
        <v>Academia</v>
      </c>
      <c r="F422" s="323" t="str">
        <f>'ALL ML SYSTEMS'!F422</f>
        <v>R. Hadsell; S. Chopra; Y. LeCun</v>
      </c>
      <c r="G422" s="324">
        <f>'ALL ML SYSTEMS'!G422</f>
        <v>38885</v>
      </c>
      <c r="H422" s="329">
        <f>'ALL ML SYSTEMS'!H422</f>
        <v>8885</v>
      </c>
      <c r="I422" s="323" t="str">
        <f>'ALL ML SYSTEMS'!I422</f>
        <v>Dimensionality Reduction by Learning an Invariant Mapping</v>
      </c>
      <c r="J422" s="334" t="str">
        <f>'ALL ML SYSTEMS'!J422</f>
        <v>https://ieeexplore.ieee.org/document/1640964</v>
      </c>
      <c r="K422" s="335">
        <f>'ALL ML SYSTEMS'!K422</f>
        <v>2691</v>
      </c>
      <c r="L422" s="323" t="str">
        <f>'ALL ML SYSTEMS'!L422</f>
        <v>Highly cited</v>
      </c>
      <c r="M422" s="335" t="str">
        <f>'ALL ML SYSTEMS'!M422</f>
        <v>Yes</v>
      </c>
      <c r="N422" s="335">
        <f>'ALL ML SYSTEMS'!N422</f>
        <v>37097</v>
      </c>
      <c r="O422" s="335">
        <f>'ALL ML SYSTEMS'!O422</f>
        <v>0</v>
      </c>
      <c r="P422" s="336">
        <f>'ALL ML SYSTEMS'!P422</f>
        <v>0</v>
      </c>
      <c r="Q422" s="335">
        <f>'ALL ML SYSTEMS'!Q422</f>
        <v>217470</v>
      </c>
      <c r="R422" s="323">
        <f>'ALL ML SYSTEMS'!R422</f>
        <v>0</v>
      </c>
      <c r="S422" s="335">
        <f>'ALL ML SYSTEMS'!S422</f>
        <v>0</v>
      </c>
      <c r="T422" s="323">
        <f>'ALL ML SYSTEMS'!T422</f>
        <v>0</v>
      </c>
      <c r="U422" s="323">
        <f>'ALL ML SYSTEMS'!U422</f>
        <v>0</v>
      </c>
      <c r="V422" s="323">
        <f>'ALL ML SYSTEMS'!V422</f>
        <v>0</v>
      </c>
      <c r="W422" s="323">
        <f>'ALL ML SYSTEMS'!W422</f>
        <v>0</v>
      </c>
      <c r="X422" s="323">
        <f>'ALL ML SYSTEMS'!X422</f>
        <v>0</v>
      </c>
      <c r="Y422" s="323">
        <f>'ALL ML SYSTEMS'!Y422</f>
        <v>0</v>
      </c>
      <c r="Z422" s="323">
        <f>'ALL ML SYSTEMS'!Z422</f>
        <v>0</v>
      </c>
      <c r="AA422" s="340" t="str">
        <f>'ALL ML SYSTEMS'!AA422</f>
        <v/>
      </c>
      <c r="AB422" s="323">
        <f>'ALL ML SYSTEMS'!AB422</f>
        <v>0</v>
      </c>
      <c r="AC422" s="323">
        <f>'ALL ML SYSTEMS'!AC422</f>
        <v>0</v>
      </c>
      <c r="AD422" s="323" t="str">
        <f>'ALL ML SYSTEMS'!AD422</f>
        <v>Academia</v>
      </c>
    </row>
    <row r="423" customHeight="1" spans="1:30">
      <c r="A423" s="325" t="str">
        <f>'ALL ML SYSTEMS'!A423</f>
        <v>CTC-Trained LSTM</v>
      </c>
      <c r="B423" s="325" t="str">
        <f>'ALL ML SYSTEMS'!B423</f>
        <v>Speech</v>
      </c>
      <c r="C423" s="325" t="str">
        <f>'ALL ML SYSTEMS'!C423</f>
        <v>Speech recognition</v>
      </c>
      <c r="D423" s="325" t="str">
        <f>'ALL ML SYSTEMS'!D423</f>
        <v>IDSIA, TUM</v>
      </c>
      <c r="E423" s="325" t="str">
        <f>'ALL ML SYSTEMS'!E423</f>
        <v>Academia</v>
      </c>
      <c r="F423" s="325" t="str">
        <f>'ALL ML SYSTEMS'!F423</f>
        <v>Alex Graves, Santiago Fernández, Faustino Gómez, Jürgen Schmidhuber</v>
      </c>
      <c r="G423" s="326">
        <f>'ALL ML SYSTEMS'!G423</f>
        <v>38893</v>
      </c>
      <c r="H423" s="327">
        <f>'ALL ML SYSTEMS'!H423</f>
        <v>8893</v>
      </c>
      <c r="I423" s="325" t="str">
        <f>'ALL ML SYSTEMS'!I423</f>
        <v>Connectionist Temporal Classification: Labelling Unsegmented Sequence Data with Recurrent Neural Networks</v>
      </c>
      <c r="J423" s="337" t="str">
        <f>'ALL ML SYSTEMS'!J423</f>
        <v>https://www.cs.toronto.edu/~graves/icml_2006.pdf</v>
      </c>
      <c r="K423" s="338">
        <f>'ALL ML SYSTEMS'!K423</f>
        <v>3288</v>
      </c>
      <c r="L423" s="325" t="str">
        <f>'ALL ML SYSTEMS'!L423</f>
        <v>Highly cited</v>
      </c>
      <c r="M423" s="338" t="str">
        <f>'ALL ML SYSTEMS'!M423</f>
        <v>Yes</v>
      </c>
      <c r="N423" s="338">
        <f>'ALL ML SYSTEMS'!N423</f>
        <v>114662</v>
      </c>
      <c r="O423" s="338">
        <f>'ALL ML SYSTEMS'!O423</f>
        <v>0</v>
      </c>
      <c r="P423" s="339" t="str">
        <f>'ALL ML SYSTEMS'!P423</f>
        <v>TIMIT</v>
      </c>
      <c r="Q423" s="338">
        <f>'ALL ML SYSTEMS'!Q423</f>
        <v>41620</v>
      </c>
      <c r="R423" s="325">
        <f>'ALL ML SYSTEMS'!R423</f>
        <v>0</v>
      </c>
      <c r="S423" s="338">
        <f>'ALL ML SYSTEMS'!S423</f>
        <v>0</v>
      </c>
      <c r="T423" s="325">
        <f>'ALL ML SYSTEMS'!T423</f>
        <v>0</v>
      </c>
      <c r="U423" s="325">
        <f>'ALL ML SYSTEMS'!U423</f>
        <v>0</v>
      </c>
      <c r="V423" s="325">
        <f>'ALL ML SYSTEMS'!V423</f>
        <v>0</v>
      </c>
      <c r="W423" s="325">
        <f>'ALL ML SYSTEMS'!W423</f>
        <v>0</v>
      </c>
      <c r="X423" s="325">
        <f>'ALL ML SYSTEMS'!X423</f>
        <v>0</v>
      </c>
      <c r="Y423" s="325">
        <f>'ALL ML SYSTEMS'!Y423</f>
        <v>0</v>
      </c>
      <c r="Z423" s="325">
        <f>'ALL ML SYSTEMS'!Z423</f>
        <v>0</v>
      </c>
      <c r="AA423" s="341" t="str">
        <f>'ALL ML SYSTEMS'!AA423</f>
        <v/>
      </c>
      <c r="AB423" s="325">
        <f>'ALL ML SYSTEMS'!AB423</f>
        <v>0</v>
      </c>
      <c r="AC423" s="325">
        <f>'ALL ML SYSTEMS'!AC423</f>
        <v>0</v>
      </c>
      <c r="AD423" s="325" t="str">
        <f>'ALL ML SYSTEMS'!AD423</f>
        <v>Academia</v>
      </c>
    </row>
    <row r="424" hidden="1" customHeight="1" spans="1:30">
      <c r="A424" s="323" t="str">
        <f>'ALL ML SYSTEMS'!A424</f>
        <v>Semantic Taxonomy Induction</v>
      </c>
      <c r="B424" s="323" t="str">
        <f>'ALL ML SYSTEMS'!B424</f>
        <v>Language</v>
      </c>
      <c r="C424" s="323">
        <f>'ALL ML SYSTEMS'!C424</f>
        <v>0</v>
      </c>
      <c r="D424" s="323" t="str">
        <f>'ALL ML SYSTEMS'!D424</f>
        <v>Stanford University</v>
      </c>
      <c r="E424" s="323" t="str">
        <f>'ALL ML SYSTEMS'!E424</f>
        <v>Academia</v>
      </c>
      <c r="F424" s="323" t="str">
        <f>'ALL ML SYSTEMS'!F424</f>
        <v>Rion Snow, Dan Jurafsky, and Andrew Y. Ng</v>
      </c>
      <c r="G424" s="324">
        <f>'ALL ML SYSTEMS'!G424</f>
        <v>38905</v>
      </c>
      <c r="H424" s="329">
        <f>'ALL ML SYSTEMS'!H424</f>
        <v>8905</v>
      </c>
      <c r="I424" s="323" t="str">
        <f>'ALL ML SYSTEMS'!I424</f>
        <v>Semantic Taxonomy Induction from Heterogenous Evidence</v>
      </c>
      <c r="J424" s="334" t="str">
        <f>'ALL ML SYSTEMS'!J424</f>
        <v>https://www.aclweb.org/anthology/P06-1101/</v>
      </c>
      <c r="K424" s="335">
        <f>'ALL ML SYSTEMS'!K424</f>
        <v>571</v>
      </c>
      <c r="L424" s="323">
        <f>'ALL ML SYSTEMS'!L424</f>
        <v>0</v>
      </c>
      <c r="M424" s="335" t="str">
        <f>'ALL ML SYSTEMS'!M424</f>
        <v>No</v>
      </c>
      <c r="N424" s="335">
        <f>'ALL ML SYSTEMS'!N424</f>
        <v>100</v>
      </c>
      <c r="O424" s="335">
        <f>'ALL ML SYSTEMS'!O424</f>
        <v>0</v>
      </c>
      <c r="P424" s="336">
        <f>'ALL ML SYSTEMS'!P424</f>
        <v>0</v>
      </c>
      <c r="Q424" s="335">
        <f>'ALL ML SYSTEMS'!Q424</f>
        <v>850750</v>
      </c>
      <c r="R424" s="323">
        <f>'ALL ML SYSTEMS'!R424</f>
        <v>0</v>
      </c>
      <c r="S424" s="335">
        <f>'ALL ML SYSTEMS'!S424</f>
        <v>0</v>
      </c>
      <c r="T424" s="323">
        <f>'ALL ML SYSTEMS'!T424</f>
        <v>0</v>
      </c>
      <c r="U424" s="323">
        <f>'ALL ML SYSTEMS'!U424</f>
        <v>0</v>
      </c>
      <c r="V424" s="323">
        <f>'ALL ML SYSTEMS'!V424</f>
        <v>0</v>
      </c>
      <c r="W424" s="323">
        <f>'ALL ML SYSTEMS'!W424</f>
        <v>0</v>
      </c>
      <c r="X424" s="323">
        <f>'ALL ML SYSTEMS'!X424</f>
        <v>0</v>
      </c>
      <c r="Y424" s="323">
        <f>'ALL ML SYSTEMS'!Y424</f>
        <v>0</v>
      </c>
      <c r="Z424" s="323">
        <f>'ALL ML SYSTEMS'!Z424</f>
        <v>0</v>
      </c>
      <c r="AA424" s="340" t="str">
        <f>'ALL ML SYSTEMS'!AA424</f>
        <v/>
      </c>
      <c r="AB424" s="323"/>
      <c r="AC424" s="323">
        <f>'ALL ML SYSTEMS'!AB424</f>
        <v>0</v>
      </c>
      <c r="AD424" s="323" t="str">
        <f>'ALL ML SYSTEMS'!AC424</f>
        <v>Mix of statistical and symbolic NLP</v>
      </c>
    </row>
    <row r="425" customHeight="1" spans="1:30">
      <c r="A425" s="325" t="str">
        <f>'ALL ML SYSTEMS'!A425</f>
        <v>DImensionality Reduction</v>
      </c>
      <c r="B425" s="325" t="str">
        <f>'ALL ML SYSTEMS'!B425</f>
        <v>Vision</v>
      </c>
      <c r="C425" s="325" t="str">
        <f>'ALL ML SYSTEMS'!C425</f>
        <v>Face recognition</v>
      </c>
      <c r="D425" s="325" t="str">
        <f>'ALL ML SYSTEMS'!D425</f>
        <v>University of Toronto</v>
      </c>
      <c r="E425" s="325" t="str">
        <f>'ALL ML SYSTEMS'!E425</f>
        <v>Academia</v>
      </c>
      <c r="F425" s="325" t="str">
        <f>'ALL ML SYSTEMS'!F425</f>
        <v>GE Hinton, RR Salakhutdinov</v>
      </c>
      <c r="G425" s="326">
        <f>'ALL ML SYSTEMS'!G425</f>
        <v>38916</v>
      </c>
      <c r="H425" s="327">
        <f>'ALL ML SYSTEMS'!H425</f>
        <v>8916</v>
      </c>
      <c r="I425" s="325" t="str">
        <f>'ALL ML SYSTEMS'!I425</f>
        <v>Reducing the dimensionality of data with neural networks.</v>
      </c>
      <c r="J425" s="337" t="str">
        <f>'ALL ML SYSTEMS'!J425</f>
        <v>https://www.cs.toronto.edu/~hinton/science.pdf</v>
      </c>
      <c r="K425" s="338">
        <f>'ALL ML SYSTEMS'!K425</f>
        <v>15697</v>
      </c>
      <c r="L425" s="325" t="str">
        <f>'ALL ML SYSTEMS'!L425</f>
        <v>Highly cited</v>
      </c>
      <c r="M425" s="338" t="str">
        <f>'ALL ML SYSTEMS'!M425</f>
        <v>Yes</v>
      </c>
      <c r="N425" s="338">
        <f>'ALL ML SYSTEMS'!N425</f>
        <v>3800000</v>
      </c>
      <c r="O425" s="338">
        <f>'ALL ML SYSTEMS'!O425</f>
        <v>0</v>
      </c>
      <c r="P425" s="339">
        <f>'ALL ML SYSTEMS'!P425</f>
        <v>0</v>
      </c>
      <c r="Q425" s="338">
        <f>'ALL ML SYSTEMS'!Q425</f>
        <v>70000</v>
      </c>
      <c r="R425" s="325">
        <f>'ALL ML SYSTEMS'!R425</f>
        <v>0</v>
      </c>
      <c r="S425" s="338">
        <f>'ALL ML SYSTEMS'!S425</f>
        <v>0</v>
      </c>
      <c r="T425" s="325">
        <f>'ALL ML SYSTEMS'!T425</f>
        <v>0</v>
      </c>
      <c r="U425" s="325">
        <f>'ALL ML SYSTEMS'!U425</f>
        <v>0</v>
      </c>
      <c r="V425" s="325">
        <f>'ALL ML SYSTEMS'!V425</f>
        <v>0</v>
      </c>
      <c r="W425" s="325">
        <f>'ALL ML SYSTEMS'!W425</f>
        <v>0</v>
      </c>
      <c r="X425" s="325">
        <f>'ALL ML SYSTEMS'!X425</f>
        <v>0</v>
      </c>
      <c r="Y425" s="325">
        <f>'ALL ML SYSTEMS'!Y425</f>
        <v>0</v>
      </c>
      <c r="Z425" s="325">
        <f>'ALL ML SYSTEMS'!Z425</f>
        <v>0</v>
      </c>
      <c r="AA425" s="341" t="str">
        <f>'ALL ML SYSTEMS'!AA425</f>
        <v/>
      </c>
      <c r="AB425" s="325">
        <f>'ALL ML SYSTEMS'!AB425</f>
        <v>0</v>
      </c>
      <c r="AC425" s="325">
        <f>'ALL ML SYSTEMS'!AC425</f>
        <v>0</v>
      </c>
      <c r="AD425" s="325" t="str">
        <f>'ALL ML SYSTEMS'!AD425</f>
        <v>Academia</v>
      </c>
    </row>
    <row r="426" customHeight="1" spans="1:30">
      <c r="A426" s="323" t="str">
        <f>'ALL ML SYSTEMS'!A426</f>
        <v>Deep Belief Nets</v>
      </c>
      <c r="B426" s="323" t="str">
        <f>'ALL ML SYSTEMS'!B426</f>
        <v>Vision</v>
      </c>
      <c r="C426" s="323" t="str">
        <f>'ALL ML SYSTEMS'!C426</f>
        <v>Character recognition</v>
      </c>
      <c r="D426" s="323" t="str">
        <f>'ALL ML SYSTEMS'!D426</f>
        <v>University of Toronto, NUS</v>
      </c>
      <c r="E426" s="323" t="str">
        <f>'ALL ML SYSTEMS'!E426</f>
        <v>Academia</v>
      </c>
      <c r="F426" s="323" t="str">
        <f>'ALL ML SYSTEMS'!F426</f>
        <v>GE Hinton, S Osindero, YW Teh</v>
      </c>
      <c r="G426" s="324">
        <f>'ALL ML SYSTEMS'!G426</f>
        <v>38916</v>
      </c>
      <c r="H426" s="329">
        <f>'ALL ML SYSTEMS'!H426</f>
        <v>8916</v>
      </c>
      <c r="I426" s="323" t="str">
        <f>'ALL ML SYSTEMS'!I426</f>
        <v>A fast learning algorithm for deep belief nets</v>
      </c>
      <c r="J426" s="334" t="str">
        <f>'ALL ML SYSTEMS'!J426</f>
        <v>https://www.cs.toronto.edu/~hinton/absps/fastnc.pdf</v>
      </c>
      <c r="K426" s="335">
        <f>'ALL ML SYSTEMS'!K426</f>
        <v>16071</v>
      </c>
      <c r="L426" s="323" t="str">
        <f>'ALL ML SYSTEMS'!L426</f>
        <v>Highly cited</v>
      </c>
      <c r="M426" s="335" t="str">
        <f>'ALL ML SYSTEMS'!M426</f>
        <v>Yes</v>
      </c>
      <c r="N426" s="335">
        <f>'ALL ML SYSTEMS'!N426</f>
        <v>1600000</v>
      </c>
      <c r="O426" s="335">
        <f>'ALL ML SYSTEMS'!O426</f>
        <v>0</v>
      </c>
      <c r="P426" s="336" t="str">
        <f>'ALL ML SYSTEMS'!P426</f>
        <v>MNIST</v>
      </c>
      <c r="Q426" s="335">
        <f>'ALL ML SYSTEMS'!Q426</f>
        <v>60000</v>
      </c>
      <c r="R426" s="323">
        <f>'ALL ML SYSTEMS'!R426</f>
        <v>0</v>
      </c>
      <c r="S426" s="335">
        <f>'ALL ML SYSTEMS'!S426</f>
        <v>0</v>
      </c>
      <c r="T426" s="323">
        <f>'ALL ML SYSTEMS'!T426</f>
        <v>0</v>
      </c>
      <c r="U426" s="323">
        <f>'ALL ML SYSTEMS'!U426</f>
        <v>0</v>
      </c>
      <c r="V426" s="323">
        <f>'ALL ML SYSTEMS'!V426</f>
        <v>0</v>
      </c>
      <c r="W426" s="323">
        <f>'ALL ML SYSTEMS'!W426</f>
        <v>0</v>
      </c>
      <c r="X426" s="323">
        <f>'ALL ML SYSTEMS'!X426</f>
        <v>0</v>
      </c>
      <c r="Y426" s="323">
        <f>'ALL ML SYSTEMS'!Y426</f>
        <v>0</v>
      </c>
      <c r="Z426" s="323">
        <f>'ALL ML SYSTEMS'!Z426</f>
        <v>0</v>
      </c>
      <c r="AA426" s="340" t="str">
        <f>'ALL ML SYSTEMS'!AA426</f>
        <v/>
      </c>
      <c r="AB426" s="323">
        <f>'ALL ML SYSTEMS'!AB426</f>
        <v>0</v>
      </c>
      <c r="AC426" s="323">
        <f>'ALL ML SYSTEMS'!AC426</f>
        <v>0</v>
      </c>
      <c r="AD426" s="323" t="str">
        <f>'ALL ML SYSTEMS'!AD426</f>
        <v>Academia</v>
      </c>
    </row>
    <row r="427" customHeight="1" spans="1:30">
      <c r="A427" s="325">
        <f>'ALL ML SYSTEMS'!A427</f>
        <v>0</v>
      </c>
      <c r="B427" s="325">
        <f>'ALL ML SYSTEMS'!B427</f>
        <v>0</v>
      </c>
      <c r="C427" s="325">
        <f>'ALL ML SYSTEMS'!C427</f>
        <v>0</v>
      </c>
      <c r="D427" s="325" t="str">
        <f>'ALL ML SYSTEMS'!D427</f>
        <v>Machine Vision group, Finland</v>
      </c>
      <c r="E427" s="325" t="str">
        <f>'ALL ML SYSTEMS'!E427</f>
        <v>Academia</v>
      </c>
      <c r="F427" s="325" t="str">
        <f>'ALL ML SYSTEMS'!F427</f>
        <v>Timo Ahonen, Abdenour Hadid, and Matti Pietikainen</v>
      </c>
      <c r="G427" s="326">
        <f>'ALL ML SYSTEMS'!G427</f>
        <v>39052</v>
      </c>
      <c r="H427" s="327">
        <f>'ALL ML SYSTEMS'!H427</f>
        <v>2006</v>
      </c>
      <c r="I427" s="325" t="str">
        <f>'ALL ML SYSTEMS'!I427</f>
        <v>Face Description with Local Binary Patterns: Application to Face Recognition</v>
      </c>
      <c r="J427" s="337" t="str">
        <f>'ALL ML SYSTEMS'!J427</f>
        <v>http://citeseerx.ist.psu.edu/viewdoc/download?doi=10.1.1.456.1094&amp;rep=rep1&amp;type=pdf</v>
      </c>
      <c r="K427" s="338">
        <f>'ALL ML SYSTEMS'!K427</f>
        <v>3111</v>
      </c>
      <c r="L427" s="325" t="str">
        <f>'ALL ML SYSTEMS'!L427</f>
        <v>Highly cited</v>
      </c>
      <c r="M427" s="338" t="str">
        <f>'ALL ML SYSTEMS'!M427</f>
        <v>Yes</v>
      </c>
      <c r="N427" s="338">
        <f>'ALL ML SYSTEMS'!N427</f>
        <v>0</v>
      </c>
      <c r="O427" s="338">
        <f>'ALL ML SYSTEMS'!O427</f>
        <v>0</v>
      </c>
      <c r="P427" s="339">
        <f>'ALL ML SYSTEMS'!P427</f>
        <v>0</v>
      </c>
      <c r="Q427" s="338">
        <f>'ALL ML SYSTEMS'!Q427</f>
        <v>0</v>
      </c>
      <c r="R427" s="325">
        <f>'ALL ML SYSTEMS'!R427</f>
        <v>0</v>
      </c>
      <c r="S427" s="338">
        <f>'ALL ML SYSTEMS'!S427</f>
        <v>0</v>
      </c>
      <c r="T427" s="325">
        <f>'ALL ML SYSTEMS'!T427</f>
        <v>0</v>
      </c>
      <c r="U427" s="325">
        <f>'ALL ML SYSTEMS'!U427</f>
        <v>0</v>
      </c>
      <c r="V427" s="325">
        <f>'ALL ML SYSTEMS'!V427</f>
        <v>0</v>
      </c>
      <c r="W427" s="325">
        <f>'ALL ML SYSTEMS'!W427</f>
        <v>0</v>
      </c>
      <c r="X427" s="325">
        <f>'ALL ML SYSTEMS'!X427</f>
        <v>0</v>
      </c>
      <c r="Y427" s="325">
        <f>'ALL ML SYSTEMS'!Y427</f>
        <v>0</v>
      </c>
      <c r="Z427" s="325">
        <f>'ALL ML SYSTEMS'!Z427</f>
        <v>0</v>
      </c>
      <c r="AA427" s="341" t="str">
        <f>'ALL ML SYSTEMS'!AA427</f>
        <v/>
      </c>
      <c r="AB427" s="325">
        <f>'ALL ML SYSTEMS'!AB427</f>
        <v>0</v>
      </c>
      <c r="AC427" s="325">
        <f>'ALL ML SYSTEMS'!AC427</f>
        <v>0</v>
      </c>
      <c r="AD427" s="325" t="str">
        <f>'ALL ML SYSTEMS'!AD427</f>
        <v>Academia</v>
      </c>
    </row>
    <row r="428" customHeight="1" spans="1:30">
      <c r="A428" s="323">
        <f>'ALL ML SYSTEMS'!A428</f>
        <v>0</v>
      </c>
      <c r="B428" s="323" t="str">
        <f>'ALL ML SYSTEMS'!B428</f>
        <v>Vision</v>
      </c>
      <c r="C428" s="323">
        <f>'ALL ML SYSTEMS'!C428</f>
        <v>0</v>
      </c>
      <c r="D428" s="323" t="str">
        <f>'ALL ML SYSTEMS'!D428</f>
        <v>NYU</v>
      </c>
      <c r="E428" s="323" t="str">
        <f>'ALL ML SYSTEMS'!E428</f>
        <v>Academia</v>
      </c>
      <c r="F428" s="323" t="str">
        <f>'ALL ML SYSTEMS'!F428</f>
        <v>M Ranzato, C Poultney, S Chopra, Y Cun</v>
      </c>
      <c r="G428" s="324">
        <f>'ALL ML SYSTEMS'!G428</f>
        <v>39055</v>
      </c>
      <c r="H428" s="329">
        <f>'ALL ML SYSTEMS'!H428</f>
        <v>9055</v>
      </c>
      <c r="I428" s="323" t="str">
        <f>'ALL ML SYSTEMS'!I428</f>
        <v>Efficient Learning of Sparse Representations with an Energy-Based Model.</v>
      </c>
      <c r="J428" s="334" t="str">
        <f>'ALL ML SYSTEMS'!J428</f>
        <v>https://papers.nips.cc/paper/2006/hash/87f4d79e36d68c3031ccf6c55e9bbd39-Abstract.html</v>
      </c>
      <c r="K428" s="335">
        <f>'ALL ML SYSTEMS'!K428</f>
        <v>1601</v>
      </c>
      <c r="L428" s="323" t="str">
        <f>'ALL ML SYSTEMS'!L428</f>
        <v>Highly cited</v>
      </c>
      <c r="M428" s="335" t="str">
        <f>'ALL ML SYSTEMS'!M428</f>
        <v>Yes</v>
      </c>
      <c r="N428" s="335">
        <f>'ALL ML SYSTEMS'!N428</f>
        <v>0</v>
      </c>
      <c r="O428" s="335">
        <f>'ALL ML SYSTEMS'!O428</f>
        <v>0</v>
      </c>
      <c r="P428" s="336" t="str">
        <f>'ALL ML SYSTEMS'!P428</f>
        <v>MNIST</v>
      </c>
      <c r="Q428" s="335">
        <f>'ALL ML SYSTEMS'!Q428</f>
        <v>60000</v>
      </c>
      <c r="R428" s="323">
        <f>'ALL ML SYSTEMS'!R428</f>
        <v>0</v>
      </c>
      <c r="S428" s="335">
        <f>'ALL ML SYSTEMS'!S428</f>
        <v>0</v>
      </c>
      <c r="T428" s="323">
        <f>'ALL ML SYSTEMS'!T428</f>
        <v>0</v>
      </c>
      <c r="U428" s="323">
        <f>'ALL ML SYSTEMS'!U428</f>
        <v>0</v>
      </c>
      <c r="V428" s="323">
        <f>'ALL ML SYSTEMS'!V428</f>
        <v>0</v>
      </c>
      <c r="W428" s="323">
        <f>'ALL ML SYSTEMS'!W428</f>
        <v>0</v>
      </c>
      <c r="X428" s="323">
        <f>'ALL ML SYSTEMS'!X428</f>
        <v>0</v>
      </c>
      <c r="Y428" s="323">
        <f>'ALL ML SYSTEMS'!Y428</f>
        <v>0</v>
      </c>
      <c r="Z428" s="323">
        <f>'ALL ML SYSTEMS'!Z428</f>
        <v>0</v>
      </c>
      <c r="AA428" s="340" t="str">
        <f>'ALL ML SYSTEMS'!AA428</f>
        <v/>
      </c>
      <c r="AB428" s="323">
        <f>'ALL ML SYSTEMS'!AB428</f>
        <v>0</v>
      </c>
      <c r="AC428" s="323">
        <f>'ALL ML SYSTEMS'!AC428</f>
        <v>0</v>
      </c>
      <c r="AD428" s="323" t="str">
        <f>'ALL ML SYSTEMS'!AD428</f>
        <v>Academia</v>
      </c>
    </row>
    <row r="429" customHeight="1" spans="1:30">
      <c r="A429" s="325">
        <f>'ALL ML SYSTEMS'!A429</f>
        <v>0</v>
      </c>
      <c r="B429" s="325">
        <f>'ALL ML SYSTEMS'!B429</f>
        <v>0</v>
      </c>
      <c r="C429" s="325">
        <f>'ALL ML SYSTEMS'!C429</f>
        <v>0</v>
      </c>
      <c r="D429" s="325" t="str">
        <f>'ALL ML SYSTEMS'!D429</f>
        <v>University of Montreal</v>
      </c>
      <c r="E429" s="325" t="str">
        <f>'ALL ML SYSTEMS'!E429</f>
        <v>Academia</v>
      </c>
      <c r="F429" s="325" t="str">
        <f>'ALL ML SYSTEMS'!F429</f>
        <v>Y Bengio, P Lamblin, D Popovici</v>
      </c>
      <c r="G429" s="326">
        <f>'ALL ML SYSTEMS'!G429</f>
        <v>39055</v>
      </c>
      <c r="H429" s="327">
        <f>'ALL ML SYSTEMS'!H429</f>
        <v>9055</v>
      </c>
      <c r="I429" s="325" t="str">
        <f>'ALL ML SYSTEMS'!I429</f>
        <v>Greedy layer-wise training of deep networks</v>
      </c>
      <c r="J429" s="337" t="str">
        <f>'ALL ML SYSTEMS'!J429</f>
        <v>https://dl.acm.org/doi/10.5555/2976456.2976476</v>
      </c>
      <c r="K429" s="338">
        <f>'ALL ML SYSTEMS'!K429</f>
        <v>5605</v>
      </c>
      <c r="L429" s="325" t="str">
        <f>'ALL ML SYSTEMS'!L429</f>
        <v>Highly cited</v>
      </c>
      <c r="M429" s="338" t="str">
        <f>'ALL ML SYSTEMS'!M429</f>
        <v>Yes</v>
      </c>
      <c r="N429" s="338">
        <f>'ALL ML SYSTEMS'!N429</f>
        <v>0</v>
      </c>
      <c r="O429" s="338">
        <f>'ALL ML SYSTEMS'!O429</f>
        <v>0</v>
      </c>
      <c r="P429" s="339">
        <f>'ALL ML SYSTEMS'!P429</f>
        <v>0</v>
      </c>
      <c r="Q429" s="338">
        <f>'ALL ML SYSTEMS'!Q429</f>
        <v>0</v>
      </c>
      <c r="R429" s="325">
        <f>'ALL ML SYSTEMS'!R429</f>
        <v>0</v>
      </c>
      <c r="S429" s="338">
        <f>'ALL ML SYSTEMS'!S429</f>
        <v>0</v>
      </c>
      <c r="T429" s="325">
        <f>'ALL ML SYSTEMS'!T429</f>
        <v>0</v>
      </c>
      <c r="U429" s="325">
        <f>'ALL ML SYSTEMS'!U429</f>
        <v>0</v>
      </c>
      <c r="V429" s="325">
        <f>'ALL ML SYSTEMS'!V429</f>
        <v>0</v>
      </c>
      <c r="W429" s="325">
        <f>'ALL ML SYSTEMS'!W429</f>
        <v>0</v>
      </c>
      <c r="X429" s="325">
        <f>'ALL ML SYSTEMS'!X429</f>
        <v>0</v>
      </c>
      <c r="Y429" s="325">
        <f>'ALL ML SYSTEMS'!Y429</f>
        <v>0</v>
      </c>
      <c r="Z429" s="325">
        <f>'ALL ML SYSTEMS'!Z429</f>
        <v>0</v>
      </c>
      <c r="AA429" s="341" t="str">
        <f>'ALL ML SYSTEMS'!AA429</f>
        <v/>
      </c>
      <c r="AB429" s="325">
        <f>'ALL ML SYSTEMS'!AB429</f>
        <v>0</v>
      </c>
      <c r="AC429" s="325">
        <f>'ALL ML SYSTEMS'!AC429</f>
        <v>0</v>
      </c>
      <c r="AD429" s="325" t="str">
        <f>'ALL ML SYSTEMS'!AD429</f>
        <v>Academia</v>
      </c>
    </row>
    <row r="430" customHeight="1" spans="1:30">
      <c r="A430" s="323" t="str">
        <f>'ALL ML SYSTEMS'!A430</f>
        <v>BiLSTM for Speech</v>
      </c>
      <c r="B430" s="323" t="str">
        <f>'ALL ML SYSTEMS'!B430</f>
        <v>Speech</v>
      </c>
      <c r="C430" s="323" t="str">
        <f>'ALL ML SYSTEMS'!C430</f>
        <v>Speech recognition</v>
      </c>
      <c r="D430" s="323" t="str">
        <f>'ALL ML SYSTEMS'!D430</f>
        <v>IDSIA and TU Munich</v>
      </c>
      <c r="E430" s="323" t="str">
        <f>'ALL ML SYSTEMS'!E430</f>
        <v>Academia</v>
      </c>
      <c r="F430" s="323" t="str">
        <f>'ALL ML SYSTEMS'!F430</f>
        <v>A Graves, J Schmidhuber</v>
      </c>
      <c r="G430" s="324">
        <f>'ALL ML SYSTEMS'!G430</f>
        <v>38565</v>
      </c>
      <c r="H430" s="329">
        <f>'ALL ML SYSTEMS'!H430</f>
        <v>8565</v>
      </c>
      <c r="I430" s="323" t="str">
        <f>'ALL ML SYSTEMS'!I430</f>
        <v>Framewise phoneme classification with bidirectional LSTM and other neural network architectures</v>
      </c>
      <c r="J430" s="334" t="str">
        <f>'ALL ML SYSTEMS'!J430</f>
        <v>https://www.sciencedirect.com/science/article/abs/pii/S0893608005001206</v>
      </c>
      <c r="K430" s="335">
        <f>'ALL ML SYSTEMS'!K430</f>
        <v>3386</v>
      </c>
      <c r="L430" s="323" t="str">
        <f>'ALL ML SYSTEMS'!L430</f>
        <v>Highly cited</v>
      </c>
      <c r="M430" s="335" t="str">
        <f>'ALL ML SYSTEMS'!M430</f>
        <v>Yes</v>
      </c>
      <c r="N430" s="335">
        <f>'ALL ML SYSTEMS'!N430</f>
        <v>152061</v>
      </c>
      <c r="O430" s="335">
        <f>'ALL ML SYSTEMS'!O430</f>
        <v>24124575958774.9</v>
      </c>
      <c r="P430" s="336" t="str">
        <f>'ALL ML SYSTEMS'!P430</f>
        <v>TIMIT</v>
      </c>
      <c r="Q430" s="335">
        <f>'ALL ML SYSTEMS'!Q430</f>
        <v>41620</v>
      </c>
      <c r="R430" s="323">
        <f>'ALL ML SYSTEMS'!R430</f>
        <v>0</v>
      </c>
      <c r="S430" s="335">
        <f>'ALL ML SYSTEMS'!S430</f>
        <v>0</v>
      </c>
      <c r="T430" s="323">
        <f>'ALL ML SYSTEMS'!T430</f>
        <v>0</v>
      </c>
      <c r="U430" s="323">
        <f>'ALL ML SYSTEMS'!U430</f>
        <v>0</v>
      </c>
      <c r="V430" s="323">
        <f>'ALL ML SYSTEMS'!V430</f>
        <v>0</v>
      </c>
      <c r="W430" s="323">
        <f>'ALL ML SYSTEMS'!W430</f>
        <v>0</v>
      </c>
      <c r="X430" s="323">
        <f>'ALL ML SYSTEMS'!X430</f>
        <v>0</v>
      </c>
      <c r="Y430" s="323">
        <f>'ALL ML SYSTEMS'!Y430</f>
        <v>0</v>
      </c>
      <c r="Z430" s="323">
        <f>'ALL ML SYSTEMS'!Z430</f>
        <v>0</v>
      </c>
      <c r="AA430" s="340" t="str">
        <f>'ALL ML SYSTEMS'!AA430</f>
        <v/>
      </c>
      <c r="AB430" s="323">
        <f>'ALL ML SYSTEMS'!AB430</f>
        <v>0</v>
      </c>
      <c r="AC430" s="323">
        <f>'ALL ML SYSTEMS'!AC430</f>
        <v>0</v>
      </c>
      <c r="AD430" s="323" t="str">
        <f>'ALL ML SYSTEMS'!AD430</f>
        <v>Academia</v>
      </c>
    </row>
    <row r="431" customHeight="1" spans="1:30">
      <c r="A431" s="325" t="str">
        <f>'ALL ML SYSTEMS'!A431</f>
        <v>SACHS</v>
      </c>
      <c r="B431" s="325" t="str">
        <f>'ALL ML SYSTEMS'!B431</f>
        <v>Other</v>
      </c>
      <c r="C431" s="325">
        <f>'ALL ML SYSTEMS'!C431</f>
        <v>0</v>
      </c>
      <c r="D431" s="325" t="str">
        <f>'ALL ML SYSTEMS'!D431</f>
        <v>MIT and Stanford</v>
      </c>
      <c r="E431" s="325" t="str">
        <f>'ALL ML SYSTEMS'!E431</f>
        <v>Academia</v>
      </c>
      <c r="F431" s="325" t="str">
        <f>'ALL ML SYSTEMS'!F431</f>
        <v>K. Sachs, O. Perez, D. Pe'er, D. A. Lauffenburger and G. P. Nolan</v>
      </c>
      <c r="G431" s="326">
        <f>'ALL ML SYSTEMS'!G431</f>
        <v>38464</v>
      </c>
      <c r="H431" s="327">
        <f>'ALL ML SYSTEMS'!H431</f>
        <v>8464</v>
      </c>
      <c r="I431" s="325" t="str">
        <f>'ALL ML SYSTEMS'!I431</f>
        <v>Causal Protein-Signaling Networks Derived from Multiparameter Single-Cell Data.</v>
      </c>
      <c r="J431" s="337" t="str">
        <f>'ALL ML SYSTEMS'!J431</f>
        <v>https://science.sciencemag.org/content/308/5721/523.long</v>
      </c>
      <c r="K431" s="338">
        <f>'ALL ML SYSTEMS'!K431</f>
        <v>1682</v>
      </c>
      <c r="L431" s="325" t="str">
        <f>'ALL ML SYSTEMS'!L431</f>
        <v>Highly cited</v>
      </c>
      <c r="M431" s="338" t="str">
        <f>'ALL ML SYSTEMS'!M431</f>
        <v>Yes</v>
      </c>
      <c r="N431" s="338">
        <f>'ALL ML SYSTEMS'!N431</f>
        <v>178</v>
      </c>
      <c r="O431" s="338">
        <f>'ALL ML SYSTEMS'!O431</f>
        <v>0</v>
      </c>
      <c r="P431" s="339">
        <f>'ALL ML SYSTEMS'!P431</f>
        <v>0</v>
      </c>
      <c r="Q431" s="338">
        <f>'ALL ML SYSTEMS'!Q431</f>
        <v>5400</v>
      </c>
      <c r="R431" s="325">
        <f>'ALL ML SYSTEMS'!R431</f>
        <v>0</v>
      </c>
      <c r="S431" s="338">
        <f>'ALL ML SYSTEMS'!S431</f>
        <v>0</v>
      </c>
      <c r="T431" s="325">
        <f>'ALL ML SYSTEMS'!T431</f>
        <v>0</v>
      </c>
      <c r="U431" s="325">
        <f>'ALL ML SYSTEMS'!U431</f>
        <v>0</v>
      </c>
      <c r="V431" s="325">
        <f>'ALL ML SYSTEMS'!V431</f>
        <v>0</v>
      </c>
      <c r="W431" s="325">
        <f>'ALL ML SYSTEMS'!W431</f>
        <v>0</v>
      </c>
      <c r="X431" s="325">
        <f>'ALL ML SYSTEMS'!X431</f>
        <v>0</v>
      </c>
      <c r="Y431" s="325">
        <f>'ALL ML SYSTEMS'!Y431</f>
        <v>0</v>
      </c>
      <c r="Z431" s="325">
        <f>'ALL ML SYSTEMS'!Z431</f>
        <v>0</v>
      </c>
      <c r="AA431" s="341" t="str">
        <f>'ALL ML SYSTEMS'!AA431</f>
        <v/>
      </c>
      <c r="AB431" s="325">
        <f>'ALL ML SYSTEMS'!AB431</f>
        <v>0</v>
      </c>
      <c r="AC431" s="325">
        <f>'ALL ML SYSTEMS'!AC431</f>
        <v>0</v>
      </c>
      <c r="AD431" s="325" t="str">
        <f>'ALL ML SYSTEMS'!AD431</f>
        <v>Academia</v>
      </c>
    </row>
    <row r="432" customHeight="1" spans="1:30">
      <c r="A432" s="323" t="str">
        <f>'ALL ML SYSTEMS'!A432</f>
        <v>Hiero</v>
      </c>
      <c r="B432" s="323" t="str">
        <f>'ALL ML SYSTEMS'!B432</f>
        <v>Language</v>
      </c>
      <c r="C432" s="323" t="str">
        <f>'ALL ML SYSTEMS'!C432</f>
        <v>Translation</v>
      </c>
      <c r="D432" s="323" t="str">
        <f>'ALL ML SYSTEMS'!D432</f>
        <v>University of Maryland, College Park</v>
      </c>
      <c r="E432" s="323" t="str">
        <f>'ALL ML SYSTEMS'!E432</f>
        <v>Academia</v>
      </c>
      <c r="F432" s="323" t="str">
        <f>'ALL ML SYSTEMS'!F432</f>
        <v>David Chiang</v>
      </c>
      <c r="G432" s="324">
        <f>'ALL ML SYSTEMS'!G432</f>
        <v>38504</v>
      </c>
      <c r="H432" s="329">
        <f>'ALL ML SYSTEMS'!H432</f>
        <v>8504</v>
      </c>
      <c r="I432" s="323" t="str">
        <f>'ALL ML SYSTEMS'!I432</f>
        <v>A Hierarchical Phrase-Based Model for Statistical Machine Translation</v>
      </c>
      <c r="J432" s="334" t="str">
        <f>'ALL ML SYSTEMS'!J432</f>
        <v>https://aclanthology.org/P05-1033/</v>
      </c>
      <c r="K432" s="335">
        <f>'ALL ML SYSTEMS'!K432</f>
        <v>1487</v>
      </c>
      <c r="L432" s="323" t="str">
        <f>'ALL ML SYSTEMS'!L432</f>
        <v>Highly cited</v>
      </c>
      <c r="M432" s="335" t="str">
        <f>'ALL ML SYSTEMS'!M432</f>
        <v>Yes</v>
      </c>
      <c r="N432" s="335">
        <f>'ALL ML SYSTEMS'!N432</f>
        <v>120000000</v>
      </c>
      <c r="O432" s="335">
        <f>'ALL ML SYSTEMS'!O432</f>
        <v>0</v>
      </c>
      <c r="P432" s="336">
        <f>'ALL ML SYSTEMS'!P432</f>
        <v>0</v>
      </c>
      <c r="Q432" s="335">
        <f>'ALL ML SYSTEMS'!Q432</f>
        <v>171400000</v>
      </c>
      <c r="R432" s="323">
        <f>'ALL ML SYSTEMS'!R432</f>
        <v>0</v>
      </c>
      <c r="S432" s="335">
        <f>'ALL ML SYSTEMS'!S432</f>
        <v>0</v>
      </c>
      <c r="T432" s="323">
        <f>'ALL ML SYSTEMS'!T432</f>
        <v>0</v>
      </c>
      <c r="U432" s="323">
        <f>'ALL ML SYSTEMS'!U432</f>
        <v>0</v>
      </c>
      <c r="V432" s="323">
        <f>'ALL ML SYSTEMS'!V432</f>
        <v>0</v>
      </c>
      <c r="W432" s="323">
        <f>'ALL ML SYSTEMS'!W432</f>
        <v>0</v>
      </c>
      <c r="X432" s="323">
        <f>'ALL ML SYSTEMS'!X432</f>
        <v>0</v>
      </c>
      <c r="Y432" s="323">
        <f>'ALL ML SYSTEMS'!Y432</f>
        <v>0</v>
      </c>
      <c r="Z432" s="323">
        <f>'ALL ML SYSTEMS'!Z432</f>
        <v>0</v>
      </c>
      <c r="AA432" s="340" t="str">
        <f>'ALL ML SYSTEMS'!AA432</f>
        <v/>
      </c>
      <c r="AB432" s="323">
        <f>'ALL ML SYSTEMS'!AB432</f>
        <v>0</v>
      </c>
      <c r="AC432" s="323" t="str">
        <f>'ALL ML SYSTEMS'!AC432</f>
        <v>Statistical Phrase-Based Model</v>
      </c>
      <c r="AD432" s="323" t="str">
        <f>'ALL ML SYSTEMS'!AD432</f>
        <v>Academia</v>
      </c>
    </row>
    <row r="433" customHeight="1" spans="1:30">
      <c r="A433" s="325">
        <f>'ALL ML SYSTEMS'!A433</f>
        <v>0</v>
      </c>
      <c r="B433" s="325">
        <f>'ALL ML SYSTEMS'!B433</f>
        <v>0</v>
      </c>
      <c r="C433" s="325">
        <f>'ALL ML SYSTEMS'!C433</f>
        <v>0</v>
      </c>
      <c r="D433" s="325" t="str">
        <f>'ALL ML SYSTEMS'!D433</f>
        <v>University of the Balearic Islands and CMLA</v>
      </c>
      <c r="E433" s="325" t="str">
        <f>'ALL ML SYSTEMS'!E433</f>
        <v>Academia</v>
      </c>
      <c r="F433" s="325" t="str">
        <f>'ALL ML SYSTEMS'!F433</f>
        <v>A Buades, B Coll, JM Morel</v>
      </c>
      <c r="G433" s="326">
        <f>'ALL ML SYSTEMS'!G433</f>
        <v>38523</v>
      </c>
      <c r="H433" s="327">
        <f>'ALL ML SYSTEMS'!H433</f>
        <v>8523</v>
      </c>
      <c r="I433" s="325" t="str">
        <f>'ALL ML SYSTEMS'!I433</f>
        <v>A non-local algorithm for image denoising</v>
      </c>
      <c r="J433" s="337" t="str">
        <f>'ALL ML SYSTEMS'!J433</f>
        <v>http://www.iro.umontreal.ca/~mignotte/IFT6150/Articles/Buades-NonLocal.pdf</v>
      </c>
      <c r="K433" s="338">
        <f>'ALL ML SYSTEMS'!K433</f>
        <v>6868</v>
      </c>
      <c r="L433" s="325" t="str">
        <f>'ALL ML SYSTEMS'!L433</f>
        <v>Highly cited</v>
      </c>
      <c r="M433" s="338" t="str">
        <f>'ALL ML SYSTEMS'!M433</f>
        <v>Yes</v>
      </c>
      <c r="N433" s="338">
        <f>'ALL ML SYSTEMS'!N433</f>
        <v>0</v>
      </c>
      <c r="O433" s="338">
        <f>'ALL ML SYSTEMS'!O433</f>
        <v>0</v>
      </c>
      <c r="P433" s="339">
        <f>'ALL ML SYSTEMS'!P433</f>
        <v>0</v>
      </c>
      <c r="Q433" s="338">
        <f>'ALL ML SYSTEMS'!Q433</f>
        <v>0</v>
      </c>
      <c r="R433" s="325">
        <f>'ALL ML SYSTEMS'!R433</f>
        <v>0</v>
      </c>
      <c r="S433" s="338">
        <f>'ALL ML SYSTEMS'!S433</f>
        <v>0</v>
      </c>
      <c r="T433" s="325">
        <f>'ALL ML SYSTEMS'!T433</f>
        <v>0</v>
      </c>
      <c r="U433" s="325">
        <f>'ALL ML SYSTEMS'!U433</f>
        <v>0</v>
      </c>
      <c r="V433" s="325">
        <f>'ALL ML SYSTEMS'!V433</f>
        <v>0</v>
      </c>
      <c r="W433" s="325">
        <f>'ALL ML SYSTEMS'!W433</f>
        <v>0</v>
      </c>
      <c r="X433" s="325">
        <f>'ALL ML SYSTEMS'!X433</f>
        <v>0</v>
      </c>
      <c r="Y433" s="325">
        <f>'ALL ML SYSTEMS'!Y433</f>
        <v>0</v>
      </c>
      <c r="Z433" s="325">
        <f>'ALL ML SYSTEMS'!Z433</f>
        <v>0</v>
      </c>
      <c r="AA433" s="341" t="str">
        <f>'ALL ML SYSTEMS'!AA433</f>
        <v/>
      </c>
      <c r="AB433" s="325">
        <f>'ALL ML SYSTEMS'!AB433</f>
        <v>0</v>
      </c>
      <c r="AC433" s="325">
        <f>'ALL ML SYSTEMS'!AC433</f>
        <v>0</v>
      </c>
      <c r="AD433" s="325" t="str">
        <f>'ALL ML SYSTEMS'!AD433</f>
        <v>Academia</v>
      </c>
    </row>
    <row r="434" customHeight="1" spans="1:30">
      <c r="A434" s="323">
        <f>'ALL ML SYSTEMS'!A434</f>
        <v>0</v>
      </c>
      <c r="B434" s="323" t="str">
        <f>'ALL ML SYSTEMS'!B434</f>
        <v>Vision</v>
      </c>
      <c r="C434" s="323">
        <f>'ALL ML SYSTEMS'!C434</f>
        <v>0</v>
      </c>
      <c r="D434" s="323" t="str">
        <f>'ALL ML SYSTEMS'!D434</f>
        <v>New York University</v>
      </c>
      <c r="E434" s="323" t="str">
        <f>'ALL ML SYSTEMS'!E434</f>
        <v>Academia</v>
      </c>
      <c r="F434" s="323" t="str">
        <f>'ALL ML SYSTEMS'!F434</f>
        <v>S Chopra, R Hadsell, Y LeCun</v>
      </c>
      <c r="G434" s="324">
        <f>'ALL ML SYSTEMS'!G434</f>
        <v>38523</v>
      </c>
      <c r="H434" s="329">
        <f>'ALL ML SYSTEMS'!H434</f>
        <v>8523</v>
      </c>
      <c r="I434" s="323" t="str">
        <f>'ALL ML SYSTEMS'!I434</f>
        <v>Learning a similarity metric discriminatively, with application to face verification</v>
      </c>
      <c r="J434" s="334" t="str">
        <f>'ALL ML SYSTEMS'!J434</f>
        <v>https://ieeexplore.ieee.org/document/1467314</v>
      </c>
      <c r="K434" s="335">
        <f>'ALL ML SYSTEMS'!K434</f>
        <v>3054</v>
      </c>
      <c r="L434" s="323" t="str">
        <f>'ALL ML SYSTEMS'!L434</f>
        <v>Highly cited</v>
      </c>
      <c r="M434" s="335" t="str">
        <f>'ALL ML SYSTEMS'!M434</f>
        <v>Yes</v>
      </c>
      <c r="N434" s="335">
        <f>'ALL ML SYSTEMS'!N434</f>
        <v>0</v>
      </c>
      <c r="O434" s="335">
        <f>'ALL ML SYSTEMS'!O434</f>
        <v>0</v>
      </c>
      <c r="P434" s="336">
        <f>'ALL ML SYSTEMS'!P434</f>
        <v>0</v>
      </c>
      <c r="Q434" s="335">
        <f>'ALL ML SYSTEMS'!Q434</f>
        <v>140000</v>
      </c>
      <c r="R434" s="323">
        <f>'ALL ML SYSTEMS'!R434</f>
        <v>0</v>
      </c>
      <c r="S434" s="335">
        <f>'ALL ML SYSTEMS'!S434</f>
        <v>0</v>
      </c>
      <c r="T434" s="323">
        <f>'ALL ML SYSTEMS'!T434</f>
        <v>0</v>
      </c>
      <c r="U434" s="323">
        <f>'ALL ML SYSTEMS'!U434</f>
        <v>0</v>
      </c>
      <c r="V434" s="323">
        <f>'ALL ML SYSTEMS'!V434</f>
        <v>0</v>
      </c>
      <c r="W434" s="323">
        <f>'ALL ML SYSTEMS'!W434</f>
        <v>0</v>
      </c>
      <c r="X434" s="323">
        <f>'ALL ML SYSTEMS'!X434</f>
        <v>0</v>
      </c>
      <c r="Y434" s="323">
        <f>'ALL ML SYSTEMS'!Y434</f>
        <v>0</v>
      </c>
      <c r="Z434" s="323">
        <f>'ALL ML SYSTEMS'!Z434</f>
        <v>0</v>
      </c>
      <c r="AA434" s="340" t="str">
        <f>'ALL ML SYSTEMS'!AA434</f>
        <v/>
      </c>
      <c r="AB434" s="323">
        <f>'ALL ML SYSTEMS'!AB434</f>
        <v>0</v>
      </c>
      <c r="AC434" s="323">
        <f>'ALL ML SYSTEMS'!AC434</f>
        <v>0</v>
      </c>
      <c r="AD434" s="323" t="str">
        <f>'ALL ML SYSTEMS'!AD434</f>
        <v>Academia</v>
      </c>
    </row>
    <row r="435" customHeight="1" spans="1:30">
      <c r="A435" s="325">
        <f>'ALL ML SYSTEMS'!A435</f>
        <v>0</v>
      </c>
      <c r="B435" s="325" t="str">
        <f>'ALL ML SYSTEMS'!B435</f>
        <v>Vision</v>
      </c>
      <c r="C435" s="325">
        <f>'ALL ML SYSTEMS'!C435</f>
        <v>0</v>
      </c>
      <c r="D435" s="325" t="str">
        <f>'ALL ML SYSTEMS'!D435</f>
        <v>Inria Grenoble Rhône-Alpes</v>
      </c>
      <c r="E435" s="325" t="str">
        <f>'ALL ML SYSTEMS'!E435</f>
        <v>Academia</v>
      </c>
      <c r="F435" s="325" t="str">
        <f>'ALL ML SYSTEMS'!F435</f>
        <v>N Dalal, B Triggs</v>
      </c>
      <c r="G435" s="326">
        <f>'ALL ML SYSTEMS'!G435</f>
        <v>38528</v>
      </c>
      <c r="H435" s="327">
        <f>'ALL ML SYSTEMS'!H435</f>
        <v>8528</v>
      </c>
      <c r="I435" s="325" t="str">
        <f>'ALL ML SYSTEMS'!I435</f>
        <v>Histograms of oriented gradients for human detection</v>
      </c>
      <c r="J435" s="337" t="str">
        <f>'ALL ML SYSTEMS'!J435</f>
        <v>https://ieeexplore.ieee.org/document/1467360</v>
      </c>
      <c r="K435" s="338">
        <f>'ALL ML SYSTEMS'!K435</f>
        <v>36578</v>
      </c>
      <c r="L435" s="325" t="str">
        <f>'ALL ML SYSTEMS'!L435</f>
        <v>Highly cited</v>
      </c>
      <c r="M435" s="338" t="str">
        <f>'ALL ML SYSTEMS'!M435</f>
        <v>Yes</v>
      </c>
      <c r="N435" s="338">
        <f>'ALL ML SYSTEMS'!N435</f>
        <v>0</v>
      </c>
      <c r="O435" s="338">
        <f>'ALL ML SYSTEMS'!O435</f>
        <v>0</v>
      </c>
      <c r="P435" s="339">
        <f>'ALL ML SYSTEMS'!P435</f>
        <v>0</v>
      </c>
      <c r="Q435" s="338">
        <f>'ALL ML SYSTEMS'!Q435</f>
        <v>1805</v>
      </c>
      <c r="R435" s="325">
        <f>'ALL ML SYSTEMS'!R435</f>
        <v>0</v>
      </c>
      <c r="S435" s="338">
        <f>'ALL ML SYSTEMS'!S435</f>
        <v>0</v>
      </c>
      <c r="T435" s="325">
        <f>'ALL ML SYSTEMS'!T435</f>
        <v>0</v>
      </c>
      <c r="U435" s="325">
        <f>'ALL ML SYSTEMS'!U435</f>
        <v>0</v>
      </c>
      <c r="V435" s="325">
        <f>'ALL ML SYSTEMS'!V435</f>
        <v>0</v>
      </c>
      <c r="W435" s="325">
        <f>'ALL ML SYSTEMS'!W435</f>
        <v>0</v>
      </c>
      <c r="X435" s="325">
        <f>'ALL ML SYSTEMS'!X435</f>
        <v>0</v>
      </c>
      <c r="Y435" s="325">
        <f>'ALL ML SYSTEMS'!Y435</f>
        <v>0</v>
      </c>
      <c r="Z435" s="325">
        <f>'ALL ML SYSTEMS'!Z435</f>
        <v>0</v>
      </c>
      <c r="AA435" s="341" t="str">
        <f>'ALL ML SYSTEMS'!AA435</f>
        <v/>
      </c>
      <c r="AB435" s="325">
        <f>'ALL ML SYSTEMS'!AB435</f>
        <v>0</v>
      </c>
      <c r="AC435" s="325">
        <f>'ALL ML SYSTEMS'!AC435</f>
        <v>0</v>
      </c>
      <c r="AD435" s="325" t="str">
        <f>'ALL ML SYSTEMS'!AD435</f>
        <v>Academia</v>
      </c>
    </row>
    <row r="436" customHeight="1" spans="1:30">
      <c r="A436" s="323">
        <f>'ALL ML SYSTEMS'!A436</f>
        <v>0</v>
      </c>
      <c r="B436" s="323">
        <f>'ALL ML SYSTEMS'!B436</f>
        <v>0</v>
      </c>
      <c r="C436" s="323">
        <f>'ALL ML SYSTEMS'!C436</f>
        <v>0</v>
      </c>
      <c r="D436" s="323" t="str">
        <f>'ALL ML SYSTEMS'!D436</f>
        <v>Stanford University</v>
      </c>
      <c r="E436" s="323" t="str">
        <f>'ALL ML SYSTEMS'!E436</f>
        <v>Academia</v>
      </c>
      <c r="F436" s="323" t="str">
        <f>'ALL ML SYSTEMS'!F436</f>
        <v>B. Taskar, C. Guestrin, and D. Koller</v>
      </c>
      <c r="G436" s="324">
        <f>'ALL ML SYSTEMS'!G436</f>
        <v>38047</v>
      </c>
      <c r="H436" s="329">
        <f>'ALL ML SYSTEMS'!H436</f>
        <v>8047</v>
      </c>
      <c r="I436" s="323" t="str">
        <f>'ALL ML SYSTEMS'!I436</f>
        <v>Max-margin markov networks</v>
      </c>
      <c r="J436" s="334" t="str">
        <f>'ALL ML SYSTEMS'!J436</f>
        <v>https://papers.nips.cc/paper/2003/file/878d5691c824ee2aaf770f7d36c151d6-Paper.pdf</v>
      </c>
      <c r="K436" s="335">
        <f>'ALL ML SYSTEMS'!K436</f>
        <v>1764</v>
      </c>
      <c r="L436" s="323" t="str">
        <f>'ALL ML SYSTEMS'!L436</f>
        <v>Highly cited</v>
      </c>
      <c r="M436" s="335" t="str">
        <f>'ALL ML SYSTEMS'!M436</f>
        <v>Yes</v>
      </c>
      <c r="N436" s="335">
        <f>'ALL ML SYSTEMS'!N436</f>
        <v>0</v>
      </c>
      <c r="O436" s="335">
        <f>'ALL ML SYSTEMS'!O436</f>
        <v>0</v>
      </c>
      <c r="P436" s="336">
        <f>'ALL ML SYSTEMS'!P436</f>
        <v>0</v>
      </c>
      <c r="Q436" s="335">
        <f>'ALL ML SYSTEMS'!Q436</f>
        <v>600</v>
      </c>
      <c r="R436" s="323">
        <f>'ALL ML SYSTEMS'!R436</f>
        <v>0</v>
      </c>
      <c r="S436" s="335">
        <f>'ALL ML SYSTEMS'!S436</f>
        <v>0</v>
      </c>
      <c r="T436" s="323">
        <f>'ALL ML SYSTEMS'!T436</f>
        <v>0</v>
      </c>
      <c r="U436" s="323">
        <f>'ALL ML SYSTEMS'!U436</f>
        <v>0</v>
      </c>
      <c r="V436" s="323">
        <f>'ALL ML SYSTEMS'!V436</f>
        <v>0</v>
      </c>
      <c r="W436" s="323">
        <f>'ALL ML SYSTEMS'!W436</f>
        <v>0</v>
      </c>
      <c r="X436" s="323">
        <f>'ALL ML SYSTEMS'!X436</f>
        <v>0</v>
      </c>
      <c r="Y436" s="323">
        <f>'ALL ML SYSTEMS'!Y436</f>
        <v>0</v>
      </c>
      <c r="Z436" s="323">
        <f>'ALL ML SYSTEMS'!Z436</f>
        <v>0</v>
      </c>
      <c r="AA436" s="340" t="str">
        <f>'ALL ML SYSTEMS'!AA436</f>
        <v/>
      </c>
      <c r="AB436" s="323">
        <f>'ALL ML SYSTEMS'!AB436</f>
        <v>0</v>
      </c>
      <c r="AC436" s="323">
        <f>'ALL ML SYSTEMS'!AC436</f>
        <v>0</v>
      </c>
      <c r="AD436" s="323" t="str">
        <f>'ALL ML SYSTEMS'!AD436</f>
        <v>Academia</v>
      </c>
    </row>
    <row r="437" hidden="1" customHeight="1" spans="1:30">
      <c r="A437" s="325">
        <f>'ALL ML SYSTEMS'!A437</f>
        <v>0</v>
      </c>
      <c r="B437" s="325">
        <f>'ALL ML SYSTEMS'!B437</f>
        <v>0</v>
      </c>
      <c r="C437" s="325">
        <f>'ALL ML SYSTEMS'!C437</f>
        <v>0</v>
      </c>
      <c r="D437" s="325" t="str">
        <f>'ALL ML SYSTEMS'!D437</f>
        <v>Soongsil University</v>
      </c>
      <c r="E437" s="325" t="str">
        <f>'ALL ML SYSTEMS'!E437</f>
        <v>Academia</v>
      </c>
      <c r="F437" s="325" t="str">
        <f>'ALL ML SYSTEMS'!F437</f>
        <v>KS Oh, K Jung</v>
      </c>
      <c r="G437" s="326">
        <f>'ALL ML SYSTEMS'!G437</f>
        <v>38139</v>
      </c>
      <c r="H437" s="327">
        <f>'ALL ML SYSTEMS'!H437</f>
        <v>8139</v>
      </c>
      <c r="I437" s="325" t="str">
        <f>'ALL ML SYSTEMS'!I437</f>
        <v>GPU implementation of neural networks</v>
      </c>
      <c r="J437" s="337" t="str">
        <f>'ALL ML SYSTEMS'!J437</f>
        <v>https://www.sciencedirect.com/science/article/pii/S0031320304000524</v>
      </c>
      <c r="K437" s="338">
        <f>'ALL ML SYSTEMS'!K437</f>
        <v>471</v>
      </c>
      <c r="L437" s="325">
        <f>'ALL ML SYSTEMS'!L437</f>
        <v>0</v>
      </c>
      <c r="M437" s="338" t="str">
        <f>'ALL ML SYSTEMS'!M437</f>
        <v>No</v>
      </c>
      <c r="N437" s="338">
        <f>'ALL ML SYSTEMS'!N437</f>
        <v>0</v>
      </c>
      <c r="O437" s="338">
        <f>'ALL ML SYSTEMS'!O437</f>
        <v>0</v>
      </c>
      <c r="P437" s="339">
        <f>'ALL ML SYSTEMS'!P437</f>
        <v>0</v>
      </c>
      <c r="Q437" s="338">
        <f>'ALL ML SYSTEMS'!Q437</f>
        <v>0</v>
      </c>
      <c r="R437" s="325">
        <f>'ALL ML SYSTEMS'!R437</f>
        <v>0</v>
      </c>
      <c r="S437" s="338">
        <f>'ALL ML SYSTEMS'!S437</f>
        <v>0</v>
      </c>
      <c r="T437" s="325">
        <f>'ALL ML SYSTEMS'!T437</f>
        <v>0</v>
      </c>
      <c r="U437" s="325">
        <f>'ALL ML SYSTEMS'!U437</f>
        <v>0</v>
      </c>
      <c r="V437" s="325">
        <f>'ALL ML SYSTEMS'!V437</f>
        <v>0</v>
      </c>
      <c r="W437" s="325">
        <f>'ALL ML SYSTEMS'!W437</f>
        <v>0</v>
      </c>
      <c r="X437" s="325">
        <f>'ALL ML SYSTEMS'!X437</f>
        <v>0</v>
      </c>
      <c r="Y437" s="325">
        <f>'ALL ML SYSTEMS'!Y437</f>
        <v>0</v>
      </c>
      <c r="Z437" s="325">
        <f>'ALL ML SYSTEMS'!Z437</f>
        <v>0</v>
      </c>
      <c r="AA437" s="341" t="str">
        <f>'ALL ML SYSTEMS'!AA437</f>
        <v/>
      </c>
      <c r="AB437" s="325"/>
      <c r="AC437" s="325">
        <f>'ALL ML SYSTEMS'!AB437</f>
        <v>0</v>
      </c>
      <c r="AD437" s="325">
        <f>'ALL ML SYSTEMS'!AC437</f>
        <v>0</v>
      </c>
    </row>
    <row r="438" hidden="1" customHeight="1" spans="1:30">
      <c r="A438" s="323" t="str">
        <f>'ALL ML SYSTEMS'!A438</f>
        <v>Sandstorm (DARPA Grand Challenge I)</v>
      </c>
      <c r="B438" s="323" t="str">
        <f>'ALL ML SYSTEMS'!B438</f>
        <v>Driving</v>
      </c>
      <c r="C438" s="323" t="str">
        <f>'ALL ML SYSTEMS'!C438</f>
        <v>Self-driving car</v>
      </c>
      <c r="D438" s="323" t="str">
        <f>'ALL ML SYSTEMS'!D438</f>
        <v>Carnegie Mellon University</v>
      </c>
      <c r="E438" s="323" t="str">
        <f>'ALL ML SYSTEMS'!E438</f>
        <v>Academia</v>
      </c>
      <c r="F438" s="323" t="str">
        <f>'ALL ML SYSTEMS'!F438</f>
        <v>William Red L. Whittaker</v>
      </c>
      <c r="G438" s="324">
        <f>'ALL ML SYSTEMS'!G438</f>
        <v>38152</v>
      </c>
      <c r="H438" s="329">
        <f>'ALL ML SYSTEMS'!H438</f>
        <v>8152</v>
      </c>
      <c r="I438" s="323" t="str">
        <f>'ALL ML SYSTEMS'!I438</f>
        <v>DARPA Grand Challenge Technical Paper</v>
      </c>
      <c r="J438" s="334" t="str">
        <f>'ALL ML SYSTEMS'!J438</f>
        <v>https://ieeexplore.ieee.org/document/1336386</v>
      </c>
      <c r="K438" s="335">
        <f>'ALL ML SYSTEMS'!K438</f>
        <v>66</v>
      </c>
      <c r="L438" s="323">
        <f>'ALL ML SYSTEMS'!L438</f>
        <v>0</v>
      </c>
      <c r="M438" s="335" t="str">
        <f>'ALL ML SYSTEMS'!M438</f>
        <v>No</v>
      </c>
      <c r="N438" s="335">
        <f>'ALL ML SYSTEMS'!N438</f>
        <v>0</v>
      </c>
      <c r="O438" s="335">
        <f>'ALL ML SYSTEMS'!O438</f>
        <v>0</v>
      </c>
      <c r="P438" s="336">
        <f>'ALL ML SYSTEMS'!P438</f>
        <v>0</v>
      </c>
      <c r="Q438" s="335">
        <f>'ALL ML SYSTEMS'!Q438</f>
        <v>0</v>
      </c>
      <c r="R438" s="323">
        <f>'ALL ML SYSTEMS'!R438</f>
        <v>0</v>
      </c>
      <c r="S438" s="335">
        <f>'ALL ML SYSTEMS'!S438</f>
        <v>0</v>
      </c>
      <c r="T438" s="323">
        <f>'ALL ML SYSTEMS'!T438</f>
        <v>0</v>
      </c>
      <c r="U438" s="323">
        <f>'ALL ML SYSTEMS'!U438</f>
        <v>0</v>
      </c>
      <c r="V438" s="323">
        <f>'ALL ML SYSTEMS'!V438</f>
        <v>0</v>
      </c>
      <c r="W438" s="323">
        <f>'ALL ML SYSTEMS'!W438</f>
        <v>0</v>
      </c>
      <c r="X438" s="323">
        <f>'ALL ML SYSTEMS'!X438</f>
        <v>0</v>
      </c>
      <c r="Y438" s="323">
        <f>'ALL ML SYSTEMS'!Y438</f>
        <v>0</v>
      </c>
      <c r="Z438" s="323">
        <f>'ALL ML SYSTEMS'!Z438</f>
        <v>0</v>
      </c>
      <c r="AA438" s="340" t="str">
        <f>'ALL ML SYSTEMS'!AA438</f>
        <v/>
      </c>
      <c r="AB438" s="323"/>
      <c r="AC438" s="323">
        <f>'ALL ML SYSTEMS'!AB438</f>
        <v>0</v>
      </c>
      <c r="AD438" s="323">
        <f>'ALL ML SYSTEMS'!AC438</f>
        <v>0</v>
      </c>
    </row>
    <row r="439" hidden="1" customHeight="1" spans="1:30">
      <c r="A439" s="325">
        <f>'ALL ML SYSTEMS'!A439</f>
        <v>0</v>
      </c>
      <c r="B439" s="325" t="str">
        <f>'ALL ML SYSTEMS'!B439</f>
        <v>Language</v>
      </c>
      <c r="C439" s="325" t="str">
        <f>'ALL ML SYSTEMS'!C439</f>
        <v>Word sense disambiguation</v>
      </c>
      <c r="D439" s="325" t="str">
        <f>'ALL ML SYSTEMS'!D439</f>
        <v>University of Sussex</v>
      </c>
      <c r="E439" s="325" t="str">
        <f>'ALL ML SYSTEMS'!E439</f>
        <v>Academia</v>
      </c>
      <c r="F439" s="325" t="str">
        <f>'ALL ML SYSTEMS'!F439</f>
        <v>D McCarthy, R Koeling, J Weeds</v>
      </c>
      <c r="G439" s="326">
        <f>'ALL ML SYSTEMS'!G439</f>
        <v>38169</v>
      </c>
      <c r="H439" s="327">
        <f>'ALL ML SYSTEMS'!H439</f>
        <v>8169</v>
      </c>
      <c r="I439" s="325" t="str">
        <f>'ALL ML SYSTEMS'!I439</f>
        <v>Finding Predominant Word Senses in Untagged Text</v>
      </c>
      <c r="J439" s="337" t="str">
        <f>'ALL ML SYSTEMS'!J439</f>
        <v>https://aclanthology.org/P04-1036/</v>
      </c>
      <c r="K439" s="338">
        <f>'ALL ML SYSTEMS'!K439</f>
        <v>475</v>
      </c>
      <c r="L439" s="325">
        <f>'ALL ML SYSTEMS'!L439</f>
        <v>0</v>
      </c>
      <c r="M439" s="338" t="str">
        <f>'ALL ML SYSTEMS'!M439</f>
        <v>No</v>
      </c>
      <c r="N439" s="338">
        <f>'ALL ML SYSTEMS'!N439</f>
        <v>0</v>
      </c>
      <c r="O439" s="338">
        <f>'ALL ML SYSTEMS'!O439</f>
        <v>0</v>
      </c>
      <c r="P439" s="339">
        <f>'ALL ML SYSTEMS'!P439</f>
        <v>0</v>
      </c>
      <c r="Q439" s="338">
        <f>'ALL ML SYSTEMS'!Q439</f>
        <v>5000</v>
      </c>
      <c r="R439" s="325">
        <f>'ALL ML SYSTEMS'!R439</f>
        <v>0</v>
      </c>
      <c r="S439" s="338">
        <f>'ALL ML SYSTEMS'!S439</f>
        <v>0</v>
      </c>
      <c r="T439" s="325">
        <f>'ALL ML SYSTEMS'!T439</f>
        <v>0</v>
      </c>
      <c r="U439" s="325">
        <f>'ALL ML SYSTEMS'!U439</f>
        <v>0</v>
      </c>
      <c r="V439" s="325">
        <f>'ALL ML SYSTEMS'!V439</f>
        <v>0</v>
      </c>
      <c r="W439" s="325">
        <f>'ALL ML SYSTEMS'!W439</f>
        <v>0</v>
      </c>
      <c r="X439" s="325">
        <f>'ALL ML SYSTEMS'!X439</f>
        <v>0</v>
      </c>
      <c r="Y439" s="325">
        <f>'ALL ML SYSTEMS'!Y439</f>
        <v>0</v>
      </c>
      <c r="Z439" s="325">
        <f>'ALL ML SYSTEMS'!Z439</f>
        <v>0</v>
      </c>
      <c r="AA439" s="341" t="str">
        <f>'ALL ML SYSTEMS'!AA439</f>
        <v/>
      </c>
      <c r="AB439" s="325"/>
      <c r="AC439" s="325">
        <f>'ALL ML SYSTEMS'!AB439</f>
        <v>0</v>
      </c>
      <c r="AD439" s="325">
        <f>'ALL ML SYSTEMS'!AC439</f>
        <v>0</v>
      </c>
    </row>
    <row r="440" hidden="1" customHeight="1" spans="1:30">
      <c r="A440" s="323" t="str">
        <f>'ALL ML SYSTEMS'!A440</f>
        <v>LIRA</v>
      </c>
      <c r="B440" s="323" t="str">
        <f>'ALL ML SYSTEMS'!B440</f>
        <v>Vision</v>
      </c>
      <c r="C440" s="323" t="str">
        <f>'ALL ML SYSTEMS'!C440</f>
        <v>Character recognition</v>
      </c>
      <c r="D440" s="323" t="str">
        <f>'ALL ML SYSTEMS'!D440</f>
        <v>Instituto de Ciencias Aplicadas y Technologia</v>
      </c>
      <c r="E440" s="323" t="str">
        <f>'ALL ML SYSTEMS'!E440</f>
        <v>Academia</v>
      </c>
      <c r="F440" s="323" t="str">
        <f>'ALL ML SYSTEMS'!F440</f>
        <v>E Kussul, T Baidyk</v>
      </c>
      <c r="G440" s="324">
        <f>'ALL ML SYSTEMS'!G440</f>
        <v>38198</v>
      </c>
      <c r="H440" s="329">
        <f>'ALL ML SYSTEMS'!H440</f>
        <v>8198</v>
      </c>
      <c r="I440" s="323" t="str">
        <f>'ALL ML SYSTEMS'!I440</f>
        <v>Improved method of handwritten digit recognition tested on MNIST database</v>
      </c>
      <c r="J440" s="334" t="str">
        <f>'ALL ML SYSTEMS'!J440</f>
        <v>https://www.sciencedirect.com/science/article/abs/pii/S0262885604000721</v>
      </c>
      <c r="K440" s="335">
        <f>'ALL ML SYSTEMS'!K440</f>
        <v>188</v>
      </c>
      <c r="L440" s="323">
        <f>'ALL ML SYSTEMS'!L440</f>
        <v>0</v>
      </c>
      <c r="M440" s="335" t="str">
        <f>'ALL ML SYSTEMS'!M440</f>
        <v>No</v>
      </c>
      <c r="N440" s="335">
        <f>'ALL ML SYSTEMS'!N440</f>
        <v>100000</v>
      </c>
      <c r="O440" s="335">
        <f>'ALL ML SYSTEMS'!O440</f>
        <v>0</v>
      </c>
      <c r="P440" s="336">
        <f>'ALL ML SYSTEMS'!P440</f>
        <v>0</v>
      </c>
      <c r="Q440" s="335">
        <f>'ALL ML SYSTEMS'!Q440</f>
        <v>10000</v>
      </c>
      <c r="R440" s="323">
        <f>'ALL ML SYSTEMS'!R440</f>
        <v>1</v>
      </c>
      <c r="S440" s="335">
        <f>'ALL ML SYSTEMS'!S440</f>
        <v>0</v>
      </c>
      <c r="T440" s="323">
        <f>'ALL ML SYSTEMS'!T440</f>
        <v>0</v>
      </c>
      <c r="U440" s="323">
        <f>'ALL ML SYSTEMS'!U440</f>
        <v>45</v>
      </c>
      <c r="V440" s="323">
        <f>'ALL ML SYSTEMS'!V440</f>
        <v>500</v>
      </c>
      <c r="W440" s="323">
        <f>'ALL ML SYSTEMS'!W440</f>
        <v>0</v>
      </c>
      <c r="X440" s="323">
        <f>'ALL ML SYSTEMS'!X440</f>
        <v>0</v>
      </c>
      <c r="Y440" s="323">
        <f>'ALL ML SYSTEMS'!Y440</f>
        <v>0</v>
      </c>
      <c r="Z440" s="323">
        <f>'ALL ML SYSTEMS'!Z440</f>
        <v>0</v>
      </c>
      <c r="AA440" s="340" t="str">
        <f>'ALL ML SYSTEMS'!AA440</f>
        <v/>
      </c>
      <c r="AB440" s="323"/>
      <c r="AC440" s="323">
        <f>'ALL ML SYSTEMS'!AB440</f>
        <v>0</v>
      </c>
      <c r="AD440" s="323">
        <f>'ALL ML SYSTEMS'!AC440</f>
        <v>0</v>
      </c>
    </row>
    <row r="441" customHeight="1" spans="1:30">
      <c r="A441" s="325" t="str">
        <f>'ALL ML SYSTEMS'!A441</f>
        <v>NPLM</v>
      </c>
      <c r="B441" s="325" t="str">
        <f>'ALL ML SYSTEMS'!B441</f>
        <v>Language</v>
      </c>
      <c r="C441" s="325" t="str">
        <f>'ALL ML SYSTEMS'!C441</f>
        <v>Text autocompletion</v>
      </c>
      <c r="D441" s="325" t="str">
        <f>'ALL ML SYSTEMS'!D441</f>
        <v>Université de Montréal</v>
      </c>
      <c r="E441" s="325" t="str">
        <f>'ALL ML SYSTEMS'!E441</f>
        <v>Academia</v>
      </c>
      <c r="F441" s="325" t="str">
        <f>'ALL ML SYSTEMS'!F441</f>
        <v>Yoshua Bengio, Réjean Ducharme, Pascal Vincent, Christian Jauvin</v>
      </c>
      <c r="G441" s="326">
        <f>'ALL ML SYSTEMS'!G441</f>
        <v>37695</v>
      </c>
      <c r="H441" s="327">
        <f>'ALL ML SYSTEMS'!H441</f>
        <v>7695</v>
      </c>
      <c r="I441" s="325" t="str">
        <f>'ALL ML SYSTEMS'!I441</f>
        <v>A Neural Probabilistic Language Model</v>
      </c>
      <c r="J441" s="337" t="str">
        <f>'ALL ML SYSTEMS'!J441</f>
        <v>https://dl.acm.org/doi/10.5555/944919.944966</v>
      </c>
      <c r="K441" s="338">
        <f>'ALL ML SYSTEMS'!K441</f>
        <v>7627</v>
      </c>
      <c r="L441" s="325" t="str">
        <f>'ALL ML SYSTEMS'!L441</f>
        <v>Highly cited</v>
      </c>
      <c r="M441" s="338" t="str">
        <f>'ALL ML SYSTEMS'!M441</f>
        <v>Yes</v>
      </c>
      <c r="N441" s="338">
        <f>'ALL ML SYSTEMS'!N441</f>
        <v>11904264</v>
      </c>
      <c r="O441" s="338">
        <f>'ALL ML SYSTEMS'!O441</f>
        <v>1303898760000000</v>
      </c>
      <c r="P441" s="339" t="str">
        <f>'ALL ML SYSTEMS'!P441</f>
        <v>Brown corpus</v>
      </c>
      <c r="Q441" s="338">
        <f>'ALL ML SYSTEMS'!Q441</f>
        <v>1000000</v>
      </c>
      <c r="R441" s="325">
        <f>'ALL ML SYSTEMS'!R441</f>
        <v>0</v>
      </c>
      <c r="S441" s="338">
        <f>'ALL ML SYSTEMS'!S441</f>
        <v>21731646</v>
      </c>
      <c r="T441" s="325">
        <f>'ALL ML SYSTEMS'!T441</f>
        <v>0</v>
      </c>
      <c r="U441" s="325">
        <f>'ALL ML SYSTEMS'!U441</f>
        <v>20160</v>
      </c>
      <c r="V441" s="325">
        <f>'ALL ML SYSTEMS'!V441</f>
        <v>0</v>
      </c>
      <c r="W441" s="325">
        <f>'ALL ML SYSTEMS'!W441</f>
        <v>0</v>
      </c>
      <c r="X441" s="325">
        <f>'ALL ML SYSTEMS'!X441</f>
        <v>0</v>
      </c>
      <c r="Y441" s="325">
        <f>'ALL ML SYSTEMS'!Y441</f>
        <v>0</v>
      </c>
      <c r="Z441" s="325">
        <f>'ALL ML SYSTEMS'!Z441</f>
        <v>0</v>
      </c>
      <c r="AA441" s="341" t="str">
        <f>'ALL ML SYSTEMS'!AA441</f>
        <v/>
      </c>
      <c r="AB441" s="325">
        <f>'ALL ML SYSTEMS'!AB441</f>
        <v>0</v>
      </c>
      <c r="AC441" s="325">
        <f>'ALL ML SYSTEMS'!AC441</f>
        <v>0</v>
      </c>
      <c r="AD441" s="325" t="str">
        <f>'ALL ML SYSTEMS'!AD441</f>
        <v>Academia</v>
      </c>
    </row>
    <row r="442" customHeight="1" spans="1:30">
      <c r="A442" s="323">
        <f>'ALL ML SYSTEMS'!A442</f>
        <v>0</v>
      </c>
      <c r="B442" s="323" t="str">
        <f>'ALL ML SYSTEMS'!B442</f>
        <v>Recommendation</v>
      </c>
      <c r="C442" s="323">
        <f>'ALL ML SYSTEMS'!C442</f>
        <v>0</v>
      </c>
      <c r="D442" s="323" t="str">
        <f>'ALL ML SYSTEMS'!D442</f>
        <v>University of Washington</v>
      </c>
      <c r="E442" s="323" t="str">
        <f>'ALL ML SYSTEMS'!E442</f>
        <v>Industry - Academia Collaboration</v>
      </c>
      <c r="F442" s="323" t="str">
        <f>'ALL ML SYSTEMS'!F442</f>
        <v>G. Linden, B. Smith, and J. York</v>
      </c>
      <c r="G442" s="324">
        <f>'ALL ML SYSTEMS'!G442</f>
        <v>37622</v>
      </c>
      <c r="H442" s="329">
        <f>'ALL ML SYSTEMS'!H442</f>
        <v>7622</v>
      </c>
      <c r="I442" s="323" t="str">
        <f>'ALL ML SYSTEMS'!I442</f>
        <v>Amazon.com Recommendations: Item-to-Item Collaborative Filtering</v>
      </c>
      <c r="J442" s="334" t="str">
        <f>'ALL ML SYSTEMS'!J442</f>
        <v>https://ieeexplore.ieee.org/document/1167344</v>
      </c>
      <c r="K442" s="335">
        <f>'ALL ML SYSTEMS'!K442</f>
        <v>7262</v>
      </c>
      <c r="L442" s="323" t="str">
        <f>'ALL ML SYSTEMS'!L442</f>
        <v>Highly cited</v>
      </c>
      <c r="M442" s="335" t="str">
        <f>'ALL ML SYSTEMS'!M442</f>
        <v>Yes</v>
      </c>
      <c r="N442" s="335">
        <f>'ALL ML SYSTEMS'!N442</f>
        <v>0</v>
      </c>
      <c r="O442" s="335">
        <f>'ALL ML SYSTEMS'!O442</f>
        <v>0</v>
      </c>
      <c r="P442" s="336">
        <f>'ALL ML SYSTEMS'!P442</f>
        <v>0</v>
      </c>
      <c r="Q442" s="335">
        <f>'ALL ML SYSTEMS'!Q442</f>
        <v>0</v>
      </c>
      <c r="R442" s="323">
        <f>'ALL ML SYSTEMS'!R442</f>
        <v>0</v>
      </c>
      <c r="S442" s="335">
        <f>'ALL ML SYSTEMS'!S442</f>
        <v>0</v>
      </c>
      <c r="T442" s="323">
        <f>'ALL ML SYSTEMS'!T442</f>
        <v>0</v>
      </c>
      <c r="U442" s="323">
        <f>'ALL ML SYSTEMS'!U442</f>
        <v>0</v>
      </c>
      <c r="V442" s="323">
        <f>'ALL ML SYSTEMS'!V442</f>
        <v>0</v>
      </c>
      <c r="W442" s="323">
        <f>'ALL ML SYSTEMS'!W442</f>
        <v>0</v>
      </c>
      <c r="X442" s="323">
        <f>'ALL ML SYSTEMS'!X442</f>
        <v>0</v>
      </c>
      <c r="Y442" s="323">
        <f>'ALL ML SYSTEMS'!Y442</f>
        <v>0</v>
      </c>
      <c r="Z442" s="323">
        <f>'ALL ML SYSTEMS'!Z442</f>
        <v>0</v>
      </c>
      <c r="AA442" s="340" t="str">
        <f>'ALL ML SYSTEMS'!AA442</f>
        <v/>
      </c>
      <c r="AB442" s="323">
        <f>'ALL ML SYSTEMS'!AB442</f>
        <v>0</v>
      </c>
      <c r="AC442" s="323">
        <f>'ALL ML SYSTEMS'!AC442</f>
        <v>0</v>
      </c>
      <c r="AD442" s="323" t="str">
        <f>'ALL ML SYSTEMS'!AD442</f>
        <v>Industry</v>
      </c>
    </row>
    <row r="443" customHeight="1" spans="1:30">
      <c r="A443" s="325">
        <f>'ALL ML SYSTEMS'!A443</f>
        <v>0</v>
      </c>
      <c r="B443" s="325" t="str">
        <f>'ALL ML SYSTEMS'!B443</f>
        <v>Vision</v>
      </c>
      <c r="C443" s="325" t="str">
        <f>'ALL ML SYSTEMS'!C443</f>
        <v>Image Classification</v>
      </c>
      <c r="D443" s="325" t="str">
        <f>'ALL ML SYSTEMS'!D443</f>
        <v>California Institute of Technology</v>
      </c>
      <c r="E443" s="325" t="str">
        <f>'ALL ML SYSTEMS'!E443</f>
        <v>Academia</v>
      </c>
      <c r="F443" s="325" t="str">
        <f>'ALL ML SYSTEMS'!F443</f>
        <v>M. Weber, M. Welling, and P. Perona</v>
      </c>
      <c r="G443" s="326">
        <f>'ALL ML SYSTEMS'!G443</f>
        <v>37622</v>
      </c>
      <c r="H443" s="325">
        <f>'ALL ML SYSTEMS'!H443</f>
        <v>2003</v>
      </c>
      <c r="I443" s="325" t="str">
        <f>'ALL ML SYSTEMS'!I443</f>
        <v>Unsupervised Learning of Models for Recognition</v>
      </c>
      <c r="J443" s="337" t="str">
        <f>'ALL ML SYSTEMS'!J443</f>
        <v>https://link.springer.com/content/pdf/10.1007/3-540-45054-8_2.pdf</v>
      </c>
      <c r="K443" s="338">
        <f>'ALL ML SYSTEMS'!K443</f>
        <v>949</v>
      </c>
      <c r="L443" s="325" t="str">
        <f>'ALL ML SYSTEMS'!L443</f>
        <v>Historical relevance</v>
      </c>
      <c r="M443" s="338" t="str">
        <f>'ALL ML SYSTEMS'!M443</f>
        <v>Yes</v>
      </c>
      <c r="N443" s="325">
        <f>'ALL ML SYSTEMS'!N443</f>
        <v>0</v>
      </c>
      <c r="O443" s="338">
        <f>'ALL ML SYSTEMS'!O443</f>
        <v>0</v>
      </c>
      <c r="P443" s="339">
        <f>'ALL ML SYSTEMS'!P443</f>
        <v>0</v>
      </c>
      <c r="Q443" s="338">
        <f>'ALL ML SYSTEMS'!Q443</f>
        <v>0</v>
      </c>
      <c r="R443" s="325">
        <f>'ALL ML SYSTEMS'!R443</f>
        <v>0</v>
      </c>
      <c r="S443" s="325">
        <f>'ALL ML SYSTEMS'!S443</f>
        <v>0</v>
      </c>
      <c r="T443" s="325">
        <f>'ALL ML SYSTEMS'!T443</f>
        <v>0</v>
      </c>
      <c r="U443" s="325">
        <f>'ALL ML SYSTEMS'!U443</f>
        <v>0</v>
      </c>
      <c r="V443" s="325">
        <f>'ALL ML SYSTEMS'!V443</f>
        <v>0</v>
      </c>
      <c r="W443" s="325">
        <f>'ALL ML SYSTEMS'!W443</f>
        <v>0</v>
      </c>
      <c r="X443" s="325">
        <f>'ALL ML SYSTEMS'!X443</f>
        <v>0</v>
      </c>
      <c r="Y443" s="325">
        <f>'ALL ML SYSTEMS'!Y443</f>
        <v>0</v>
      </c>
      <c r="Z443" s="325">
        <f>'ALL ML SYSTEMS'!Z443</f>
        <v>0</v>
      </c>
      <c r="AA443" s="341" t="str">
        <f>'ALL ML SYSTEMS'!AA443</f>
        <v/>
      </c>
      <c r="AB443" s="325">
        <f>'ALL ML SYSTEMS'!AB443</f>
        <v>0</v>
      </c>
      <c r="AC443" s="325">
        <f>'ALL ML SYSTEMS'!AC443</f>
        <v>0</v>
      </c>
      <c r="AD443" s="325" t="str">
        <f>'ALL ML SYSTEMS'!AD443</f>
        <v>Academia</v>
      </c>
    </row>
    <row r="444" customHeight="1" spans="1:30">
      <c r="A444" s="323" t="str">
        <f>'ALL ML SYSTEMS'!A444</f>
        <v>LDA</v>
      </c>
      <c r="B444" s="323" t="str">
        <f>'ALL ML SYSTEMS'!B444</f>
        <v>Language</v>
      </c>
      <c r="C444" s="323" t="str">
        <f>'ALL ML SYSTEMS'!C444</f>
        <v>Document classification</v>
      </c>
      <c r="D444" s="323" t="str">
        <f>'ALL ML SYSTEMS'!D444</f>
        <v>University of California, Stanford University</v>
      </c>
      <c r="E444" s="323" t="str">
        <f>'ALL ML SYSTEMS'!E444</f>
        <v>Academia</v>
      </c>
      <c r="F444" s="323" t="str">
        <f>'ALL ML SYSTEMS'!F444</f>
        <v>David M. Blei, Andrew Y. Ng, Michael I. Jordan</v>
      </c>
      <c r="G444" s="324">
        <f>'ALL ML SYSTEMS'!G444</f>
        <v>37654</v>
      </c>
      <c r="H444" s="329">
        <f>'ALL ML SYSTEMS'!H444</f>
        <v>7654</v>
      </c>
      <c r="I444" s="323" t="str">
        <f>'ALL ML SYSTEMS'!I444</f>
        <v>Latent Dirichlet Allocation</v>
      </c>
      <c r="J444" s="334" t="str">
        <f>'ALL ML SYSTEMS'!J444</f>
        <v>https://jmlr.org/papers/volume3/blei03a/blei03a.pdf</v>
      </c>
      <c r="K444" s="335">
        <f>'ALL ML SYSTEMS'!K444</f>
        <v>38724</v>
      </c>
      <c r="L444" s="323" t="str">
        <f>'ALL ML SYSTEMS'!L444</f>
        <v>Highly cited</v>
      </c>
      <c r="M444" s="335" t="str">
        <f>'ALL ML SYSTEMS'!M444</f>
        <v>Yes</v>
      </c>
      <c r="N444" s="335">
        <f>'ALL ML SYSTEMS'!N444</f>
        <v>0</v>
      </c>
      <c r="O444" s="335">
        <f>'ALL ML SYSTEMS'!O444</f>
        <v>0</v>
      </c>
      <c r="P444" s="336">
        <f>'ALL ML SYSTEMS'!P444</f>
        <v>0</v>
      </c>
      <c r="Q444" s="335">
        <f>'ALL ML SYSTEMS'!Q444</f>
        <v>0</v>
      </c>
      <c r="R444" s="323">
        <f>'ALL ML SYSTEMS'!R444</f>
        <v>0</v>
      </c>
      <c r="S444" s="335">
        <f>'ALL ML SYSTEMS'!S444</f>
        <v>0</v>
      </c>
      <c r="T444" s="323">
        <f>'ALL ML SYSTEMS'!T444</f>
        <v>0</v>
      </c>
      <c r="U444" s="323">
        <f>'ALL ML SYSTEMS'!U444</f>
        <v>0</v>
      </c>
      <c r="V444" s="323">
        <f>'ALL ML SYSTEMS'!V444</f>
        <v>0</v>
      </c>
      <c r="W444" s="323">
        <f>'ALL ML SYSTEMS'!W444</f>
        <v>0</v>
      </c>
      <c r="X444" s="323">
        <f>'ALL ML SYSTEMS'!X444</f>
        <v>0</v>
      </c>
      <c r="Y444" s="323">
        <f>'ALL ML SYSTEMS'!Y444</f>
        <v>0</v>
      </c>
      <c r="Z444" s="323">
        <f>'ALL ML SYSTEMS'!Z444</f>
        <v>0</v>
      </c>
      <c r="AA444" s="340" t="str">
        <f>'ALL ML SYSTEMS'!AA444</f>
        <v/>
      </c>
      <c r="AB444" s="323">
        <f>'ALL ML SYSTEMS'!AB444</f>
        <v>0</v>
      </c>
      <c r="AC444" s="323" t="str">
        <f>'ALL ML SYSTEMS'!AC444</f>
        <v>Hierarchial Bayesian Model/Generative Probabilistic Model</v>
      </c>
      <c r="AD444" s="323" t="str">
        <f>'ALL ML SYSTEMS'!AD444</f>
        <v>Academia</v>
      </c>
    </row>
    <row r="445" customHeight="1" spans="1:30">
      <c r="A445" s="325" t="str">
        <f>'ALL ML SYSTEMS'!A445</f>
        <v>Phrase-based translation</v>
      </c>
      <c r="B445" s="325" t="str">
        <f>'ALL ML SYSTEMS'!B445</f>
        <v>Language</v>
      </c>
      <c r="C445" s="325" t="str">
        <f>'ALL ML SYSTEMS'!C445</f>
        <v>Translation</v>
      </c>
      <c r="D445" s="325" t="str">
        <f>'ALL ML SYSTEMS'!D445</f>
        <v>University of Southern California</v>
      </c>
      <c r="E445" s="325" t="str">
        <f>'ALL ML SYSTEMS'!E445</f>
        <v>Academia</v>
      </c>
      <c r="F445" s="325" t="str">
        <f>'ALL ML SYSTEMS'!F445</f>
        <v>Philipp Koehn, Franz Josef Och, Daniel Marcu</v>
      </c>
      <c r="G445" s="326">
        <f>'ALL ML SYSTEMS'!G445</f>
        <v>37742</v>
      </c>
      <c r="H445" s="327">
        <f>'ALL ML SYSTEMS'!H445</f>
        <v>7742</v>
      </c>
      <c r="I445" s="325" t="str">
        <f>'ALL ML SYSTEMS'!I445</f>
        <v>Statistical Phrase-Based Translation</v>
      </c>
      <c r="J445" s="337" t="str">
        <f>'ALL ML SYSTEMS'!J445</f>
        <v>https://dl.acm.org/doi/10.3115/1073445.1073462</v>
      </c>
      <c r="K445" s="338">
        <f>'ALL ML SYSTEMS'!K445</f>
        <v>4270</v>
      </c>
      <c r="L445" s="325" t="str">
        <f>'ALL ML SYSTEMS'!L445</f>
        <v>Highly cited</v>
      </c>
      <c r="M445" s="338" t="str">
        <f>'ALL ML SYSTEMS'!M445</f>
        <v>Yes</v>
      </c>
      <c r="N445" s="338">
        <f>'ALL ML SYSTEMS'!N445</f>
        <v>9178890</v>
      </c>
      <c r="O445" s="338">
        <f>'ALL ML SYSTEMS'!O445</f>
        <v>0</v>
      </c>
      <c r="P445" s="339">
        <f>'ALL ML SYSTEMS'!P445</f>
        <v>0</v>
      </c>
      <c r="Q445" s="338">
        <f>'ALL ML SYSTEMS'!Q445</f>
        <v>20000000</v>
      </c>
      <c r="R445" s="325">
        <f>'ALL ML SYSTEMS'!R445</f>
        <v>0</v>
      </c>
      <c r="S445" s="338">
        <f>'ALL ML SYSTEMS'!S445</f>
        <v>0</v>
      </c>
      <c r="T445" s="325">
        <f>'ALL ML SYSTEMS'!T445</f>
        <v>0</v>
      </c>
      <c r="U445" s="325">
        <f>'ALL ML SYSTEMS'!U445</f>
        <v>0</v>
      </c>
      <c r="V445" s="325">
        <f>'ALL ML SYSTEMS'!V445</f>
        <v>0</v>
      </c>
      <c r="W445" s="325">
        <f>'ALL ML SYSTEMS'!W445</f>
        <v>0</v>
      </c>
      <c r="X445" s="325">
        <f>'ALL ML SYSTEMS'!X445</f>
        <v>0</v>
      </c>
      <c r="Y445" s="325">
        <f>'ALL ML SYSTEMS'!Y445</f>
        <v>0</v>
      </c>
      <c r="Z445" s="325">
        <f>'ALL ML SYSTEMS'!Z445</f>
        <v>0</v>
      </c>
      <c r="AA445" s="341" t="str">
        <f>'ALL ML SYSTEMS'!AA445</f>
        <v/>
      </c>
      <c r="AB445" s="325">
        <f>'ALL ML SYSTEMS'!AB445</f>
        <v>0</v>
      </c>
      <c r="AC445" s="325">
        <f>'ALL ML SYSTEMS'!AC445</f>
        <v>0</v>
      </c>
      <c r="AD445" s="325" t="str">
        <f>'ALL ML SYSTEMS'!AD445</f>
        <v>Academia</v>
      </c>
    </row>
    <row r="446" customHeight="1" spans="1:30">
      <c r="A446" s="323" t="str">
        <f>'ALL ML SYSTEMS'!A446</f>
        <v>Unsupervised Scale-Invariant Learning</v>
      </c>
      <c r="B446" s="323" t="str">
        <f>'ALL ML SYSTEMS'!B446</f>
        <v>Vision</v>
      </c>
      <c r="C446" s="323">
        <f>'ALL ML SYSTEMS'!C446</f>
        <v>0</v>
      </c>
      <c r="D446" s="323" t="str">
        <f>'ALL ML SYSTEMS'!D446</f>
        <v>University of Oxford</v>
      </c>
      <c r="E446" s="323" t="str">
        <f>'ALL ML SYSTEMS'!E446</f>
        <v>Academia</v>
      </c>
      <c r="F446" s="323" t="str">
        <f>'ALL ML SYSTEMS'!F446</f>
        <v>R Fergus, P Perona, A Zisserman</v>
      </c>
      <c r="G446" s="324">
        <f>'ALL ML SYSTEMS'!G446</f>
        <v>37790</v>
      </c>
      <c r="H446" s="329">
        <f>'ALL ML SYSTEMS'!H446</f>
        <v>7790</v>
      </c>
      <c r="I446" s="323" t="str">
        <f>'ALL ML SYSTEMS'!I446</f>
        <v>Object Class Recognition by Unsupervised Scale-Invariant Learning</v>
      </c>
      <c r="J446" s="334" t="str">
        <f>'ALL ML SYSTEMS'!J446</f>
        <v>https://ieeexplore.ieee.org/document/1211479</v>
      </c>
      <c r="K446" s="335">
        <f>'ALL ML SYSTEMS'!K446</f>
        <v>2970</v>
      </c>
      <c r="L446" s="323" t="str">
        <f>'ALL ML SYSTEMS'!L446</f>
        <v>Highly cited</v>
      </c>
      <c r="M446" s="335" t="str">
        <f>'ALL ML SYSTEMS'!M446</f>
        <v>Yes</v>
      </c>
      <c r="N446" s="335">
        <f>'ALL ML SYSTEMS'!N446</f>
        <v>451</v>
      </c>
      <c r="O446" s="335">
        <f>'ALL ML SYSTEMS'!O446</f>
        <v>0</v>
      </c>
      <c r="P446" s="336">
        <f>'ALL ML SYSTEMS'!P446</f>
        <v>0</v>
      </c>
      <c r="Q446" s="335">
        <f>'ALL ML SYSTEMS'!Q446</f>
        <v>3500</v>
      </c>
      <c r="R446" s="323">
        <f>'ALL ML SYSTEMS'!R446</f>
        <v>0</v>
      </c>
      <c r="S446" s="335">
        <f>'ALL ML SYSTEMS'!S446</f>
        <v>0</v>
      </c>
      <c r="T446" s="323">
        <f>'ALL ML SYSTEMS'!T446</f>
        <v>0</v>
      </c>
      <c r="U446" s="323">
        <f>'ALL ML SYSTEMS'!U446</f>
        <v>0</v>
      </c>
      <c r="V446" s="323">
        <f>'ALL ML SYSTEMS'!V446</f>
        <v>0</v>
      </c>
      <c r="W446" s="323">
        <f>'ALL ML SYSTEMS'!W446</f>
        <v>0</v>
      </c>
      <c r="X446" s="323">
        <f>'ALL ML SYSTEMS'!X446</f>
        <v>0</v>
      </c>
      <c r="Y446" s="323">
        <f>'ALL ML SYSTEMS'!Y446</f>
        <v>0</v>
      </c>
      <c r="Z446" s="323">
        <f>'ALL ML SYSTEMS'!Z446</f>
        <v>0</v>
      </c>
      <c r="AA446" s="340" t="str">
        <f>'ALL ML SYSTEMS'!AA446</f>
        <v/>
      </c>
      <c r="AB446" s="323">
        <f>'ALL ML SYSTEMS'!AB446</f>
        <v>0</v>
      </c>
      <c r="AC446" s="323">
        <f>'ALL ML SYSTEMS'!AC446</f>
        <v>0</v>
      </c>
      <c r="AD446" s="323" t="str">
        <f>'ALL ML SYSTEMS'!AD446</f>
        <v>Academia</v>
      </c>
    </row>
    <row r="447" customHeight="1" spans="1:30">
      <c r="A447" s="325" t="str">
        <f>'ALL ML SYSTEMS'!A447</f>
        <v>CNN Best Practices</v>
      </c>
      <c r="B447" s="325" t="str">
        <f>'ALL ML SYSTEMS'!B447</f>
        <v>Vision</v>
      </c>
      <c r="C447" s="325" t="str">
        <f>'ALL ML SYSTEMS'!C447</f>
        <v>Character recognition</v>
      </c>
      <c r="D447" s="325" t="str">
        <f>'ALL ML SYSTEMS'!D447</f>
        <v>One Microsoft Way</v>
      </c>
      <c r="E447" s="325" t="str">
        <f>'ALL ML SYSTEMS'!E447</f>
        <v>Industry</v>
      </c>
      <c r="F447" s="325" t="str">
        <f>'ALL ML SYSTEMS'!F447</f>
        <v>PY Simard, D Steinkraus, JC Platt</v>
      </c>
      <c r="G447" s="326">
        <f>'ALL ML SYSTEMS'!G447</f>
        <v>37839</v>
      </c>
      <c r="H447" s="327">
        <f>'ALL ML SYSTEMS'!H447</f>
        <v>2003</v>
      </c>
      <c r="I447" s="325" t="str">
        <f>'ALL ML SYSTEMS'!I447</f>
        <v>Best practices for convolutional neural networks applied to visual document analysis</v>
      </c>
      <c r="J447" s="337" t="str">
        <f>'ALL ML SYSTEMS'!J447</f>
        <v>https://ieeexplore.ieee.org/document/1227801</v>
      </c>
      <c r="K447" s="338">
        <f>'ALL ML SYSTEMS'!K447</f>
        <v>3065</v>
      </c>
      <c r="L447" s="325" t="str">
        <f>'ALL ML SYSTEMS'!L447</f>
        <v>Highly cited</v>
      </c>
      <c r="M447" s="338" t="str">
        <f>'ALL ML SYSTEMS'!M447</f>
        <v>Yes</v>
      </c>
      <c r="N447" s="338">
        <f>'ALL ML SYSTEMS'!N447</f>
        <v>0</v>
      </c>
      <c r="O447" s="338">
        <f>'ALL ML SYSTEMS'!O447</f>
        <v>0</v>
      </c>
      <c r="P447" s="339" t="str">
        <f>'ALL ML SYSTEMS'!P447</f>
        <v>MNIST</v>
      </c>
      <c r="Q447" s="338">
        <f>'ALL ML SYSTEMS'!Q447</f>
        <v>50000</v>
      </c>
      <c r="R447" s="325">
        <f>'ALL ML SYSTEMS'!R447</f>
        <v>0</v>
      </c>
      <c r="S447" s="338">
        <f>'ALL ML SYSTEMS'!S447</f>
        <v>0</v>
      </c>
      <c r="T447" s="325">
        <f>'ALL ML SYSTEMS'!T447</f>
        <v>0</v>
      </c>
      <c r="U447" s="325">
        <f>'ALL ML SYSTEMS'!U447</f>
        <v>0</v>
      </c>
      <c r="V447" s="325">
        <f>'ALL ML SYSTEMS'!V447</f>
        <v>0</v>
      </c>
      <c r="W447" s="325">
        <f>'ALL ML SYSTEMS'!W447</f>
        <v>0</v>
      </c>
      <c r="X447" s="325">
        <f>'ALL ML SYSTEMS'!X447</f>
        <v>0</v>
      </c>
      <c r="Y447" s="325">
        <f>'ALL ML SYSTEMS'!Y447</f>
        <v>0</v>
      </c>
      <c r="Z447" s="325">
        <f>'ALL ML SYSTEMS'!Z447</f>
        <v>0</v>
      </c>
      <c r="AA447" s="341" t="str">
        <f>'ALL ML SYSTEMS'!AA447</f>
        <v/>
      </c>
      <c r="AB447" s="325">
        <f>'ALL ML SYSTEMS'!AB447</f>
        <v>0</v>
      </c>
      <c r="AC447" s="325">
        <f>'ALL ML SYSTEMS'!AC447</f>
        <v>0</v>
      </c>
      <c r="AD447" s="325" t="str">
        <f>'ALL ML SYSTEMS'!AD447</f>
        <v>Industry</v>
      </c>
    </row>
    <row r="448" customHeight="1" spans="1:30">
      <c r="A448" s="323" t="str">
        <f>'ALL ML SYSTEMS'!A448</f>
        <v>Thumbs Up?</v>
      </c>
      <c r="B448" s="323" t="str">
        <f>'ALL ML SYSTEMS'!B448</f>
        <v>Language</v>
      </c>
      <c r="C448" s="323" t="str">
        <f>'ALL ML SYSTEMS'!C448</f>
        <v>Sentiment classification</v>
      </c>
      <c r="D448" s="323" t="str">
        <f>'ALL ML SYSTEMS'!D448</f>
        <v>Cornell University and IBM Almaden Research Center</v>
      </c>
      <c r="E448" s="323" t="str">
        <f>'ALL ML SYSTEMS'!E448</f>
        <v>Industry - Academia Collaboration</v>
      </c>
      <c r="F448" s="323" t="str">
        <f>'ALL ML SYSTEMS'!F448</f>
        <v>Bo Pang, Lillian Lee, Shivakumar Vaithyanathan</v>
      </c>
      <c r="G448" s="324">
        <f>'ALL ML SYSTEMS'!G448</f>
        <v>37404</v>
      </c>
      <c r="H448" s="329">
        <f>'ALL ML SYSTEMS'!H448</f>
        <v>7404</v>
      </c>
      <c r="I448" s="323" t="str">
        <f>'ALL ML SYSTEMS'!I448</f>
        <v>Thumbs up? Sentiment Classification using Machine Learning Techniques</v>
      </c>
      <c r="J448" s="334" t="str">
        <f>'ALL ML SYSTEMS'!J448</f>
        <v>https://arxiv.org/abs/cs/0205070</v>
      </c>
      <c r="K448" s="335">
        <f>'ALL ML SYSTEMS'!K448</f>
        <v>10656</v>
      </c>
      <c r="L448" s="323" t="str">
        <f>'ALL ML SYSTEMS'!L448</f>
        <v>Highly cited</v>
      </c>
      <c r="M448" s="335" t="str">
        <f>'ALL ML SYSTEMS'!M448</f>
        <v>Yes</v>
      </c>
      <c r="N448" s="335">
        <f>'ALL ML SYSTEMS'!N448</f>
        <v>0</v>
      </c>
      <c r="O448" s="335">
        <f>'ALL ML SYSTEMS'!O448</f>
        <v>0</v>
      </c>
      <c r="P448" s="336" t="str">
        <f>'ALL ML SYSTEMS'!P448</f>
        <v>IMDb</v>
      </c>
      <c r="Q448" s="335">
        <f>'ALL ML SYSTEMS'!Q448</f>
        <v>2053</v>
      </c>
      <c r="R448" s="323">
        <f>'ALL ML SYSTEMS'!R448</f>
        <v>0</v>
      </c>
      <c r="S448" s="335">
        <f>'ALL ML SYSTEMS'!S448</f>
        <v>0</v>
      </c>
      <c r="T448" s="323">
        <f>'ALL ML SYSTEMS'!T448</f>
        <v>0</v>
      </c>
      <c r="U448" s="323">
        <f>'ALL ML SYSTEMS'!U448</f>
        <v>0</v>
      </c>
      <c r="V448" s="323">
        <f>'ALL ML SYSTEMS'!V448</f>
        <v>0</v>
      </c>
      <c r="W448" s="323">
        <f>'ALL ML SYSTEMS'!W448</f>
        <v>0</v>
      </c>
      <c r="X448" s="323">
        <f>'ALL ML SYSTEMS'!X448</f>
        <v>0</v>
      </c>
      <c r="Y448" s="323">
        <f>'ALL ML SYSTEMS'!Y448</f>
        <v>0</v>
      </c>
      <c r="Z448" s="323">
        <f>'ALL ML SYSTEMS'!Z448</f>
        <v>0</v>
      </c>
      <c r="AA448" s="340" t="str">
        <f>'ALL ML SYSTEMS'!AA448</f>
        <v/>
      </c>
      <c r="AB448" s="323">
        <f>'ALL ML SYSTEMS'!AB448</f>
        <v>0</v>
      </c>
      <c r="AC448" s="323">
        <f>'ALL ML SYSTEMS'!AC448</f>
        <v>0</v>
      </c>
      <c r="AD448" s="323" t="str">
        <f>'ALL ML SYSTEMS'!AD448</f>
        <v>Industry</v>
      </c>
    </row>
    <row r="449" customHeight="1" spans="1:30">
      <c r="A449" s="325">
        <f>'ALL ML SYSTEMS'!A449</f>
        <v>0</v>
      </c>
      <c r="B449" s="325" t="str">
        <f>'ALL ML SYSTEMS'!B449</f>
        <v>Language</v>
      </c>
      <c r="C449" s="325">
        <f>'ALL ML SYSTEMS'!C449</f>
        <v>0</v>
      </c>
      <c r="D449" s="325" t="str">
        <f>'ALL ML SYSTEMS'!D449</f>
        <v>AT&amp;T Labs</v>
      </c>
      <c r="E449" s="325" t="str">
        <f>'ALL ML SYSTEMS'!E449</f>
        <v>Industry</v>
      </c>
      <c r="F449" s="325" t="str">
        <f>'ALL ML SYSTEMS'!F449</f>
        <v>Michael Collins</v>
      </c>
      <c r="G449" s="326">
        <f>'ALL ML SYSTEMS'!G449</f>
        <v>37408</v>
      </c>
      <c r="H449" s="327">
        <f>'ALL ML SYSTEMS'!H449</f>
        <v>7408</v>
      </c>
      <c r="I449" s="325" t="str">
        <f>'ALL ML SYSTEMS'!I449</f>
        <v>Discriminative Training Methods for Hidden Markov Models: Theory and Experiments with Perceptron Algorithms</v>
      </c>
      <c r="J449" s="337" t="str">
        <f>'ALL ML SYSTEMS'!J449</f>
        <v>https://dl.acm.org/doi/10.3115/1118693.1118694</v>
      </c>
      <c r="K449" s="338">
        <f>'ALL ML SYSTEMS'!K449</f>
        <v>2582</v>
      </c>
      <c r="L449" s="325" t="str">
        <f>'ALL ML SYSTEMS'!L449</f>
        <v>Highly cited</v>
      </c>
      <c r="M449" s="338" t="str">
        <f>'ALL ML SYSTEMS'!M449</f>
        <v>Yes</v>
      </c>
      <c r="N449" s="338">
        <f>'ALL ML SYSTEMS'!N449</f>
        <v>0</v>
      </c>
      <c r="O449" s="338">
        <f>'ALL ML SYSTEMS'!O449</f>
        <v>0</v>
      </c>
      <c r="P449" s="339">
        <f>'ALL ML SYSTEMS'!P449</f>
        <v>0</v>
      </c>
      <c r="Q449" s="338">
        <f>'ALL ML SYSTEMS'!Q449</f>
        <v>0</v>
      </c>
      <c r="R449" s="325">
        <f>'ALL ML SYSTEMS'!R449</f>
        <v>0</v>
      </c>
      <c r="S449" s="338">
        <f>'ALL ML SYSTEMS'!S449</f>
        <v>0</v>
      </c>
      <c r="T449" s="325">
        <f>'ALL ML SYSTEMS'!T449</f>
        <v>0</v>
      </c>
      <c r="U449" s="325">
        <f>'ALL ML SYSTEMS'!U449</f>
        <v>0</v>
      </c>
      <c r="V449" s="325">
        <f>'ALL ML SYSTEMS'!V449</f>
        <v>0</v>
      </c>
      <c r="W449" s="325">
        <f>'ALL ML SYSTEMS'!W449</f>
        <v>0</v>
      </c>
      <c r="X449" s="325">
        <f>'ALL ML SYSTEMS'!X449</f>
        <v>0</v>
      </c>
      <c r="Y449" s="325">
        <f>'ALL ML SYSTEMS'!Y449</f>
        <v>0</v>
      </c>
      <c r="Z449" s="325">
        <f>'ALL ML SYSTEMS'!Z449</f>
        <v>0</v>
      </c>
      <c r="AA449" s="341" t="str">
        <f>'ALL ML SYSTEMS'!AA449</f>
        <v/>
      </c>
      <c r="AB449" s="325">
        <f>'ALL ML SYSTEMS'!AB449</f>
        <v>0</v>
      </c>
      <c r="AC449" s="325">
        <f>'ALL ML SYSTEMS'!AC449</f>
        <v>0</v>
      </c>
      <c r="AD449" s="325" t="str">
        <f>'ALL ML SYSTEMS'!AD449</f>
        <v>Industry</v>
      </c>
    </row>
    <row r="450" hidden="1" customHeight="1" spans="1:30">
      <c r="A450" s="323">
        <f>'ALL ML SYSTEMS'!A450</f>
        <v>0</v>
      </c>
      <c r="B450" s="323" t="str">
        <f>'ALL ML SYSTEMS'!B450</f>
        <v>Language</v>
      </c>
      <c r="C450" s="323">
        <f>'ALL ML SYSTEMS'!C450</f>
        <v>0</v>
      </c>
      <c r="D450" s="323" t="str">
        <f>'ALL ML SYSTEMS'!D450</f>
        <v>University of Southern California</v>
      </c>
      <c r="E450" s="323" t="str">
        <f>'ALL ML SYSTEMS'!E450</f>
        <v>Industry - Academia Collaboration</v>
      </c>
      <c r="F450" s="323" t="str">
        <f>'ALL ML SYSTEMS'!F450</f>
        <v>Daniel Marcu and William Wong</v>
      </c>
      <c r="G450" s="324">
        <f>'ALL ML SYSTEMS'!G450</f>
        <v>37408</v>
      </c>
      <c r="H450" s="329">
        <f>'ALL ML SYSTEMS'!H450</f>
        <v>7408</v>
      </c>
      <c r="I450" s="323" t="str">
        <f>'ALL ML SYSTEMS'!I450</f>
        <v>A Phrase-Based, Joint Probability Model for Statistical Machine Translation</v>
      </c>
      <c r="J450" s="334" t="str">
        <f>'ALL ML SYSTEMS'!J450</f>
        <v>https://dl.acm.org/doi/10.3115/1118693.1118711</v>
      </c>
      <c r="K450" s="335">
        <f>'ALL ML SYSTEMS'!K450</f>
        <v>623</v>
      </c>
      <c r="L450" s="323">
        <f>'ALL ML SYSTEMS'!L450</f>
        <v>0</v>
      </c>
      <c r="M450" s="335" t="str">
        <f>'ALL ML SYSTEMS'!M450</f>
        <v>No</v>
      </c>
      <c r="N450" s="335">
        <f>'ALL ML SYSTEMS'!N450</f>
        <v>0</v>
      </c>
      <c r="O450" s="335">
        <f>'ALL ML SYSTEMS'!O450</f>
        <v>0</v>
      </c>
      <c r="P450" s="336" t="str">
        <f>'ALL ML SYSTEMS'!P450</f>
        <v>Hansard Corpus</v>
      </c>
      <c r="Q450" s="335">
        <f>'ALL ML SYSTEMS'!Q450</f>
        <v>1073480</v>
      </c>
      <c r="R450" s="323">
        <f>'ALL ML SYSTEMS'!R450</f>
        <v>0</v>
      </c>
      <c r="S450" s="335">
        <f>'ALL ML SYSTEMS'!S450</f>
        <v>0</v>
      </c>
      <c r="T450" s="323">
        <f>'ALL ML SYSTEMS'!T450</f>
        <v>0</v>
      </c>
      <c r="U450" s="323">
        <f>'ALL ML SYSTEMS'!U450</f>
        <v>0</v>
      </c>
      <c r="V450" s="323">
        <f>'ALL ML SYSTEMS'!V450</f>
        <v>0</v>
      </c>
      <c r="W450" s="323">
        <f>'ALL ML SYSTEMS'!W450</f>
        <v>0</v>
      </c>
      <c r="X450" s="323">
        <f>'ALL ML SYSTEMS'!X450</f>
        <v>0</v>
      </c>
      <c r="Y450" s="323">
        <f>'ALL ML SYSTEMS'!Y450</f>
        <v>0</v>
      </c>
      <c r="Z450" s="323">
        <f>'ALL ML SYSTEMS'!Z450</f>
        <v>0</v>
      </c>
      <c r="AA450" s="340" t="str">
        <f>'ALL ML SYSTEMS'!AA450</f>
        <v/>
      </c>
      <c r="AB450" s="323"/>
      <c r="AC450" s="323">
        <f>'ALL ML SYSTEMS'!AB450</f>
        <v>0</v>
      </c>
      <c r="AD450" s="323" t="str">
        <f>'ALL ML SYSTEMS'!AC450</f>
        <v>Statistical Alignment Model</v>
      </c>
    </row>
    <row r="451" customHeight="1" spans="1:30">
      <c r="A451" s="325">
        <f>'ALL ML SYSTEMS'!A451</f>
        <v>0</v>
      </c>
      <c r="B451" s="325">
        <f>'ALL ML SYSTEMS'!B451</f>
        <v>0</v>
      </c>
      <c r="C451" s="325">
        <f>'ALL ML SYSTEMS'!C451</f>
        <v>0</v>
      </c>
      <c r="D451" s="325" t="str">
        <f>'ALL ML SYSTEMS'!D451</f>
        <v>IDSIA Switzerland</v>
      </c>
      <c r="E451" s="325" t="str">
        <f>'ALL ML SYSTEMS'!E451</f>
        <v>Academia</v>
      </c>
      <c r="F451" s="325" t="str">
        <f>'ALL ML SYSTEMS'!F451</f>
        <v>Justin Bayer, Daan Wierstra, Julian Togelius, Jürgen Schmidhuber</v>
      </c>
      <c r="G451" s="326">
        <f>'ALL ML SYSTEMS'!G451</f>
        <v>37408</v>
      </c>
      <c r="H451" s="327">
        <f>'ALL ML SYSTEMS'!H451</f>
        <v>7408</v>
      </c>
      <c r="I451" s="325" t="str">
        <f>'ALL ML SYSTEMS'!I451</f>
        <v>Evolving Neural Networks through Augmenting Topologies </v>
      </c>
      <c r="J451" s="337" t="str">
        <f>'ALL ML SYSTEMS'!J451</f>
        <v>https://direct.mit.edu/evco/article/10/2/99/1123/Evolving-Neural-Networks-through-Augmenting</v>
      </c>
      <c r="K451" s="338">
        <f>'ALL ML SYSTEMS'!K451</f>
        <v>3366</v>
      </c>
      <c r="L451" s="325" t="str">
        <f>'ALL ML SYSTEMS'!L451</f>
        <v>Highly cited</v>
      </c>
      <c r="M451" s="338" t="str">
        <f>'ALL ML SYSTEMS'!M451</f>
        <v>Yes</v>
      </c>
      <c r="N451" s="338">
        <f>'ALL ML SYSTEMS'!N451</f>
        <v>0</v>
      </c>
      <c r="O451" s="338">
        <f>'ALL ML SYSTEMS'!O451</f>
        <v>0</v>
      </c>
      <c r="P451" s="339">
        <f>'ALL ML SYSTEMS'!P451</f>
        <v>0</v>
      </c>
      <c r="Q451" s="338">
        <f>'ALL ML SYSTEMS'!Q451</f>
        <v>0</v>
      </c>
      <c r="R451" s="325">
        <f>'ALL ML SYSTEMS'!R451</f>
        <v>0</v>
      </c>
      <c r="S451" s="338">
        <f>'ALL ML SYSTEMS'!S451</f>
        <v>0</v>
      </c>
      <c r="T451" s="325">
        <f>'ALL ML SYSTEMS'!T451</f>
        <v>0</v>
      </c>
      <c r="U451" s="325">
        <f>'ALL ML SYSTEMS'!U451</f>
        <v>0</v>
      </c>
      <c r="V451" s="325">
        <f>'ALL ML SYSTEMS'!V451</f>
        <v>0</v>
      </c>
      <c r="W451" s="325">
        <f>'ALL ML SYSTEMS'!W451</f>
        <v>0</v>
      </c>
      <c r="X451" s="325">
        <f>'ALL ML SYSTEMS'!X451</f>
        <v>0</v>
      </c>
      <c r="Y451" s="325">
        <f>'ALL ML SYSTEMS'!Y451</f>
        <v>0</v>
      </c>
      <c r="Z451" s="325">
        <f>'ALL ML SYSTEMS'!Z451</f>
        <v>0</v>
      </c>
      <c r="AA451" s="341" t="str">
        <f>'ALL ML SYSTEMS'!AA451</f>
        <v/>
      </c>
      <c r="AB451" s="325">
        <f>'ALL ML SYSTEMS'!AB451</f>
        <v>0</v>
      </c>
      <c r="AC451" s="325">
        <f>'ALL ML SYSTEMS'!AC451</f>
        <v>0</v>
      </c>
      <c r="AD451" s="325" t="str">
        <f>'ALL ML SYSTEMS'!AD451</f>
        <v>Academia</v>
      </c>
    </row>
    <row r="452" customHeight="1" spans="1:30">
      <c r="A452" s="323">
        <f>'ALL ML SYSTEMS'!A452</f>
        <v>0</v>
      </c>
      <c r="B452" s="323" t="str">
        <f>'ALL ML SYSTEMS'!B452</f>
        <v>Language</v>
      </c>
      <c r="C452" s="323" t="str">
        <f>'ALL ML SYSTEMS'!C452</f>
        <v>Translation</v>
      </c>
      <c r="D452" s="323" t="str">
        <f>'ALL ML SYSTEMS'!D452</f>
        <v>RWTH Aachen and University of Southern California</v>
      </c>
      <c r="E452" s="323" t="str">
        <f>'ALL ML SYSTEMS'!E452</f>
        <v>Academia</v>
      </c>
      <c r="F452" s="323" t="str">
        <f>'ALL ML SYSTEMS'!F452</f>
        <v>Franz Josef Och and Hermann Ney</v>
      </c>
      <c r="G452" s="324">
        <f>'ALL ML SYSTEMS'!G452</f>
        <v>37443</v>
      </c>
      <c r="H452" s="329">
        <f>'ALL ML SYSTEMS'!H452</f>
        <v>7443</v>
      </c>
      <c r="I452" s="323" t="str">
        <f>'ALL ML SYSTEMS'!I452</f>
        <v>Discriminative Training and Maximum Entropy Models for Statistical Machine Translation</v>
      </c>
      <c r="J452" s="334" t="str">
        <f>'ALL ML SYSTEMS'!J452</f>
        <v>https://aclanthology.org/P02-1038/</v>
      </c>
      <c r="K452" s="335">
        <f>'ALL ML SYSTEMS'!K452</f>
        <v>1413</v>
      </c>
      <c r="L452" s="323" t="str">
        <f>'ALL ML SYSTEMS'!L452</f>
        <v>Highly cited</v>
      </c>
      <c r="M452" s="335" t="str">
        <f>'ALL ML SYSTEMS'!M452</f>
        <v>Yes</v>
      </c>
      <c r="N452" s="335">
        <f>'ALL ML SYSTEMS'!N452</f>
        <v>0</v>
      </c>
      <c r="O452" s="335">
        <f>'ALL ML SYSTEMS'!O452</f>
        <v>0</v>
      </c>
      <c r="P452" s="336">
        <f>'ALL ML SYSTEMS'!P452</f>
        <v>0</v>
      </c>
      <c r="Q452" s="335">
        <f>'ALL ML SYSTEMS'!Q452</f>
        <v>519523</v>
      </c>
      <c r="R452" s="323">
        <f>'ALL ML SYSTEMS'!R452</f>
        <v>0</v>
      </c>
      <c r="S452" s="335">
        <f>'ALL ML SYSTEMS'!S452</f>
        <v>0</v>
      </c>
      <c r="T452" s="323">
        <f>'ALL ML SYSTEMS'!T452</f>
        <v>0</v>
      </c>
      <c r="U452" s="323">
        <f>'ALL ML SYSTEMS'!U452</f>
        <v>0</v>
      </c>
      <c r="V452" s="323">
        <f>'ALL ML SYSTEMS'!V452</f>
        <v>0</v>
      </c>
      <c r="W452" s="323">
        <f>'ALL ML SYSTEMS'!W452</f>
        <v>0</v>
      </c>
      <c r="X452" s="323">
        <f>'ALL ML SYSTEMS'!X452</f>
        <v>0</v>
      </c>
      <c r="Y452" s="323">
        <f>'ALL ML SYSTEMS'!Y452</f>
        <v>0</v>
      </c>
      <c r="Z452" s="323">
        <f>'ALL ML SYSTEMS'!Z452</f>
        <v>0</v>
      </c>
      <c r="AA452" s="340" t="str">
        <f>'ALL ML SYSTEMS'!AA452</f>
        <v/>
      </c>
      <c r="AB452" s="323">
        <f>'ALL ML SYSTEMS'!AB452</f>
        <v>0</v>
      </c>
      <c r="AC452" s="323">
        <f>'ALL ML SYSTEMS'!AC452</f>
        <v>0</v>
      </c>
      <c r="AD452" s="323" t="str">
        <f>'ALL ML SYSTEMS'!AD452</f>
        <v>Academia</v>
      </c>
    </row>
    <row r="453" customHeight="1" spans="1:30">
      <c r="A453" s="325">
        <f>'ALL ML SYSTEMS'!A453</f>
        <v>0</v>
      </c>
      <c r="B453" s="325" t="str">
        <f>'ALL ML SYSTEMS'!B453</f>
        <v>Language</v>
      </c>
      <c r="C453" s="325">
        <f>'ALL ML SYSTEMS'!C453</f>
        <v>0</v>
      </c>
      <c r="D453" s="325" t="str">
        <f>'ALL ML SYSTEMS'!D453</f>
        <v>IBM TJ Watson Research Centre</v>
      </c>
      <c r="E453" s="325" t="str">
        <f>'ALL ML SYSTEMS'!E453</f>
        <v>Industry</v>
      </c>
      <c r="F453" s="325" t="str">
        <f>'ALL ML SYSTEMS'!F453</f>
        <v>K Papineni, S Roukos, T Ward, WJ Zhu</v>
      </c>
      <c r="G453" s="326">
        <f>'ALL ML SYSTEMS'!G453</f>
        <v>37443</v>
      </c>
      <c r="H453" s="327">
        <f>'ALL ML SYSTEMS'!H453</f>
        <v>7443</v>
      </c>
      <c r="I453" s="325" t="str">
        <f>'ALL ML SYSTEMS'!I453</f>
        <v>Bleu: a method for automatic evaluation of machine translation</v>
      </c>
      <c r="J453" s="337" t="str">
        <f>'ALL ML SYSTEMS'!J453</f>
        <v>https://dl.acm.org/doi/10.3115/1073083.1073135</v>
      </c>
      <c r="K453" s="338">
        <f>'ALL ML SYSTEMS'!K453</f>
        <v>15825</v>
      </c>
      <c r="L453" s="325" t="str">
        <f>'ALL ML SYSTEMS'!L453</f>
        <v>Highly cited</v>
      </c>
      <c r="M453" s="338" t="str">
        <f>'ALL ML SYSTEMS'!M453</f>
        <v>Yes</v>
      </c>
      <c r="N453" s="338">
        <f>'ALL ML SYSTEMS'!N453</f>
        <v>0</v>
      </c>
      <c r="O453" s="338">
        <f>'ALL ML SYSTEMS'!O453</f>
        <v>0</v>
      </c>
      <c r="P453" s="339">
        <f>'ALL ML SYSTEMS'!P453</f>
        <v>0</v>
      </c>
      <c r="Q453" s="338">
        <f>'ALL ML SYSTEMS'!Q453</f>
        <v>0</v>
      </c>
      <c r="R453" s="325">
        <f>'ALL ML SYSTEMS'!R453</f>
        <v>0</v>
      </c>
      <c r="S453" s="338">
        <f>'ALL ML SYSTEMS'!S453</f>
        <v>0</v>
      </c>
      <c r="T453" s="325">
        <f>'ALL ML SYSTEMS'!T453</f>
        <v>0</v>
      </c>
      <c r="U453" s="325">
        <f>'ALL ML SYSTEMS'!U453</f>
        <v>0</v>
      </c>
      <c r="V453" s="325">
        <f>'ALL ML SYSTEMS'!V453</f>
        <v>0</v>
      </c>
      <c r="W453" s="325">
        <f>'ALL ML SYSTEMS'!W453</f>
        <v>0</v>
      </c>
      <c r="X453" s="325">
        <f>'ALL ML SYSTEMS'!X453</f>
        <v>0</v>
      </c>
      <c r="Y453" s="325">
        <f>'ALL ML SYSTEMS'!Y453</f>
        <v>0</v>
      </c>
      <c r="Z453" s="325">
        <f>'ALL ML SYSTEMS'!Z453</f>
        <v>0</v>
      </c>
      <c r="AA453" s="341" t="str">
        <f>'ALL ML SYSTEMS'!AA453</f>
        <v/>
      </c>
      <c r="AB453" s="325">
        <f>'ALL ML SYSTEMS'!AB453</f>
        <v>0</v>
      </c>
      <c r="AC453" s="325">
        <f>'ALL ML SYSTEMS'!AC453</f>
        <v>0</v>
      </c>
      <c r="AD453" s="325" t="str">
        <f>'ALL ML SYSTEMS'!AD453</f>
        <v>Industry</v>
      </c>
    </row>
    <row r="454" hidden="1" customHeight="1" spans="1:30">
      <c r="A454" s="323">
        <f>'ALL ML SYSTEMS'!A454</f>
        <v>0</v>
      </c>
      <c r="B454" s="323">
        <f>'ALL ML SYSTEMS'!B454</f>
        <v>0</v>
      </c>
      <c r="C454" s="323">
        <f>'ALL ML SYSTEMS'!C454</f>
        <v>0</v>
      </c>
      <c r="D454" s="323" t="str">
        <f>'ALL ML SYSTEMS'!D454</f>
        <v>Korea Advanced Institute of Science and Technology</v>
      </c>
      <c r="E454" s="323" t="str">
        <f>'ALL ML SYSTEMS'!E454</f>
        <v>Academia</v>
      </c>
      <c r="F454" s="323" t="str">
        <f>'ALL ML SYSTEMS'!F454</f>
        <v>YH Cho, JK Kim, SH Kim</v>
      </c>
      <c r="G454" s="324">
        <f>'ALL ML SYSTEMS'!G454</f>
        <v>37530</v>
      </c>
      <c r="H454" s="329">
        <f>'ALL ML SYSTEMS'!H454</f>
        <v>7530</v>
      </c>
      <c r="I454" s="323" t="str">
        <f>'ALL ML SYSTEMS'!I454</f>
        <v>A personalized recommender system based on web usage mining and decision tree induction</v>
      </c>
      <c r="J454" s="334" t="str">
        <f>'ALL ML SYSTEMS'!J454</f>
        <v>https://reader.elsevier.com/reader/sd/pii/S0957417402000520?token=155B6D1937982D7D0271AFD1CFB034DFD7F3D1DE816B66C025EBC9D0A305BA6DA685DD62989DC05246C794CAC74CDAEF&amp;originRegion=us-east-1&amp;originCreation=20220325235441</v>
      </c>
      <c r="K454" s="335">
        <f>'ALL ML SYSTEMS'!K454</f>
        <v>656</v>
      </c>
      <c r="L454" s="323">
        <f>'ALL ML SYSTEMS'!L454</f>
        <v>0</v>
      </c>
      <c r="M454" s="335" t="str">
        <f>'ALL ML SYSTEMS'!M454</f>
        <v>No</v>
      </c>
      <c r="N454" s="335">
        <f>'ALL ML SYSTEMS'!N454</f>
        <v>0</v>
      </c>
      <c r="O454" s="335">
        <f>'ALL ML SYSTEMS'!O454</f>
        <v>0</v>
      </c>
      <c r="P454" s="336">
        <f>'ALL ML SYSTEMS'!P454</f>
        <v>0</v>
      </c>
      <c r="Q454" s="335">
        <f>'ALL ML SYSTEMS'!Q454</f>
        <v>0</v>
      </c>
      <c r="R454" s="323">
        <f>'ALL ML SYSTEMS'!R454</f>
        <v>0</v>
      </c>
      <c r="S454" s="335">
        <f>'ALL ML SYSTEMS'!S454</f>
        <v>0</v>
      </c>
      <c r="T454" s="323">
        <f>'ALL ML SYSTEMS'!T454</f>
        <v>0</v>
      </c>
      <c r="U454" s="323">
        <f>'ALL ML SYSTEMS'!U454</f>
        <v>0</v>
      </c>
      <c r="V454" s="323">
        <f>'ALL ML SYSTEMS'!V454</f>
        <v>0</v>
      </c>
      <c r="W454" s="323">
        <f>'ALL ML SYSTEMS'!W454</f>
        <v>0</v>
      </c>
      <c r="X454" s="323">
        <f>'ALL ML SYSTEMS'!X454</f>
        <v>0</v>
      </c>
      <c r="Y454" s="323">
        <f>'ALL ML SYSTEMS'!Y454</f>
        <v>0</v>
      </c>
      <c r="Z454" s="323">
        <f>'ALL ML SYSTEMS'!Z454</f>
        <v>0</v>
      </c>
      <c r="AA454" s="340" t="str">
        <f>'ALL ML SYSTEMS'!AA454</f>
        <v/>
      </c>
      <c r="AB454" s="323"/>
      <c r="AC454" s="323">
        <f>'ALL ML SYSTEMS'!AB454</f>
        <v>0</v>
      </c>
      <c r="AD454" s="323">
        <f>'ALL ML SYSTEMS'!AC454</f>
        <v>0</v>
      </c>
    </row>
    <row r="455" customHeight="1" spans="1:30">
      <c r="A455" s="325" t="str">
        <f>'ALL ML SYSTEMS'!A455</f>
        <v>Decision tree (classification)</v>
      </c>
      <c r="B455" s="325" t="str">
        <f>'ALL ML SYSTEMS'!B455</f>
        <v>Vision</v>
      </c>
      <c r="C455" s="325" t="str">
        <f>'ALL ML SYSTEMS'!C455</f>
        <v>Face recognition</v>
      </c>
      <c r="D455" s="325" t="str">
        <f>'ALL ML SYSTEMS'!D455</f>
        <v>Mitsubishi Electric Research Labs and Compaq CRL</v>
      </c>
      <c r="E455" s="325" t="str">
        <f>'ALL ML SYSTEMS'!E455</f>
        <v>Industry - Academia Collaboration</v>
      </c>
      <c r="F455" s="325" t="str">
        <f>'ALL ML SYSTEMS'!F455</f>
        <v>P. Viola, M. Jones</v>
      </c>
      <c r="G455" s="326">
        <f>'ALL ML SYSTEMS'!G455</f>
        <v>37233</v>
      </c>
      <c r="H455" s="327">
        <f>'ALL ML SYSTEMS'!H455</f>
        <v>7233</v>
      </c>
      <c r="I455" s="325" t="str">
        <f>'ALL ML SYSTEMS'!I455</f>
        <v>Rapid object detection using a boosted cascade of simple features</v>
      </c>
      <c r="J455" s="337" t="str">
        <f>'ALL ML SYSTEMS'!J455</f>
        <v>https://www.cs.cmu.edu/~efros/courses/LBMV07/Papers/viola-cvpr-01.pdf</v>
      </c>
      <c r="K455" s="338">
        <f>'ALL ML SYSTEMS'!K455</f>
        <v>23449</v>
      </c>
      <c r="L455" s="325" t="str">
        <f>'ALL ML SYSTEMS'!L455</f>
        <v>Highly cited</v>
      </c>
      <c r="M455" s="338" t="str">
        <f>'ALL ML SYSTEMS'!M455</f>
        <v>Yes</v>
      </c>
      <c r="N455" s="338">
        <f>'ALL ML SYSTEMS'!N455</f>
        <v>120000000</v>
      </c>
      <c r="O455" s="338">
        <f>'ALL ML SYSTEMS'!O455</f>
        <v>63000000000000</v>
      </c>
      <c r="P455" s="339">
        <f>'ALL ML SYSTEMS'!P455</f>
        <v>0</v>
      </c>
      <c r="Q455" s="338">
        <f>'ALL ML SYSTEMS'!Q455</f>
        <v>14460</v>
      </c>
      <c r="R455" s="325">
        <f>'ALL ML SYSTEMS'!R455</f>
        <v>0</v>
      </c>
      <c r="S455" s="338">
        <f>'ALL ML SYSTEMS'!S455</f>
        <v>67000000</v>
      </c>
      <c r="T455" s="325">
        <f>'ALL ML SYSTEMS'!T455</f>
        <v>0</v>
      </c>
      <c r="U455" s="325">
        <f>'ALL ML SYSTEMS'!U455</f>
        <v>0</v>
      </c>
      <c r="V455" s="325">
        <f>'ALL ML SYSTEMS'!V455</f>
        <v>0</v>
      </c>
      <c r="W455" s="325">
        <f>'ALL ML SYSTEMS'!W455</f>
        <v>0</v>
      </c>
      <c r="X455" s="325">
        <f>'ALL ML SYSTEMS'!X455</f>
        <v>0</v>
      </c>
      <c r="Y455" s="325">
        <f>'ALL ML SYSTEMS'!Y455</f>
        <v>0</v>
      </c>
      <c r="Z455" s="325">
        <f>'ALL ML SYSTEMS'!Z455</f>
        <v>0</v>
      </c>
      <c r="AA455" s="341" t="str">
        <f>'ALL ML SYSTEMS'!AA455</f>
        <v/>
      </c>
      <c r="AB455" s="325">
        <f>'ALL ML SYSTEMS'!AB455</f>
        <v>0</v>
      </c>
      <c r="AC455" s="325">
        <f>'ALL ML SYSTEMS'!AC455</f>
        <v>0</v>
      </c>
      <c r="AD455" s="325" t="str">
        <f>'ALL ML SYSTEMS'!AD455</f>
        <v>Industry</v>
      </c>
    </row>
    <row r="456" hidden="1" customHeight="1" spans="1:30">
      <c r="A456" s="323" t="str">
        <f>'ALL ML SYSTEMS'!A456</f>
        <v>Immediate trihead</v>
      </c>
      <c r="B456" s="323" t="str">
        <f>'ALL ML SYSTEMS'!B456</f>
        <v>Language</v>
      </c>
      <c r="C456" s="323">
        <f>'ALL ML SYSTEMS'!C456</f>
        <v>0</v>
      </c>
      <c r="D456" s="323" t="str">
        <f>'ALL ML SYSTEMS'!D456</f>
        <v>Brown University</v>
      </c>
      <c r="E456" s="323" t="str">
        <f>'ALL ML SYSTEMS'!E456</f>
        <v>Academia</v>
      </c>
      <c r="F456" s="323" t="str">
        <f>'ALL ML SYSTEMS'!F456</f>
        <v>E Charniak</v>
      </c>
      <c r="G456" s="324">
        <f>'ALL ML SYSTEMS'!G456</f>
        <v>37078</v>
      </c>
      <c r="H456" s="329">
        <f>'ALL ML SYSTEMS'!H456</f>
        <v>7078</v>
      </c>
      <c r="I456" s="323" t="str">
        <f>'ALL ML SYSTEMS'!I456</f>
        <v>Immediate-Head Parsing for Language Models</v>
      </c>
      <c r="J456" s="334" t="str">
        <f>'ALL ML SYSTEMS'!J456</f>
        <v>https://dl.acm.org/doi/10.3115/1073012.1073029</v>
      </c>
      <c r="K456" s="335">
        <f>'ALL ML SYSTEMS'!K456</f>
        <v>422</v>
      </c>
      <c r="L456" s="323">
        <f>'ALL ML SYSTEMS'!L456</f>
        <v>0</v>
      </c>
      <c r="M456" s="335" t="str">
        <f>'ALL ML SYSTEMS'!M456</f>
        <v>No</v>
      </c>
      <c r="N456" s="335">
        <f>'ALL ML SYSTEMS'!N456</f>
        <v>0</v>
      </c>
      <c r="O456" s="335">
        <f>'ALL ML SYSTEMS'!O456</f>
        <v>0</v>
      </c>
      <c r="P456" s="336">
        <f>'ALL ML SYSTEMS'!P456</f>
        <v>0</v>
      </c>
      <c r="Q456" s="335">
        <f>'ALL ML SYSTEMS'!Q456</f>
        <v>0</v>
      </c>
      <c r="R456" s="323">
        <f>'ALL ML SYSTEMS'!R456</f>
        <v>0</v>
      </c>
      <c r="S456" s="335">
        <f>'ALL ML SYSTEMS'!S456</f>
        <v>0</v>
      </c>
      <c r="T456" s="323">
        <f>'ALL ML SYSTEMS'!T456</f>
        <v>0</v>
      </c>
      <c r="U456" s="323">
        <f>'ALL ML SYSTEMS'!U456</f>
        <v>0</v>
      </c>
      <c r="V456" s="323">
        <f>'ALL ML SYSTEMS'!V456</f>
        <v>0</v>
      </c>
      <c r="W456" s="323">
        <f>'ALL ML SYSTEMS'!W456</f>
        <v>0</v>
      </c>
      <c r="X456" s="323">
        <f>'ALL ML SYSTEMS'!X456</f>
        <v>0</v>
      </c>
      <c r="Y456" s="323">
        <f>'ALL ML SYSTEMS'!Y456</f>
        <v>0</v>
      </c>
      <c r="Z456" s="323">
        <f>'ALL ML SYSTEMS'!Z456</f>
        <v>0</v>
      </c>
      <c r="AA456" s="340" t="str">
        <f>'ALL ML SYSTEMS'!AA456</f>
        <v/>
      </c>
      <c r="AB456" s="323"/>
      <c r="AC456" s="323">
        <f>'ALL ML SYSTEMS'!AB456</f>
        <v>0</v>
      </c>
      <c r="AD456" s="323">
        <f>'ALL ML SYSTEMS'!AC456</f>
        <v>0</v>
      </c>
    </row>
    <row r="457" customHeight="1" spans="1:30">
      <c r="A457" s="325">
        <f>'ALL ML SYSTEMS'!A457</f>
        <v>0</v>
      </c>
      <c r="B457" s="325">
        <f>'ALL ML SYSTEMS'!B457</f>
        <v>0</v>
      </c>
      <c r="C457" s="325">
        <f>'ALL ML SYSTEMS'!C457</f>
        <v>0</v>
      </c>
      <c r="D457" s="325" t="str">
        <f>'ALL ML SYSTEMS'!D457</f>
        <v>Stanford University</v>
      </c>
      <c r="E457" s="325" t="str">
        <f>'ALL ML SYSTEMS'!E457</f>
        <v>Academia</v>
      </c>
      <c r="F457" s="325" t="str">
        <f>'ALL ML SYSTEMS'!F457</f>
        <v>Jerome H. Friedman</v>
      </c>
      <c r="G457" s="326">
        <f>'ALL ML SYSTEMS'!G457</f>
        <v>37165</v>
      </c>
      <c r="H457" s="327">
        <f>'ALL ML SYSTEMS'!H457</f>
        <v>7165</v>
      </c>
      <c r="I457" s="325" t="str">
        <f>'ALL ML SYSTEMS'!I457</f>
        <v>Greedy function approximation: A gradient boosting machine</v>
      </c>
      <c r="J457" s="337" t="str">
        <f>'ALL ML SYSTEMS'!J457</f>
        <v>https://projecteuclid.org/journals/annals-of-statistics/volume-29/issue-5/Greedy-function-approximation-A-gradient-boostingmachine/10.1214/aos/1013203451.full</v>
      </c>
      <c r="K457" s="338">
        <f>'ALL ML SYSTEMS'!K457</f>
        <v>14291</v>
      </c>
      <c r="L457" s="325" t="str">
        <f>'ALL ML SYSTEMS'!L457</f>
        <v>Highly cited</v>
      </c>
      <c r="M457" s="338" t="str">
        <f>'ALL ML SYSTEMS'!M457</f>
        <v>Yes</v>
      </c>
      <c r="N457" s="338">
        <f>'ALL ML SYSTEMS'!N457</f>
        <v>0</v>
      </c>
      <c r="O457" s="338">
        <f>'ALL ML SYSTEMS'!O457</f>
        <v>0</v>
      </c>
      <c r="P457" s="339">
        <f>'ALL ML SYSTEMS'!P457</f>
        <v>0</v>
      </c>
      <c r="Q457" s="338">
        <f>'ALL ML SYSTEMS'!Q457</f>
        <v>0</v>
      </c>
      <c r="R457" s="325">
        <f>'ALL ML SYSTEMS'!R457</f>
        <v>0</v>
      </c>
      <c r="S457" s="338">
        <f>'ALL ML SYSTEMS'!S457</f>
        <v>0</v>
      </c>
      <c r="T457" s="325">
        <f>'ALL ML SYSTEMS'!T457</f>
        <v>0</v>
      </c>
      <c r="U457" s="325">
        <f>'ALL ML SYSTEMS'!U457</f>
        <v>0</v>
      </c>
      <c r="V457" s="325">
        <f>'ALL ML SYSTEMS'!V457</f>
        <v>0</v>
      </c>
      <c r="W457" s="325">
        <f>'ALL ML SYSTEMS'!W457</f>
        <v>0</v>
      </c>
      <c r="X457" s="325">
        <f>'ALL ML SYSTEMS'!X457</f>
        <v>0</v>
      </c>
      <c r="Y457" s="325">
        <f>'ALL ML SYSTEMS'!Y457</f>
        <v>0</v>
      </c>
      <c r="Z457" s="325">
        <f>'ALL ML SYSTEMS'!Z457</f>
        <v>0</v>
      </c>
      <c r="AA457" s="341" t="str">
        <f>'ALL ML SYSTEMS'!AA457</f>
        <v/>
      </c>
      <c r="AB457" s="325">
        <f>'ALL ML SYSTEMS'!AB457</f>
        <v>0</v>
      </c>
      <c r="AC457" s="325">
        <f>'ALL ML SYSTEMS'!AC457</f>
        <v>0</v>
      </c>
      <c r="AD457" s="325" t="str">
        <f>'ALL ML SYSTEMS'!AD457</f>
        <v>Academia</v>
      </c>
    </row>
    <row r="458" customHeight="1" spans="1:30">
      <c r="A458" s="323">
        <f>'ALL ML SYSTEMS'!A458</f>
        <v>0</v>
      </c>
      <c r="B458" s="323" t="str">
        <f>'ALL ML SYSTEMS'!B458</f>
        <v>Recommendation</v>
      </c>
      <c r="C458" s="323">
        <f>'ALL ML SYSTEMS'!C458</f>
        <v>0</v>
      </c>
      <c r="D458" s="323" t="str">
        <f>'ALL ML SYSTEMS'!D458</f>
        <v>University of Minnesota</v>
      </c>
      <c r="E458" s="323" t="str">
        <f>'ALL ML SYSTEMS'!E458</f>
        <v>Academia</v>
      </c>
      <c r="F458" s="323" t="str">
        <f>'ALL ML SYSTEMS'!F458</f>
        <v>B Sarwar, G Karypis, J Konstan, J Riedl</v>
      </c>
      <c r="G458" s="324">
        <f>'ALL ML SYSTEMS'!G458</f>
        <v>36721</v>
      </c>
      <c r="H458" s="329">
        <f>'ALL ML SYSTEMS'!H458</f>
        <v>6721</v>
      </c>
      <c r="I458" s="323" t="str">
        <f>'ALL ML SYSTEMS'!I458</f>
        <v>Application of Dimensionality Reduction in Recommender System -- A Case Study</v>
      </c>
      <c r="J458" s="334" t="str">
        <f>'ALL ML SYSTEMS'!J458</f>
        <v>http://robotics.stanford.edu/~ronnyk/WEBKDD2000/papers/sarwar.pdf</v>
      </c>
      <c r="K458" s="335">
        <f>'ALL ML SYSTEMS'!K458</f>
        <v>2126</v>
      </c>
      <c r="L458" s="323" t="str">
        <f>'ALL ML SYSTEMS'!L458</f>
        <v>Highly cited</v>
      </c>
      <c r="M458" s="335" t="str">
        <f>'ALL ML SYSTEMS'!M458</f>
        <v>Yes</v>
      </c>
      <c r="N458" s="335">
        <f>'ALL ML SYSTEMS'!N458</f>
        <v>0</v>
      </c>
      <c r="O458" s="335">
        <f>'ALL ML SYSTEMS'!O458</f>
        <v>0</v>
      </c>
      <c r="P458" s="336">
        <f>'ALL ML SYSTEMS'!P458</f>
        <v>0</v>
      </c>
      <c r="Q458" s="335">
        <f>'ALL ML SYSTEMS'!Q458</f>
        <v>0</v>
      </c>
      <c r="R458" s="323">
        <f>'ALL ML SYSTEMS'!R458</f>
        <v>0</v>
      </c>
      <c r="S458" s="335">
        <f>'ALL ML SYSTEMS'!S458</f>
        <v>0</v>
      </c>
      <c r="T458" s="323">
        <f>'ALL ML SYSTEMS'!T458</f>
        <v>0</v>
      </c>
      <c r="U458" s="323">
        <f>'ALL ML SYSTEMS'!U458</f>
        <v>0</v>
      </c>
      <c r="V458" s="323">
        <f>'ALL ML SYSTEMS'!V458</f>
        <v>0</v>
      </c>
      <c r="W458" s="323">
        <f>'ALL ML SYSTEMS'!W458</f>
        <v>0</v>
      </c>
      <c r="X458" s="323">
        <f>'ALL ML SYSTEMS'!X458</f>
        <v>0</v>
      </c>
      <c r="Y458" s="323">
        <f>'ALL ML SYSTEMS'!Y458</f>
        <v>0</v>
      </c>
      <c r="Z458" s="323">
        <f>'ALL ML SYSTEMS'!Z458</f>
        <v>0</v>
      </c>
      <c r="AA458" s="340" t="str">
        <f>'ALL ML SYSTEMS'!AA458</f>
        <v/>
      </c>
      <c r="AB458" s="323">
        <f>'ALL ML SYSTEMS'!AB458</f>
        <v>0</v>
      </c>
      <c r="AC458" s="323">
        <f>'ALL ML SYSTEMS'!AC458</f>
        <v>0</v>
      </c>
      <c r="AD458" s="323" t="str">
        <f>'ALL ML SYSTEMS'!AD458</f>
        <v>Academia</v>
      </c>
    </row>
    <row r="459" hidden="1" customHeight="1" spans="1:30">
      <c r="A459" s="325" t="str">
        <f>'ALL ML SYSTEMS'!A459</f>
        <v>Peephole LSTM</v>
      </c>
      <c r="B459" s="325" t="str">
        <f>'ALL ML SYSTEMS'!B459</f>
        <v>Other</v>
      </c>
      <c r="C459" s="325" t="str">
        <f>'ALL ML SYSTEMS'!C459</f>
        <v>Periodic function approximation</v>
      </c>
      <c r="D459" s="325" t="str">
        <f>'ALL ML SYSTEMS'!D459</f>
        <v>IDSIA Switzerland</v>
      </c>
      <c r="E459" s="325" t="str">
        <f>'ALL ML SYSTEMS'!E459</f>
        <v>Academia</v>
      </c>
      <c r="F459" s="325" t="str">
        <f>'ALL ML SYSTEMS'!F459</f>
        <v>F.A. Gers; J. Schmidhuber</v>
      </c>
      <c r="G459" s="326">
        <f>'ALL ML SYSTEMS'!G459</f>
        <v>36733</v>
      </c>
      <c r="H459" s="327">
        <f>'ALL ML SYSTEMS'!H459</f>
        <v>6733</v>
      </c>
      <c r="I459" s="325" t="str">
        <f>'ALL ML SYSTEMS'!I459</f>
        <v>Recurrent nets that time and count</v>
      </c>
      <c r="J459" s="337" t="str">
        <f>'ALL ML SYSTEMS'!J459</f>
        <v>https://ieeexplore.ieee.org/document/861302</v>
      </c>
      <c r="K459" s="338">
        <f>'ALL ML SYSTEMS'!K459</f>
        <v>630</v>
      </c>
      <c r="L459" s="325">
        <f>'ALL ML SYSTEMS'!L459</f>
        <v>0</v>
      </c>
      <c r="M459" s="338" t="str">
        <f>'ALL ML SYSTEMS'!M459</f>
        <v>No</v>
      </c>
      <c r="N459" s="338">
        <f>'ALL ML SYSTEMS'!N459</f>
        <v>17</v>
      </c>
      <c r="O459" s="338">
        <f>'ALL ML SYSTEMS'!O459</f>
        <v>0</v>
      </c>
      <c r="P459" s="339">
        <f>'ALL ML SYSTEMS'!P459</f>
        <v>0</v>
      </c>
      <c r="Q459" s="338">
        <f>'ALL ML SYSTEMS'!Q459</f>
        <v>64970000</v>
      </c>
      <c r="R459" s="325">
        <f>'ALL ML SYSTEMS'!R459</f>
        <v>0</v>
      </c>
      <c r="S459" s="338">
        <f>'ALL ML SYSTEMS'!S459</f>
        <v>0</v>
      </c>
      <c r="T459" s="325">
        <f>'ALL ML SYSTEMS'!T459</f>
        <v>0</v>
      </c>
      <c r="U459" s="325">
        <f>'ALL ML SYSTEMS'!U459</f>
        <v>0</v>
      </c>
      <c r="V459" s="325">
        <f>'ALL ML SYSTEMS'!V459</f>
        <v>0</v>
      </c>
      <c r="W459" s="325">
        <f>'ALL ML SYSTEMS'!W459</f>
        <v>0</v>
      </c>
      <c r="X459" s="325">
        <f>'ALL ML SYSTEMS'!X459</f>
        <v>0</v>
      </c>
      <c r="Y459" s="325">
        <f>'ALL ML SYSTEMS'!Y459</f>
        <v>0</v>
      </c>
      <c r="Z459" s="325">
        <f>'ALL ML SYSTEMS'!Z459</f>
        <v>0</v>
      </c>
      <c r="AA459" s="341" t="str">
        <f>'ALL ML SYSTEMS'!AA459</f>
        <v/>
      </c>
      <c r="AB459" s="325"/>
      <c r="AC459" s="325">
        <f>'ALL ML SYSTEMS'!AB459</f>
        <v>0</v>
      </c>
      <c r="AD459" s="325">
        <f>'ALL ML SYSTEMS'!AC459</f>
        <v>0</v>
      </c>
    </row>
    <row r="460" customHeight="1" spans="1:30">
      <c r="A460" s="323">
        <f>'ALL ML SYSTEMS'!A460</f>
        <v>0</v>
      </c>
      <c r="B460" s="323" t="str">
        <f>'ALL ML SYSTEMS'!B460</f>
        <v>Language</v>
      </c>
      <c r="C460" s="323">
        <f>'ALL ML SYSTEMS'!C460</f>
        <v>0</v>
      </c>
      <c r="D460" s="323" t="str">
        <f>'ALL ML SYSTEMS'!D460</f>
        <v>University of Rochester</v>
      </c>
      <c r="E460" s="323" t="str">
        <f>'ALL ML SYSTEMS'!E460</f>
        <v>Academia</v>
      </c>
      <c r="F460" s="323" t="str">
        <f>'ALL ML SYSTEMS'!F460</f>
        <v>Daniel Gildea, Daniel Jurafsky</v>
      </c>
      <c r="G460" s="324">
        <f>'ALL ML SYSTEMS'!G460</f>
        <v>36770</v>
      </c>
      <c r="H460" s="329">
        <f>'ALL ML SYSTEMS'!H460</f>
        <v>6770</v>
      </c>
      <c r="I460" s="323" t="str">
        <f>'ALL ML SYSTEMS'!I460</f>
        <v>Automatic Labeling of Semantic Roles</v>
      </c>
      <c r="J460" s="334" t="str">
        <f>'ALL ML SYSTEMS'!J460</f>
        <v>https://dl.acm.org/doi/10.1162/089120102760275983</v>
      </c>
      <c r="K460" s="335">
        <f>'ALL ML SYSTEMS'!K460</f>
        <v>2329</v>
      </c>
      <c r="L460" s="323" t="str">
        <f>'ALL ML SYSTEMS'!L460</f>
        <v>Highly cited</v>
      </c>
      <c r="M460" s="335" t="str">
        <f>'ALL ML SYSTEMS'!M460</f>
        <v>Yes</v>
      </c>
      <c r="N460" s="335">
        <f>'ALL ML SYSTEMS'!N460</f>
        <v>0</v>
      </c>
      <c r="O460" s="335">
        <f>'ALL ML SYSTEMS'!O460</f>
        <v>0</v>
      </c>
      <c r="P460" s="336" t="str">
        <f>'ALL ML SYSTEMS'!P460</f>
        <v>FrameNet</v>
      </c>
      <c r="Q460" s="335">
        <f>'ALL ML SYSTEMS'!Q460</f>
        <v>50000</v>
      </c>
      <c r="R460" s="323">
        <f>'ALL ML SYSTEMS'!R460</f>
        <v>0</v>
      </c>
      <c r="S460" s="335">
        <f>'ALL ML SYSTEMS'!S460</f>
        <v>0</v>
      </c>
      <c r="T460" s="323">
        <f>'ALL ML SYSTEMS'!T460</f>
        <v>0</v>
      </c>
      <c r="U460" s="323">
        <f>'ALL ML SYSTEMS'!U460</f>
        <v>0</v>
      </c>
      <c r="V460" s="323">
        <f>'ALL ML SYSTEMS'!V460</f>
        <v>0</v>
      </c>
      <c r="W460" s="323">
        <f>'ALL ML SYSTEMS'!W460</f>
        <v>0</v>
      </c>
      <c r="X460" s="323">
        <f>'ALL ML SYSTEMS'!X460</f>
        <v>0</v>
      </c>
      <c r="Y460" s="323">
        <f>'ALL ML SYSTEMS'!Y460</f>
        <v>0</v>
      </c>
      <c r="Z460" s="323">
        <f>'ALL ML SYSTEMS'!Z460</f>
        <v>0</v>
      </c>
      <c r="AA460" s="340" t="str">
        <f>'ALL ML SYSTEMS'!AA460</f>
        <v/>
      </c>
      <c r="AB460" s="323">
        <f>'ALL ML SYSTEMS'!AB460</f>
        <v>0</v>
      </c>
      <c r="AC460" s="323">
        <f>'ALL ML SYSTEMS'!AC460</f>
        <v>0</v>
      </c>
      <c r="AD460" s="323" t="str">
        <f>'ALL ML SYSTEMS'!AD460</f>
        <v>Academia</v>
      </c>
    </row>
    <row r="461" customHeight="1" spans="1:30">
      <c r="A461" s="325">
        <f>'ALL ML SYSTEMS'!A461</f>
        <v>0</v>
      </c>
      <c r="B461" s="325" t="str">
        <f>'ALL ML SYSTEMS'!B461</f>
        <v>Language</v>
      </c>
      <c r="C461" s="325">
        <f>'ALL ML SYSTEMS'!C461</f>
        <v>0</v>
      </c>
      <c r="D461" s="325" t="str">
        <f>'ALL ML SYSTEMS'!D461</f>
        <v>RWTH Aachen - University of Technology</v>
      </c>
      <c r="E461" s="325" t="str">
        <f>'ALL ML SYSTEMS'!E461</f>
        <v>Academia</v>
      </c>
      <c r="F461" s="325" t="str">
        <f>'ALL ML SYSTEMS'!F461</f>
        <v>Franz Josef Och, Hermann Ney</v>
      </c>
      <c r="G461" s="326">
        <f>'ALL ML SYSTEMS'!G461</f>
        <v>36802</v>
      </c>
      <c r="H461" s="327">
        <f>'ALL ML SYSTEMS'!H461</f>
        <v>6802</v>
      </c>
      <c r="I461" s="325" t="str">
        <f>'ALL ML SYSTEMS'!I461</f>
        <v>Improved Statistical Alignment Models</v>
      </c>
      <c r="J461" s="337" t="str">
        <f>'ALL ML SYSTEMS'!J461</f>
        <v>https://aclanthology.org/P00-1056/</v>
      </c>
      <c r="K461" s="338">
        <f>'ALL ML SYSTEMS'!K461</f>
        <v>1315</v>
      </c>
      <c r="L461" s="325" t="str">
        <f>'ALL ML SYSTEMS'!L461</f>
        <v>Highly cited</v>
      </c>
      <c r="M461" s="338" t="str">
        <f>'ALL ML SYSTEMS'!M461</f>
        <v>Yes</v>
      </c>
      <c r="N461" s="338">
        <f>'ALL ML SYSTEMS'!N461</f>
        <v>0</v>
      </c>
      <c r="O461" s="338">
        <f>'ALL ML SYSTEMS'!O461</f>
        <v>0</v>
      </c>
      <c r="P461" s="339">
        <f>'ALL ML SYSTEMS'!P461</f>
        <v>0</v>
      </c>
      <c r="Q461" s="338">
        <f>'ALL ML SYSTEMS'!Q461</f>
        <v>0</v>
      </c>
      <c r="R461" s="325">
        <f>'ALL ML SYSTEMS'!R461</f>
        <v>0</v>
      </c>
      <c r="S461" s="338">
        <f>'ALL ML SYSTEMS'!S461</f>
        <v>0</v>
      </c>
      <c r="T461" s="325">
        <f>'ALL ML SYSTEMS'!T461</f>
        <v>0</v>
      </c>
      <c r="U461" s="325">
        <f>'ALL ML SYSTEMS'!U461</f>
        <v>0</v>
      </c>
      <c r="V461" s="325">
        <f>'ALL ML SYSTEMS'!V461</f>
        <v>0</v>
      </c>
      <c r="W461" s="325">
        <f>'ALL ML SYSTEMS'!W461</f>
        <v>0</v>
      </c>
      <c r="X461" s="325">
        <f>'ALL ML SYSTEMS'!X461</f>
        <v>0</v>
      </c>
      <c r="Y461" s="325">
        <f>'ALL ML SYSTEMS'!Y461</f>
        <v>0</v>
      </c>
      <c r="Z461" s="325">
        <f>'ALL ML SYSTEMS'!Z461</f>
        <v>0</v>
      </c>
      <c r="AA461" s="341" t="str">
        <f>'ALL ML SYSTEMS'!AA461</f>
        <v/>
      </c>
      <c r="AB461" s="325">
        <f>'ALL ML SYSTEMS'!AB461</f>
        <v>0</v>
      </c>
      <c r="AC461" s="325" t="str">
        <f>'ALL ML SYSTEMS'!AC461</f>
        <v>Statistical Alignment Model</v>
      </c>
      <c r="AD461" s="325" t="str">
        <f>'ALL ML SYSTEMS'!AD461</f>
        <v>Academia</v>
      </c>
    </row>
    <row r="462" customHeight="1" spans="1:30">
      <c r="A462" s="323" t="str">
        <f>'ALL ML SYSTEMS'!A462</f>
        <v>LSTM with forget gates</v>
      </c>
      <c r="B462" s="323">
        <f>'ALL ML SYSTEMS'!B462</f>
        <v>0</v>
      </c>
      <c r="C462" s="323">
        <f>'ALL ML SYSTEMS'!C462</f>
        <v>0</v>
      </c>
      <c r="D462" s="323" t="str">
        <f>'ALL ML SYSTEMS'!D462</f>
        <v>IDSIA Switzerland</v>
      </c>
      <c r="E462" s="323" t="str">
        <f>'ALL ML SYSTEMS'!E462</f>
        <v>Academia</v>
      </c>
      <c r="F462" s="323" t="str">
        <f>'ALL ML SYSTEMS'!F462</f>
        <v>F. A. Gers, J. Schmidhuber, and F. Cummins</v>
      </c>
      <c r="G462" s="324">
        <f>'ALL ML SYSTEMS'!G462</f>
        <v>36162</v>
      </c>
      <c r="H462" s="329">
        <f>'ALL ML SYSTEMS'!H462</f>
        <v>6162</v>
      </c>
      <c r="I462" s="323" t="str">
        <f>'ALL ML SYSTEMS'!I462</f>
        <v>Learning to forget: Continual prediction with LSTM</v>
      </c>
      <c r="J462" s="334" t="str">
        <f>'ALL ML SYSTEMS'!J462</f>
        <v>https://ieeexplore.ieee.org/document/818041</v>
      </c>
      <c r="K462" s="335">
        <f>'ALL ML SYSTEMS'!K462</f>
        <v>4522</v>
      </c>
      <c r="L462" s="323" t="str">
        <f>'ALL ML SYSTEMS'!L462</f>
        <v>Highly cited</v>
      </c>
      <c r="M462" s="335" t="str">
        <f>'ALL ML SYSTEMS'!M462</f>
        <v>Yes</v>
      </c>
      <c r="N462" s="335">
        <f>'ALL ML SYSTEMS'!N462</f>
        <v>276</v>
      </c>
      <c r="O462" s="335">
        <f>'ALL ML SYSTEMS'!O462</f>
        <v>0</v>
      </c>
      <c r="P462" s="336">
        <f>'ALL ML SYSTEMS'!P462</f>
        <v>0</v>
      </c>
      <c r="Q462" s="335">
        <f>'ALL ML SYSTEMS'!Q462</f>
        <v>30000</v>
      </c>
      <c r="R462" s="323">
        <f>'ALL ML SYSTEMS'!R462</f>
        <v>0</v>
      </c>
      <c r="S462" s="335">
        <f>'ALL ML SYSTEMS'!S462</f>
        <v>0</v>
      </c>
      <c r="T462" s="323">
        <f>'ALL ML SYSTEMS'!T462</f>
        <v>0</v>
      </c>
      <c r="U462" s="323">
        <f>'ALL ML SYSTEMS'!U462</f>
        <v>0</v>
      </c>
      <c r="V462" s="323">
        <f>'ALL ML SYSTEMS'!V462</f>
        <v>0</v>
      </c>
      <c r="W462" s="323">
        <f>'ALL ML SYSTEMS'!W462</f>
        <v>0</v>
      </c>
      <c r="X462" s="323">
        <f>'ALL ML SYSTEMS'!X462</f>
        <v>0</v>
      </c>
      <c r="Y462" s="323">
        <f>'ALL ML SYSTEMS'!Y462</f>
        <v>0</v>
      </c>
      <c r="Z462" s="323">
        <f>'ALL ML SYSTEMS'!Z462</f>
        <v>0</v>
      </c>
      <c r="AA462" s="340" t="str">
        <f>'ALL ML SYSTEMS'!AA462</f>
        <v/>
      </c>
      <c r="AB462" s="323">
        <f>'ALL ML SYSTEMS'!AB462</f>
        <v>0</v>
      </c>
      <c r="AC462" s="323">
        <f>'ALL ML SYSTEMS'!AC462</f>
        <v>0</v>
      </c>
      <c r="AD462" s="323" t="str">
        <f>'ALL ML SYSTEMS'!AD462</f>
        <v>Academia</v>
      </c>
    </row>
    <row r="463" customHeight="1" spans="1:30">
      <c r="A463" s="325" t="str">
        <f>'ALL ML SYSTEMS'!A463</f>
        <v>IBM Model 4</v>
      </c>
      <c r="B463" s="325" t="str">
        <f>'ALL ML SYSTEMS'!B463</f>
        <v>Language</v>
      </c>
      <c r="C463" s="325" t="str">
        <f>'ALL ML SYSTEMS'!C463</f>
        <v>Translation</v>
      </c>
      <c r="D463" s="325" t="str">
        <f>'ALL ML SYSTEMS'!D463</f>
        <v>University of Southern California &amp; IBM &amp; University of Pennsylvania</v>
      </c>
      <c r="E463" s="325" t="str">
        <f>'ALL ML SYSTEMS'!E463</f>
        <v>Industry - Academia Collaboration (Academia leaning)</v>
      </c>
      <c r="F463" s="325" t="str">
        <f>'ALL ML SYSTEMS'!F463</f>
        <v>Yaser Al-Onaizan, Jan Curin, Michael Jahr, Kevin Knight, John Lafferty, Dan Melamed, Franz-Josef Och, David Purdy, Noah A. Smith, and David Yarowsky</v>
      </c>
      <c r="G463" s="326">
        <f>'ALL ML SYSTEMS'!G463</f>
        <v>36343</v>
      </c>
      <c r="H463" s="327">
        <f>'ALL ML SYSTEMS'!H463</f>
        <v>6343</v>
      </c>
      <c r="I463" s="325" t="str">
        <f>'ALL ML SYSTEMS'!I463</f>
        <v>Statistical machine translation</v>
      </c>
      <c r="J463" s="337" t="str">
        <f>'ALL ML SYSTEMS'!J463</f>
        <v>http://www-i6.informatik.rwth-aachen.de/publications/download/266/al-onaizan--1999.pdf</v>
      </c>
      <c r="K463" s="338">
        <f>'ALL ML SYSTEMS'!K463</f>
        <v>1921</v>
      </c>
      <c r="L463" s="325" t="str">
        <f>'ALL ML SYSTEMS'!L463</f>
        <v>Highly cited</v>
      </c>
      <c r="M463" s="338" t="str">
        <f>'ALL ML SYSTEMS'!M463</f>
        <v>Yes</v>
      </c>
      <c r="N463" s="338">
        <f>'ALL ML SYSTEMS'!N463</f>
        <v>0</v>
      </c>
      <c r="O463" s="338">
        <f>'ALL ML SYSTEMS'!O463</f>
        <v>0</v>
      </c>
      <c r="P463" s="339">
        <f>'ALL ML SYSTEMS'!P463</f>
        <v>0</v>
      </c>
      <c r="Q463" s="338">
        <f>'ALL ML SYSTEMS'!Q463</f>
        <v>800000</v>
      </c>
      <c r="R463" s="325">
        <f>'ALL ML SYSTEMS'!R463</f>
        <v>0</v>
      </c>
      <c r="S463" s="338">
        <f>'ALL ML SYSTEMS'!S463</f>
        <v>0</v>
      </c>
      <c r="T463" s="325">
        <f>'ALL ML SYSTEMS'!T463</f>
        <v>0</v>
      </c>
      <c r="U463" s="325">
        <f>'ALL ML SYSTEMS'!U463</f>
        <v>0</v>
      </c>
      <c r="V463" s="325">
        <f>'ALL ML SYSTEMS'!V463</f>
        <v>0</v>
      </c>
      <c r="W463" s="325">
        <f>'ALL ML SYSTEMS'!W463</f>
        <v>0</v>
      </c>
      <c r="X463" s="325">
        <f>'ALL ML SYSTEMS'!X463</f>
        <v>0</v>
      </c>
      <c r="Y463" s="325">
        <f>'ALL ML SYSTEMS'!Y463</f>
        <v>0</v>
      </c>
      <c r="Z463" s="325">
        <f>'ALL ML SYSTEMS'!Z463</f>
        <v>0</v>
      </c>
      <c r="AA463" s="341" t="str">
        <f>'ALL ML SYSTEMS'!AA463</f>
        <v/>
      </c>
      <c r="AB463" s="325">
        <f>'ALL ML SYSTEMS'!AB463</f>
        <v>0</v>
      </c>
      <c r="AC463" s="325">
        <f>'ALL ML SYSTEMS'!AC463</f>
        <v>0</v>
      </c>
      <c r="AD463" s="325" t="str">
        <f>'ALL ML SYSTEMS'!AD463</f>
        <v>Industry</v>
      </c>
    </row>
    <row r="464" customHeight="1" spans="1:30">
      <c r="A464" s="323">
        <f>'ALL ML SYSTEMS'!A464</f>
        <v>0</v>
      </c>
      <c r="B464" s="323" t="str">
        <f>'ALL ML SYSTEMS'!B464</f>
        <v>Vision</v>
      </c>
      <c r="C464" s="323" t="str">
        <f>'ALL ML SYSTEMS'!C464</f>
        <v>Character recognition</v>
      </c>
      <c r="D464" s="323" t="str">
        <f>'ALL ML SYSTEMS'!D464</f>
        <v>University of California San Diego &amp; Shannon Laboratory, AT&amp;T Labs</v>
      </c>
      <c r="E464" s="323" t="str">
        <f>'ALL ML SYSTEMS'!E464</f>
        <v>Industry</v>
      </c>
      <c r="F464" s="323" t="str">
        <f>'ALL ML SYSTEMS'!F464</f>
        <v>Yoav Freund &amp; Robert E. Schapire</v>
      </c>
      <c r="G464" s="324">
        <f>'ALL ML SYSTEMS'!G464</f>
        <v>36495</v>
      </c>
      <c r="H464" s="329">
        <f>'ALL ML SYSTEMS'!H464</f>
        <v>6495</v>
      </c>
      <c r="I464" s="323" t="str">
        <f>'ALL ML SYSTEMS'!I464</f>
        <v>Large Margin Classification Using the Perceptron Algorithm</v>
      </c>
      <c r="J464" s="334" t="str">
        <f>'ALL ML SYSTEMS'!J464</f>
        <v>https://link.springer.com/article/10.1023/A:1007662407062</v>
      </c>
      <c r="K464" s="335">
        <f>'ALL ML SYSTEMS'!K464</f>
        <v>1731</v>
      </c>
      <c r="L464" s="323" t="str">
        <f>'ALL ML SYSTEMS'!L464</f>
        <v>Highly cited</v>
      </c>
      <c r="M464" s="335" t="str">
        <f>'ALL ML SYSTEMS'!M464</f>
        <v>Yes</v>
      </c>
      <c r="N464" s="335">
        <f>'ALL ML SYSTEMS'!N464</f>
        <v>0</v>
      </c>
      <c r="O464" s="335">
        <f>'ALL ML SYSTEMS'!O464</f>
        <v>0</v>
      </c>
      <c r="P464" s="336" t="str">
        <f>'ALL ML SYSTEMS'!P464</f>
        <v>MNIST</v>
      </c>
      <c r="Q464" s="335">
        <f>'ALL ML SYSTEMS'!Q464</f>
        <v>60000</v>
      </c>
      <c r="R464" s="323">
        <f>'ALL ML SYSTEMS'!R464</f>
        <v>0</v>
      </c>
      <c r="S464" s="335">
        <f>'ALL ML SYSTEMS'!S464</f>
        <v>0</v>
      </c>
      <c r="T464" s="323">
        <f>'ALL ML SYSTEMS'!T464</f>
        <v>0</v>
      </c>
      <c r="U464" s="323">
        <f>'ALL ML SYSTEMS'!U464</f>
        <v>0</v>
      </c>
      <c r="V464" s="323">
        <f>'ALL ML SYSTEMS'!V464</f>
        <v>0</v>
      </c>
      <c r="W464" s="323">
        <f>'ALL ML SYSTEMS'!W464</f>
        <v>0</v>
      </c>
      <c r="X464" s="323">
        <f>'ALL ML SYSTEMS'!X464</f>
        <v>0</v>
      </c>
      <c r="Y464" s="323">
        <f>'ALL ML SYSTEMS'!Y464</f>
        <v>0</v>
      </c>
      <c r="Z464" s="323">
        <f>'ALL ML SYSTEMS'!Z464</f>
        <v>0</v>
      </c>
      <c r="AA464" s="340" t="str">
        <f>'ALL ML SYSTEMS'!AA464</f>
        <v/>
      </c>
      <c r="AB464" s="323">
        <f>'ALL ML SYSTEMS'!AB464</f>
        <v>0</v>
      </c>
      <c r="AC464" s="323">
        <f>'ALL ML SYSTEMS'!AC464</f>
        <v>0</v>
      </c>
      <c r="AD464" s="323" t="str">
        <f>'ALL ML SYSTEMS'!AD464</f>
        <v>Industry</v>
      </c>
    </row>
    <row r="465" customHeight="1" spans="1:30">
      <c r="A465" s="325" t="str">
        <f>'ALL ML SYSTEMS'!A465</f>
        <v>LeNet-5</v>
      </c>
      <c r="B465" s="325" t="str">
        <f>'ALL ML SYSTEMS'!B465</f>
        <v>Vision</v>
      </c>
      <c r="C465" s="325" t="str">
        <f>'ALL ML SYSTEMS'!C465</f>
        <v>Character recognition</v>
      </c>
      <c r="D465" s="325" t="str">
        <f>'ALL ML SYSTEMS'!D465</f>
        <v>AT&amp;T Labs</v>
      </c>
      <c r="E465" s="325" t="str">
        <f>'ALL ML SYSTEMS'!E465</f>
        <v>Industry - Academia Collaboration (Industry leaning)</v>
      </c>
      <c r="F465" s="325" t="str">
        <f>'ALL ML SYSTEMS'!F465</f>
        <v>Yann LeCun, Léon Bottou, Yoshua Bengio, Patrick Haffner</v>
      </c>
      <c r="G465" s="326">
        <f>'ALL ML SYSTEMS'!G465</f>
        <v>36100</v>
      </c>
      <c r="H465" s="327">
        <f>'ALL ML SYSTEMS'!H465</f>
        <v>6100</v>
      </c>
      <c r="I465" s="325" t="str">
        <f>'ALL ML SYSTEMS'!I465</f>
        <v>Gradient-based Learning Applied to Document Recognition</v>
      </c>
      <c r="J465" s="337" t="str">
        <f>'ALL ML SYSTEMS'!J465</f>
        <v>http://vision.stanford.edu/cs598_spring07/papers/Lecun98.pdf</v>
      </c>
      <c r="K465" s="338">
        <f>'ALL ML SYSTEMS'!K465</f>
        <v>38581</v>
      </c>
      <c r="L465" s="325" t="str">
        <f>'ALL ML SYSTEMS'!L465</f>
        <v>Historical relevance</v>
      </c>
      <c r="M465" s="338" t="str">
        <f>'ALL ML SYSTEMS'!M465</f>
        <v>Yes</v>
      </c>
      <c r="N465" s="338">
        <f>'ALL ML SYSTEMS'!N465</f>
        <v>60000</v>
      </c>
      <c r="O465" s="338">
        <f>'ALL ML SYSTEMS'!O465</f>
        <v>2810937600000</v>
      </c>
      <c r="P465" s="339" t="str">
        <f>'ALL ML SYSTEMS'!P465</f>
        <v>MNIST</v>
      </c>
      <c r="Q465" s="338">
        <f>'ALL ML SYSTEMS'!Q465</f>
        <v>60000</v>
      </c>
      <c r="R465" s="325">
        <f>'ALL ML SYSTEMS'!R465</f>
        <v>6</v>
      </c>
      <c r="S465" s="338">
        <f>'ALL ML SYSTEMS'!S465</f>
        <v>780816</v>
      </c>
      <c r="T465" s="325">
        <f>'ALL ML SYSTEMS'!T465</f>
        <v>0</v>
      </c>
      <c r="U465" s="325">
        <f>'ALL ML SYSTEMS'!U465</f>
        <v>0</v>
      </c>
      <c r="V465" s="325">
        <f>'ALL ML SYSTEMS'!V465</f>
        <v>0</v>
      </c>
      <c r="W465" s="325">
        <f>'ALL ML SYSTEMS'!W465</f>
        <v>0.021</v>
      </c>
      <c r="X465" s="325">
        <f>'ALL ML SYSTEMS'!X465</f>
        <v>0</v>
      </c>
      <c r="Y465" s="325">
        <f>'ALL ML SYSTEMS'!Y465</f>
        <v>0</v>
      </c>
      <c r="Z465" s="325">
        <f>'ALL ML SYSTEMS'!Z465</f>
        <v>0</v>
      </c>
      <c r="AA465" s="341" t="str">
        <f>'ALL ML SYSTEMS'!AA465</f>
        <v/>
      </c>
      <c r="AB465" s="325">
        <f>'ALL ML SYSTEMS'!AB465</f>
        <v>0</v>
      </c>
      <c r="AC465" s="325">
        <f>'ALL ML SYSTEMS'!AC465</f>
        <v>0</v>
      </c>
      <c r="AD465" s="325" t="str">
        <f>'ALL ML SYSTEMS'!AD465</f>
        <v>Industry</v>
      </c>
    </row>
    <row r="466" hidden="1" customHeight="1" spans="1:30">
      <c r="A466" s="323" t="str">
        <f>'ALL ML SYSTEMS'!A466</f>
        <v>RNN for speech</v>
      </c>
      <c r="B466" s="323" t="str">
        <f>'ALL ML SYSTEMS'!B466</f>
        <v>Speech</v>
      </c>
      <c r="C466" s="323" t="str">
        <f>'ALL ML SYSTEMS'!C466</f>
        <v>Speech synthesis</v>
      </c>
      <c r="D466" s="323" t="str">
        <f>'ALL ML SYSTEMS'!D466</f>
        <v>National Chiao Tung University</v>
      </c>
      <c r="E466" s="323" t="str">
        <f>'ALL ML SYSTEMS'!E466</f>
        <v>Academia</v>
      </c>
      <c r="F466" s="323" t="str">
        <f>'ALL ML SYSTEMS'!F466</f>
        <v>SH Chen, SH Hwang, YR Wang</v>
      </c>
      <c r="G466" s="324">
        <f>'ALL ML SYSTEMS'!G466</f>
        <v>35930</v>
      </c>
      <c r="H466" s="329">
        <f>'ALL ML SYSTEMS'!H466</f>
        <v>5930</v>
      </c>
      <c r="I466" s="323" t="str">
        <f>'ALL ML SYSTEMS'!I466</f>
        <v>An RNN-based prosodic information synthesizer for Mandarin text-to-speech</v>
      </c>
      <c r="J466" s="334" t="str">
        <f>'ALL ML SYSTEMS'!J466</f>
        <v>https://ieeexplore.ieee.org/abstract/document/668817</v>
      </c>
      <c r="K466" s="335">
        <f>'ALL ML SYSTEMS'!K466</f>
        <v>231</v>
      </c>
      <c r="L466" s="323">
        <f>'ALL ML SYSTEMS'!L466</f>
        <v>0</v>
      </c>
      <c r="M466" s="335" t="str">
        <f>'ALL ML SYSTEMS'!M466</f>
        <v>No</v>
      </c>
      <c r="N466" s="335">
        <f>'ALL ML SYSTEMS'!N466</f>
        <v>7512</v>
      </c>
      <c r="O466" s="335">
        <f>'ALL ML SYSTEMS'!O466</f>
        <v>226690156032.018</v>
      </c>
      <c r="P466" s="336">
        <f>'ALL ML SYSTEMS'!P466</f>
        <v>0</v>
      </c>
      <c r="Q466" s="335">
        <f>'ALL ML SYSTEMS'!Q466</f>
        <v>14095.5</v>
      </c>
      <c r="R466" s="323">
        <f>'ALL ML SYSTEMS'!R466</f>
        <v>0</v>
      </c>
      <c r="S466" s="335">
        <f>'ALL ML SYSTEMS'!S466</f>
        <v>0</v>
      </c>
      <c r="T466" s="323">
        <f>'ALL ML SYSTEMS'!T466</f>
        <v>0</v>
      </c>
      <c r="U466" s="323">
        <f>'ALL ML SYSTEMS'!U466</f>
        <v>0</v>
      </c>
      <c r="V466" s="323">
        <f>'ALL ML SYSTEMS'!V466</f>
        <v>0</v>
      </c>
      <c r="W466" s="323">
        <f>'ALL ML SYSTEMS'!W466</f>
        <v>0</v>
      </c>
      <c r="X466" s="323">
        <f>'ALL ML SYSTEMS'!X466</f>
        <v>0</v>
      </c>
      <c r="Y466" s="323">
        <f>'ALL ML SYSTEMS'!Y466</f>
        <v>0</v>
      </c>
      <c r="Z466" s="323">
        <f>'ALL ML SYSTEMS'!Z466</f>
        <v>0</v>
      </c>
      <c r="AA466" s="340" t="str">
        <f>'ALL ML SYSTEMS'!AA466</f>
        <v/>
      </c>
      <c r="AB466" s="323"/>
      <c r="AC466" s="323">
        <f>'ALL ML SYSTEMS'!AB466</f>
        <v>0</v>
      </c>
      <c r="AD466" s="323">
        <f>'ALL ML SYSTEMS'!AC466</f>
        <v>0</v>
      </c>
    </row>
    <row r="467" customHeight="1" spans="1:30">
      <c r="A467" s="325">
        <f>'ALL ML SYSTEMS'!A467</f>
        <v>0</v>
      </c>
      <c r="B467" s="325" t="str">
        <f>'ALL ML SYSTEMS'!B467</f>
        <v>Speech</v>
      </c>
      <c r="C467" s="325">
        <f>'ALL ML SYSTEMS'!C467</f>
        <v>0</v>
      </c>
      <c r="D467" s="325" t="str">
        <f>'ALL ML SYSTEMS'!D467</f>
        <v>Johns Hopkins University</v>
      </c>
      <c r="E467" s="325" t="str">
        <f>'ALL ML SYSTEMS'!E467</f>
        <v>Academia</v>
      </c>
      <c r="F467" s="325" t="str">
        <f>'ALL ML SYSTEMS'!F467</f>
        <v>F Jelinek</v>
      </c>
      <c r="G467" s="326">
        <f>'ALL ML SYSTEMS'!G467</f>
        <v>35810</v>
      </c>
      <c r="H467" s="327">
        <f>'ALL ML SYSTEMS'!H467</f>
        <v>5810</v>
      </c>
      <c r="I467" s="325" t="str">
        <f>'ALL ML SYSTEMS'!I467</f>
        <v>Statistical Methods for Speech Recognition</v>
      </c>
      <c r="J467" s="337" t="str">
        <f>'ALL ML SYSTEMS'!J467</f>
        <v>https://mitpress.mit.edu/books/statistical-methods-speech-recognition</v>
      </c>
      <c r="K467" s="338">
        <f>'ALL ML SYSTEMS'!K467</f>
        <v>3058</v>
      </c>
      <c r="L467" s="325" t="str">
        <f>'ALL ML SYSTEMS'!L467</f>
        <v>Highly cited</v>
      </c>
      <c r="M467" s="338" t="str">
        <f>'ALL ML SYSTEMS'!M467</f>
        <v>Yes</v>
      </c>
      <c r="N467" s="338">
        <f>'ALL ML SYSTEMS'!N467</f>
        <v>0</v>
      </c>
      <c r="O467" s="338">
        <f>'ALL ML SYSTEMS'!O467</f>
        <v>0</v>
      </c>
      <c r="P467" s="339">
        <f>'ALL ML SYSTEMS'!P467</f>
        <v>0</v>
      </c>
      <c r="Q467" s="338">
        <f>'ALL ML SYSTEMS'!Q467</f>
        <v>0</v>
      </c>
      <c r="R467" s="325">
        <f>'ALL ML SYSTEMS'!R467</f>
        <v>0</v>
      </c>
      <c r="S467" s="338">
        <f>'ALL ML SYSTEMS'!S467</f>
        <v>0</v>
      </c>
      <c r="T467" s="325">
        <f>'ALL ML SYSTEMS'!T467</f>
        <v>0</v>
      </c>
      <c r="U467" s="325">
        <f>'ALL ML SYSTEMS'!U467</f>
        <v>0</v>
      </c>
      <c r="V467" s="325">
        <f>'ALL ML SYSTEMS'!V467</f>
        <v>0</v>
      </c>
      <c r="W467" s="325">
        <f>'ALL ML SYSTEMS'!W467</f>
        <v>0</v>
      </c>
      <c r="X467" s="325">
        <f>'ALL ML SYSTEMS'!X467</f>
        <v>0</v>
      </c>
      <c r="Y467" s="325">
        <f>'ALL ML SYSTEMS'!Y467</f>
        <v>0</v>
      </c>
      <c r="Z467" s="325">
        <f>'ALL ML SYSTEMS'!Z467</f>
        <v>0</v>
      </c>
      <c r="AA467" s="341" t="str">
        <f>'ALL ML SYSTEMS'!AA467</f>
        <v/>
      </c>
      <c r="AB467" s="325">
        <f>'ALL ML SYSTEMS'!AB467</f>
        <v>0</v>
      </c>
      <c r="AC467" s="325">
        <f>'ALL ML SYSTEMS'!AC467</f>
        <v>0</v>
      </c>
      <c r="AD467" s="325" t="str">
        <f>'ALL ML SYSTEMS'!AD467</f>
        <v>Academia</v>
      </c>
    </row>
    <row r="468" hidden="1" customHeight="1" spans="1:30">
      <c r="A468" s="323">
        <f>'ALL ML SYSTEMS'!A468</f>
        <v>0</v>
      </c>
      <c r="B468" s="323" t="str">
        <f>'ALL ML SYSTEMS'!B468</f>
        <v>Vision</v>
      </c>
      <c r="C468" s="323" t="str">
        <f>'ALL ML SYSTEMS'!C468</f>
        <v>Face recognition</v>
      </c>
      <c r="D468" s="323" t="str">
        <f>'ALL ML SYSTEMS'!D468</f>
        <v>Carnegie Mellon University</v>
      </c>
      <c r="E468" s="323" t="str">
        <f>'ALL ML SYSTEMS'!E468</f>
        <v>Academia</v>
      </c>
      <c r="F468" s="323" t="str">
        <f>'ALL ML SYSTEMS'!F468</f>
        <v>H Schneiderman, T Kanade</v>
      </c>
      <c r="G468" s="324">
        <f>'ALL ML SYSTEMS'!G468</f>
        <v>35969</v>
      </c>
      <c r="H468" s="329">
        <f>'ALL ML SYSTEMS'!H468</f>
        <v>5969</v>
      </c>
      <c r="I468" s="323" t="str">
        <f>'ALL ML SYSTEMS'!I468</f>
        <v>Probabilistic modeling of local appearance and spatial relationships for object recognition</v>
      </c>
      <c r="J468" s="334" t="str">
        <f>'ALL ML SYSTEMS'!J468</f>
        <v>https://ieeexplore.ieee.org/document/698586</v>
      </c>
      <c r="K468" s="335">
        <f>'ALL ML SYSTEMS'!K468</f>
        <v>602</v>
      </c>
      <c r="L468" s="323">
        <f>'ALL ML SYSTEMS'!L468</f>
        <v>0</v>
      </c>
      <c r="M468" s="335" t="str">
        <f>'ALL ML SYSTEMS'!M468</f>
        <v>No</v>
      </c>
      <c r="N468" s="335">
        <f>'ALL ML SYSTEMS'!N468</f>
        <v>0</v>
      </c>
      <c r="O468" s="335">
        <f>'ALL ML SYSTEMS'!O468</f>
        <v>0</v>
      </c>
      <c r="P468" s="336">
        <f>'ALL ML SYSTEMS'!P468</f>
        <v>0</v>
      </c>
      <c r="Q468" s="335">
        <f>'ALL ML SYSTEMS'!Q468</f>
        <v>120472</v>
      </c>
      <c r="R468" s="323">
        <f>'ALL ML SYSTEMS'!R468</f>
        <v>0</v>
      </c>
      <c r="S468" s="335">
        <f>'ALL ML SYSTEMS'!S468</f>
        <v>0</v>
      </c>
      <c r="T468" s="323">
        <f>'ALL ML SYSTEMS'!T468</f>
        <v>0</v>
      </c>
      <c r="U468" s="323">
        <f>'ALL ML SYSTEMS'!U468</f>
        <v>0</v>
      </c>
      <c r="V468" s="323">
        <f>'ALL ML SYSTEMS'!V468</f>
        <v>0</v>
      </c>
      <c r="W468" s="323">
        <f>'ALL ML SYSTEMS'!W468</f>
        <v>0</v>
      </c>
      <c r="X468" s="323">
        <f>'ALL ML SYSTEMS'!X468</f>
        <v>0</v>
      </c>
      <c r="Y468" s="323">
        <f>'ALL ML SYSTEMS'!Y468</f>
        <v>0</v>
      </c>
      <c r="Z468" s="323">
        <f>'ALL ML SYSTEMS'!Z468</f>
        <v>0</v>
      </c>
      <c r="AA468" s="340" t="str">
        <f>'ALL ML SYSTEMS'!AA468</f>
        <v/>
      </c>
      <c r="AB468" s="323"/>
      <c r="AC468" s="323">
        <f>'ALL ML SYSTEMS'!AB468</f>
        <v>0</v>
      </c>
      <c r="AD468" s="323">
        <f>'ALL ML SYSTEMS'!AC468</f>
        <v>0</v>
      </c>
    </row>
    <row r="469" customHeight="1" spans="1:30">
      <c r="A469" s="325">
        <f>'ALL ML SYSTEMS'!A469</f>
        <v>0</v>
      </c>
      <c r="B469" s="325" t="str">
        <f>'ALL ML SYSTEMS'!B469</f>
        <v>Other</v>
      </c>
      <c r="C469" s="325" t="str">
        <f>'ALL ML SYSTEMS'!C469</f>
        <v>Recommender system</v>
      </c>
      <c r="D469" s="325" t="str">
        <f>'ALL ML SYSTEMS'!D469</f>
        <v>AT&amp;T Labs and Rutgers University and Bell Communications Research</v>
      </c>
      <c r="E469" s="325" t="str">
        <f>'ALL ML SYSTEMS'!E469</f>
        <v>Industry - Academia Collaboration</v>
      </c>
      <c r="F469" s="325" t="str">
        <f>'ALL ML SYSTEMS'!F469</f>
        <v>C Basu, H Hirsh, W Cohen</v>
      </c>
      <c r="G469" s="326">
        <f>'ALL ML SYSTEMS'!G469</f>
        <v>35977</v>
      </c>
      <c r="H469" s="327">
        <f>'ALL ML SYSTEMS'!H469</f>
        <v>5977</v>
      </c>
      <c r="I469" s="325" t="str">
        <f>'ALL ML SYSTEMS'!I469</f>
        <v>Recommendation as Classification : Using Social and Content-based Information in Recommendation</v>
      </c>
      <c r="J469" s="337" t="str">
        <f>'ALL ML SYSTEMS'!J469</f>
        <v>https://www.aaai.org/Papers/AAAI/1998/AAAI98-101.pdf</v>
      </c>
      <c r="K469" s="338">
        <f>'ALL ML SYSTEMS'!K469</f>
        <v>1564</v>
      </c>
      <c r="L469" s="325" t="str">
        <f>'ALL ML SYSTEMS'!L469</f>
        <v>Highly cited</v>
      </c>
      <c r="M469" s="338" t="str">
        <f>'ALL ML SYSTEMS'!M469</f>
        <v>Yes</v>
      </c>
      <c r="N469" s="338">
        <f>'ALL ML SYSTEMS'!N469</f>
        <v>0</v>
      </c>
      <c r="O469" s="338">
        <f>'ALL ML SYSTEMS'!O469</f>
        <v>0</v>
      </c>
      <c r="P469" s="339">
        <f>'ALL ML SYSTEMS'!P469</f>
        <v>0</v>
      </c>
      <c r="Q469" s="338">
        <f>'ALL ML SYSTEMS'!Q469</f>
        <v>45000</v>
      </c>
      <c r="R469" s="325">
        <f>'ALL ML SYSTEMS'!R469</f>
        <v>0</v>
      </c>
      <c r="S469" s="338">
        <f>'ALL ML SYSTEMS'!S469</f>
        <v>0</v>
      </c>
      <c r="T469" s="325">
        <f>'ALL ML SYSTEMS'!T469</f>
        <v>0</v>
      </c>
      <c r="U469" s="325">
        <f>'ALL ML SYSTEMS'!U469</f>
        <v>0</v>
      </c>
      <c r="V469" s="325">
        <f>'ALL ML SYSTEMS'!V469</f>
        <v>0</v>
      </c>
      <c r="W469" s="325">
        <f>'ALL ML SYSTEMS'!W469</f>
        <v>0</v>
      </c>
      <c r="X469" s="325">
        <f>'ALL ML SYSTEMS'!X469</f>
        <v>0</v>
      </c>
      <c r="Y469" s="325">
        <f>'ALL ML SYSTEMS'!Y469</f>
        <v>0</v>
      </c>
      <c r="Z469" s="325">
        <f>'ALL ML SYSTEMS'!Z469</f>
        <v>0</v>
      </c>
      <c r="AA469" s="341" t="str">
        <f>'ALL ML SYSTEMS'!AA469</f>
        <v/>
      </c>
      <c r="AB469" s="325">
        <f>'ALL ML SYSTEMS'!AB469</f>
        <v>0</v>
      </c>
      <c r="AC469" s="325">
        <f>'ALL ML SYSTEMS'!AC469</f>
        <v>0</v>
      </c>
      <c r="AD469" s="325" t="str">
        <f>'ALL ML SYSTEMS'!AD469</f>
        <v>Industry</v>
      </c>
    </row>
    <row r="470" customHeight="1" spans="1:30">
      <c r="A470" s="323" t="str">
        <f>'ALL ML SYSTEMS'!A470</f>
        <v>LSTM</v>
      </c>
      <c r="B470" s="323" t="str">
        <f>'ALL ML SYSTEMS'!B470</f>
        <v>Other</v>
      </c>
      <c r="C470" s="323" t="str">
        <f>'ALL ML SYSTEMS'!C470</f>
        <v>Sequence recognition (?)</v>
      </c>
      <c r="D470" s="323" t="str">
        <f>'ALL ML SYSTEMS'!D470</f>
        <v>The Technical University of Munich</v>
      </c>
      <c r="E470" s="323" t="str">
        <f>'ALL ML SYSTEMS'!E470</f>
        <v>Academia</v>
      </c>
      <c r="F470" s="323" t="str">
        <f>'ALL ML SYSTEMS'!F470</f>
        <v>Sepp Hochreiter ; Jurgen Schmidhuber</v>
      </c>
      <c r="G470" s="324">
        <f>'ALL ML SYSTEMS'!G470</f>
        <v>35749</v>
      </c>
      <c r="H470" s="329">
        <f>'ALL ML SYSTEMS'!H470</f>
        <v>5749</v>
      </c>
      <c r="I470" s="323" t="str">
        <f>'ALL ML SYSTEMS'!I470</f>
        <v>Long short-term memory</v>
      </c>
      <c r="J470" s="334" t="str">
        <f>'ALL ML SYSTEMS'!J470</f>
        <v>https://direct.mit.edu/neco/article-abstract/9/8/1735/6109/Long-Short-Term-Memory?redirectedFrom=fulltext</v>
      </c>
      <c r="K470" s="335">
        <f>'ALL ML SYSTEMS'!K470</f>
        <v>51992</v>
      </c>
      <c r="L470" s="323" t="str">
        <f>'ALL ML SYSTEMS'!L470</f>
        <v>Highly cited</v>
      </c>
      <c r="M470" s="335" t="str">
        <f>'ALL ML SYSTEMS'!M470</f>
        <v>Yes</v>
      </c>
      <c r="N470" s="335">
        <f>'ALL ML SYSTEMS'!N470</f>
        <v>10504</v>
      </c>
      <c r="O470" s="335">
        <f>'ALL ML SYSTEMS'!O470</f>
        <v>21008000000000</v>
      </c>
      <c r="P470" s="336">
        <f>'ALL ML SYSTEMS'!P470</f>
        <v>0</v>
      </c>
      <c r="Q470" s="335">
        <f>'ALL ML SYSTEMS'!Q470</f>
        <v>1273000</v>
      </c>
      <c r="R470" s="323">
        <f>'ALL ML SYSTEMS'!R470</f>
        <v>0</v>
      </c>
      <c r="S470" s="335">
        <f>'ALL ML SYSTEMS'!S470</f>
        <v>42016</v>
      </c>
      <c r="T470" s="323">
        <f>'ALL ML SYSTEMS'!T470</f>
        <v>0</v>
      </c>
      <c r="U470" s="323">
        <f>'ALL ML SYSTEMS'!U470</f>
        <v>0</v>
      </c>
      <c r="V470" s="323">
        <f>'ALL ML SYSTEMS'!V470</f>
        <v>0</v>
      </c>
      <c r="W470" s="323">
        <f>'ALL ML SYSTEMS'!W470</f>
        <v>0</v>
      </c>
      <c r="X470" s="323">
        <f>'ALL ML SYSTEMS'!X470</f>
        <v>0</v>
      </c>
      <c r="Y470" s="323">
        <f>'ALL ML SYSTEMS'!Y470</f>
        <v>0</v>
      </c>
      <c r="Z470" s="323">
        <f>'ALL ML SYSTEMS'!Z470</f>
        <v>0</v>
      </c>
      <c r="AA470" s="340" t="str">
        <f>'ALL ML SYSTEMS'!AA470</f>
        <v/>
      </c>
      <c r="AB470" s="323">
        <f>'ALL ML SYSTEMS'!AB470</f>
        <v>0</v>
      </c>
      <c r="AC470" s="323">
        <f>'ALL ML SYSTEMS'!AC470</f>
        <v>0</v>
      </c>
      <c r="AD470" s="323" t="str">
        <f>'ALL ML SYSTEMS'!AD470</f>
        <v>Academia</v>
      </c>
    </row>
    <row r="471" customHeight="1" spans="1:30">
      <c r="A471" s="325">
        <f>'ALL ML SYSTEMS'!A471</f>
        <v>0</v>
      </c>
      <c r="B471" s="325" t="str">
        <f>'ALL ML SYSTEMS'!B471</f>
        <v>Vision</v>
      </c>
      <c r="C471" s="325">
        <f>'ALL ML SYSTEMS'!C471</f>
        <v>0</v>
      </c>
      <c r="D471" s="325" t="str">
        <f>'ALL ML SYSTEMS'!D471</f>
        <v>MIT</v>
      </c>
      <c r="E471" s="325" t="str">
        <f>'ALL ML SYSTEMS'!E471</f>
        <v>Academia</v>
      </c>
      <c r="F471" s="325" t="str">
        <f>'ALL ML SYSTEMS'!F471</f>
        <v>E. Osuna, R. Freund, F. Girosi</v>
      </c>
      <c r="G471" s="326">
        <f>'ALL ML SYSTEMS'!G471</f>
        <v>35598</v>
      </c>
      <c r="H471" s="327">
        <f>'ALL ML SYSTEMS'!H471</f>
        <v>5598</v>
      </c>
      <c r="I471" s="325" t="str">
        <f>'ALL ML SYSTEMS'!I471</f>
        <v>Training Support Vector Machines: An Application to Face Detection</v>
      </c>
      <c r="J471" s="337" t="str">
        <f>'ALL ML SYSTEMS'!J471</f>
        <v>https://ieeexplore.ieee.org/document/609310</v>
      </c>
      <c r="K471" s="338">
        <f>'ALL ML SYSTEMS'!K471</f>
        <v>3851</v>
      </c>
      <c r="L471" s="325" t="str">
        <f>'ALL ML SYSTEMS'!L471</f>
        <v>Highly cited</v>
      </c>
      <c r="M471" s="338" t="str">
        <f>'ALL ML SYSTEMS'!M471</f>
        <v>Yes</v>
      </c>
      <c r="N471" s="338">
        <f>'ALL ML SYSTEMS'!N471</f>
        <v>0</v>
      </c>
      <c r="O471" s="338">
        <f>'ALL ML SYSTEMS'!O471</f>
        <v>0</v>
      </c>
      <c r="P471" s="339">
        <f>'ALL ML SYSTEMS'!P471</f>
        <v>0</v>
      </c>
      <c r="Q471" s="338">
        <f>'ALL ML SYSTEMS'!Q471</f>
        <v>50000</v>
      </c>
      <c r="R471" s="325">
        <f>'ALL ML SYSTEMS'!R471</f>
        <v>0</v>
      </c>
      <c r="S471" s="338">
        <f>'ALL ML SYSTEMS'!S471</f>
        <v>0</v>
      </c>
      <c r="T471" s="325">
        <f>'ALL ML SYSTEMS'!T471</f>
        <v>0</v>
      </c>
      <c r="U471" s="325">
        <f>'ALL ML SYSTEMS'!U471</f>
        <v>0</v>
      </c>
      <c r="V471" s="325">
        <f>'ALL ML SYSTEMS'!V471</f>
        <v>0</v>
      </c>
      <c r="W471" s="325">
        <f>'ALL ML SYSTEMS'!W471</f>
        <v>0</v>
      </c>
      <c r="X471" s="325">
        <f>'ALL ML SYSTEMS'!X471</f>
        <v>0</v>
      </c>
      <c r="Y471" s="325">
        <f>'ALL ML SYSTEMS'!Y471</f>
        <v>0</v>
      </c>
      <c r="Z471" s="325">
        <f>'ALL ML SYSTEMS'!Z471</f>
        <v>0</v>
      </c>
      <c r="AA471" s="341" t="str">
        <f>'ALL ML SYSTEMS'!AA471</f>
        <v/>
      </c>
      <c r="AB471" s="325">
        <f>'ALL ML SYSTEMS'!AB471</f>
        <v>0</v>
      </c>
      <c r="AC471" s="325">
        <f>'ALL ML SYSTEMS'!AC471</f>
        <v>0</v>
      </c>
      <c r="AD471" s="325" t="str">
        <f>'ALL ML SYSTEMS'!AD471</f>
        <v>Academia</v>
      </c>
    </row>
    <row r="472" hidden="1" customHeight="1" spans="1:30">
      <c r="A472" s="323">
        <f>'ALL ML SYSTEMS'!A472</f>
        <v>0</v>
      </c>
      <c r="B472" s="323" t="str">
        <f>'ALL ML SYSTEMS'!B472</f>
        <v>Language</v>
      </c>
      <c r="C472" s="323">
        <f>'ALL ML SYSTEMS'!C472</f>
        <v>0</v>
      </c>
      <c r="D472" s="323" t="str">
        <f>'ALL ML SYSTEMS'!D472</f>
        <v>Cambridge University Engineering &amp; Carnegie Mellon University</v>
      </c>
      <c r="E472" s="323" t="str">
        <f>'ALL ML SYSTEMS'!E472</f>
        <v>Academia</v>
      </c>
      <c r="F472" s="323" t="str">
        <f>'ALL ML SYSTEMS'!F472</f>
        <v>P Clarkson, R Rosenfeld</v>
      </c>
      <c r="G472" s="324">
        <f>'ALL ML SYSTEMS'!G472</f>
        <v>35612</v>
      </c>
      <c r="H472" s="329">
        <f>'ALL ML SYSTEMS'!H472</f>
        <v>5612</v>
      </c>
      <c r="I472" s="323" t="str">
        <f>'ALL ML SYSTEMS'!I472</f>
        <v>Statistical language modeling using the CMU-Cambridge toolkit</v>
      </c>
      <c r="J472" s="334" t="str">
        <f>'ALL ML SYSTEMS'!J472</f>
        <v>https://www.semanticscholar.org/paper/Statistical-language-modeling-using-the-toolkit-Clarkson-Rosenfeld/fdf4aa623e4d5b5edaeb873ed8e8b1cef0b59c87</v>
      </c>
      <c r="K472" s="335">
        <f>'ALL ML SYSTEMS'!K472</f>
        <v>954</v>
      </c>
      <c r="L472" s="323">
        <f>'ALL ML SYSTEMS'!L472</f>
        <v>0</v>
      </c>
      <c r="M472" s="335" t="str">
        <f>'ALL ML SYSTEMS'!M472</f>
        <v>No</v>
      </c>
      <c r="N472" s="335">
        <f>'ALL ML SYSTEMS'!N472</f>
        <v>0</v>
      </c>
      <c r="O472" s="335">
        <f>'ALL ML SYSTEMS'!O472</f>
        <v>0</v>
      </c>
      <c r="P472" s="336">
        <f>'ALL ML SYSTEMS'!P472</f>
        <v>0</v>
      </c>
      <c r="Q472" s="335">
        <f>'ALL ML SYSTEMS'!Q472</f>
        <v>0</v>
      </c>
      <c r="R472" s="323">
        <f>'ALL ML SYSTEMS'!R472</f>
        <v>0</v>
      </c>
      <c r="S472" s="335">
        <f>'ALL ML SYSTEMS'!S472</f>
        <v>0</v>
      </c>
      <c r="T472" s="323">
        <f>'ALL ML SYSTEMS'!T472</f>
        <v>0</v>
      </c>
      <c r="U472" s="323">
        <f>'ALL ML SYSTEMS'!U472</f>
        <v>0</v>
      </c>
      <c r="V472" s="323">
        <f>'ALL ML SYSTEMS'!V472</f>
        <v>0</v>
      </c>
      <c r="W472" s="323">
        <f>'ALL ML SYSTEMS'!W472</f>
        <v>0</v>
      </c>
      <c r="X472" s="323" t="str">
        <f>'ALL ML SYSTEMS'!X472</f>
        <v>Supervised</v>
      </c>
      <c r="Y472" s="323">
        <f>'ALL ML SYSTEMS'!Y472</f>
        <v>0</v>
      </c>
      <c r="Z472" s="323">
        <f>'ALL ML SYSTEMS'!Z472</f>
        <v>0</v>
      </c>
      <c r="AA472" s="340" t="str">
        <f>'ALL ML SYSTEMS'!AA472</f>
        <v/>
      </c>
      <c r="AB472" s="323"/>
      <c r="AC472" s="323">
        <f>'ALL ML SYSTEMS'!AB472</f>
        <v>0</v>
      </c>
      <c r="AD472" s="323">
        <f>'ALL ML SYSTEMS'!AC472</f>
        <v>0</v>
      </c>
    </row>
    <row r="473" customHeight="1" spans="1:30">
      <c r="A473" s="325" t="str">
        <f>'ALL ML SYSTEMS'!A473</f>
        <v>BRNN</v>
      </c>
      <c r="B473" s="325" t="str">
        <f>'ALL ML SYSTEMS'!B473</f>
        <v>Speech</v>
      </c>
      <c r="C473" s="325" t="str">
        <f>'ALL ML SYSTEMS'!C473</f>
        <v>Speech recognition</v>
      </c>
      <c r="D473" s="325" t="str">
        <f>'ALL ML SYSTEMS'!D473</f>
        <v>ATR Labs, Japan</v>
      </c>
      <c r="E473" s="325" t="str">
        <f>'ALL ML SYSTEMS'!E473</f>
        <v>Industry</v>
      </c>
      <c r="F473" s="325" t="str">
        <f>'ALL ML SYSTEMS'!F473</f>
        <v>M. Schuster, KK Paliwal</v>
      </c>
      <c r="G473" s="326">
        <f>'ALL ML SYSTEMS'!G473</f>
        <v>35735</v>
      </c>
      <c r="H473" s="327">
        <f>'ALL ML SYSTEMS'!H473</f>
        <v>5735</v>
      </c>
      <c r="I473" s="325" t="str">
        <f>'ALL ML SYSTEMS'!I473</f>
        <v>Bidirectional recurrent neural networks</v>
      </c>
      <c r="J473" s="337" t="str">
        <f>'ALL ML SYSTEMS'!J473</f>
        <v>https://ieeexplore.ieee.org/document/650093</v>
      </c>
      <c r="K473" s="338">
        <f>'ALL ML SYSTEMS'!K473</f>
        <v>6094</v>
      </c>
      <c r="L473" s="325" t="str">
        <f>'ALL ML SYSTEMS'!L473</f>
        <v>Highly cited</v>
      </c>
      <c r="M473" s="338" t="str">
        <f>'ALL ML SYSTEMS'!M473</f>
        <v>Yes</v>
      </c>
      <c r="N473" s="338">
        <f>'ALL ML SYSTEMS'!N473</f>
        <v>13000</v>
      </c>
      <c r="O473" s="338">
        <f>'ALL ML SYSTEMS'!O473</f>
        <v>0</v>
      </c>
      <c r="P473" s="339" t="str">
        <f>'ALL ML SYSTEMS'!P473</f>
        <v>TIMIT</v>
      </c>
      <c r="Q473" s="338">
        <f>'ALL ML SYSTEMS'!Q473</f>
        <v>73920</v>
      </c>
      <c r="R473" s="325">
        <f>'ALL ML SYSTEMS'!R473</f>
        <v>0</v>
      </c>
      <c r="S473" s="338">
        <f>'ALL ML SYSTEMS'!S473</f>
        <v>0</v>
      </c>
      <c r="T473" s="325">
        <f>'ALL ML SYSTEMS'!T473</f>
        <v>0</v>
      </c>
      <c r="U473" s="325">
        <f>'ALL ML SYSTEMS'!U473</f>
        <v>0</v>
      </c>
      <c r="V473" s="325">
        <f>'ALL ML SYSTEMS'!V473</f>
        <v>0</v>
      </c>
      <c r="W473" s="325">
        <f>'ALL ML SYSTEMS'!W473</f>
        <v>0</v>
      </c>
      <c r="X473" s="325">
        <f>'ALL ML SYSTEMS'!X473</f>
        <v>0</v>
      </c>
      <c r="Y473" s="325">
        <f>'ALL ML SYSTEMS'!Y473</f>
        <v>0</v>
      </c>
      <c r="Z473" s="325">
        <f>'ALL ML SYSTEMS'!Z473</f>
        <v>0</v>
      </c>
      <c r="AA473" s="341" t="str">
        <f>'ALL ML SYSTEMS'!AA473</f>
        <v/>
      </c>
      <c r="AB473" s="325">
        <f>'ALL ML SYSTEMS'!AB473</f>
        <v>0</v>
      </c>
      <c r="AC473" s="325">
        <f>'ALL ML SYSTEMS'!AC473</f>
        <v>0</v>
      </c>
      <c r="AD473" s="325" t="str">
        <f>'ALL ML SYSTEMS'!AD473</f>
        <v>Industry</v>
      </c>
    </row>
    <row r="474" customHeight="1" spans="1:30">
      <c r="A474" s="323" t="str">
        <f>'ALL ML SYSTEMS'!A476</f>
        <v>HMM Word Alignment</v>
      </c>
      <c r="B474" s="323" t="str">
        <f>'ALL ML SYSTEMS'!B476</f>
        <v>Language</v>
      </c>
      <c r="C474" s="323" t="str">
        <f>'ALL ML SYSTEMS'!C476</f>
        <v>Word alignment</v>
      </c>
      <c r="D474" s="323" t="str">
        <f>'ALL ML SYSTEMS'!D476</f>
        <v>University of Erlangen - Nuremburg</v>
      </c>
      <c r="E474" s="323" t="str">
        <f>'ALL ML SYSTEMS'!E476</f>
        <v>Academia</v>
      </c>
      <c r="F474" s="323" t="str">
        <f>'ALL ML SYSTEMS'!F476</f>
        <v>Stephan Vogel, Hermann Ney, Christoph Tillmann</v>
      </c>
      <c r="G474" s="324">
        <f>'ALL ML SYSTEMS'!G476</f>
        <v>35282</v>
      </c>
      <c r="H474" s="329">
        <f>'ALL ML SYSTEMS'!H476</f>
        <v>5282</v>
      </c>
      <c r="I474" s="334" t="str">
        <f>'ALL ML SYSTEMS'!I476</f>
        <v>HMM-Based Word Alignment in Statistical Translation</v>
      </c>
      <c r="J474" s="334" t="str">
        <f>'ALL ML SYSTEMS'!J476</f>
        <v>https://dl.acm.org/doi/10.3115/993268.993313</v>
      </c>
      <c r="K474" s="335">
        <f>'ALL ML SYSTEMS'!K476</f>
        <v>1099</v>
      </c>
      <c r="L474" s="323" t="str">
        <f>'ALL ML SYSTEMS'!L476</f>
        <v>Highly cited</v>
      </c>
      <c r="M474" s="335" t="str">
        <f>'ALL ML SYSTEMS'!M476</f>
        <v>Yes</v>
      </c>
      <c r="N474" s="335">
        <f>'ALL ML SYSTEMS'!N476</f>
        <v>0</v>
      </c>
      <c r="O474" s="335">
        <f>'ALL ML SYSTEMS'!O476</f>
        <v>0</v>
      </c>
      <c r="P474" s="336">
        <f>'ALL ML SYSTEMS'!P476</f>
        <v>0</v>
      </c>
      <c r="Q474" s="335">
        <f>'ALL ML SYSTEMS'!Q476</f>
        <v>442316</v>
      </c>
      <c r="R474" s="323">
        <f>'ALL ML SYSTEMS'!R476</f>
        <v>0</v>
      </c>
      <c r="S474" s="335">
        <f>'ALL ML SYSTEMS'!S476</f>
        <v>0</v>
      </c>
      <c r="T474" s="323">
        <f>'ALL ML SYSTEMS'!T476</f>
        <v>0</v>
      </c>
      <c r="U474" s="323">
        <f>'ALL ML SYSTEMS'!U476</f>
        <v>0</v>
      </c>
      <c r="V474" s="323">
        <f>'ALL ML SYSTEMS'!V476</f>
        <v>0</v>
      </c>
      <c r="W474" s="323">
        <f>'ALL ML SYSTEMS'!W476</f>
        <v>0</v>
      </c>
      <c r="X474" s="323" t="str">
        <f>'ALL ML SYSTEMS'!X476</f>
        <v>Supervised</v>
      </c>
      <c r="Y474" s="323">
        <f>'ALL ML SYSTEMS'!Y476</f>
        <v>0</v>
      </c>
      <c r="Z474" s="323">
        <f>'ALL ML SYSTEMS'!Z476</f>
        <v>0</v>
      </c>
      <c r="AA474" s="340" t="str">
        <f>'ALL ML SYSTEMS'!AA476</f>
        <v/>
      </c>
      <c r="AB474" s="323">
        <f>'ALL ML SYSTEMS'!AB474</f>
        <v>0</v>
      </c>
      <c r="AC474" s="323">
        <f>'ALL ML SYSTEMS'!AC474</f>
        <v>0</v>
      </c>
      <c r="AD474" s="323" t="str">
        <f>'ALL ML SYSTEMS'!AD474</f>
        <v>Academia</v>
      </c>
    </row>
    <row r="475" hidden="1" customHeight="1" spans="1:30">
      <c r="A475" s="325">
        <f>'ALL ML SYSTEMS'!A477</f>
        <v>0</v>
      </c>
      <c r="B475" s="325">
        <f>'ALL ML SYSTEMS'!B477</f>
        <v>0</v>
      </c>
      <c r="C475" s="325">
        <f>'ALL ML SYSTEMS'!C477</f>
        <v>0</v>
      </c>
      <c r="D475" s="325" t="str">
        <f>'ALL ML SYSTEMS'!D477</f>
        <v>Xerox</v>
      </c>
      <c r="E475" s="325" t="str">
        <f>'ALL ML SYSTEMS'!E477</f>
        <v>Industry</v>
      </c>
      <c r="F475" s="325" t="str">
        <f>'ALL ML SYSTEMS'!F477</f>
        <v>Eric Saund</v>
      </c>
      <c r="G475" s="326">
        <f>'ALL ML SYSTEMS'!G477</f>
        <v>34700</v>
      </c>
      <c r="H475" s="327">
        <f>'ALL ML SYSTEMS'!H477</f>
        <v>4700</v>
      </c>
      <c r="I475" s="325" t="str">
        <f>'ALL ML SYSTEMS'!I477</f>
        <v>A Multiple Cause Mixture Model for Unsupervised Learning</v>
      </c>
      <c r="J475" s="337" t="str">
        <f>'ALL ML SYSTEMS'!J477</f>
        <v>https://ieeexplore.ieee.org/document/6795568</v>
      </c>
      <c r="K475" s="338">
        <f>'ALL ML SYSTEMS'!K477</f>
        <v>176</v>
      </c>
      <c r="L475" s="325">
        <f>'ALL ML SYSTEMS'!L477</f>
        <v>0</v>
      </c>
      <c r="M475" s="338" t="str">
        <f>'ALL ML SYSTEMS'!M477</f>
        <v>No</v>
      </c>
      <c r="N475" s="338">
        <f>'ALL ML SYSTEMS'!N477</f>
        <v>0</v>
      </c>
      <c r="O475" s="338">
        <f>'ALL ML SYSTEMS'!O477</f>
        <v>0</v>
      </c>
      <c r="P475" s="339">
        <f>'ALL ML SYSTEMS'!P477</f>
        <v>0</v>
      </c>
      <c r="Q475" s="338">
        <f>'ALL ML SYSTEMS'!Q477</f>
        <v>0</v>
      </c>
      <c r="R475" s="325">
        <f>'ALL ML SYSTEMS'!R477</f>
        <v>0</v>
      </c>
      <c r="S475" s="338">
        <f>'ALL ML SYSTEMS'!S477</f>
        <v>0</v>
      </c>
      <c r="T475" s="325">
        <f>'ALL ML SYSTEMS'!T477</f>
        <v>0</v>
      </c>
      <c r="U475" s="325">
        <f>'ALL ML SYSTEMS'!U477</f>
        <v>0</v>
      </c>
      <c r="V475" s="325">
        <f>'ALL ML SYSTEMS'!V477</f>
        <v>0</v>
      </c>
      <c r="W475" s="325">
        <f>'ALL ML SYSTEMS'!W477</f>
        <v>0</v>
      </c>
      <c r="X475" s="325">
        <f>'ALL ML SYSTEMS'!X477</f>
        <v>0</v>
      </c>
      <c r="Y475" s="325">
        <f>'ALL ML SYSTEMS'!Y477</f>
        <v>0</v>
      </c>
      <c r="Z475" s="325" t="str">
        <f>'ALL ML SYSTEMS'!Z477</f>
        <v>Perplexity... sorta</v>
      </c>
      <c r="AA475" s="341" t="str">
        <f>'ALL ML SYSTEMS'!AA477</f>
        <v/>
      </c>
      <c r="AB475" s="325"/>
      <c r="AC475" s="325">
        <f>'ALL ML SYSTEMS'!AC477</f>
        <v>0</v>
      </c>
      <c r="AD475" s="325" t="str">
        <f>'ALL ML SYSTEMS'!AD477</f>
        <v>Industry</v>
      </c>
    </row>
    <row r="476" customHeight="1" spans="1:30">
      <c r="A476" s="323">
        <f>'ALL ML SYSTEMS'!A478</f>
        <v>0</v>
      </c>
      <c r="B476" s="323" t="str">
        <f>'ALL ML SYSTEMS'!B478</f>
        <v>Language</v>
      </c>
      <c r="C476" s="323">
        <f>'ALL ML SYSTEMS'!C478</f>
        <v>0</v>
      </c>
      <c r="D476" s="323" t="str">
        <f>'ALL ML SYSTEMS'!D478</f>
        <v>University of Pennsylvania</v>
      </c>
      <c r="E476" s="323" t="str">
        <f>'ALL ML SYSTEMS'!E478</f>
        <v>Academia</v>
      </c>
      <c r="F476" s="323" t="str">
        <f>'ALL ML SYSTEMS'!F478</f>
        <v>D Yarowsky</v>
      </c>
      <c r="G476" s="324">
        <f>'ALL ML SYSTEMS'!G478</f>
        <v>34876</v>
      </c>
      <c r="H476" s="329">
        <f>'ALL ML SYSTEMS'!H478</f>
        <v>4876</v>
      </c>
      <c r="I476" s="323" t="str">
        <f>'ALL ML SYSTEMS'!I478</f>
        <v>Unsupervised Word Sense Disambiguation Rivaling Supervised Methods</v>
      </c>
      <c r="J476" s="334" t="str">
        <f>'ALL ML SYSTEMS'!J478</f>
        <v>https://dl.acm.org/doi/10.3115/981658.981684</v>
      </c>
      <c r="K476" s="335">
        <f>'ALL ML SYSTEMS'!K478</f>
        <v>2996</v>
      </c>
      <c r="L476" s="323" t="str">
        <f>'ALL ML SYSTEMS'!L478</f>
        <v>Highly cited</v>
      </c>
      <c r="M476" s="335" t="str">
        <f>'ALL ML SYSTEMS'!M478</f>
        <v>Yes</v>
      </c>
      <c r="N476" s="335">
        <f>'ALL ML SYSTEMS'!N478</f>
        <v>0</v>
      </c>
      <c r="O476" s="335">
        <f>'ALL ML SYSTEMS'!O478</f>
        <v>0</v>
      </c>
      <c r="P476" s="336">
        <f>'ALL ML SYSTEMS'!P478</f>
        <v>0</v>
      </c>
      <c r="Q476" s="335">
        <f>'ALL ML SYSTEMS'!Q478</f>
        <v>460000000</v>
      </c>
      <c r="R476" s="323">
        <f>'ALL ML SYSTEMS'!R478</f>
        <v>0</v>
      </c>
      <c r="S476" s="335">
        <f>'ALL ML SYSTEMS'!S478</f>
        <v>0</v>
      </c>
      <c r="T476" s="323">
        <f>'ALL ML SYSTEMS'!T478</f>
        <v>0</v>
      </c>
      <c r="U476" s="323">
        <f>'ALL ML SYSTEMS'!U478</f>
        <v>0</v>
      </c>
      <c r="V476" s="323">
        <f>'ALL ML SYSTEMS'!V478</f>
        <v>0</v>
      </c>
      <c r="W476" s="323">
        <f>'ALL ML SYSTEMS'!W478</f>
        <v>0</v>
      </c>
      <c r="X476" s="323">
        <f>'ALL ML SYSTEMS'!X478</f>
        <v>0</v>
      </c>
      <c r="Y476" s="323">
        <f>'ALL ML SYSTEMS'!Y478</f>
        <v>0</v>
      </c>
      <c r="Z476" s="323">
        <f>'ALL ML SYSTEMS'!Z478</f>
        <v>0</v>
      </c>
      <c r="AA476" s="340" t="str">
        <f>'ALL ML SYSTEMS'!AA478</f>
        <v/>
      </c>
      <c r="AB476" s="323">
        <f>'ALL ML SYSTEMS'!AB476</f>
        <v>0</v>
      </c>
      <c r="AC476" s="323" t="str">
        <f>'ALL ML SYSTEMS'!AC476</f>
        <v>Statistical Alignment Model</v>
      </c>
      <c r="AD476" s="323" t="str">
        <f>'ALL ML SYSTEMS'!AD476</f>
        <v>Academia</v>
      </c>
    </row>
    <row r="477" customHeight="1" spans="1:30">
      <c r="A477" s="325" t="str">
        <f>'ALL ML SYSTEMS'!A479</f>
        <v>Random Decision Forests</v>
      </c>
      <c r="B477" s="325">
        <f>'ALL ML SYSTEMS'!B479</f>
        <v>0</v>
      </c>
      <c r="C477" s="325">
        <f>'ALL ML SYSTEMS'!C479</f>
        <v>0</v>
      </c>
      <c r="D477" s="325" t="str">
        <f>'ALL ML SYSTEMS'!D479</f>
        <v>AT&amp;T Bell Laboratories</v>
      </c>
      <c r="E477" s="325" t="str">
        <f>'ALL ML SYSTEMS'!E479</f>
        <v>Industry</v>
      </c>
      <c r="F477" s="325" t="str">
        <f>'ALL ML SYSTEMS'!F479</f>
        <v>TK Ho</v>
      </c>
      <c r="G477" s="326">
        <f>'ALL ML SYSTEMS'!G479</f>
        <v>34925</v>
      </c>
      <c r="H477" s="327">
        <f>'ALL ML SYSTEMS'!H479</f>
        <v>4925</v>
      </c>
      <c r="I477" s="325" t="str">
        <f>'ALL ML SYSTEMS'!I479</f>
        <v>Random decision forests</v>
      </c>
      <c r="J477" s="337" t="str">
        <f>'ALL ML SYSTEMS'!J479</f>
        <v>https://ieeexplore.ieee.org/document/598994</v>
      </c>
      <c r="K477" s="338">
        <f>'ALL ML SYSTEMS'!K479</f>
        <v>4678</v>
      </c>
      <c r="L477" s="325" t="str">
        <f>'ALL ML SYSTEMS'!L479</f>
        <v>Highly cited</v>
      </c>
      <c r="M477" s="338" t="str">
        <f>'ALL ML SYSTEMS'!M479</f>
        <v>Yes</v>
      </c>
      <c r="N477" s="338">
        <f>'ALL ML SYSTEMS'!N479</f>
        <v>0</v>
      </c>
      <c r="O477" s="338">
        <f>'ALL ML SYSTEMS'!O479</f>
        <v>0</v>
      </c>
      <c r="P477" s="339" t="str">
        <f>'ALL ML SYSTEMS'!P479</f>
        <v>MNIST</v>
      </c>
      <c r="Q477" s="338">
        <f>'ALL ML SYSTEMS'!Q479</f>
        <v>60000</v>
      </c>
      <c r="R477" s="325">
        <f>'ALL ML SYSTEMS'!R479</f>
        <v>0</v>
      </c>
      <c r="S477" s="338">
        <f>'ALL ML SYSTEMS'!S479</f>
        <v>0</v>
      </c>
      <c r="T477" s="325">
        <f>'ALL ML SYSTEMS'!T479</f>
        <v>0</v>
      </c>
      <c r="U477" s="325">
        <f>'ALL ML SYSTEMS'!U479</f>
        <v>0</v>
      </c>
      <c r="V477" s="325">
        <f>'ALL ML SYSTEMS'!V479</f>
        <v>0</v>
      </c>
      <c r="W477" s="325">
        <f>'ALL ML SYSTEMS'!W479</f>
        <v>0</v>
      </c>
      <c r="X477" s="325">
        <f>'ALL ML SYSTEMS'!X479</f>
        <v>0</v>
      </c>
      <c r="Y477" s="325">
        <f>'ALL ML SYSTEMS'!Y479</f>
        <v>0</v>
      </c>
      <c r="Z477" s="325">
        <f>'ALL ML SYSTEMS'!Z479</f>
        <v>0</v>
      </c>
      <c r="AA477" s="341" t="str">
        <f>'ALL ML SYSTEMS'!AA479</f>
        <v/>
      </c>
      <c r="AB477" s="325">
        <f>'ALL ML SYSTEMS'!AB477</f>
        <v>0</v>
      </c>
      <c r="AC477" s="325">
        <f>'ALL ML SYSTEMS'!AC477</f>
        <v>0</v>
      </c>
      <c r="AD477" s="325" t="str">
        <f>'ALL ML SYSTEMS'!AD477</f>
        <v>Industry</v>
      </c>
    </row>
    <row r="478" customHeight="1" spans="1:30">
      <c r="A478" s="323" t="str">
        <f>'ALL ML SYSTEMS'!A480</f>
        <v>Support Vector Machines</v>
      </c>
      <c r="B478" s="323">
        <f>'ALL ML SYSTEMS'!B480</f>
        <v>0</v>
      </c>
      <c r="C478" s="323">
        <f>'ALL ML SYSTEMS'!C480</f>
        <v>0</v>
      </c>
      <c r="D478" s="323" t="str">
        <f>'ALL ML SYSTEMS'!D480</f>
        <v>AT&amp;T Bell Laboratories</v>
      </c>
      <c r="E478" s="323" t="str">
        <f>'ALL ML SYSTEMS'!E480</f>
        <v>Industry</v>
      </c>
      <c r="F478" s="323" t="str">
        <f>'ALL ML SYSTEMS'!F480</f>
        <v>C Cortes, V Vapnik</v>
      </c>
      <c r="G478" s="324">
        <f>'ALL ML SYSTEMS'!G480</f>
        <v>34943</v>
      </c>
      <c r="H478" s="329">
        <f>'ALL ML SYSTEMS'!H480</f>
        <v>4943</v>
      </c>
      <c r="I478" s="323" t="str">
        <f>'ALL ML SYSTEMS'!I480</f>
        <v>Support-Vector Networks</v>
      </c>
      <c r="J478" s="334" t="str">
        <f>'ALL ML SYSTEMS'!J480</f>
        <v>https://link.springer.com/article/10.1007/BF00994018</v>
      </c>
      <c r="K478" s="335">
        <f>'ALL ML SYSTEMS'!K480</f>
        <v>48968</v>
      </c>
      <c r="L478" s="323" t="str">
        <f>'ALL ML SYSTEMS'!L480</f>
        <v>Highly cited</v>
      </c>
      <c r="M478" s="335" t="str">
        <f>'ALL ML SYSTEMS'!M480</f>
        <v>Yes</v>
      </c>
      <c r="N478" s="335">
        <f>'ALL ML SYSTEMS'!N480</f>
        <v>100000000</v>
      </c>
      <c r="O478" s="335">
        <f>'ALL ML SYSTEMS'!O480</f>
        <v>0</v>
      </c>
      <c r="P478" s="336" t="str">
        <f>'ALL ML SYSTEMS'!P480</f>
        <v>MNIST</v>
      </c>
      <c r="Q478" s="335">
        <f>'ALL ML SYSTEMS'!Q480</f>
        <v>60000</v>
      </c>
      <c r="R478" s="323">
        <f>'ALL ML SYSTEMS'!R480</f>
        <v>0</v>
      </c>
      <c r="S478" s="335">
        <f>'ALL ML SYSTEMS'!S480</f>
        <v>0</v>
      </c>
      <c r="T478" s="323">
        <f>'ALL ML SYSTEMS'!T480</f>
        <v>0</v>
      </c>
      <c r="U478" s="323">
        <f>'ALL ML SYSTEMS'!U480</f>
        <v>0</v>
      </c>
      <c r="V478" s="323">
        <f>'ALL ML SYSTEMS'!V480</f>
        <v>0</v>
      </c>
      <c r="W478" s="323">
        <f>'ALL ML SYSTEMS'!W480</f>
        <v>0</v>
      </c>
      <c r="X478" s="323">
        <f>'ALL ML SYSTEMS'!X480</f>
        <v>0</v>
      </c>
      <c r="Y478" s="323">
        <f>'ALL ML SYSTEMS'!Y480</f>
        <v>0</v>
      </c>
      <c r="Z478" s="323">
        <f>'ALL ML SYSTEMS'!Z480</f>
        <v>0</v>
      </c>
      <c r="AA478" s="340" t="str">
        <f>'ALL ML SYSTEMS'!AA480</f>
        <v/>
      </c>
      <c r="AB478" s="323">
        <f>'ALL ML SYSTEMS'!AB478</f>
        <v>0</v>
      </c>
      <c r="AC478" s="323" t="str">
        <f>'ALL ML SYSTEMS'!AC478</f>
        <v>Bootstrapping classifier</v>
      </c>
      <c r="AD478" s="323" t="str">
        <f>'ALL ML SYSTEMS'!AD478</f>
        <v>Academia</v>
      </c>
    </row>
    <row r="479" hidden="1" customHeight="1" spans="1:30">
      <c r="A479" s="325">
        <f>'ALL ML SYSTEMS'!A481</f>
        <v>0</v>
      </c>
      <c r="B479" s="325" t="str">
        <f>'ALL ML SYSTEMS'!B481</f>
        <v>Language</v>
      </c>
      <c r="C479" s="325" t="str">
        <f>'ALL ML SYSTEMS'!C481</f>
        <v>Part-of-speech tagging</v>
      </c>
      <c r="D479" s="325" t="str">
        <f>'ALL ML SYSTEMS'!D481</f>
        <v>EURECOM</v>
      </c>
      <c r="E479" s="325" t="str">
        <f>'ALL ML SYSTEMS'!E481</f>
        <v>Academia</v>
      </c>
      <c r="F479" s="325" t="str">
        <f>'ALL ML SYSTEMS'!F481</f>
        <v>Bernard Merialdo</v>
      </c>
      <c r="G479" s="326">
        <f>'ALL ML SYSTEMS'!G481</f>
        <v>34486</v>
      </c>
      <c r="H479" s="327">
        <f>'ALL ML SYSTEMS'!H481</f>
        <v>4486</v>
      </c>
      <c r="I479" s="325" t="str">
        <f>'ALL ML SYSTEMS'!I481</f>
        <v>Tagging English Text with a Probabilistic Model</v>
      </c>
      <c r="J479" s="337" t="str">
        <f>'ALL ML SYSTEMS'!J481</f>
        <v>https://dl.acm.org/doi/10.5555/972525.972526</v>
      </c>
      <c r="K479" s="338">
        <f>'ALL ML SYSTEMS'!K481</f>
        <v>788</v>
      </c>
      <c r="L479" s="325">
        <f>'ALL ML SYSTEMS'!L481</f>
        <v>0</v>
      </c>
      <c r="M479" s="338" t="str">
        <f>'ALL ML SYSTEMS'!M481</f>
        <v>No</v>
      </c>
      <c r="N479" s="338">
        <f>'ALL ML SYSTEMS'!N481</f>
        <v>2447124</v>
      </c>
      <c r="O479" s="338">
        <f>'ALL ML SYSTEMS'!O481</f>
        <v>0</v>
      </c>
      <c r="P479" s="339">
        <f>'ALL ML SYSTEMS'!P481</f>
        <v>0</v>
      </c>
      <c r="Q479" s="338">
        <f>'ALL ML SYSTEMS'!Q481</f>
        <v>1000000</v>
      </c>
      <c r="R479" s="325" t="str">
        <f>'ALL ML SYSTEMS'!R481</f>
        <v>N/A</v>
      </c>
      <c r="S479" s="338">
        <f>'ALL ML SYSTEMS'!S481</f>
        <v>0</v>
      </c>
      <c r="T479" s="325">
        <f>'ALL ML SYSTEMS'!T481</f>
        <v>0</v>
      </c>
      <c r="U479" s="325">
        <f>'ALL ML SYSTEMS'!U481</f>
        <v>0</v>
      </c>
      <c r="V479" s="325">
        <f>'ALL ML SYSTEMS'!V481</f>
        <v>0</v>
      </c>
      <c r="W479" s="325">
        <f>'ALL ML SYSTEMS'!W481</f>
        <v>0</v>
      </c>
      <c r="X479" s="325">
        <f>'ALL ML SYSTEMS'!X481</f>
        <v>0</v>
      </c>
      <c r="Y479" s="325">
        <f>'ALL ML SYSTEMS'!Y481</f>
        <v>0</v>
      </c>
      <c r="Z479" s="325">
        <f>'ALL ML SYSTEMS'!Z481</f>
        <v>0</v>
      </c>
      <c r="AA479" s="341" t="str">
        <f>'ALL ML SYSTEMS'!AA481</f>
        <v/>
      </c>
      <c r="AB479" s="325"/>
      <c r="AC479" s="325">
        <f>'ALL ML SYSTEMS'!AC481</f>
        <v>0</v>
      </c>
      <c r="AD479" s="325" t="str">
        <f>'ALL ML SYSTEMS'!AD481</f>
        <v>Academia</v>
      </c>
    </row>
    <row r="480" customHeight="1" spans="1:30">
      <c r="A480" s="323" t="str">
        <f>'ALL ML SYSTEMS'!A482</f>
        <v>GroupLens</v>
      </c>
      <c r="B480" s="323" t="str">
        <f>'ALL ML SYSTEMS'!B482</f>
        <v>Recommendation</v>
      </c>
      <c r="C480" s="323">
        <f>'ALL ML SYSTEMS'!C482</f>
        <v>0</v>
      </c>
      <c r="D480" s="323" t="str">
        <f>'ALL ML SYSTEMS'!D482</f>
        <v>Massachusetts Institute of Technology</v>
      </c>
      <c r="E480" s="323" t="str">
        <f>'ALL ML SYSTEMS'!E482</f>
        <v>Academia</v>
      </c>
      <c r="F480" s="323" t="str">
        <f>'ALL ML SYSTEMS'!F482</f>
        <v>Paul Resnick, Neophytos Iacovou, Mitesh Suchak, Peter Bergstrom, John Riedl</v>
      </c>
      <c r="G480" s="324">
        <f>'ALL ML SYSTEMS'!G482</f>
        <v>34629</v>
      </c>
      <c r="H480" s="329">
        <f>'ALL ML SYSTEMS'!H482</f>
        <v>4629</v>
      </c>
      <c r="I480" s="323" t="str">
        <f>'ALL ML SYSTEMS'!I482</f>
        <v>GroupLens : an Open Architecture for Collaborative Filtering of Netnews</v>
      </c>
      <c r="J480" s="334" t="str">
        <f>'ALL ML SYSTEMS'!J482</f>
        <v>https://dl.acm.org/doi/10.1145/192844.192905</v>
      </c>
      <c r="K480" s="335">
        <f>'ALL ML SYSTEMS'!K482</f>
        <v>7733</v>
      </c>
      <c r="L480" s="323" t="str">
        <f>'ALL ML SYSTEMS'!L482</f>
        <v>Highly cited</v>
      </c>
      <c r="M480" s="335" t="str">
        <f>'ALL ML SYSTEMS'!M482</f>
        <v>Yes</v>
      </c>
      <c r="N480" s="335">
        <f>'ALL ML SYSTEMS'!N482</f>
        <v>100000000</v>
      </c>
      <c r="O480" s="335">
        <f>'ALL ML SYSTEMS'!O482</f>
        <v>0</v>
      </c>
      <c r="P480" s="336">
        <f>'ALL ML SYSTEMS'!P482</f>
        <v>0</v>
      </c>
      <c r="Q480" s="335">
        <f>'ALL ML SYSTEMS'!Q482</f>
        <v>100000000</v>
      </c>
      <c r="R480" s="323">
        <f>'ALL ML SYSTEMS'!R482</f>
        <v>0</v>
      </c>
      <c r="S480" s="335">
        <f>'ALL ML SYSTEMS'!S482</f>
        <v>0</v>
      </c>
      <c r="T480" s="323">
        <f>'ALL ML SYSTEMS'!T482</f>
        <v>0</v>
      </c>
      <c r="U480" s="323">
        <f>'ALL ML SYSTEMS'!U482</f>
        <v>0</v>
      </c>
      <c r="V480" s="323">
        <f>'ALL ML SYSTEMS'!V482</f>
        <v>0</v>
      </c>
      <c r="W480" s="323">
        <f>'ALL ML SYSTEMS'!W482</f>
        <v>0</v>
      </c>
      <c r="X480" s="323">
        <f>'ALL ML SYSTEMS'!X482</f>
        <v>0</v>
      </c>
      <c r="Y480" s="323">
        <f>'ALL ML SYSTEMS'!Y482</f>
        <v>0</v>
      </c>
      <c r="Z480" s="323">
        <f>'ALL ML SYSTEMS'!Z482</f>
        <v>0</v>
      </c>
      <c r="AA480" s="340" t="str">
        <f>'ALL ML SYSTEMS'!AA482</f>
        <v/>
      </c>
      <c r="AB480" s="323">
        <f>'ALL ML SYSTEMS'!AB480</f>
        <v>0</v>
      </c>
      <c r="AC480" s="323">
        <f>'ALL ML SYSTEMS'!AC480</f>
        <v>0</v>
      </c>
      <c r="AD480" s="323" t="str">
        <f>'ALL ML SYSTEMS'!AD480</f>
        <v>Industry</v>
      </c>
    </row>
    <row r="481" customHeight="1" spans="1:30">
      <c r="A481" s="325" t="str">
        <f>'ALL ML SYSTEMS'!A483</f>
        <v>IBM-5</v>
      </c>
      <c r="B481" s="325" t="str">
        <f>'ALL ML SYSTEMS'!B483</f>
        <v>Language</v>
      </c>
      <c r="C481" s="325" t="str">
        <f>'ALL ML SYSTEMS'!C483</f>
        <v>Translation</v>
      </c>
      <c r="D481" s="325" t="str">
        <f>'ALL ML SYSTEMS'!D483</f>
        <v>IBM T.J. Watson Research Center</v>
      </c>
      <c r="E481" s="325" t="str">
        <f>'ALL ML SYSTEMS'!E483</f>
        <v>Industry</v>
      </c>
      <c r="F481" s="325" t="str">
        <f>'ALL ML SYSTEMS'!F483</f>
        <v>Peter F. Brown, Stephen A. Della Pietra, Vincent J. Della Pietra, Robert L. Mercer</v>
      </c>
      <c r="G481" s="326">
        <f>'ALL ML SYSTEMS'!G483</f>
        <v>34135</v>
      </c>
      <c r="H481" s="327">
        <f>'ALL ML SYSTEMS'!H483</f>
        <v>4135</v>
      </c>
      <c r="I481" s="325" t="str">
        <f>'ALL ML SYSTEMS'!I483</f>
        <v>The Mathematics of Statistical Machine Translation: Parameter Estimation</v>
      </c>
      <c r="J481" s="337" t="str">
        <f>'ALL ML SYSTEMS'!J483</f>
        <v>https://dl.acm.org/doi/10.5555/972470.972474</v>
      </c>
      <c r="K481" s="338">
        <f>'ALL ML SYSTEMS'!K483</f>
        <v>5752</v>
      </c>
      <c r="L481" s="325" t="str">
        <f>'ALL ML SYSTEMS'!L483</f>
        <v>Highly cited</v>
      </c>
      <c r="M481" s="338" t="str">
        <f>'ALL ML SYSTEMS'!M483</f>
        <v>Yes</v>
      </c>
      <c r="N481" s="338">
        <f>'ALL ML SYSTEMS'!N483</f>
        <v>1658364</v>
      </c>
      <c r="O481" s="338">
        <f>'ALL ML SYSTEMS'!O483</f>
        <v>0</v>
      </c>
      <c r="P481" s="339" t="str">
        <f>'ALL ML SYSTEMS'!P483</f>
        <v>Proceedings of the Canadian parliament</v>
      </c>
      <c r="Q481" s="338">
        <f>'ALL ML SYSTEMS'!Q483</f>
        <v>53358600</v>
      </c>
      <c r="R481" s="325">
        <f>'ALL ML SYSTEMS'!R483</f>
        <v>0</v>
      </c>
      <c r="S481" s="338">
        <f>'ALL ML SYSTEMS'!S483</f>
        <v>0</v>
      </c>
      <c r="T481" s="343">
        <f>'ALL ML SYSTEMS'!T483</f>
        <v>0</v>
      </c>
      <c r="U481" s="343">
        <f>'ALL ML SYSTEMS'!U483</f>
        <v>0</v>
      </c>
      <c r="V481" s="325">
        <f>'ALL ML SYSTEMS'!V483</f>
        <v>0</v>
      </c>
      <c r="W481" s="325">
        <f>'ALL ML SYSTEMS'!W483</f>
        <v>0</v>
      </c>
      <c r="X481" s="325">
        <f>'ALL ML SYSTEMS'!X483</f>
        <v>0</v>
      </c>
      <c r="Y481" s="325">
        <f>'ALL ML SYSTEMS'!Y483</f>
        <v>0</v>
      </c>
      <c r="Z481" s="325">
        <f>'ALL ML SYSTEMS'!Z483</f>
        <v>0</v>
      </c>
      <c r="AA481" s="341" t="str">
        <f>'ALL ML SYSTEMS'!AA483</f>
        <v/>
      </c>
      <c r="AB481" s="325">
        <f>'ALL ML SYSTEMS'!AB481</f>
        <v>0</v>
      </c>
      <c r="AC481" s="325">
        <f>'ALL ML SYSTEMS'!AC481</f>
        <v>0</v>
      </c>
      <c r="AD481" s="325" t="str">
        <f>'ALL ML SYSTEMS'!AD481</f>
        <v>Academia</v>
      </c>
    </row>
    <row r="482" customHeight="1" spans="1:30">
      <c r="A482" s="323" t="str">
        <f>'ALL ML SYSTEMS'!A484</f>
        <v>TD-Gammon</v>
      </c>
      <c r="B482" s="323" t="str">
        <f>'ALL ML SYSTEMS'!B484</f>
        <v>Games</v>
      </c>
      <c r="C482" s="323" t="str">
        <f>'ALL ML SYSTEMS'!C484</f>
        <v>Backgammon</v>
      </c>
      <c r="D482" s="323" t="str">
        <f>'ALL ML SYSTEMS'!D484</f>
        <v>IBM</v>
      </c>
      <c r="E482" s="323" t="str">
        <f>'ALL ML SYSTEMS'!E484</f>
        <v>Industry</v>
      </c>
      <c r="F482" s="323" t="str">
        <f>'ALL ML SYSTEMS'!F484</f>
        <v>G Tesauro</v>
      </c>
      <c r="G482" s="324">
        <f>'ALL ML SYSTEMS'!G484</f>
        <v>33725</v>
      </c>
      <c r="H482" s="329">
        <f>'ALL ML SYSTEMS'!H484</f>
        <v>3725</v>
      </c>
      <c r="I482" s="323" t="str">
        <f>'ALL ML SYSTEMS'!I484</f>
        <v>Practical Issues in Temporal Difference Learning</v>
      </c>
      <c r="J482" s="334" t="str">
        <f>'ALL ML SYSTEMS'!J484</f>
        <v>https://papers.nips.cc/paper/1991/file/68ce199ec2c5517597ce0a4d89620f55-Paper.pdf</v>
      </c>
      <c r="K482" s="335">
        <f>'ALL ML SYSTEMS'!K484</f>
        <v>1344</v>
      </c>
      <c r="L482" s="323" t="str">
        <f>'ALL ML SYSTEMS'!L484</f>
        <v>Highly cited</v>
      </c>
      <c r="M482" s="335" t="str">
        <f>'ALL ML SYSTEMS'!M484</f>
        <v>Yes</v>
      </c>
      <c r="N482" s="335">
        <f>'ALL ML SYSTEMS'!N484</f>
        <v>25000</v>
      </c>
      <c r="O482" s="335">
        <f>'ALL ML SYSTEMS'!O484</f>
        <v>18232157622832.7</v>
      </c>
      <c r="P482" s="336">
        <f>'ALL ML SYSTEMS'!P484</f>
        <v>0</v>
      </c>
      <c r="Q482" s="335">
        <f>'ALL ML SYSTEMS'!Q484</f>
        <v>6300000</v>
      </c>
      <c r="R482" s="323">
        <f>'ALL ML SYSTEMS'!R484</f>
        <v>1</v>
      </c>
      <c r="S482" s="335">
        <f>'ALL ML SYSTEMS'!S484</f>
        <v>0</v>
      </c>
      <c r="T482" s="323">
        <f>'ALL ML SYSTEMS'!T484</f>
        <v>0</v>
      </c>
      <c r="U482" s="323">
        <f>'ALL ML SYSTEMS'!U484</f>
        <v>0</v>
      </c>
      <c r="V482" s="323">
        <f>'ALL ML SYSTEMS'!V484</f>
        <v>0</v>
      </c>
      <c r="W482" s="323">
        <f>'ALL ML SYSTEMS'!W484</f>
        <v>0</v>
      </c>
      <c r="X482" s="323">
        <f>'ALL ML SYSTEMS'!X484</f>
        <v>0</v>
      </c>
      <c r="Y482" s="323">
        <f>'ALL ML SYSTEMS'!Y484</f>
        <v>0</v>
      </c>
      <c r="Z482" s="323">
        <f>'ALL ML SYSTEMS'!Z484</f>
        <v>0</v>
      </c>
      <c r="AA482" s="340" t="str">
        <f>'ALL ML SYSTEMS'!AA484</f>
        <v/>
      </c>
      <c r="AB482" s="323">
        <f>'ALL ML SYSTEMS'!AB482</f>
        <v>0</v>
      </c>
      <c r="AC482" s="323">
        <f>'ALL ML SYSTEMS'!AC482</f>
        <v>0</v>
      </c>
      <c r="AD482" s="323" t="str">
        <f>'ALL ML SYSTEMS'!AD482</f>
        <v>Academia</v>
      </c>
    </row>
    <row r="483" customHeight="1" spans="1:30">
      <c r="A483" s="325" t="str">
        <f>'ALL ML SYSTEMS'!A485</f>
        <v>Fuzzy NN</v>
      </c>
      <c r="B483" s="325" t="str">
        <f>'ALL ML SYSTEMS'!B485</f>
        <v>Speech</v>
      </c>
      <c r="C483" s="325" t="str">
        <f>'ALL ML SYSTEMS'!C485</f>
        <v>Speech recognition</v>
      </c>
      <c r="D483" s="325" t="str">
        <f>'ALL ML SYSTEMS'!D485</f>
        <v>Indian Statistical Institute</v>
      </c>
      <c r="E483" s="325" t="str">
        <f>'ALL ML SYSTEMS'!E485</f>
        <v>Academia</v>
      </c>
      <c r="F483" s="325" t="str">
        <f>'ALL ML SYSTEMS'!F485</f>
        <v>SK Pal, S Mitra</v>
      </c>
      <c r="G483" s="326">
        <f>'ALL ML SYSTEMS'!G485</f>
        <v>33848</v>
      </c>
      <c r="H483" s="327">
        <f>'ALL ML SYSTEMS'!H485</f>
        <v>3848</v>
      </c>
      <c r="I483" s="325" t="str">
        <f>'ALL ML SYSTEMS'!I485</f>
        <v>Multilayer perceptron, fuzzy sets, and classification</v>
      </c>
      <c r="J483" s="337" t="str">
        <f>'ALL ML SYSTEMS'!J485</f>
        <v>https://ieeexplore.ieee.org/document/159058</v>
      </c>
      <c r="K483" s="338">
        <f>'ALL ML SYSTEMS'!K485</f>
        <v>1223</v>
      </c>
      <c r="L483" s="325" t="str">
        <f>'ALL ML SYSTEMS'!L485</f>
        <v>Highly cited</v>
      </c>
      <c r="M483" s="338" t="str">
        <f>'ALL ML SYSTEMS'!M485</f>
        <v>Yes</v>
      </c>
      <c r="N483" s="338">
        <f>'ALL ML SYSTEMS'!N485</f>
        <v>1166</v>
      </c>
      <c r="O483" s="338">
        <f>'ALL ML SYSTEMS'!O485</f>
        <v>3046758</v>
      </c>
      <c r="P483" s="339">
        <f>'ALL ML SYSTEMS'!P485</f>
        <v>0</v>
      </c>
      <c r="Q483" s="338">
        <f>'ALL ML SYSTEMS'!Q485</f>
        <v>871</v>
      </c>
      <c r="R483" s="325">
        <f>'ALL ML SYSTEMS'!R485</f>
        <v>0</v>
      </c>
      <c r="S483" s="338">
        <f>'ALL ML SYSTEMS'!S485</f>
        <v>0</v>
      </c>
      <c r="T483" s="325">
        <f>'ALL ML SYSTEMS'!T485</f>
        <v>0</v>
      </c>
      <c r="U483" s="325">
        <f>'ALL ML SYSTEMS'!U485</f>
        <v>0</v>
      </c>
      <c r="V483" s="325">
        <f>'ALL ML SYSTEMS'!V485</f>
        <v>0</v>
      </c>
      <c r="W483" s="325">
        <f>'ALL ML SYSTEMS'!W485</f>
        <v>0</v>
      </c>
      <c r="X483" s="325">
        <f>'ALL ML SYSTEMS'!X485</f>
        <v>0</v>
      </c>
      <c r="Y483" s="325">
        <f>'ALL ML SYSTEMS'!Y485</f>
        <v>0</v>
      </c>
      <c r="Z483" s="325">
        <f>'ALL ML SYSTEMS'!Z485</f>
        <v>0</v>
      </c>
      <c r="AA483" s="341" t="str">
        <f>'ALL ML SYSTEMS'!AA485</f>
        <v/>
      </c>
      <c r="AB483" s="325">
        <f>'ALL ML SYSTEMS'!AB483</f>
        <v>0</v>
      </c>
      <c r="AC483" s="325" t="str">
        <f>'ALL ML SYSTEMS'!AC483</f>
        <v>Statistical Alignment Model</v>
      </c>
      <c r="AD483" s="325" t="str">
        <f>'ALL ML SYSTEMS'!AD483</f>
        <v>Industry</v>
      </c>
    </row>
    <row r="484" customHeight="1" spans="1:30">
      <c r="A484" s="323">
        <f>'ALL ML SYSTEMS'!A486</f>
        <v>0</v>
      </c>
      <c r="B484" s="323">
        <f>'ALL ML SYSTEMS'!B486</f>
        <v>0</v>
      </c>
      <c r="C484" s="323">
        <f>'ALL ML SYSTEMS'!C486</f>
        <v>0</v>
      </c>
      <c r="D484" s="323" t="str">
        <f>'ALL ML SYSTEMS'!D486</f>
        <v>Northeastern University</v>
      </c>
      <c r="E484" s="323" t="str">
        <f>'ALL ML SYSTEMS'!E486</f>
        <v>Academia</v>
      </c>
      <c r="F484" s="323" t="str">
        <f>'ALL ML SYSTEMS'!F486</f>
        <v>R. J. Williams</v>
      </c>
      <c r="G484" s="324">
        <f>'ALL ML SYSTEMS'!G486</f>
        <v>33725</v>
      </c>
      <c r="H484" s="329">
        <f>'ALL ML SYSTEMS'!H486</f>
        <v>3725</v>
      </c>
      <c r="I484" s="323" t="str">
        <f>'ALL ML SYSTEMS'!I486</f>
        <v>Simple statistical gradient-following algorithms for connectionist reinforcement learning</v>
      </c>
      <c r="J484" s="334" t="str">
        <f>'ALL ML SYSTEMS'!J486</f>
        <v>https://dl.acm.org/doi/10.1007/BF00992696</v>
      </c>
      <c r="K484" s="335">
        <f>'ALL ML SYSTEMS'!K486</f>
        <v>6528</v>
      </c>
      <c r="L484" s="323" t="str">
        <f>'ALL ML SYSTEMS'!L486</f>
        <v>Highly cited</v>
      </c>
      <c r="M484" s="335" t="str">
        <f>'ALL ML SYSTEMS'!M486</f>
        <v>Yes</v>
      </c>
      <c r="N484" s="335">
        <f>'ALL ML SYSTEMS'!N486</f>
        <v>0</v>
      </c>
      <c r="O484" s="335">
        <f>'ALL ML SYSTEMS'!O486</f>
        <v>0</v>
      </c>
      <c r="P484" s="336">
        <f>'ALL ML SYSTEMS'!P486</f>
        <v>0</v>
      </c>
      <c r="Q484" s="335">
        <f>'ALL ML SYSTEMS'!Q486</f>
        <v>0</v>
      </c>
      <c r="R484" s="323">
        <f>'ALL ML SYSTEMS'!R486</f>
        <v>0</v>
      </c>
      <c r="S484" s="335">
        <f>'ALL ML SYSTEMS'!S486</f>
        <v>0</v>
      </c>
      <c r="T484" s="323">
        <f>'ALL ML SYSTEMS'!T486</f>
        <v>0</v>
      </c>
      <c r="U484" s="323">
        <f>'ALL ML SYSTEMS'!U486</f>
        <v>0</v>
      </c>
      <c r="V484" s="323">
        <f>'ALL ML SYSTEMS'!V486</f>
        <v>0</v>
      </c>
      <c r="W484" s="323">
        <f>'ALL ML SYSTEMS'!W486</f>
        <v>0</v>
      </c>
      <c r="X484" s="323">
        <f>'ALL ML SYSTEMS'!X486</f>
        <v>0</v>
      </c>
      <c r="Y484" s="323">
        <f>'ALL ML SYSTEMS'!Y486</f>
        <v>0</v>
      </c>
      <c r="Z484" s="323">
        <f>'ALL ML SYSTEMS'!Z486</f>
        <v>0</v>
      </c>
      <c r="AA484" s="340" t="str">
        <f>'ALL ML SYSTEMS'!AA486</f>
        <v/>
      </c>
      <c r="AB484" s="323">
        <f>'ALL ML SYSTEMS'!AB484</f>
        <v>0</v>
      </c>
      <c r="AC484" s="323">
        <f>'ALL ML SYSTEMS'!AC484</f>
        <v>0</v>
      </c>
      <c r="AD484" s="323" t="str">
        <f>'ALL ML SYSTEMS'!AD484</f>
        <v>Industry</v>
      </c>
    </row>
    <row r="485" hidden="1" customHeight="1" spans="1:30">
      <c r="A485" s="325" t="str">
        <f>'ALL ML SYSTEMS'!A487</f>
        <v>DIABETES</v>
      </c>
      <c r="B485" s="325" t="str">
        <f>'ALL ML SYSTEMS'!B487</f>
        <v>Other</v>
      </c>
      <c r="C485" s="325" t="str">
        <f>'ALL ML SYSTEMS'!C487</f>
        <v>Medical diagnosis</v>
      </c>
      <c r="D485" s="325" t="str">
        <f>'ALL ML SYSTEMS'!D487</f>
        <v>Aalborg University</v>
      </c>
      <c r="E485" s="325" t="str">
        <f>'ALL ML SYSTEMS'!E487</f>
        <v>Academia</v>
      </c>
      <c r="F485" s="325" t="str">
        <f>'ALL ML SYSTEMS'!F487</f>
        <v>S. Andreassen, R. Hovorka, J. Benn, K. G. Olesen, and E. R. Carson</v>
      </c>
      <c r="G485" s="326">
        <f>'ALL ML SYSTEMS'!G487</f>
        <v>33413</v>
      </c>
      <c r="H485" s="327">
        <f>'ALL ML SYSTEMS'!H487</f>
        <v>3413</v>
      </c>
      <c r="I485" s="325" t="str">
        <f>'ALL ML SYSTEMS'!I487</f>
        <v>A Model-based Approach to Insulin Adjustment</v>
      </c>
      <c r="J485" s="337" t="str">
        <f>'ALL ML SYSTEMS'!J487</f>
        <v>https://link.springer.com/chapter/10.1007/978-3-642-48650-0_19</v>
      </c>
      <c r="K485" s="338">
        <f>'ALL ML SYSTEMS'!K487</f>
        <v>132</v>
      </c>
      <c r="L485" s="325">
        <f>'ALL ML SYSTEMS'!L487</f>
        <v>0</v>
      </c>
      <c r="M485" s="338" t="str">
        <f>'ALL ML SYSTEMS'!M487</f>
        <v>No</v>
      </c>
      <c r="N485" s="338">
        <f>'ALL ML SYSTEMS'!N487</f>
        <v>429409</v>
      </c>
      <c r="O485" s="338">
        <f>'ALL ML SYSTEMS'!O487</f>
        <v>0</v>
      </c>
      <c r="P485" s="339">
        <f>'ALL ML SYSTEMS'!P487</f>
        <v>0</v>
      </c>
      <c r="Q485" s="338">
        <f>'ALL ML SYSTEMS'!Q487</f>
        <v>0</v>
      </c>
      <c r="R485" s="325">
        <f>'ALL ML SYSTEMS'!R487</f>
        <v>0</v>
      </c>
      <c r="S485" s="338">
        <f>'ALL ML SYSTEMS'!S487</f>
        <v>0</v>
      </c>
      <c r="T485" s="325">
        <f>'ALL ML SYSTEMS'!T487</f>
        <v>0</v>
      </c>
      <c r="U485" s="325">
        <f>'ALL ML SYSTEMS'!U487</f>
        <v>0</v>
      </c>
      <c r="V485" s="325">
        <f>'ALL ML SYSTEMS'!V487</f>
        <v>0</v>
      </c>
      <c r="W485" s="325">
        <f>'ALL ML SYSTEMS'!W487</f>
        <v>0</v>
      </c>
      <c r="X485" s="325">
        <f>'ALL ML SYSTEMS'!X487</f>
        <v>0</v>
      </c>
      <c r="Y485" s="325">
        <f>'ALL ML SYSTEMS'!Y487</f>
        <v>0</v>
      </c>
      <c r="Z485" s="325">
        <f>'ALL ML SYSTEMS'!Z487</f>
        <v>0</v>
      </c>
      <c r="AA485" s="341" t="str">
        <f>'ALL ML SYSTEMS'!AA487</f>
        <v/>
      </c>
      <c r="AB485" s="325"/>
      <c r="AC485" s="325">
        <f>'ALL ML SYSTEMS'!AC487</f>
        <v>0</v>
      </c>
      <c r="AD485" s="325" t="str">
        <f>'ALL ML SYSTEMS'!AD487</f>
        <v>Academia</v>
      </c>
    </row>
    <row r="486" customHeight="1" spans="1:30">
      <c r="A486" s="323">
        <f>'ALL ML SYSTEMS'!A488</f>
        <v>0</v>
      </c>
      <c r="B486" s="323" t="str">
        <f>'ALL ML SYSTEMS'!B488</f>
        <v>Language</v>
      </c>
      <c r="C486" s="323">
        <f>'ALL ML SYSTEMS'!C488</f>
        <v>0</v>
      </c>
      <c r="D486" s="323" t="str">
        <f>'ALL ML SYSTEMS'!D488</f>
        <v>University of California, San Diego</v>
      </c>
      <c r="E486" s="323" t="str">
        <f>'ALL ML SYSTEMS'!E488</f>
        <v>Academia</v>
      </c>
      <c r="F486" s="323" t="str">
        <f>'ALL ML SYSTEMS'!F488</f>
        <v>J. L. Elman</v>
      </c>
      <c r="G486" s="324">
        <f>'ALL ML SYSTEMS'!G488</f>
        <v>33482</v>
      </c>
      <c r="H486" s="329">
        <f>'ALL ML SYSTEMS'!H488</f>
        <v>3482</v>
      </c>
      <c r="I486" s="323" t="str">
        <f>'ALL ML SYSTEMS'!I488</f>
        <v>Distributed representations, simple recurrent networks, and grammatical structure</v>
      </c>
      <c r="J486" s="334" t="str">
        <f>'ALL ML SYSTEMS'!J488</f>
        <v>https://dl.acm.org/doi/10.1007/BF00114844</v>
      </c>
      <c r="K486" s="335">
        <f>'ALL ML SYSTEMS'!K488</f>
        <v>1717</v>
      </c>
      <c r="L486" s="323" t="str">
        <f>'ALL ML SYSTEMS'!L488</f>
        <v>Highly cited</v>
      </c>
      <c r="M486" s="335" t="str">
        <f>'ALL ML SYSTEMS'!M488</f>
        <v>Yes</v>
      </c>
      <c r="N486" s="335">
        <f>'ALL ML SYSTEMS'!N488</f>
        <v>0</v>
      </c>
      <c r="O486" s="335">
        <f>'ALL ML SYSTEMS'!O488</f>
        <v>0</v>
      </c>
      <c r="P486" s="336">
        <f>'ALL ML SYSTEMS'!P488</f>
        <v>0</v>
      </c>
      <c r="Q486" s="335">
        <f>'ALL ML SYSTEMS'!Q488</f>
        <v>177805</v>
      </c>
      <c r="R486" s="323">
        <f>'ALL ML SYSTEMS'!R488</f>
        <v>0</v>
      </c>
      <c r="S486" s="335">
        <f>'ALL ML SYSTEMS'!S488</f>
        <v>0</v>
      </c>
      <c r="T486" s="323">
        <f>'ALL ML SYSTEMS'!T488</f>
        <v>0</v>
      </c>
      <c r="U486" s="323">
        <f>'ALL ML SYSTEMS'!U488</f>
        <v>0</v>
      </c>
      <c r="V486" s="323">
        <f>'ALL ML SYSTEMS'!V488</f>
        <v>0</v>
      </c>
      <c r="W486" s="323">
        <f>'ALL ML SYSTEMS'!W488</f>
        <v>0</v>
      </c>
      <c r="X486" s="323">
        <f>'ALL ML SYSTEMS'!X488</f>
        <v>0</v>
      </c>
      <c r="Y486" s="323">
        <f>'ALL ML SYSTEMS'!Y488</f>
        <v>0</v>
      </c>
      <c r="Z486" s="323">
        <f>'ALL ML SYSTEMS'!Z488</f>
        <v>0</v>
      </c>
      <c r="AA486" s="340" t="str">
        <f>'ALL ML SYSTEMS'!AA488</f>
        <v/>
      </c>
      <c r="AB486" s="323">
        <f>'ALL ML SYSTEMS'!AB486</f>
        <v>0</v>
      </c>
      <c r="AC486" s="323">
        <f>'ALL ML SYSTEMS'!AC486</f>
        <v>0</v>
      </c>
      <c r="AD486" s="323" t="str">
        <f>'ALL ML SYSTEMS'!AD486</f>
        <v>Academia</v>
      </c>
    </row>
    <row r="487" customHeight="1" spans="1:30">
      <c r="A487" s="325" t="str">
        <f>'ALL ML SYSTEMS'!A489</f>
        <v>MADALINE III</v>
      </c>
      <c r="B487" s="325">
        <f>'ALL ML SYSTEMS'!B489</f>
        <v>0</v>
      </c>
      <c r="C487" s="325">
        <f>'ALL ML SYSTEMS'!C489</f>
        <v>0</v>
      </c>
      <c r="D487" s="325" t="str">
        <f>'ALL ML SYSTEMS'!D489</f>
        <v>University of Stanford</v>
      </c>
      <c r="E487" s="325" t="str">
        <f>'ALL ML SYSTEMS'!E489</f>
        <v>Academia</v>
      </c>
      <c r="F487" s="325" t="str">
        <f>'ALL ML SYSTEMS'!F489</f>
        <v>B Widrow, M. A. Lehr</v>
      </c>
      <c r="G487" s="326">
        <f>'ALL ML SYSTEMS'!G489</f>
        <v>33117</v>
      </c>
      <c r="H487" s="327">
        <f>'ALL ML SYSTEMS'!H489</f>
        <v>3117</v>
      </c>
      <c r="I487" s="325" t="str">
        <f>'ALL ML SYSTEMS'!I489</f>
        <v>30 years of adaptive neural networks: perceptron, madaline, and backpropagation</v>
      </c>
      <c r="J487" s="337" t="str">
        <f>'ALL ML SYSTEMS'!J489</f>
        <v>https://ieeexplore.ieee.org/document/58323</v>
      </c>
      <c r="K487" s="338">
        <f>'ALL ML SYSTEMS'!K489</f>
        <v>3013</v>
      </c>
      <c r="L487" s="325" t="str">
        <f>'ALL ML SYSTEMS'!L489</f>
        <v>Highly cited</v>
      </c>
      <c r="M487" s="338" t="str">
        <f>'ALL ML SYSTEMS'!M489</f>
        <v>Yes</v>
      </c>
      <c r="N487" s="338">
        <f>'ALL ML SYSTEMS'!N489</f>
        <v>0</v>
      </c>
      <c r="O487" s="338">
        <f>'ALL ML SYSTEMS'!O489</f>
        <v>0</v>
      </c>
      <c r="P487" s="339">
        <f>'ALL ML SYSTEMS'!P489</f>
        <v>0</v>
      </c>
      <c r="Q487" s="338">
        <f>'ALL ML SYSTEMS'!Q489</f>
        <v>0</v>
      </c>
      <c r="R487" s="325">
        <f>'ALL ML SYSTEMS'!R489</f>
        <v>0</v>
      </c>
      <c r="S487" s="338">
        <f>'ALL ML SYSTEMS'!S489</f>
        <v>0</v>
      </c>
      <c r="T487" s="325">
        <f>'ALL ML SYSTEMS'!T489</f>
        <v>0</v>
      </c>
      <c r="U487" s="325">
        <f>'ALL ML SYSTEMS'!U489</f>
        <v>0</v>
      </c>
      <c r="V487" s="325">
        <f>'ALL ML SYSTEMS'!V489</f>
        <v>0</v>
      </c>
      <c r="W487" s="325">
        <f>'ALL ML SYSTEMS'!W489</f>
        <v>0</v>
      </c>
      <c r="X487" s="325">
        <f>'ALL ML SYSTEMS'!X489</f>
        <v>0</v>
      </c>
      <c r="Y487" s="325">
        <f>'ALL ML SYSTEMS'!Y489</f>
        <v>0</v>
      </c>
      <c r="Z487" s="325">
        <f>'ALL ML SYSTEMS'!Z489</f>
        <v>0</v>
      </c>
      <c r="AA487" s="341" t="str">
        <f>'ALL ML SYSTEMS'!AA489</f>
        <v/>
      </c>
      <c r="AB487" s="325">
        <f>'ALL ML SYSTEMS'!AB487</f>
        <v>0</v>
      </c>
      <c r="AC487" s="325">
        <f>'ALL ML SYSTEMS'!AC487</f>
        <v>0</v>
      </c>
      <c r="AD487" s="325" t="str">
        <f>'ALL ML SYSTEMS'!AD487</f>
        <v>Academia</v>
      </c>
    </row>
    <row r="488" customHeight="1" spans="1:30">
      <c r="A488" s="323">
        <f>'ALL ML SYSTEMS'!A490</f>
        <v>0</v>
      </c>
      <c r="B488" s="323">
        <f>'ALL ML SYSTEMS'!B490</f>
        <v>0</v>
      </c>
      <c r="C488" s="323">
        <f>'ALL ML SYSTEMS'!C490</f>
        <v>0</v>
      </c>
      <c r="D488" s="323" t="str">
        <f>'ALL ML SYSTEMS'!D490</f>
        <v>Air Force Institute of Technology, OH, USA</v>
      </c>
      <c r="E488" s="323" t="str">
        <f>'ALL ML SYSTEMS'!E490</f>
        <v>Academia</v>
      </c>
      <c r="F488" s="323" t="str">
        <f>'ALL ML SYSTEMS'!F490</f>
        <v>D.W. Ruck &amp; S.K. Rogers &amp; M. Kabrisky &amp; M.E. Oxley &amp; B.W. Suter</v>
      </c>
      <c r="G488" s="324">
        <f>'ALL ML SYSTEMS'!G490</f>
        <v>33208</v>
      </c>
      <c r="H488" s="329">
        <f>'ALL ML SYSTEMS'!H490</f>
        <v>3208</v>
      </c>
      <c r="I488" s="323" t="str">
        <f>'ALL ML SYSTEMS'!I490</f>
        <v>The multilayer perceptron as an approximation to a Bayes optimal discriminant function</v>
      </c>
      <c r="J488" s="334" t="str">
        <f>'ALL ML SYSTEMS'!J490</f>
        <v>https://ieeexplore.ieee.org/abstract/document/80266</v>
      </c>
      <c r="K488" s="335">
        <f>'ALL ML SYSTEMS'!K490</f>
        <v>1046</v>
      </c>
      <c r="L488" s="323" t="str">
        <f>'ALL ML SYSTEMS'!L490</f>
        <v>Highly cited</v>
      </c>
      <c r="M488" s="335" t="str">
        <f>'ALL ML SYSTEMS'!M490</f>
        <v>Yes</v>
      </c>
      <c r="N488" s="335">
        <f>'ALL ML SYSTEMS'!N490</f>
        <v>0</v>
      </c>
      <c r="O488" s="335">
        <f>'ALL ML SYSTEMS'!O490</f>
        <v>0</v>
      </c>
      <c r="P488" s="336">
        <f>'ALL ML SYSTEMS'!P490</f>
        <v>0</v>
      </c>
      <c r="Q488" s="335">
        <f>'ALL ML SYSTEMS'!Q490</f>
        <v>0</v>
      </c>
      <c r="R488" s="323">
        <f>'ALL ML SYSTEMS'!R490</f>
        <v>0</v>
      </c>
      <c r="S488" s="335">
        <f>'ALL ML SYSTEMS'!S490</f>
        <v>0</v>
      </c>
      <c r="T488" s="323">
        <f>'ALL ML SYSTEMS'!T490</f>
        <v>0</v>
      </c>
      <c r="U488" s="323">
        <f>'ALL ML SYSTEMS'!U490</f>
        <v>0</v>
      </c>
      <c r="V488" s="323">
        <f>'ALL ML SYSTEMS'!V490</f>
        <v>0</v>
      </c>
      <c r="W488" s="323">
        <f>'ALL ML SYSTEMS'!W490</f>
        <v>0</v>
      </c>
      <c r="X488" s="323">
        <f>'ALL ML SYSTEMS'!X490</f>
        <v>0</v>
      </c>
      <c r="Y488" s="323">
        <f>'ALL ML SYSTEMS'!Y490</f>
        <v>0</v>
      </c>
      <c r="Z488" s="323">
        <f>'ALL ML SYSTEMS'!Z490</f>
        <v>0</v>
      </c>
      <c r="AA488" s="340" t="str">
        <f>'ALL ML SYSTEMS'!AA490</f>
        <v/>
      </c>
      <c r="AB488" s="323">
        <f>'ALL ML SYSTEMS'!AB488</f>
        <v>0</v>
      </c>
      <c r="AC488" s="323" t="str">
        <f>'ALL ML SYSTEMS'!AC488</f>
        <v>Recurrent Network ("Elman" network?)</v>
      </c>
      <c r="AD488" s="323" t="str">
        <f>'ALL ML SYSTEMS'!AD488</f>
        <v>Academia</v>
      </c>
    </row>
    <row r="489" customHeight="1" spans="1:30">
      <c r="A489" s="325" t="str">
        <f>'ALL ML SYSTEMS'!A491</f>
        <v>ALVINN</v>
      </c>
      <c r="B489" s="325" t="str">
        <f>'ALL ML SYSTEMS'!B491</f>
        <v>Driving</v>
      </c>
      <c r="C489" s="325">
        <f>'ALL ML SYSTEMS'!C491</f>
        <v>0</v>
      </c>
      <c r="D489" s="325" t="str">
        <f>'ALL ML SYSTEMS'!D491</f>
        <v>Carnegie Mellon University </v>
      </c>
      <c r="E489" s="325" t="str">
        <f>'ALL ML SYSTEMS'!E491</f>
        <v>Academia</v>
      </c>
      <c r="F489" s="325" t="str">
        <f>'ALL ML SYSTEMS'!F491</f>
        <v>DA Pomerleau</v>
      </c>
      <c r="G489" s="326">
        <f>'ALL ML SYSTEMS'!G491</f>
        <v>32843</v>
      </c>
      <c r="H489" s="327">
        <f>'ALL ML SYSTEMS'!H491</f>
        <v>2843</v>
      </c>
      <c r="I489" s="325" t="str">
        <f>'ALL ML SYSTEMS'!I491</f>
        <v>ALVINN: an autonomous land vehicle in a neural network</v>
      </c>
      <c r="J489" s="337" t="str">
        <f>'ALL ML SYSTEMS'!J491</f>
        <v>https://proceedings.neurips.cc/paper/1988/hash/812b4ba287f5ee0bc9d43bbf5bbe87fb-Abstract.html</v>
      </c>
      <c r="K489" s="338">
        <f>'ALL ML SYSTEMS'!K491</f>
        <v>1579</v>
      </c>
      <c r="L489" s="325" t="str">
        <f>'ALL ML SYSTEMS'!L491</f>
        <v>Highly cited</v>
      </c>
      <c r="M489" s="338" t="str">
        <f>'ALL ML SYSTEMS'!M491</f>
        <v>Yes</v>
      </c>
      <c r="N489" s="338">
        <f>'ALL ML SYSTEMS'!N491</f>
        <v>3994</v>
      </c>
      <c r="O489" s="338">
        <f>'ALL ML SYSTEMS'!O491</f>
        <v>81187041441.209</v>
      </c>
      <c r="P489" s="339" t="str">
        <f>'ALL ML SYSTEMS'!P491</f>
        <v>Road snapshots</v>
      </c>
      <c r="Q489" s="338">
        <f>'ALL ML SYSTEMS'!Q491</f>
        <v>1200</v>
      </c>
      <c r="R489" s="325">
        <f>'ALL ML SYSTEMS'!R491</f>
        <v>1</v>
      </c>
      <c r="S489" s="338">
        <f>'ALL ML SYSTEMS'!S491</f>
        <v>0</v>
      </c>
      <c r="T489" s="325">
        <f>'ALL ML SYSTEMS'!T491</f>
        <v>0</v>
      </c>
      <c r="U489" s="325">
        <f>'ALL ML SYSTEMS'!U491</f>
        <v>0</v>
      </c>
      <c r="V489" s="325">
        <f>'ALL ML SYSTEMS'!V491</f>
        <v>0</v>
      </c>
      <c r="W489" s="325">
        <f>'ALL ML SYSTEMS'!W491</f>
        <v>0</v>
      </c>
      <c r="X489" s="325">
        <f>'ALL ML SYSTEMS'!X491</f>
        <v>0</v>
      </c>
      <c r="Y489" s="325">
        <f>'ALL ML SYSTEMS'!Y491</f>
        <v>0</v>
      </c>
      <c r="Z489" s="325">
        <f>'ALL ML SYSTEMS'!Z491</f>
        <v>0</v>
      </c>
      <c r="AA489" s="341" t="str">
        <f>'ALL ML SYSTEMS'!AA491</f>
        <v/>
      </c>
      <c r="AB489" s="325">
        <f>'ALL ML SYSTEMS'!AB489</f>
        <v>0</v>
      </c>
      <c r="AC489" s="325">
        <f>'ALL ML SYSTEMS'!AC489</f>
        <v>0</v>
      </c>
      <c r="AD489" s="325" t="str">
        <f>'ALL ML SYSTEMS'!AD489</f>
        <v>Academia</v>
      </c>
    </row>
    <row r="490" customHeight="1" spans="1:30">
      <c r="A490" s="323" t="str">
        <f>'ALL ML SYSTEMS'!A492</f>
        <v>Zip CNN</v>
      </c>
      <c r="B490" s="323" t="str">
        <f>'ALL ML SYSTEMS'!B492</f>
        <v>Vision</v>
      </c>
      <c r="C490" s="323" t="str">
        <f>'ALL ML SYSTEMS'!C492</f>
        <v>Character recognition</v>
      </c>
      <c r="D490" s="323" t="str">
        <f>'ALL ML SYSTEMS'!D492</f>
        <v>AT&amp;T Bell Laboratories</v>
      </c>
      <c r="E490" s="323" t="str">
        <f>'ALL ML SYSTEMS'!E492</f>
        <v>Industry</v>
      </c>
      <c r="F490" s="323" t="str">
        <f>'ALL ML SYSTEMS'!F492</f>
        <v>Y. LeCun B. Boser J. S. Denker D. Henderson R. E. Howard W. Hubbard L. D. Jackel</v>
      </c>
      <c r="G490" s="324">
        <f>'ALL ML SYSTEMS'!G492</f>
        <v>32843</v>
      </c>
      <c r="H490" s="329">
        <f>'ALL ML SYSTEMS'!H492</f>
        <v>2843</v>
      </c>
      <c r="I490" s="323" t="str">
        <f>'ALL ML SYSTEMS'!I492</f>
        <v>Backpropagation applied to handwritten zip code recognition</v>
      </c>
      <c r="J490" s="334" t="str">
        <f>'ALL ML SYSTEMS'!J492</f>
        <v>https://ieeexplore.ieee.org/document/6795724</v>
      </c>
      <c r="K490" s="335">
        <f>'ALL ML SYSTEMS'!K492</f>
        <v>9052</v>
      </c>
      <c r="L490" s="323" t="str">
        <f>'ALL ML SYSTEMS'!L492</f>
        <v>Highly cited</v>
      </c>
      <c r="M490" s="335" t="str">
        <f>'ALL ML SYSTEMS'!M492</f>
        <v>Yes</v>
      </c>
      <c r="N490" s="335">
        <f>'ALL ML SYSTEMS'!N492</f>
        <v>9760</v>
      </c>
      <c r="O490" s="335">
        <f>'ALL ML SYSTEMS'!O492</f>
        <v>43372117520</v>
      </c>
      <c r="P490" s="335" t="str">
        <f>'ALL ML SYSTEMS'!P492</f>
        <v>Buffalo zips</v>
      </c>
      <c r="Q490" s="335">
        <f>'ALL ML SYSTEMS'!Q492</f>
        <v>7291</v>
      </c>
      <c r="R490" s="323">
        <f>'ALL ML SYSTEMS'!R492</f>
        <v>3</v>
      </c>
      <c r="S490" s="335">
        <f>'ALL ML SYSTEMS'!S492</f>
        <v>129320</v>
      </c>
      <c r="T490" s="323">
        <f>'ALL ML SYSTEMS'!T492</f>
        <v>0</v>
      </c>
      <c r="U490" s="323">
        <f>'ALL ML SYSTEMS'!U492</f>
        <v>0</v>
      </c>
      <c r="V490" s="323">
        <f>'ALL ML SYSTEMS'!V492</f>
        <v>0</v>
      </c>
      <c r="W490" s="323">
        <f>'ALL ML SYSTEMS'!W492</f>
        <v>0</v>
      </c>
      <c r="X490" s="323">
        <f>'ALL ML SYSTEMS'!X492</f>
        <v>0</v>
      </c>
      <c r="Y490" s="323">
        <f>'ALL ML SYSTEMS'!Y492</f>
        <v>0</v>
      </c>
      <c r="Z490" s="323">
        <f>'ALL ML SYSTEMS'!Z492</f>
        <v>0</v>
      </c>
      <c r="AA490" s="340" t="str">
        <f>'ALL ML SYSTEMS'!AA492</f>
        <v/>
      </c>
      <c r="AB490" s="323">
        <f>'ALL ML SYSTEMS'!AB490</f>
        <v>0</v>
      </c>
      <c r="AC490" s="323">
        <f>'ALL ML SYSTEMS'!AC490</f>
        <v>0</v>
      </c>
      <c r="AD490" s="323" t="str">
        <f>'ALL ML SYSTEMS'!AD490</f>
        <v>Academia</v>
      </c>
    </row>
    <row r="491" customHeight="1" spans="1:30">
      <c r="A491" s="325" t="str">
        <f>'ALL ML SYSTEMS'!A493</f>
        <v>Innervator</v>
      </c>
      <c r="B491" s="325" t="str">
        <f>'ALL ML SYSTEMS'!B493</f>
        <v>Other</v>
      </c>
      <c r="C491" s="325" t="str">
        <f>'ALL ML SYSTEMS'!C493</f>
        <v>Pattern classification</v>
      </c>
      <c r="D491" s="325" t="str">
        <f>'ALL ML SYSTEMS'!D493</f>
        <v>Stanford, CalTech</v>
      </c>
      <c r="E491" s="325" t="str">
        <f>'ALL ML SYSTEMS'!E493</f>
        <v>Academia</v>
      </c>
      <c r="F491" s="325" t="str">
        <f>'ALL ML SYSTEMS'!F493</f>
        <v>Geoffrey Miller, Peter Todd, and Shailesh Hegde</v>
      </c>
      <c r="G491" s="326">
        <f>'ALL ML SYSTEMS'!G493</f>
        <v>32509</v>
      </c>
      <c r="H491" s="327">
        <f>'ALL ML SYSTEMS'!H493</f>
        <v>2509</v>
      </c>
      <c r="I491" s="325" t="str">
        <f>'ALL ML SYSTEMS'!I493</f>
        <v>Designing neural networks using genetic algorithms</v>
      </c>
      <c r="J491" s="337" t="str">
        <f>'ALL ML SYSTEMS'!J493</f>
        <v>https://www.researchgate.net/publication/220885651_Designing_Neural_Networks_using_Genetic_Algorithms</v>
      </c>
      <c r="K491" s="338">
        <f>'ALL ML SYSTEMS'!K493</f>
        <v>1132</v>
      </c>
      <c r="L491" s="325" t="str">
        <f>'ALL ML SYSTEMS'!L493</f>
        <v>Highly cited</v>
      </c>
      <c r="M491" s="338" t="str">
        <f>'ALL ML SYSTEMS'!M493</f>
        <v>Yes</v>
      </c>
      <c r="N491" s="338">
        <f>'ALL ML SYSTEMS'!N493</f>
        <v>10</v>
      </c>
      <c r="O491" s="338">
        <f>'ALL ML SYSTEMS'!O493</f>
        <v>120000000</v>
      </c>
      <c r="P491" s="339">
        <f>'ALL ML SYSTEMS'!P493</f>
        <v>0</v>
      </c>
      <c r="Q491" s="338">
        <f>'ALL ML SYSTEMS'!Q493</f>
        <v>4</v>
      </c>
      <c r="R491" s="325">
        <f>'ALL ML SYSTEMS'!R493</f>
        <v>0</v>
      </c>
      <c r="S491" s="338">
        <f>'ALL ML SYSTEMS'!S493</f>
        <v>0</v>
      </c>
      <c r="T491" s="325">
        <f>'ALL ML SYSTEMS'!T493</f>
        <v>0</v>
      </c>
      <c r="U491" s="325">
        <f>'ALL ML SYSTEMS'!U493</f>
        <v>0</v>
      </c>
      <c r="V491" s="325">
        <f>'ALL ML SYSTEMS'!V493</f>
        <v>0</v>
      </c>
      <c r="W491" s="325">
        <f>'ALL ML SYSTEMS'!W493</f>
        <v>0</v>
      </c>
      <c r="X491" s="325">
        <f>'ALL ML SYSTEMS'!X493</f>
        <v>0</v>
      </c>
      <c r="Y491" s="325">
        <f>'ALL ML SYSTEMS'!Y493</f>
        <v>0</v>
      </c>
      <c r="Z491" s="325">
        <f>'ALL ML SYSTEMS'!Z493</f>
        <v>0</v>
      </c>
      <c r="AA491" s="341" t="str">
        <f>'ALL ML SYSTEMS'!AA493</f>
        <v/>
      </c>
      <c r="AB491" s="325">
        <f>'ALL ML SYSTEMS'!AB491</f>
        <v>0</v>
      </c>
      <c r="AC491" s="325">
        <f>'ALL ML SYSTEMS'!AC491</f>
        <v>0</v>
      </c>
      <c r="AD491" s="325" t="str">
        <f>'ALL ML SYSTEMS'!AD491</f>
        <v>Academia</v>
      </c>
    </row>
    <row r="492" customHeight="1" spans="1:30">
      <c r="A492" s="323" t="str">
        <f>'ALL ML SYSTEMS'!A494</f>
        <v>Q-learning</v>
      </c>
      <c r="B492" s="323">
        <f>'ALL ML SYSTEMS'!B494</f>
        <v>0</v>
      </c>
      <c r="C492" s="323">
        <f>'ALL ML SYSTEMS'!C494</f>
        <v>0</v>
      </c>
      <c r="D492" s="323" t="str">
        <f>'ALL ML SYSTEMS'!D494</f>
        <v>University of London</v>
      </c>
      <c r="E492" s="323" t="str">
        <f>'ALL ML SYSTEMS'!E494</f>
        <v>Academia</v>
      </c>
      <c r="F492" s="323" t="str">
        <f>'ALL ML SYSTEMS'!F494</f>
        <v>Christopher Watkins</v>
      </c>
      <c r="G492" s="324">
        <f>'ALL ML SYSTEMS'!G494</f>
        <v>32509</v>
      </c>
      <c r="H492" s="329">
        <f>'ALL ML SYSTEMS'!H494</f>
        <v>2509</v>
      </c>
      <c r="I492" s="323" t="str">
        <f>'ALL ML SYSTEMS'!I494</f>
        <v>Learning from delayed rewards</v>
      </c>
      <c r="J492" s="334" t="str">
        <f>'ALL ML SYSTEMS'!J494</f>
        <v>http://www.cs.rhul.ac.uk/~chrisw/thesis.html</v>
      </c>
      <c r="K492" s="335">
        <f>'ALL ML SYSTEMS'!K494</f>
        <v>8025</v>
      </c>
      <c r="L492" s="323" t="str">
        <f>'ALL ML SYSTEMS'!L494</f>
        <v>Highly cited</v>
      </c>
      <c r="M492" s="335" t="str">
        <f>'ALL ML SYSTEMS'!M494</f>
        <v>Yes</v>
      </c>
      <c r="N492" s="335">
        <f>'ALL ML SYSTEMS'!N494</f>
        <v>0</v>
      </c>
      <c r="O492" s="335">
        <f>'ALL ML SYSTEMS'!O494</f>
        <v>0</v>
      </c>
      <c r="P492" s="336">
        <f>'ALL ML SYSTEMS'!P494</f>
        <v>0</v>
      </c>
      <c r="Q492" s="335">
        <f>'ALL ML SYSTEMS'!Q494</f>
        <v>0</v>
      </c>
      <c r="R492" s="323">
        <f>'ALL ML SYSTEMS'!R494</f>
        <v>0</v>
      </c>
      <c r="S492" s="335">
        <f>'ALL ML SYSTEMS'!S494</f>
        <v>0</v>
      </c>
      <c r="T492" s="323">
        <f>'ALL ML SYSTEMS'!T494</f>
        <v>0</v>
      </c>
      <c r="U492" s="323">
        <f>'ALL ML SYSTEMS'!U494</f>
        <v>0</v>
      </c>
      <c r="V492" s="323">
        <f>'ALL ML SYSTEMS'!V494</f>
        <v>0</v>
      </c>
      <c r="W492" s="323">
        <f>'ALL ML SYSTEMS'!W494</f>
        <v>0</v>
      </c>
      <c r="X492" s="323">
        <f>'ALL ML SYSTEMS'!X494</f>
        <v>0</v>
      </c>
      <c r="Y492" s="323">
        <f>'ALL ML SYSTEMS'!Y494</f>
        <v>0</v>
      </c>
      <c r="Z492" s="323">
        <f>'ALL ML SYSTEMS'!Z494</f>
        <v>0</v>
      </c>
      <c r="AA492" s="340" t="str">
        <f>'ALL ML SYSTEMS'!AA494</f>
        <v/>
      </c>
      <c r="AB492" s="323">
        <f>'ALL ML SYSTEMS'!AB492</f>
        <v>0</v>
      </c>
      <c r="AC492" s="323">
        <f>'ALL ML SYSTEMS'!AC492</f>
        <v>0</v>
      </c>
      <c r="AD492" s="323" t="str">
        <f>'ALL ML SYSTEMS'!AD492</f>
        <v>Industry</v>
      </c>
    </row>
    <row r="493" customHeight="1" spans="1:30">
      <c r="A493" s="325" t="str">
        <f>'ALL ML SYSTEMS'!A495</f>
        <v>Time-delay neural networks</v>
      </c>
      <c r="B493" s="325">
        <f>'ALL ML SYSTEMS'!B495</f>
        <v>0</v>
      </c>
      <c r="C493" s="325">
        <f>'ALL ML SYSTEMS'!C495</f>
        <v>0</v>
      </c>
      <c r="D493" s="325" t="str">
        <f>'ALL ML SYSTEMS'!D495</f>
        <v>Carnegie Mellon University &amp; ATR Interpreting Telephony Research Laboratories &amp; University of Toronto </v>
      </c>
      <c r="E493" s="325" t="str">
        <f>'ALL ML SYSTEMS'!E495</f>
        <v>Industry - Academia Collaboration</v>
      </c>
      <c r="F493" s="325" t="str">
        <f>'ALL ML SYSTEMS'!F495</f>
        <v>A. Waibel, T. Hanazawa, G. Hinton, K. Shikano, and K. J. Lang</v>
      </c>
      <c r="G493" s="326">
        <f>'ALL ML SYSTEMS'!G495</f>
        <v>32570</v>
      </c>
      <c r="H493" s="327">
        <f>'ALL ML SYSTEMS'!H495</f>
        <v>2570</v>
      </c>
      <c r="I493" s="325" t="str">
        <f>'ALL ML SYSTEMS'!I495</f>
        <v>Phoneme recognition using time-delay neural networks</v>
      </c>
      <c r="J493" s="337" t="str">
        <f>'ALL ML SYSTEMS'!J495</f>
        <v>https://ieeexplore.ieee.org/abstract/document/21701</v>
      </c>
      <c r="K493" s="338">
        <f>'ALL ML SYSTEMS'!K495</f>
        <v>3445</v>
      </c>
      <c r="L493" s="325" t="str">
        <f>'ALL ML SYSTEMS'!L495</f>
        <v>Highly cited</v>
      </c>
      <c r="M493" s="338" t="str">
        <f>'ALL ML SYSTEMS'!M495</f>
        <v>Yes</v>
      </c>
      <c r="N493" s="338">
        <f>'ALL ML SYSTEMS'!N495</f>
        <v>0</v>
      </c>
      <c r="O493" s="338">
        <f>'ALL ML SYSTEMS'!O495</f>
        <v>0</v>
      </c>
      <c r="P493" s="339">
        <f>'ALL ML SYSTEMS'!P495</f>
        <v>0</v>
      </c>
      <c r="Q493" s="338">
        <f>'ALL ML SYSTEMS'!Q495</f>
        <v>0</v>
      </c>
      <c r="R493" s="325">
        <f>'ALL ML SYSTEMS'!R495</f>
        <v>0</v>
      </c>
      <c r="S493" s="338">
        <f>'ALL ML SYSTEMS'!S495</f>
        <v>0</v>
      </c>
      <c r="T493" s="325">
        <f>'ALL ML SYSTEMS'!T495</f>
        <v>0</v>
      </c>
      <c r="U493" s="325">
        <f>'ALL ML SYSTEMS'!U495</f>
        <v>0</v>
      </c>
      <c r="V493" s="325">
        <f>'ALL ML SYSTEMS'!V495</f>
        <v>0</v>
      </c>
      <c r="W493" s="325">
        <f>'ALL ML SYSTEMS'!W495</f>
        <v>0</v>
      </c>
      <c r="X493" s="325">
        <f>'ALL ML SYSTEMS'!X495</f>
        <v>0</v>
      </c>
      <c r="Y493" s="325">
        <f>'ALL ML SYSTEMS'!Y495</f>
        <v>0</v>
      </c>
      <c r="Z493" s="325">
        <f>'ALL ML SYSTEMS'!Z495</f>
        <v>0</v>
      </c>
      <c r="AA493" s="341" t="str">
        <f>'ALL ML SYSTEMS'!AA495</f>
        <v/>
      </c>
      <c r="AB493" s="325">
        <f>'ALL ML SYSTEMS'!AB493</f>
        <v>0</v>
      </c>
      <c r="AC493" s="325">
        <f>'ALL ML SYSTEMS'!AC493</f>
        <v>0</v>
      </c>
      <c r="AD493" s="325">
        <f>'ALL ML SYSTEMS'!AD493</f>
        <v>0</v>
      </c>
    </row>
    <row r="494" customHeight="1" spans="1:30">
      <c r="A494" s="323">
        <f>'ALL ML SYSTEMS'!A496</f>
        <v>0</v>
      </c>
      <c r="B494" s="323">
        <f>'ALL ML SYSTEMS'!B496</f>
        <v>0</v>
      </c>
      <c r="C494" s="323">
        <f>'ALL ML SYSTEMS'!C496</f>
        <v>0</v>
      </c>
      <c r="D494" s="323" t="str">
        <f>'ALL ML SYSTEMS'!D496</f>
        <v>Technische Universität Wien Austria &amp; University of California</v>
      </c>
      <c r="E494" s="323" t="str">
        <f>'ALL ML SYSTEMS'!E496</f>
        <v>Academia</v>
      </c>
      <c r="F494" s="323" t="str">
        <f>'ALL ML SYSTEMS'!F496</f>
        <v>Kurt Hornik &amp; Maxwell Stinchcombe &amp; Halbert White</v>
      </c>
      <c r="G494" s="324">
        <f>'ALL ML SYSTEMS'!G496</f>
        <v>32576</v>
      </c>
      <c r="H494" s="329">
        <f>'ALL ML SYSTEMS'!H496</f>
        <v>2576</v>
      </c>
      <c r="I494" s="323" t="str">
        <f>'ALL ML SYSTEMS'!I496</f>
        <v>Multilayer feedforward networks are universal approximators</v>
      </c>
      <c r="J494" s="334" t="str">
        <f>'ALL ML SYSTEMS'!J496</f>
        <v>https://www.sciencedirect.com/science/article/abs/pii/0893608089900208</v>
      </c>
      <c r="K494" s="335">
        <f>'ALL ML SYSTEMS'!K496</f>
        <v>21663</v>
      </c>
      <c r="L494" s="323" t="str">
        <f>'ALL ML SYSTEMS'!L496</f>
        <v>Highly cited</v>
      </c>
      <c r="M494" s="335" t="str">
        <f>'ALL ML SYSTEMS'!M496</f>
        <v>Yes</v>
      </c>
      <c r="N494" s="335">
        <f>'ALL ML SYSTEMS'!N496</f>
        <v>0</v>
      </c>
      <c r="O494" s="335">
        <f>'ALL ML SYSTEMS'!O496</f>
        <v>0</v>
      </c>
      <c r="P494" s="336">
        <f>'ALL ML SYSTEMS'!P496</f>
        <v>0</v>
      </c>
      <c r="Q494" s="335">
        <f>'ALL ML SYSTEMS'!Q496</f>
        <v>0</v>
      </c>
      <c r="R494" s="323">
        <f>'ALL ML SYSTEMS'!R496</f>
        <v>0</v>
      </c>
      <c r="S494" s="335">
        <f>'ALL ML SYSTEMS'!S496</f>
        <v>0</v>
      </c>
      <c r="T494" s="323">
        <f>'ALL ML SYSTEMS'!T496</f>
        <v>0</v>
      </c>
      <c r="U494" s="323">
        <f>'ALL ML SYSTEMS'!U496</f>
        <v>0</v>
      </c>
      <c r="V494" s="323">
        <f>'ALL ML SYSTEMS'!V496</f>
        <v>0</v>
      </c>
      <c r="W494" s="323">
        <f>'ALL ML SYSTEMS'!W496</f>
        <v>0</v>
      </c>
      <c r="X494" s="323">
        <f>'ALL ML SYSTEMS'!X496</f>
        <v>0</v>
      </c>
      <c r="Y494" s="323">
        <f>'ALL ML SYSTEMS'!Y496</f>
        <v>0</v>
      </c>
      <c r="Z494" s="323">
        <f>'ALL ML SYSTEMS'!Z496</f>
        <v>0</v>
      </c>
      <c r="AA494" s="340" t="str">
        <f>'ALL ML SYSTEMS'!AA496</f>
        <v/>
      </c>
      <c r="AB494" s="323">
        <f>'ALL ML SYSTEMS'!AB494</f>
        <v>0</v>
      </c>
      <c r="AC494" s="323">
        <f>'ALL ML SYSTEMS'!AC494</f>
        <v>0</v>
      </c>
      <c r="AD494" s="323" t="str">
        <f>'ALL ML SYSTEMS'!AD494</f>
        <v>Academia</v>
      </c>
    </row>
    <row r="495" customHeight="1" spans="1:30">
      <c r="A495" s="325">
        <f>'ALL ML SYSTEMS'!A497</f>
        <v>0</v>
      </c>
      <c r="B495" s="325" t="str">
        <f>'ALL ML SYSTEMS'!B497</f>
        <v>Vision</v>
      </c>
      <c r="C495" s="325">
        <f>'ALL ML SYSTEMS'!C497</f>
        <v>0</v>
      </c>
      <c r="D495" s="325" t="str">
        <f>'ALL ML SYSTEMS'!D497</f>
        <v>Roke Manor Research</v>
      </c>
      <c r="E495" s="325" t="str">
        <f>'ALL ML SYSTEMS'!E497</f>
        <v>Industry</v>
      </c>
      <c r="F495" s="325" t="str">
        <f>'ALL ML SYSTEMS'!F497</f>
        <v>Harris &amp; Stephens</v>
      </c>
      <c r="G495" s="326">
        <f>'ALL ML SYSTEMS'!G497</f>
        <v>32325</v>
      </c>
      <c r="H495" s="327">
        <f>'ALL ML SYSTEMS'!H497</f>
        <v>2325</v>
      </c>
      <c r="I495" s="325" t="str">
        <f>'ALL ML SYSTEMS'!I497</f>
        <v>A Combined Corner and Edge Detector</v>
      </c>
      <c r="J495" s="337" t="str">
        <f>'ALL ML SYSTEMS'!J497</f>
        <v>http://citeseerx.ist.psu.edu/viewdoc/download?doi=10.1.1.434.4816&amp;rep=rep1&amp;type=pdf</v>
      </c>
      <c r="K495" s="338">
        <f>'ALL ML SYSTEMS'!K497</f>
        <v>19068</v>
      </c>
      <c r="L495" s="325" t="str">
        <f>'ALL ML SYSTEMS'!L497</f>
        <v>Highly cited</v>
      </c>
      <c r="M495" s="338" t="str">
        <f>'ALL ML SYSTEMS'!M497</f>
        <v>Yes</v>
      </c>
      <c r="N495" s="338">
        <f>'ALL ML SYSTEMS'!N497</f>
        <v>0</v>
      </c>
      <c r="O495" s="338">
        <f>'ALL ML SYSTEMS'!O497</f>
        <v>0</v>
      </c>
      <c r="P495" s="339">
        <f>'ALL ML SYSTEMS'!P497</f>
        <v>0</v>
      </c>
      <c r="Q495" s="338">
        <f>'ALL ML SYSTEMS'!Q497</f>
        <v>1500</v>
      </c>
      <c r="R495" s="325">
        <f>'ALL ML SYSTEMS'!R497</f>
        <v>0</v>
      </c>
      <c r="S495" s="338">
        <f>'ALL ML SYSTEMS'!S497</f>
        <v>0</v>
      </c>
      <c r="T495" s="325">
        <f>'ALL ML SYSTEMS'!T497</f>
        <v>0</v>
      </c>
      <c r="U495" s="325">
        <f>'ALL ML SYSTEMS'!U497</f>
        <v>0</v>
      </c>
      <c r="V495" s="325">
        <f>'ALL ML SYSTEMS'!V497</f>
        <v>0</v>
      </c>
      <c r="W495" s="325">
        <f>'ALL ML SYSTEMS'!W497</f>
        <v>0</v>
      </c>
      <c r="X495" s="325">
        <f>'ALL ML SYSTEMS'!X497</f>
        <v>0</v>
      </c>
      <c r="Y495" s="325">
        <f>'ALL ML SYSTEMS'!Y497</f>
        <v>0</v>
      </c>
      <c r="Z495" s="325">
        <f>'ALL ML SYSTEMS'!Z497</f>
        <v>0</v>
      </c>
      <c r="AA495" s="341" t="str">
        <f>'ALL ML SYSTEMS'!AA497</f>
        <v/>
      </c>
      <c r="AB495" s="325">
        <f>'ALL ML SYSTEMS'!AB495</f>
        <v>0</v>
      </c>
      <c r="AC495" s="325">
        <f>'ALL ML SYSTEMS'!AC495</f>
        <v>0</v>
      </c>
      <c r="AD495" s="325" t="str">
        <f>'ALL ML SYSTEMS'!AD495</f>
        <v>Industry</v>
      </c>
    </row>
    <row r="496" hidden="1" customHeight="1" spans="1:30">
      <c r="A496" s="323" t="str">
        <f>'ALL ML SYSTEMS'!A498</f>
        <v>MADALINE II</v>
      </c>
      <c r="B496" s="323" t="str">
        <f>'ALL ML SYSTEMS'!B498</f>
        <v>Other</v>
      </c>
      <c r="C496" s="323" t="str">
        <f>'ALL ML SYSTEMS'!C498</f>
        <v>Pattern classification</v>
      </c>
      <c r="D496" s="323" t="str">
        <f>'ALL ML SYSTEMS'!D498</f>
        <v>Stanford University</v>
      </c>
      <c r="E496" s="323" t="str">
        <f>'ALL ML SYSTEMS'!E498</f>
        <v>Academia</v>
      </c>
      <c r="F496" s="323" t="str">
        <f>'ALL ML SYSTEMS'!F498</f>
        <v>Rodney Winter, Bernard Widrow</v>
      </c>
      <c r="G496" s="324">
        <f>'ALL ML SYSTEMS'!G498</f>
        <v>32348</v>
      </c>
      <c r="H496" s="329">
        <f>'ALL ML SYSTEMS'!H498</f>
        <v>2348</v>
      </c>
      <c r="I496" s="323" t="str">
        <f>'ALL ML SYSTEMS'!I498</f>
        <v>MADALINE RULE II: A Training Algorithm for Neural Networks</v>
      </c>
      <c r="J496" s="334" t="str">
        <f>'ALL ML SYSTEMS'!J498</f>
        <v>https://ieeexplore.ieee.org/document/23872</v>
      </c>
      <c r="K496" s="335">
        <f>'ALL ML SYSTEMS'!K498</f>
        <v>81</v>
      </c>
      <c r="L496" s="323">
        <f>'ALL ML SYSTEMS'!L498</f>
        <v>0</v>
      </c>
      <c r="M496" s="335" t="str">
        <f>'ALL ML SYSTEMS'!M498</f>
        <v>No</v>
      </c>
      <c r="N496" s="335">
        <f>'ALL ML SYSTEMS'!N498</f>
        <v>0</v>
      </c>
      <c r="O496" s="335">
        <f>'ALL ML SYSTEMS'!O498</f>
        <v>0</v>
      </c>
      <c r="P496" s="336">
        <f>'ALL ML SYSTEMS'!P498</f>
        <v>0</v>
      </c>
      <c r="Q496" s="335">
        <f>'ALL ML SYSTEMS'!Q498</f>
        <v>0</v>
      </c>
      <c r="R496" s="323">
        <f>'ALL ML SYSTEMS'!R498</f>
        <v>0</v>
      </c>
      <c r="S496" s="335">
        <f>'ALL ML SYSTEMS'!S498</f>
        <v>0</v>
      </c>
      <c r="T496" s="323">
        <f>'ALL ML SYSTEMS'!T498</f>
        <v>0</v>
      </c>
      <c r="U496" s="323">
        <f>'ALL ML SYSTEMS'!U498</f>
        <v>0</v>
      </c>
      <c r="V496" s="323">
        <f>'ALL ML SYSTEMS'!V498</f>
        <v>0</v>
      </c>
      <c r="W496" s="323">
        <f>'ALL ML SYSTEMS'!W498</f>
        <v>0</v>
      </c>
      <c r="X496" s="323">
        <f>'ALL ML SYSTEMS'!X498</f>
        <v>0</v>
      </c>
      <c r="Y496" s="323">
        <f>'ALL ML SYSTEMS'!Y498</f>
        <v>0</v>
      </c>
      <c r="Z496" s="323">
        <f>'ALL ML SYSTEMS'!Z498</f>
        <v>0</v>
      </c>
      <c r="AA496" s="340" t="str">
        <f>'ALL ML SYSTEMS'!AA498</f>
        <v/>
      </c>
      <c r="AB496" s="323"/>
      <c r="AC496" s="323">
        <f>'ALL ML SYSTEMS'!AC498</f>
        <v>0</v>
      </c>
      <c r="AD496" s="323" t="str">
        <f>'ALL ML SYSTEMS'!AD498</f>
        <v>Academia</v>
      </c>
    </row>
    <row r="497" hidden="1" customHeight="1" spans="1:30">
      <c r="A497" s="325" t="str">
        <f>'ALL ML SYSTEMS'!A499</f>
        <v>Adaptive Broom Balancer</v>
      </c>
      <c r="B497" s="325" t="str">
        <f>'ALL ML SYSTEMS'!B499</f>
        <v>Games</v>
      </c>
      <c r="C497" s="325" t="str">
        <f>'ALL ML SYSTEMS'!C499</f>
        <v>Pole balancing</v>
      </c>
      <c r="D497" s="325" t="str">
        <f>'ALL ML SYSTEMS'!D499</f>
        <v>Stanford University</v>
      </c>
      <c r="E497" s="325" t="str">
        <f>'ALL ML SYSTEMS'!E499</f>
        <v>Academia</v>
      </c>
      <c r="F497" s="325" t="str">
        <f>'ALL ML SYSTEMS'!F499</f>
        <v>VV Tolat, B Widrow</v>
      </c>
      <c r="G497" s="326">
        <f>'ALL ML SYSTEMS'!G499</f>
        <v>32348</v>
      </c>
      <c r="H497" s="327">
        <f>'ALL ML SYSTEMS'!H499</f>
        <v>2348</v>
      </c>
      <c r="I497" s="325" t="str">
        <f>'ALL ML SYSTEMS'!I499</f>
        <v>An Adaptive “Broom Balancer” with Visual Inputs</v>
      </c>
      <c r="J497" s="337" t="str">
        <f>'ALL ML SYSTEMS'!J499</f>
        <v>https://ieeexplore.ieee.org/document/23982</v>
      </c>
      <c r="K497" s="338">
        <f>'ALL ML SYSTEMS'!K499</f>
        <v>80</v>
      </c>
      <c r="L497" s="325">
        <f>'ALL ML SYSTEMS'!L499</f>
        <v>0</v>
      </c>
      <c r="M497" s="338" t="str">
        <f>'ALL ML SYSTEMS'!M499</f>
        <v>No</v>
      </c>
      <c r="N497" s="338">
        <f>'ALL ML SYSTEMS'!N499</f>
        <v>110</v>
      </c>
      <c r="O497" s="338">
        <f>'ALL ML SYSTEMS'!O499</f>
        <v>0</v>
      </c>
      <c r="P497" s="339">
        <f>'ALL ML SYSTEMS'!P499</f>
        <v>0</v>
      </c>
      <c r="Q497" s="338">
        <f>'ALL ML SYSTEMS'!Q499</f>
        <v>0</v>
      </c>
      <c r="R497" s="325">
        <f>'ALL ML SYSTEMS'!R499</f>
        <v>0</v>
      </c>
      <c r="S497" s="338">
        <f>'ALL ML SYSTEMS'!S499</f>
        <v>0</v>
      </c>
      <c r="T497" s="325">
        <f>'ALL ML SYSTEMS'!T499</f>
        <v>0</v>
      </c>
      <c r="U497" s="325">
        <f>'ALL ML SYSTEMS'!U499</f>
        <v>0</v>
      </c>
      <c r="V497" s="325">
        <f>'ALL ML SYSTEMS'!V499</f>
        <v>0</v>
      </c>
      <c r="W497" s="325">
        <f>'ALL ML SYSTEMS'!W499</f>
        <v>0</v>
      </c>
      <c r="X497" s="325">
        <f>'ALL ML SYSTEMS'!X499</f>
        <v>0</v>
      </c>
      <c r="Y497" s="325">
        <f>'ALL ML SYSTEMS'!Y499</f>
        <v>0</v>
      </c>
      <c r="Z497" s="325">
        <f>'ALL ML SYSTEMS'!Z499</f>
        <v>0</v>
      </c>
      <c r="AA497" s="341" t="str">
        <f>'ALL ML SYSTEMS'!AA499</f>
        <v/>
      </c>
      <c r="AB497" s="325"/>
      <c r="AC497" s="325">
        <f>'ALL ML SYSTEMS'!AC499</f>
        <v>0</v>
      </c>
      <c r="AD497" s="325" t="str">
        <f>'ALL ML SYSTEMS'!AD499</f>
        <v>Academia</v>
      </c>
    </row>
    <row r="498" customHeight="1" spans="1:30">
      <c r="A498" s="323" t="str">
        <f>'ALL ML SYSTEMS'!A500</f>
        <v>NetTalk</v>
      </c>
      <c r="B498" s="323" t="str">
        <f>'ALL ML SYSTEMS'!B500</f>
        <v>Speech</v>
      </c>
      <c r="C498" s="323" t="str">
        <f>'ALL ML SYSTEMS'!C500</f>
        <v>Speech synthesis</v>
      </c>
      <c r="D498" s="323" t="str">
        <f>'ALL ML SYSTEMS'!D500</f>
        <v>Princeton University</v>
      </c>
      <c r="E498" s="323" t="str">
        <f>'ALL ML SYSTEMS'!E500</f>
        <v>Academia</v>
      </c>
      <c r="F498" s="323" t="str">
        <f>'ALL ML SYSTEMS'!F500</f>
        <v>TJ Sejnowski, CR Rosenberg</v>
      </c>
      <c r="G498" s="324">
        <f>'ALL ML SYSTEMS'!G500</f>
        <v>31934</v>
      </c>
      <c r="H498" s="329">
        <f>'ALL ML SYSTEMS'!H500</f>
        <v>1934</v>
      </c>
      <c r="I498" s="323" t="str">
        <f>'ALL ML SYSTEMS'!I500</f>
        <v>Parallel Networks that Learn to Pronounce English Text</v>
      </c>
      <c r="J498" s="334" t="str">
        <f>'ALL ML SYSTEMS'!J500</f>
        <v>http://citeseerx.ist.psu.edu/viewdoc/download;jsessionid=03A3D3EDF0BAF35405ABCF083411B55E?doi=10.1.1.154.7012&amp;rep=rep1&amp;type=pdf</v>
      </c>
      <c r="K498" s="335">
        <f>'ALL ML SYSTEMS'!K500</f>
        <v>2558</v>
      </c>
      <c r="L498" s="323" t="str">
        <f>'ALL ML SYSTEMS'!L500</f>
        <v>Highly cited</v>
      </c>
      <c r="M498" s="335" t="str">
        <f>'ALL ML SYSTEMS'!M500</f>
        <v>Yes</v>
      </c>
      <c r="N498" s="335">
        <f>'ALL ML SYSTEMS'!N500</f>
        <v>18629</v>
      </c>
      <c r="O498" s="335">
        <f>'ALL ML SYSTEMS'!O500</f>
        <v>81187041441.209</v>
      </c>
      <c r="P498" s="336">
        <f>'ALL ML SYSTEMS'!P500</f>
        <v>0</v>
      </c>
      <c r="Q498" s="335">
        <f>'ALL ML SYSTEMS'!Q500</f>
        <v>21036</v>
      </c>
      <c r="R498" s="323">
        <f>'ALL ML SYSTEMS'!R500</f>
        <v>1</v>
      </c>
      <c r="S498" s="335">
        <f>'ALL ML SYSTEMS'!S500</f>
        <v>0</v>
      </c>
      <c r="T498" s="323">
        <f>'ALL ML SYSTEMS'!T500</f>
        <v>0</v>
      </c>
      <c r="U498" s="323">
        <f>'ALL ML SYSTEMS'!U500</f>
        <v>0</v>
      </c>
      <c r="V498" s="323">
        <f>'ALL ML SYSTEMS'!V500</f>
        <v>0</v>
      </c>
      <c r="W498" s="323">
        <f>'ALL ML SYSTEMS'!W500</f>
        <v>0</v>
      </c>
      <c r="X498" s="323">
        <f>'ALL ML SYSTEMS'!X500</f>
        <v>0</v>
      </c>
      <c r="Y498" s="323">
        <f>'ALL ML SYSTEMS'!Y500</f>
        <v>0</v>
      </c>
      <c r="Z498" s="323">
        <f>'ALL ML SYSTEMS'!Z500</f>
        <v>0</v>
      </c>
      <c r="AA498" s="340" t="str">
        <f>'ALL ML SYSTEMS'!AA500</f>
        <v/>
      </c>
      <c r="AB498" s="323">
        <f>'ALL ML SYSTEMS'!AB498</f>
        <v>0</v>
      </c>
      <c r="AC498" s="323">
        <f>'ALL ML SYSTEMS'!AC498</f>
        <v>0</v>
      </c>
      <c r="AD498" s="323" t="str">
        <f>'ALL ML SYSTEMS'!AD498</f>
        <v>Academia</v>
      </c>
    </row>
    <row r="499" customHeight="1" spans="1:30">
      <c r="A499" s="325">
        <f>'ALL ML SYSTEMS'!A501</f>
        <v>0</v>
      </c>
      <c r="B499" s="325" t="str">
        <f>'ALL ML SYSTEMS'!B501</f>
        <v>Vision</v>
      </c>
      <c r="C499" s="325">
        <f>'ALL ML SYSTEMS'!C501</f>
        <v>0</v>
      </c>
      <c r="D499" s="325" t="str">
        <f>'ALL ML SYSTEMS'!D501</f>
        <v>University of California, Santa Cruz</v>
      </c>
      <c r="E499" s="325" t="str">
        <f>'ALL ML SYSTEMS'!E501</f>
        <v>Academia</v>
      </c>
      <c r="F499" s="325" t="str">
        <f>'ALL ML SYSTEMS'!F501</f>
        <v>Biederman, Irving</v>
      </c>
      <c r="G499" s="326">
        <f>'ALL ML SYSTEMS'!G501</f>
        <v>31868</v>
      </c>
      <c r="H499" s="327">
        <f>'ALL ML SYSTEMS'!H501</f>
        <v>1868</v>
      </c>
      <c r="I499" s="325" t="str">
        <f>'ALL ML SYSTEMS'!I501</f>
        <v>Recognition-by-components: A theory of human image understanding</v>
      </c>
      <c r="J499" s="337" t="str">
        <f>'ALL ML SYSTEMS'!J501</f>
        <v>https://psycnet.apa.org/record/1987-20898-001</v>
      </c>
      <c r="K499" s="338">
        <f>'ALL ML SYSTEMS'!K501</f>
        <v>7588</v>
      </c>
      <c r="L499" s="325" t="str">
        <f>'ALL ML SYSTEMS'!L501</f>
        <v>Highly cited</v>
      </c>
      <c r="M499" s="338" t="str">
        <f>'ALL ML SYSTEMS'!M501</f>
        <v>Yes</v>
      </c>
      <c r="N499" s="338">
        <f>'ALL ML SYSTEMS'!N501</f>
        <v>0</v>
      </c>
      <c r="O499" s="338">
        <f>'ALL ML SYSTEMS'!O501</f>
        <v>0</v>
      </c>
      <c r="P499" s="339">
        <f>'ALL ML SYSTEMS'!P501</f>
        <v>0</v>
      </c>
      <c r="Q499" s="338">
        <f>'ALL ML SYSTEMS'!Q501</f>
        <v>0</v>
      </c>
      <c r="R499" s="325">
        <f>'ALL ML SYSTEMS'!R501</f>
        <v>0</v>
      </c>
      <c r="S499" s="338">
        <f>'ALL ML SYSTEMS'!S501</f>
        <v>0</v>
      </c>
      <c r="T499" s="325">
        <f>'ALL ML SYSTEMS'!T501</f>
        <v>0</v>
      </c>
      <c r="U499" s="325">
        <f>'ALL ML SYSTEMS'!U501</f>
        <v>0</v>
      </c>
      <c r="V499" s="325">
        <f>'ALL ML SYSTEMS'!V501</f>
        <v>0</v>
      </c>
      <c r="W499" s="325">
        <f>'ALL ML SYSTEMS'!W501</f>
        <v>0</v>
      </c>
      <c r="X499" s="325">
        <f>'ALL ML SYSTEMS'!X501</f>
        <v>0</v>
      </c>
      <c r="Y499" s="325">
        <f>'ALL ML SYSTEMS'!Y501</f>
        <v>0</v>
      </c>
      <c r="Z499" s="325">
        <f>'ALL ML SYSTEMS'!Z501</f>
        <v>0</v>
      </c>
      <c r="AA499" s="341" t="str">
        <f>'ALL ML SYSTEMS'!AA501</f>
        <v/>
      </c>
      <c r="AB499" s="325">
        <f>'ALL ML SYSTEMS'!AB499</f>
        <v>0</v>
      </c>
      <c r="AC499" s="325">
        <f>'ALL ML SYSTEMS'!AC499</f>
        <v>0</v>
      </c>
      <c r="AD499" s="325" t="str">
        <f>'ALL ML SYSTEMS'!AD499</f>
        <v>Academia</v>
      </c>
    </row>
    <row r="500" hidden="1" customHeight="1" spans="1:30">
      <c r="A500" s="323" t="e">
        <f>#REF!</f>
        <v>#REF!</v>
      </c>
      <c r="B500" s="323" t="e">
        <f>#REF!</f>
        <v>#REF!</v>
      </c>
      <c r="C500" s="323" t="e">
        <f>#REF!</f>
        <v>#REF!</v>
      </c>
      <c r="D500" s="323" t="e">
        <f>#REF!</f>
        <v>#REF!</v>
      </c>
      <c r="E500" s="323" t="e">
        <f>#REF!</f>
        <v>#REF!</v>
      </c>
      <c r="F500" s="323" t="e">
        <f>#REF!</f>
        <v>#REF!</v>
      </c>
      <c r="G500" s="323" t="e">
        <f>#REF!</f>
        <v>#REF!</v>
      </c>
      <c r="H500" s="323" t="e">
        <f>#REF!</f>
        <v>#REF!</v>
      </c>
      <c r="I500" s="323" t="e">
        <f>#REF!</f>
        <v>#REF!</v>
      </c>
      <c r="J500" s="323" t="e">
        <f>#REF!</f>
        <v>#REF!</v>
      </c>
      <c r="K500" s="323" t="e">
        <f>#REF!</f>
        <v>#REF!</v>
      </c>
      <c r="L500" s="323" t="e">
        <f>#REF!</f>
        <v>#REF!</v>
      </c>
      <c r="M500" s="323" t="e">
        <f>#REF!</f>
        <v>#REF!</v>
      </c>
      <c r="N500" s="323" t="e">
        <f>#REF!</f>
        <v>#REF!</v>
      </c>
      <c r="O500" s="323" t="e">
        <f>#REF!</f>
        <v>#REF!</v>
      </c>
      <c r="P500" s="323" t="e">
        <f>#REF!</f>
        <v>#REF!</v>
      </c>
      <c r="Q500" s="323" t="e">
        <f>#REF!</f>
        <v>#REF!</v>
      </c>
      <c r="R500" s="323" t="e">
        <f>#REF!</f>
        <v>#REF!</v>
      </c>
      <c r="S500" s="323" t="e">
        <f>#REF!</f>
        <v>#REF!</v>
      </c>
      <c r="T500" s="323" t="e">
        <f>#REF!</f>
        <v>#REF!</v>
      </c>
      <c r="U500" s="323" t="e">
        <f>#REF!</f>
        <v>#REF!</v>
      </c>
      <c r="V500" s="323" t="e">
        <f>#REF!</f>
        <v>#REF!</v>
      </c>
      <c r="W500" s="323" t="e">
        <f>#REF!</f>
        <v>#REF!</v>
      </c>
      <c r="X500" s="323" t="e">
        <f>#REF!</f>
        <v>#REF!</v>
      </c>
      <c r="Y500" s="323" t="e">
        <f>#REF!</f>
        <v>#REF!</v>
      </c>
      <c r="Z500" s="323" t="e">
        <f>#REF!</f>
        <v>#REF!</v>
      </c>
      <c r="AA500" s="323" t="e">
        <f>#REF!</f>
        <v>#REF!</v>
      </c>
      <c r="AB500" s="323"/>
      <c r="AC500" s="323" t="e">
        <f>#REF!</f>
        <v>#REF!</v>
      </c>
      <c r="AD500" s="323" t="e">
        <f>#REF!</f>
        <v>#REF!</v>
      </c>
    </row>
    <row r="501" customHeight="1" spans="1:30">
      <c r="A501" s="325" t="str">
        <f>'ALL ML SYSTEMS'!A502</f>
        <v>Back-propagation</v>
      </c>
      <c r="B501" s="325" t="str">
        <f>'ALL ML SYSTEMS'!B502</f>
        <v>Other</v>
      </c>
      <c r="C501" s="325" t="str">
        <f>'ALL ML SYSTEMS'!C502</f>
        <v>Learning to complete triples</v>
      </c>
      <c r="D501" s="325" t="str">
        <f>'ALL ML SYSTEMS'!D502</f>
        <v>University of California</v>
      </c>
      <c r="E501" s="325" t="str">
        <f>'ALL ML SYSTEMS'!E502</f>
        <v>Academia</v>
      </c>
      <c r="F501" s="325" t="str">
        <f>'ALL ML SYSTEMS'!F502</f>
        <v>Rumelhart, David E.; Hinton, Geoffrey E.; Williams, Ronald J.</v>
      </c>
      <c r="G501" s="326">
        <f>'ALL ML SYSTEMS'!G502</f>
        <v>31686</v>
      </c>
      <c r="H501" s="327">
        <f>'ALL ML SYSTEMS'!H502</f>
        <v>1686</v>
      </c>
      <c r="I501" s="325" t="str">
        <f>'ALL ML SYSTEMS'!I502</f>
        <v>Learning representations by back-propagating errors</v>
      </c>
      <c r="J501" s="337" t="str">
        <f>'ALL ML SYSTEMS'!J502</f>
        <v>https://www.semanticscholar.org/paper/Learning-representations-by-back-propagating-errors-Rumelhart-Hinton/052b1d8ce63b07fec3de9dbb583772d860b7c769</v>
      </c>
      <c r="K501" s="338">
        <f>'ALL ML SYSTEMS'!K502</f>
        <v>25301</v>
      </c>
      <c r="L501" s="325" t="str">
        <f>'ALL ML SYSTEMS'!L502</f>
        <v>Highly cited</v>
      </c>
      <c r="M501" s="338" t="str">
        <f>'ALL ML SYSTEMS'!M502</f>
        <v>Yes</v>
      </c>
      <c r="N501" s="338">
        <f>'ALL ML SYSTEMS'!N502</f>
        <v>144</v>
      </c>
      <c r="O501" s="338">
        <f>'ALL ML SYSTEMS'!O502</f>
        <v>124416000</v>
      </c>
      <c r="P501" s="339">
        <f>'ALL ML SYSTEMS'!P502</f>
        <v>0</v>
      </c>
      <c r="Q501" s="338">
        <f>'ALL ML SYSTEMS'!Q502</f>
        <v>144</v>
      </c>
      <c r="R501" s="325">
        <f>'ALL ML SYSTEMS'!R502</f>
        <v>0</v>
      </c>
      <c r="S501" s="338">
        <f>'ALL ML SYSTEMS'!S502</f>
        <v>288</v>
      </c>
      <c r="T501" s="325">
        <f>'ALL ML SYSTEMS'!T502</f>
        <v>0</v>
      </c>
      <c r="U501" s="325">
        <f>'ALL ML SYSTEMS'!U502</f>
        <v>0</v>
      </c>
      <c r="V501" s="325">
        <f>'ALL ML SYSTEMS'!V502</f>
        <v>0</v>
      </c>
      <c r="W501" s="325">
        <f>'ALL ML SYSTEMS'!W502</f>
        <v>0</v>
      </c>
      <c r="X501" s="325" t="str">
        <f>'ALL ML SYSTEMS'!X502</f>
        <v>Unsupervised</v>
      </c>
      <c r="Y501" s="325">
        <f>'ALL ML SYSTEMS'!Y502</f>
        <v>0</v>
      </c>
      <c r="Z501" s="325">
        <f>'ALL ML SYSTEMS'!Z502</f>
        <v>0</v>
      </c>
      <c r="AA501" s="341" t="str">
        <f>'ALL ML SYSTEMS'!AA502</f>
        <v/>
      </c>
      <c r="AB501" s="325">
        <f>'ALL ML SYSTEMS'!AB501</f>
        <v>0</v>
      </c>
      <c r="AC501" s="325">
        <f>'ALL ML SYSTEMS'!AC501</f>
        <v>0</v>
      </c>
      <c r="AD501" s="325" t="str">
        <f>'ALL ML SYSTEMS'!AD501</f>
        <v>Academia</v>
      </c>
    </row>
    <row r="502" customHeight="1" spans="1:30">
      <c r="A502" s="323">
        <f>'ALL ML SYSTEMS'!A503</f>
        <v>0</v>
      </c>
      <c r="B502" s="323">
        <f>'ALL ML SYSTEMS'!B503</f>
        <v>0</v>
      </c>
      <c r="C502" s="323">
        <f>'ALL ML SYSTEMS'!C503</f>
        <v>0</v>
      </c>
      <c r="D502" s="323" t="str">
        <f>'ALL ML SYSTEMS'!D503</f>
        <v>University of California and University of Carnegie Mellon</v>
      </c>
      <c r="E502" s="323" t="str">
        <f>'ALL ML SYSTEMS'!E503</f>
        <v>Academia</v>
      </c>
      <c r="F502" s="323" t="str">
        <f>'ALL ML SYSTEMS'!F503</f>
        <v>D. E. Rumelhart, G. E. Hinton, and R. J. Williams</v>
      </c>
      <c r="G502" s="324">
        <f>'ALL ML SYSTEMS'!G503</f>
        <v>31415</v>
      </c>
      <c r="H502" s="329">
        <f>'ALL ML SYSTEMS'!H503</f>
        <v>1415</v>
      </c>
      <c r="I502" s="323" t="str">
        <f>'ALL ML SYSTEMS'!I503</f>
        <v>Learning internal representations by error propagation</v>
      </c>
      <c r="J502" s="334" t="str">
        <f>'ALL ML SYSTEMS'!J503</f>
        <v>https://dl.acm.org/doi/10.5555/104279.104293</v>
      </c>
      <c r="K502" s="335">
        <f>'ALL ML SYSTEMS'!K503</f>
        <v>27322</v>
      </c>
      <c r="L502" s="323" t="str">
        <f>'ALL ML SYSTEMS'!L503</f>
        <v>Highly cited</v>
      </c>
      <c r="M502" s="335" t="str">
        <f>'ALL ML SYSTEMS'!M503</f>
        <v>Yes</v>
      </c>
      <c r="N502" s="335">
        <f>'ALL ML SYSTEMS'!N503</f>
        <v>0</v>
      </c>
      <c r="O502" s="335">
        <f>'ALL ML SYSTEMS'!O503</f>
        <v>0</v>
      </c>
      <c r="P502" s="336">
        <f>'ALL ML SYSTEMS'!P503</f>
        <v>0</v>
      </c>
      <c r="Q502" s="335">
        <f>'ALL ML SYSTEMS'!Q503</f>
        <v>0</v>
      </c>
      <c r="R502" s="323">
        <f>'ALL ML SYSTEMS'!R503</f>
        <v>0</v>
      </c>
      <c r="S502" s="335">
        <f>'ALL ML SYSTEMS'!S503</f>
        <v>0</v>
      </c>
      <c r="T502" s="323">
        <f>'ALL ML SYSTEMS'!T503</f>
        <v>0</v>
      </c>
      <c r="U502" s="323">
        <f>'ALL ML SYSTEMS'!U503</f>
        <v>0</v>
      </c>
      <c r="V502" s="323">
        <f>'ALL ML SYSTEMS'!V503</f>
        <v>0</v>
      </c>
      <c r="W502" s="323">
        <f>'ALL ML SYSTEMS'!W503</f>
        <v>0</v>
      </c>
      <c r="X502" s="323">
        <f>'ALL ML SYSTEMS'!X503</f>
        <v>0</v>
      </c>
      <c r="Y502" s="323">
        <f>'ALL ML SYSTEMS'!Y503</f>
        <v>0</v>
      </c>
      <c r="Z502" s="323">
        <f>'ALL ML SYSTEMS'!Z503</f>
        <v>0</v>
      </c>
      <c r="AA502" s="340" t="str">
        <f>'ALL ML SYSTEMS'!AA503</f>
        <v/>
      </c>
      <c r="AB502" s="323" t="e">
        <f>#REF!</f>
        <v>#REF!</v>
      </c>
      <c r="AC502" s="323" t="e">
        <f>#REF!</f>
        <v>#REF!</v>
      </c>
      <c r="AD502" s="323" t="e">
        <f>#REF!</f>
        <v>#REF!</v>
      </c>
    </row>
    <row r="503" hidden="1" customHeight="1" spans="1:30">
      <c r="A503" s="325" t="str">
        <f>'ALL ML SYSTEMS'!A504</f>
        <v>Learning past tenses</v>
      </c>
      <c r="B503" s="325" t="str">
        <f>'ALL ML SYSTEMS'!B504</f>
        <v>Language</v>
      </c>
      <c r="C503" s="325" t="str">
        <f>'ALL ML SYSTEMS'!C504</f>
        <v>Verb conjugation</v>
      </c>
      <c r="D503" s="325" t="str">
        <f>'ALL ML SYSTEMS'!D504</f>
        <v>Stanford</v>
      </c>
      <c r="E503" s="325" t="str">
        <f>'ALL ML SYSTEMS'!E504</f>
        <v>Academia</v>
      </c>
      <c r="F503" s="325" t="str">
        <f>'ALL ML SYSTEMS'!F504</f>
        <v>Rumelhart, D. E., &amp; McClelland, J. L</v>
      </c>
      <c r="G503" s="326">
        <f>'ALL ML SYSTEMS'!G504</f>
        <v>31415</v>
      </c>
      <c r="H503" s="327">
        <f>'ALL ML SYSTEMS'!H504</f>
        <v>1415</v>
      </c>
      <c r="I503" s="325" t="str">
        <f>'ALL ML SYSTEMS'!I504</f>
        <v>Learning the past tenses of English verbs: Implicit rules or parallel distributed processing?</v>
      </c>
      <c r="J503" s="337" t="str">
        <f>'ALL ML SYSTEMS'!J504</f>
        <v>https://www.semanticscholar.org/paper/On-learning-the-past-tenses-of-English-verbs%3A-rules-Rumelhart-McClelland/4fa569625b5ab35e955a8d5be11a4aa9f59ca424</v>
      </c>
      <c r="K503" s="338">
        <f>'ALL ML SYSTEMS'!K504</f>
        <v>318</v>
      </c>
      <c r="L503" s="325">
        <f>'ALL ML SYSTEMS'!L504</f>
        <v>0</v>
      </c>
      <c r="M503" s="338" t="str">
        <f>'ALL ML SYSTEMS'!M504</f>
        <v>No</v>
      </c>
      <c r="N503" s="338">
        <f>'ALL ML SYSTEMS'!N504</f>
        <v>211600</v>
      </c>
      <c r="O503" s="338">
        <f>'ALL ML SYSTEMS'!O504</f>
        <v>0</v>
      </c>
      <c r="P503" s="339">
        <f>'ALL ML SYSTEMS'!P504</f>
        <v>0</v>
      </c>
      <c r="Q503" s="338">
        <f>'ALL ML SYSTEMS'!Q504</f>
        <v>0</v>
      </c>
      <c r="R503" s="325">
        <f>'ALL ML SYSTEMS'!R504</f>
        <v>0</v>
      </c>
      <c r="S503" s="338">
        <f>'ALL ML SYSTEMS'!S504</f>
        <v>0</v>
      </c>
      <c r="T503" s="325">
        <f>'ALL ML SYSTEMS'!T504</f>
        <v>0</v>
      </c>
      <c r="U503" s="325">
        <f>'ALL ML SYSTEMS'!U504</f>
        <v>0</v>
      </c>
      <c r="V503" s="325">
        <f>'ALL ML SYSTEMS'!V504</f>
        <v>0</v>
      </c>
      <c r="W503" s="325">
        <f>'ALL ML SYSTEMS'!W504</f>
        <v>0</v>
      </c>
      <c r="X503" s="325">
        <f>'ALL ML SYSTEMS'!X504</f>
        <v>0</v>
      </c>
      <c r="Y503" s="325">
        <f>'ALL ML SYSTEMS'!Y504</f>
        <v>0</v>
      </c>
      <c r="Z503" s="325">
        <f>'ALL ML SYSTEMS'!Z504</f>
        <v>0</v>
      </c>
      <c r="AA503" s="341" t="str">
        <f>'ALL ML SYSTEMS'!AA504</f>
        <v/>
      </c>
      <c r="AB503" s="325"/>
      <c r="AC503" s="325" t="str">
        <f>'ALL ML SYSTEMS'!AC504</f>
        <v>Parallel Distributed Processing Model</v>
      </c>
      <c r="AD503" s="325" t="str">
        <f>'ALL ML SYSTEMS'!AD504</f>
        <v>Industry</v>
      </c>
    </row>
    <row r="504" customHeight="1" spans="1:30">
      <c r="A504" s="323">
        <f>'ALL ML SYSTEMS'!A505</f>
        <v>0</v>
      </c>
      <c r="B504" s="323">
        <f>'ALL ML SYSTEMS'!B505</f>
        <v>0</v>
      </c>
      <c r="C504" s="323">
        <f>'ALL ML SYSTEMS'!C505</f>
        <v>0</v>
      </c>
      <c r="D504" s="323" t="str">
        <f>'ALL ML SYSTEMS'!D505</f>
        <v>University of California</v>
      </c>
      <c r="E504" s="323" t="str">
        <f>'ALL ML SYSTEMS'!E505</f>
        <v>Academia</v>
      </c>
      <c r="F504" s="323" t="str">
        <f>'ALL ML SYSTEMS'!F505</f>
        <v>Jordan, M.I.</v>
      </c>
      <c r="G504" s="324">
        <f>'ALL ML SYSTEMS'!G505</f>
        <v>31417</v>
      </c>
      <c r="H504" s="329">
        <f>'ALL ML SYSTEMS'!H505</f>
        <v>1417</v>
      </c>
      <c r="I504" s="323" t="str">
        <f>'ALL ML SYSTEMS'!I505</f>
        <v>Serial order: A parallel distributed processing approach</v>
      </c>
      <c r="J504" s="334" t="str">
        <f>'ALL ML SYSTEMS'!J505</f>
        <v>https://www.osti.gov/biblio/6910294</v>
      </c>
      <c r="K504" s="335">
        <f>'ALL ML SYSTEMS'!K505</f>
        <v>1502</v>
      </c>
      <c r="L504" s="323" t="str">
        <f>'ALL ML SYSTEMS'!L505</f>
        <v>Highly cited</v>
      </c>
      <c r="M504" s="335" t="str">
        <f>'ALL ML SYSTEMS'!M505</f>
        <v>Yes</v>
      </c>
      <c r="N504" s="335">
        <f>'ALL ML SYSTEMS'!N505</f>
        <v>0</v>
      </c>
      <c r="O504" s="335">
        <f>'ALL ML SYSTEMS'!O505</f>
        <v>0</v>
      </c>
      <c r="P504" s="336">
        <f>'ALL ML SYSTEMS'!P505</f>
        <v>0</v>
      </c>
      <c r="Q504" s="335">
        <f>'ALL ML SYSTEMS'!Q505</f>
        <v>0</v>
      </c>
      <c r="R504" s="323">
        <f>'ALL ML SYSTEMS'!R505</f>
        <v>0</v>
      </c>
      <c r="S504" s="335">
        <f>'ALL ML SYSTEMS'!S505</f>
        <v>0</v>
      </c>
      <c r="T504" s="323">
        <f>'ALL ML SYSTEMS'!T505</f>
        <v>0</v>
      </c>
      <c r="U504" s="323">
        <f>'ALL ML SYSTEMS'!U505</f>
        <v>0</v>
      </c>
      <c r="V504" s="323">
        <f>'ALL ML SYSTEMS'!V505</f>
        <v>0</v>
      </c>
      <c r="W504" s="323">
        <f>'ALL ML SYSTEMS'!W505</f>
        <v>0</v>
      </c>
      <c r="X504" s="323">
        <f>'ALL ML SYSTEMS'!X505</f>
        <v>0</v>
      </c>
      <c r="Y504" s="323">
        <f>'ALL ML SYSTEMS'!Y505</f>
        <v>0</v>
      </c>
      <c r="Z504" s="323">
        <f>'ALL ML SYSTEMS'!Z505</f>
        <v>0</v>
      </c>
      <c r="AA504" s="340" t="str">
        <f>'ALL ML SYSTEMS'!AA505</f>
        <v/>
      </c>
      <c r="AB504" s="323">
        <f>'ALL ML SYSTEMS'!AB503</f>
        <v>0</v>
      </c>
      <c r="AC504" s="323">
        <f>'ALL ML SYSTEMS'!AC503</f>
        <v>0</v>
      </c>
      <c r="AD504" s="323" t="str">
        <f>'ALL ML SYSTEMS'!AD503</f>
        <v>Academia</v>
      </c>
    </row>
    <row r="505" customHeight="1" spans="1:30">
      <c r="A505" s="325">
        <f>'ALL ML SYSTEMS'!A506</f>
        <v>0</v>
      </c>
      <c r="B505" s="325" t="str">
        <f>'ALL ML SYSTEMS'!B506</f>
        <v>Vision</v>
      </c>
      <c r="C505" s="325">
        <f>'ALL ML SYSTEMS'!C506</f>
        <v>0</v>
      </c>
      <c r="D505" s="325" t="str">
        <f>'ALL ML SYSTEMS'!D506</f>
        <v>Massachusetts Institute of Technology</v>
      </c>
      <c r="E505" s="325" t="str">
        <f>'ALL ML SYSTEMS'!E506</f>
        <v>Academia</v>
      </c>
      <c r="F505" s="325" t="str">
        <f>'ALL ML SYSTEMS'!F506</f>
        <v>John Canny</v>
      </c>
      <c r="G505" s="326">
        <f>'ALL ML SYSTEMS'!G506</f>
        <v>31717</v>
      </c>
      <c r="H505" s="327">
        <f>'ALL ML SYSTEMS'!H506</f>
        <v>1717</v>
      </c>
      <c r="I505" s="325" t="str">
        <f>'ALL ML SYSTEMS'!I506</f>
        <v>A Computational Approach To Edge Detection</v>
      </c>
      <c r="J505" s="337" t="str">
        <f>'ALL ML SYSTEMS'!J506</f>
        <v>https://ieeexplore.ieee.org/stamp/stamp.jsp?tp=&amp;arnumber=4767851</v>
      </c>
      <c r="K505" s="338">
        <f>'ALL ML SYSTEMS'!K506</f>
        <v>37931</v>
      </c>
      <c r="L505" s="325" t="str">
        <f>'ALL ML SYSTEMS'!L506</f>
        <v>Highly cited</v>
      </c>
      <c r="M505" s="338" t="str">
        <f>'ALL ML SYSTEMS'!M506</f>
        <v>Yes</v>
      </c>
      <c r="N505" s="338">
        <f>'ALL ML SYSTEMS'!N506</f>
        <v>0</v>
      </c>
      <c r="O505" s="338">
        <f>'ALL ML SYSTEMS'!O506</f>
        <v>0</v>
      </c>
      <c r="P505" s="339">
        <f>'ALL ML SYSTEMS'!P506</f>
        <v>0</v>
      </c>
      <c r="Q505" s="338">
        <f>'ALL ML SYSTEMS'!Q506</f>
        <v>0</v>
      </c>
      <c r="R505" s="325">
        <f>'ALL ML SYSTEMS'!R506</f>
        <v>0</v>
      </c>
      <c r="S505" s="338">
        <f>'ALL ML SYSTEMS'!S506</f>
        <v>0</v>
      </c>
      <c r="T505" s="325">
        <f>'ALL ML SYSTEMS'!T506</f>
        <v>0</v>
      </c>
      <c r="U505" s="325">
        <f>'ALL ML SYSTEMS'!U506</f>
        <v>0</v>
      </c>
      <c r="V505" s="325">
        <f>'ALL ML SYSTEMS'!V506</f>
        <v>0</v>
      </c>
      <c r="W505" s="325">
        <f>'ALL ML SYSTEMS'!W506</f>
        <v>0</v>
      </c>
      <c r="X505" s="325">
        <f>'ALL ML SYSTEMS'!X506</f>
        <v>0</v>
      </c>
      <c r="Y505" s="325">
        <f>'ALL ML SYSTEMS'!Y506</f>
        <v>0</v>
      </c>
      <c r="Z505" s="325">
        <f>'ALL ML SYSTEMS'!Z506</f>
        <v>0</v>
      </c>
      <c r="AA505" s="341" t="str">
        <f>'ALL ML SYSTEMS'!AA506</f>
        <v/>
      </c>
      <c r="AB505" s="325">
        <f>'ALL ML SYSTEMS'!AB504</f>
        <v>0</v>
      </c>
      <c r="AC505" s="325" t="str">
        <f>'ALL ML SYSTEMS'!AC504</f>
        <v>Parallel Distributed Processing Model</v>
      </c>
      <c r="AD505" s="325" t="str">
        <f>'ALL ML SYSTEMS'!AD504</f>
        <v>Industry</v>
      </c>
    </row>
    <row r="506" hidden="1" customHeight="1" spans="1:30">
      <c r="A506" s="323" t="e">
        <f>#REF!</f>
        <v>#REF!</v>
      </c>
      <c r="B506" s="323" t="e">
        <f>#REF!</f>
        <v>#REF!</v>
      </c>
      <c r="C506" s="323" t="e">
        <f>#REF!</f>
        <v>#REF!</v>
      </c>
      <c r="D506" s="323" t="e">
        <f>#REF!</f>
        <v>#REF!</v>
      </c>
      <c r="E506" s="323" t="e">
        <f>#REF!</f>
        <v>#REF!</v>
      </c>
      <c r="F506" s="323" t="e">
        <f>#REF!</f>
        <v>#REF!</v>
      </c>
      <c r="G506" s="323" t="e">
        <f>#REF!</f>
        <v>#REF!</v>
      </c>
      <c r="H506" s="323" t="e">
        <f>#REF!</f>
        <v>#REF!</v>
      </c>
      <c r="I506" s="323" t="e">
        <f>#REF!</f>
        <v>#REF!</v>
      </c>
      <c r="J506" s="323" t="e">
        <f>#REF!</f>
        <v>#REF!</v>
      </c>
      <c r="K506" s="323" t="e">
        <f>#REF!</f>
        <v>#REF!</v>
      </c>
      <c r="L506" s="323" t="e">
        <f>#REF!</f>
        <v>#REF!</v>
      </c>
      <c r="M506" s="323" t="e">
        <f>#REF!</f>
        <v>#REF!</v>
      </c>
      <c r="N506" s="323" t="e">
        <f>#REF!</f>
        <v>#REF!</v>
      </c>
      <c r="O506" s="323" t="e">
        <f>#REF!</f>
        <v>#REF!</v>
      </c>
      <c r="P506" s="323" t="e">
        <f>#REF!</f>
        <v>#REF!</v>
      </c>
      <c r="Q506" s="323" t="e">
        <f>#REF!</f>
        <v>#REF!</v>
      </c>
      <c r="R506" s="323" t="e">
        <f>#REF!</f>
        <v>#REF!</v>
      </c>
      <c r="S506" s="323" t="e">
        <f>#REF!</f>
        <v>#REF!</v>
      </c>
      <c r="T506" s="323" t="e">
        <f>#REF!</f>
        <v>#REF!</v>
      </c>
      <c r="U506" s="323" t="e">
        <f>#REF!</f>
        <v>#REF!</v>
      </c>
      <c r="V506" s="323" t="e">
        <f>#REF!</f>
        <v>#REF!</v>
      </c>
      <c r="W506" s="323" t="e">
        <f>#REF!</f>
        <v>#REF!</v>
      </c>
      <c r="X506" s="323" t="e">
        <f>#REF!</f>
        <v>#REF!</v>
      </c>
      <c r="Y506" s="323" t="e">
        <f>#REF!</f>
        <v>#REF!</v>
      </c>
      <c r="Z506" s="323" t="e">
        <f>#REF!</f>
        <v>#REF!</v>
      </c>
      <c r="AA506" s="323" t="e">
        <f>#REF!</f>
        <v>#REF!</v>
      </c>
      <c r="AB506" s="323"/>
      <c r="AC506" s="323" t="e">
        <f>#REF!</f>
        <v>#REF!</v>
      </c>
      <c r="AD506" s="323" t="e">
        <f>#REF!</f>
        <v>#REF!</v>
      </c>
    </row>
    <row r="507" customHeight="1" spans="1:30">
      <c r="A507" s="325">
        <f>'ALL ML SYSTEMS'!A507</f>
        <v>0</v>
      </c>
      <c r="B507" s="325" t="str">
        <f>'ALL ML SYSTEMS'!B507</f>
        <v>Language</v>
      </c>
      <c r="C507" s="325">
        <f>'ALL ML SYSTEMS'!C507</f>
        <v>0</v>
      </c>
      <c r="D507" s="325" t="str">
        <f>'ALL ML SYSTEMS'!D507</f>
        <v>MIT</v>
      </c>
      <c r="E507" s="325" t="str">
        <f>'ALL ML SYSTEMS'!E507</f>
        <v>Academia</v>
      </c>
      <c r="F507" s="325" t="str">
        <f>'ALL ML SYSTEMS'!F507</f>
        <v>Steven Pinker</v>
      </c>
      <c r="G507" s="326">
        <f>'ALL ML SYSTEMS'!G507</f>
        <v>30864</v>
      </c>
      <c r="H507" s="327">
        <f>'ALL ML SYSTEMS'!H507</f>
        <v>864</v>
      </c>
      <c r="I507" s="325" t="str">
        <f>'ALL ML SYSTEMS'!I507</f>
        <v>Language learnability and language development.</v>
      </c>
      <c r="J507" s="337" t="str">
        <f>'ALL ML SYSTEMS'!J507</f>
        <v>https://psycnet.apa.org/record/1985-97439-000</v>
      </c>
      <c r="K507" s="338">
        <f>'ALL ML SYSTEMS'!K507</f>
        <v>4730</v>
      </c>
      <c r="L507" s="325" t="str">
        <f>'ALL ML SYSTEMS'!L507</f>
        <v>Highly cited</v>
      </c>
      <c r="M507" s="338" t="str">
        <f>'ALL ML SYSTEMS'!M507</f>
        <v>Yes</v>
      </c>
      <c r="N507" s="338">
        <f>'ALL ML SYSTEMS'!N507</f>
        <v>0</v>
      </c>
      <c r="O507" s="338">
        <f>'ALL ML SYSTEMS'!O507</f>
        <v>0</v>
      </c>
      <c r="P507" s="339">
        <f>'ALL ML SYSTEMS'!P507</f>
        <v>0</v>
      </c>
      <c r="Q507" s="338">
        <f>'ALL ML SYSTEMS'!Q507</f>
        <v>0</v>
      </c>
      <c r="R507" s="325">
        <f>'ALL ML SYSTEMS'!R507</f>
        <v>0</v>
      </c>
      <c r="S507" s="338">
        <f>'ALL ML SYSTEMS'!S507</f>
        <v>0</v>
      </c>
      <c r="T507" s="325">
        <f>'ALL ML SYSTEMS'!T507</f>
        <v>0</v>
      </c>
      <c r="U507" s="325">
        <f>'ALL ML SYSTEMS'!U507</f>
        <v>0</v>
      </c>
      <c r="V507" s="325">
        <f>'ALL ML SYSTEMS'!V507</f>
        <v>0</v>
      </c>
      <c r="W507" s="325">
        <f>'ALL ML SYSTEMS'!W507</f>
        <v>0</v>
      </c>
      <c r="X507" s="325">
        <f>'ALL ML SYSTEMS'!X507</f>
        <v>0</v>
      </c>
      <c r="Y507" s="325">
        <f>'ALL ML SYSTEMS'!Y507</f>
        <v>0</v>
      </c>
      <c r="Z507" s="325">
        <f>'ALL ML SYSTEMS'!Z507</f>
        <v>0</v>
      </c>
      <c r="AA507" s="341" t="str">
        <f>'ALL ML SYSTEMS'!AA507</f>
        <v/>
      </c>
      <c r="AB507" s="325">
        <f>'ALL ML SYSTEMS'!AB506</f>
        <v>0</v>
      </c>
      <c r="AC507" s="325">
        <f>'ALL ML SYSTEMS'!AC506</f>
        <v>0</v>
      </c>
      <c r="AD507" s="325" t="str">
        <f>'ALL ML SYSTEMS'!AD506</f>
        <v>Academia</v>
      </c>
    </row>
    <row r="508" customHeight="1" spans="1:30">
      <c r="A508" s="323" t="e">
        <f>#REF!</f>
        <v>#REF!</v>
      </c>
      <c r="B508" s="323" t="e">
        <f>#REF!</f>
        <v>#REF!</v>
      </c>
      <c r="C508" s="323" t="e">
        <f>#REF!</f>
        <v>#REF!</v>
      </c>
      <c r="D508" s="323" t="e">
        <f>#REF!</f>
        <v>#REF!</v>
      </c>
      <c r="E508" s="323" t="e">
        <f>#REF!</f>
        <v>#REF!</v>
      </c>
      <c r="F508" s="323" t="e">
        <f>#REF!</f>
        <v>#REF!</v>
      </c>
      <c r="G508" s="323" t="e">
        <f>#REF!</f>
        <v>#REF!</v>
      </c>
      <c r="H508" s="323" t="e">
        <f>#REF!</f>
        <v>#REF!</v>
      </c>
      <c r="I508" s="323" t="e">
        <f>#REF!</f>
        <v>#REF!</v>
      </c>
      <c r="J508" s="323" t="e">
        <f>#REF!</f>
        <v>#REF!</v>
      </c>
      <c r="K508" s="323" t="e">
        <f>#REF!</f>
        <v>#REF!</v>
      </c>
      <c r="L508" s="323" t="e">
        <f>#REF!</f>
        <v>#REF!</v>
      </c>
      <c r="M508" s="323" t="e">
        <f>#REF!</f>
        <v>#REF!</v>
      </c>
      <c r="N508" s="323" t="e">
        <f>#REF!</f>
        <v>#REF!</v>
      </c>
      <c r="O508" s="323" t="e">
        <f>#REF!</f>
        <v>#REF!</v>
      </c>
      <c r="P508" s="323" t="e">
        <f>#REF!</f>
        <v>#REF!</v>
      </c>
      <c r="Q508" s="323" t="e">
        <f>#REF!</f>
        <v>#REF!</v>
      </c>
      <c r="R508" s="323" t="e">
        <f>#REF!</f>
        <v>#REF!</v>
      </c>
      <c r="S508" s="323" t="e">
        <f>#REF!</f>
        <v>#REF!</v>
      </c>
      <c r="T508" s="323" t="e">
        <f>#REF!</f>
        <v>#REF!</v>
      </c>
      <c r="U508" s="323" t="e">
        <f>#REF!</f>
        <v>#REF!</v>
      </c>
      <c r="V508" s="323" t="e">
        <f>#REF!</f>
        <v>#REF!</v>
      </c>
      <c r="W508" s="323" t="e">
        <f>#REF!</f>
        <v>#REF!</v>
      </c>
      <c r="X508" s="323" t="e">
        <f>#REF!</f>
        <v>#REF!</v>
      </c>
      <c r="Y508" s="323" t="e">
        <f>#REF!</f>
        <v>#REF!</v>
      </c>
      <c r="Z508" s="323" t="e">
        <f>#REF!</f>
        <v>#REF!</v>
      </c>
      <c r="AA508" s="323" t="e">
        <f>#REF!</f>
        <v>#REF!</v>
      </c>
      <c r="AB508" s="323" t="e">
        <f>#REF!</f>
        <v>#REF!</v>
      </c>
      <c r="AC508" s="323" t="e">
        <f>#REF!</f>
        <v>#REF!</v>
      </c>
      <c r="AD508" s="323" t="e">
        <f>#REF!</f>
        <v>#REF!</v>
      </c>
    </row>
    <row r="509" customHeight="1" spans="1:30">
      <c r="A509" s="325" t="str">
        <f>'ALL ML SYSTEMS'!A508</f>
        <v>ASE+ACE</v>
      </c>
      <c r="B509" s="325" t="str">
        <f>'ALL ML SYSTEMS'!B508</f>
        <v>Games</v>
      </c>
      <c r="C509" s="325" t="str">
        <f>'ALL ML SYSTEMS'!C508</f>
        <v>Pole balancing</v>
      </c>
      <c r="D509" s="325" t="str">
        <f>'ALL ML SYSTEMS'!D508</f>
        <v>Stanford</v>
      </c>
      <c r="E509" s="325" t="str">
        <f>'ALL ML SYSTEMS'!E508</f>
        <v>Academia</v>
      </c>
      <c r="F509" s="325" t="str">
        <f>'ALL ML SYSTEMS'!F508</f>
        <v>Andrew G. Barto, Richard S. Sutton, and Charles W. Anderson</v>
      </c>
      <c r="G509" s="326">
        <f>'ALL ML SYSTEMS'!G508</f>
        <v>30560</v>
      </c>
      <c r="H509" s="327">
        <f>'ALL ML SYSTEMS'!H508</f>
        <v>560</v>
      </c>
      <c r="I509" s="325" t="str">
        <f>'ALL ML SYSTEMS'!I508</f>
        <v>Neuronlike adaptive elements that can solve difficult learning control problems</v>
      </c>
      <c r="J509" s="337" t="str">
        <f>'ALL ML SYSTEMS'!J508</f>
        <v>https://ieeexplore.ieee.org/stamp/stamp.jsp?tp=&amp;arnumber=6313077</v>
      </c>
      <c r="K509" s="338">
        <f>'ALL ML SYSTEMS'!K508</f>
        <v>4296</v>
      </c>
      <c r="L509" s="325" t="str">
        <f>'ALL ML SYSTEMS'!L508</f>
        <v>Highly cited</v>
      </c>
      <c r="M509" s="338" t="str">
        <f>'ALL ML SYSTEMS'!M508</f>
        <v>Yes</v>
      </c>
      <c r="N509" s="338">
        <f>'ALL ML SYSTEMS'!N508</f>
        <v>324</v>
      </c>
      <c r="O509" s="338">
        <f>'ALL ML SYSTEMS'!O508</f>
        <v>0</v>
      </c>
      <c r="P509" s="339">
        <f>'ALL ML SYSTEMS'!P508</f>
        <v>0</v>
      </c>
      <c r="Q509" s="338">
        <f>'ALL ML SYSTEMS'!Q508</f>
        <v>0</v>
      </c>
      <c r="R509" s="325">
        <f>'ALL ML SYSTEMS'!R508</f>
        <v>0</v>
      </c>
      <c r="S509" s="338">
        <f>'ALL ML SYSTEMS'!S508</f>
        <v>0</v>
      </c>
      <c r="T509" s="325">
        <f>'ALL ML SYSTEMS'!T508</f>
        <v>0</v>
      </c>
      <c r="U509" s="325">
        <f>'ALL ML SYSTEMS'!U508</f>
        <v>0</v>
      </c>
      <c r="V509" s="325">
        <f>'ALL ML SYSTEMS'!V508</f>
        <v>0</v>
      </c>
      <c r="W509" s="325">
        <f>'ALL ML SYSTEMS'!W508</f>
        <v>0</v>
      </c>
      <c r="X509" s="325">
        <f>'ALL ML SYSTEMS'!X508</f>
        <v>0</v>
      </c>
      <c r="Y509" s="325">
        <f>'ALL ML SYSTEMS'!Y508</f>
        <v>0</v>
      </c>
      <c r="Z509" s="325">
        <f>'ALL ML SYSTEMS'!Z508</f>
        <v>0</v>
      </c>
      <c r="AA509" s="341" t="str">
        <f>'ALL ML SYSTEMS'!AA508</f>
        <v/>
      </c>
      <c r="AB509" s="325">
        <f>'ALL ML SYSTEMS'!AB507</f>
        <v>0</v>
      </c>
      <c r="AC509" s="325">
        <f>'ALL ML SYSTEMS'!AC507</f>
        <v>0</v>
      </c>
      <c r="AD509" s="325" t="str">
        <f>'ALL ML SYSTEMS'!AD507</f>
        <v>Academia</v>
      </c>
    </row>
    <row r="510" customHeight="1" spans="1:30">
      <c r="A510" s="323" t="str">
        <f>'ALL ML SYSTEMS'!A509</f>
        <v>Hopfield network</v>
      </c>
      <c r="B510" s="323" t="str">
        <f>'ALL ML SYSTEMS'!B509</f>
        <v>Other</v>
      </c>
      <c r="C510" s="323" t="str">
        <f>'ALL ML SYSTEMS'!C509</f>
        <v>Sequence memorization</v>
      </c>
      <c r="D510" s="323" t="str">
        <f>'ALL ML SYSTEMS'!D509</f>
        <v>California Institute of Technology</v>
      </c>
      <c r="E510" s="323" t="str">
        <f>'ALL ML SYSTEMS'!E509</f>
        <v>Academia</v>
      </c>
      <c r="F510" s="323" t="str">
        <f>'ALL ML SYSTEMS'!F509</f>
        <v>JJ Hopfield</v>
      </c>
      <c r="G510" s="324">
        <f>'ALL ML SYSTEMS'!G509</f>
        <v>30042</v>
      </c>
      <c r="H510" s="329">
        <f>'ALL ML SYSTEMS'!H509</f>
        <v>42</v>
      </c>
      <c r="I510" s="323" t="str">
        <f>'ALL ML SYSTEMS'!I509</f>
        <v>Neural networks and physical systems with emergent collective computational abilities</v>
      </c>
      <c r="J510" s="334" t="str">
        <f>'ALL ML SYSTEMS'!J509</f>
        <v>https://www.pnas.org/doi/10.1073/pnas.79.8.2554</v>
      </c>
      <c r="K510" s="335">
        <f>'ALL ML SYSTEMS'!K509</f>
        <v>23315</v>
      </c>
      <c r="L510" s="323" t="str">
        <f>'ALL ML SYSTEMS'!L509</f>
        <v>Highly cited</v>
      </c>
      <c r="M510" s="335" t="str">
        <f>'ALL ML SYSTEMS'!M509</f>
        <v>Yes</v>
      </c>
      <c r="N510" s="335">
        <f>'ALL ML SYSTEMS'!N509</f>
        <v>9900</v>
      </c>
      <c r="O510" s="335">
        <f>'ALL ML SYSTEMS'!O509</f>
        <v>0</v>
      </c>
      <c r="P510" s="336">
        <f>'ALL ML SYSTEMS'!P509</f>
        <v>0</v>
      </c>
      <c r="Q510" s="335">
        <f>'ALL ML SYSTEMS'!Q509</f>
        <v>0</v>
      </c>
      <c r="R510" s="323" t="str">
        <f>'ALL ML SYSTEMS'!R509</f>
        <v>N/A</v>
      </c>
      <c r="S510" s="335">
        <f>'ALL ML SYSTEMS'!S509</f>
        <v>0</v>
      </c>
      <c r="T510" s="323">
        <f>'ALL ML SYSTEMS'!T509</f>
        <v>0</v>
      </c>
      <c r="U510" s="323">
        <f>'ALL ML SYSTEMS'!U509</f>
        <v>0</v>
      </c>
      <c r="V510" s="323">
        <f>'ALL ML SYSTEMS'!V509</f>
        <v>0</v>
      </c>
      <c r="W510" s="323">
        <f>'ALL ML SYSTEMS'!W509</f>
        <v>0</v>
      </c>
      <c r="X510" s="323">
        <f>'ALL ML SYSTEMS'!X509</f>
        <v>0</v>
      </c>
      <c r="Y510" s="323">
        <f>'ALL ML SYSTEMS'!Y509</f>
        <v>0</v>
      </c>
      <c r="Z510" s="323">
        <f>'ALL ML SYSTEMS'!Z509</f>
        <v>0</v>
      </c>
      <c r="AA510" s="340" t="str">
        <f>'ALL ML SYSTEMS'!AA509</f>
        <v/>
      </c>
      <c r="AB510" s="323" t="e">
        <f>#REF!</f>
        <v>#REF!</v>
      </c>
      <c r="AC510" s="323" t="e">
        <f>#REF!</f>
        <v>#REF!</v>
      </c>
      <c r="AD510" s="323" t="e">
        <f>#REF!</f>
        <v>#REF!</v>
      </c>
    </row>
    <row r="511" customHeight="1" spans="1:30">
      <c r="A511" s="325" t="str">
        <f>'ALL ML SYSTEMS'!A510</f>
        <v>Kohonen network</v>
      </c>
      <c r="B511" s="325" t="str">
        <f>'ALL ML SYSTEMS'!B510</f>
        <v>Other</v>
      </c>
      <c r="C511" s="325" t="str">
        <f>'ALL ML SYSTEMS'!C510</f>
        <v>Dimensionality reduction</v>
      </c>
      <c r="D511" s="325" t="str">
        <f>'ALL ML SYSTEMS'!D510</f>
        <v>Helsinki University of Technology</v>
      </c>
      <c r="E511" s="325" t="str">
        <f>'ALL ML SYSTEMS'!E510</f>
        <v>Academia</v>
      </c>
      <c r="F511" s="325" t="str">
        <f>'ALL ML SYSTEMS'!F510</f>
        <v>T Kohonen</v>
      </c>
      <c r="G511" s="326">
        <f>'ALL ML SYSTEMS'!G510</f>
        <v>29792</v>
      </c>
      <c r="H511" s="327">
        <f>'ALL ML SYSTEMS'!H510</f>
        <v>9792</v>
      </c>
      <c r="I511" s="325" t="str">
        <f>'ALL ML SYSTEMS'!I510</f>
        <v>Self-organized formation of topologically correct feature maps</v>
      </c>
      <c r="J511" s="337" t="str">
        <f>'ALL ML SYSTEMS'!J510</f>
        <v>https://link.springer.com/article/10.1007/BF00337288</v>
      </c>
      <c r="K511" s="338">
        <f>'ALL ML SYSTEMS'!K510</f>
        <v>11841</v>
      </c>
      <c r="L511" s="325" t="str">
        <f>'ALL ML SYSTEMS'!L510</f>
        <v>Highly cited</v>
      </c>
      <c r="M511" s="338" t="str">
        <f>'ALL ML SYSTEMS'!M510</f>
        <v>Yes</v>
      </c>
      <c r="N511" s="338">
        <f>'ALL ML SYSTEMS'!N510</f>
        <v>4096</v>
      </c>
      <c r="O511" s="338">
        <f>'ALL ML SYSTEMS'!O510</f>
        <v>0</v>
      </c>
      <c r="P511" s="339">
        <f>'ALL ML SYSTEMS'!P510</f>
        <v>0</v>
      </c>
      <c r="Q511" s="338">
        <f>'ALL ML SYSTEMS'!Q510</f>
        <v>0</v>
      </c>
      <c r="R511" s="325">
        <f>'ALL ML SYSTEMS'!R510</f>
        <v>0</v>
      </c>
      <c r="S511" s="338">
        <f>'ALL ML SYSTEMS'!S510</f>
        <v>0</v>
      </c>
      <c r="T511" s="325">
        <f>'ALL ML SYSTEMS'!T510</f>
        <v>0</v>
      </c>
      <c r="U511" s="325">
        <f>'ALL ML SYSTEMS'!U510</f>
        <v>0</v>
      </c>
      <c r="V511" s="325">
        <f>'ALL ML SYSTEMS'!V510</f>
        <v>0</v>
      </c>
      <c r="W511" s="325">
        <f>'ALL ML SYSTEMS'!W510</f>
        <v>0</v>
      </c>
      <c r="X511" s="325">
        <f>'ALL ML SYSTEMS'!X510</f>
        <v>0</v>
      </c>
      <c r="Y511" s="325">
        <f>'ALL ML SYSTEMS'!Y510</f>
        <v>0</v>
      </c>
      <c r="Z511" s="325">
        <f>'ALL ML SYSTEMS'!Z510</f>
        <v>0</v>
      </c>
      <c r="AA511" s="341" t="str">
        <f>'ALL ML SYSTEMS'!AA510</f>
        <v/>
      </c>
      <c r="AB511" s="325">
        <f>'ALL ML SYSTEMS'!AB508</f>
        <v>0</v>
      </c>
      <c r="AC511" s="325">
        <f>'ALL ML SYSTEMS'!AC508</f>
        <v>0</v>
      </c>
      <c r="AD511" s="325" t="str">
        <f>'ALL ML SYSTEMS'!AD508</f>
        <v>Academia</v>
      </c>
    </row>
    <row r="512" hidden="1" customHeight="1" spans="1:30">
      <c r="A512" s="323" t="e">
        <f>#REF!</f>
        <v>#REF!</v>
      </c>
      <c r="B512" s="323" t="e">
        <f>#REF!</f>
        <v>#REF!</v>
      </c>
      <c r="C512" s="323" t="e">
        <f>#REF!</f>
        <v>#REF!</v>
      </c>
      <c r="D512" s="323" t="e">
        <f>#REF!</f>
        <v>#REF!</v>
      </c>
      <c r="E512" s="323" t="e">
        <f>#REF!</f>
        <v>#REF!</v>
      </c>
      <c r="F512" s="323" t="e">
        <f>#REF!</f>
        <v>#REF!</v>
      </c>
      <c r="G512" s="323" t="e">
        <f>#REF!</f>
        <v>#REF!</v>
      </c>
      <c r="H512" s="323" t="e">
        <f>#REF!</f>
        <v>#REF!</v>
      </c>
      <c r="I512" s="323" t="e">
        <f>#REF!</f>
        <v>#REF!</v>
      </c>
      <c r="J512" s="323" t="e">
        <f>#REF!</f>
        <v>#REF!</v>
      </c>
      <c r="K512" s="323" t="e">
        <f>#REF!</f>
        <v>#REF!</v>
      </c>
      <c r="L512" s="323" t="e">
        <f>#REF!</f>
        <v>#REF!</v>
      </c>
      <c r="M512" s="323" t="e">
        <f>#REF!</f>
        <v>#REF!</v>
      </c>
      <c r="N512" s="323" t="e">
        <f>#REF!</f>
        <v>#REF!</v>
      </c>
      <c r="O512" s="323" t="e">
        <f>#REF!</f>
        <v>#REF!</v>
      </c>
      <c r="P512" s="323" t="e">
        <f>#REF!</f>
        <v>#REF!</v>
      </c>
      <c r="Q512" s="323" t="e">
        <f>#REF!</f>
        <v>#REF!</v>
      </c>
      <c r="R512" s="323" t="e">
        <f>#REF!</f>
        <v>#REF!</v>
      </c>
      <c r="S512" s="323" t="e">
        <f>#REF!</f>
        <v>#REF!</v>
      </c>
      <c r="T512" s="323" t="e">
        <f>#REF!</f>
        <v>#REF!</v>
      </c>
      <c r="U512" s="323" t="e">
        <f>#REF!</f>
        <v>#REF!</v>
      </c>
      <c r="V512" s="323" t="e">
        <f>#REF!</f>
        <v>#REF!</v>
      </c>
      <c r="W512" s="323" t="e">
        <f>#REF!</f>
        <v>#REF!</v>
      </c>
      <c r="X512" s="323" t="e">
        <f>#REF!</f>
        <v>#REF!</v>
      </c>
      <c r="Y512" s="323" t="e">
        <f>#REF!</f>
        <v>#REF!</v>
      </c>
      <c r="Z512" s="323" t="e">
        <f>#REF!</f>
        <v>#REF!</v>
      </c>
      <c r="AA512" s="323" t="e">
        <f>#REF!</f>
        <v>#REF!</v>
      </c>
      <c r="AB512" s="323"/>
      <c r="AC512" s="323" t="e">
        <f>#REF!</f>
        <v>#REF!</v>
      </c>
      <c r="AD512" s="323" t="e">
        <f>#REF!</f>
        <v>#REF!</v>
      </c>
    </row>
    <row r="513" customHeight="1" spans="1:30">
      <c r="A513" s="325" t="str">
        <f>'ALL ML SYSTEMS'!A511</f>
        <v>Neocognitron</v>
      </c>
      <c r="B513" s="325" t="str">
        <f>'ALL ML SYSTEMS'!B511</f>
        <v>Vision</v>
      </c>
      <c r="C513" s="325" t="str">
        <f>'ALL ML SYSTEMS'!C511</f>
        <v>Character recognition</v>
      </c>
      <c r="D513" s="325" t="str">
        <f>'ALL ML SYSTEMS'!D511</f>
        <v>NHK Broadcasting Science Research Laboratories</v>
      </c>
      <c r="E513" s="325" t="str">
        <f>'ALL ML SYSTEMS'!E511</f>
        <v>Industry</v>
      </c>
      <c r="F513" s="325" t="str">
        <f>'ALL ML SYSTEMS'!F511</f>
        <v>K Fukushima, S Miyake</v>
      </c>
      <c r="G513" s="326">
        <f>'ALL ML SYSTEMS'!G511</f>
        <v>29312</v>
      </c>
      <c r="H513" s="327">
        <f>'ALL ML SYSTEMS'!H511</f>
        <v>9312</v>
      </c>
      <c r="I513" s="325" t="str">
        <f>'ALL ML SYSTEMS'!I511</f>
        <v>Neocognitron: A self-organizing neural network model for a mechanism of pattern recognition unaffected by shift in position</v>
      </c>
      <c r="J513" s="337" t="str">
        <f>'ALL ML SYSTEMS'!J511</f>
        <v>https://link.springer.com/article/10.1007/BF00344251</v>
      </c>
      <c r="K513" s="338">
        <f>'ALL ML SYSTEMS'!K511</f>
        <v>5782</v>
      </c>
      <c r="L513" s="325" t="str">
        <f>'ALL ML SYSTEMS'!L511</f>
        <v>Highly cited</v>
      </c>
      <c r="M513" s="338" t="str">
        <f>'ALL ML SYSTEMS'!M511</f>
        <v>Yes</v>
      </c>
      <c r="N513" s="338">
        <f>'ALL ML SYSTEMS'!N511</f>
        <v>1140576</v>
      </c>
      <c r="O513" s="338">
        <f>'ALL ML SYSTEMS'!O511</f>
        <v>228115200</v>
      </c>
      <c r="P513" s="339">
        <f>'ALL ML SYSTEMS'!P511</f>
        <v>0</v>
      </c>
      <c r="Q513" s="338">
        <f>'ALL ML SYSTEMS'!Q511</f>
        <v>5</v>
      </c>
      <c r="R513" s="325">
        <f>'ALL ML SYSTEMS'!R511</f>
        <v>0</v>
      </c>
      <c r="S513" s="338">
        <f>'ALL ML SYSTEMS'!S511</f>
        <v>0</v>
      </c>
      <c r="T513" s="325">
        <f>'ALL ML SYSTEMS'!T511</f>
        <v>0</v>
      </c>
      <c r="U513" s="325">
        <f>'ALL ML SYSTEMS'!U511</f>
        <v>0</v>
      </c>
      <c r="V513" s="325">
        <f>'ALL ML SYSTEMS'!V511</f>
        <v>0</v>
      </c>
      <c r="W513" s="325">
        <f>'ALL ML SYSTEMS'!W511</f>
        <v>0</v>
      </c>
      <c r="X513" s="325">
        <f>'ALL ML SYSTEMS'!X511</f>
        <v>0</v>
      </c>
      <c r="Y513" s="325">
        <f>'ALL ML SYSTEMS'!Y511</f>
        <v>0</v>
      </c>
      <c r="Z513" s="325">
        <f>'ALL ML SYSTEMS'!Z511</f>
        <v>0</v>
      </c>
      <c r="AA513" s="341" t="str">
        <f>'ALL ML SYSTEMS'!AA511</f>
        <v/>
      </c>
      <c r="AB513" s="325">
        <f>'ALL ML SYSTEMS'!AB510</f>
        <v>0</v>
      </c>
      <c r="AC513" s="325">
        <f>'ALL ML SYSTEMS'!AC510</f>
        <v>0</v>
      </c>
      <c r="AD513" s="325" t="str">
        <f>'ALL ML SYSTEMS'!AD510</f>
        <v>Academia</v>
      </c>
    </row>
    <row r="514" customHeight="1" spans="1:30">
      <c r="A514" s="323">
        <f>'ALL ML SYSTEMS'!A512</f>
        <v>0</v>
      </c>
      <c r="B514" s="323" t="str">
        <f>'ALL ML SYSTEMS'!B512</f>
        <v>Vision</v>
      </c>
      <c r="C514" s="323">
        <f>'ALL ML SYSTEMS'!C512</f>
        <v>0</v>
      </c>
      <c r="D514" s="323" t="str">
        <f>'ALL ML SYSTEMS'!D512</f>
        <v>Utrecht University</v>
      </c>
      <c r="E514" s="323" t="str">
        <f>'ALL ML SYSTEMS'!E512</f>
        <v>Academia</v>
      </c>
      <c r="F514" s="323" t="str">
        <f>'ALL ML SYSTEMS'!F512</f>
        <v>Koenderink &amp; van Doom</v>
      </c>
      <c r="G514" s="324">
        <f>'ALL ML SYSTEMS'!G512</f>
        <v>28977</v>
      </c>
      <c r="H514" s="329">
        <f>'ALL ML SYSTEMS'!H512</f>
        <v>8977</v>
      </c>
      <c r="I514" s="323" t="str">
        <f>'ALL ML SYSTEMS'!I512</f>
        <v>The internal representation of solid shape with respect to vision</v>
      </c>
      <c r="J514" s="334" t="str">
        <f>'ALL ML SYSTEMS'!J512</f>
        <v>https://link.springer.com/article/10.1007/BF00337644</v>
      </c>
      <c r="K514" s="335">
        <f>'ALL ML SYSTEMS'!K512</f>
        <v>981</v>
      </c>
      <c r="L514" s="323" t="str">
        <f>'ALL ML SYSTEMS'!L512</f>
        <v>Historical relevance</v>
      </c>
      <c r="M514" s="335" t="str">
        <f>'ALL ML SYSTEMS'!M512</f>
        <v>Yes</v>
      </c>
      <c r="N514" s="335">
        <f>'ALL ML SYSTEMS'!N512</f>
        <v>0</v>
      </c>
      <c r="O514" s="335">
        <f>'ALL ML SYSTEMS'!O512</f>
        <v>0</v>
      </c>
      <c r="P514" s="336">
        <f>'ALL ML SYSTEMS'!P512</f>
        <v>0</v>
      </c>
      <c r="Q514" s="335">
        <f>'ALL ML SYSTEMS'!Q512</f>
        <v>0</v>
      </c>
      <c r="R514" s="323">
        <f>'ALL ML SYSTEMS'!R512</f>
        <v>0</v>
      </c>
      <c r="S514" s="335">
        <f>'ALL ML SYSTEMS'!S512</f>
        <v>0</v>
      </c>
      <c r="T514" s="323">
        <f>'ALL ML SYSTEMS'!T512</f>
        <v>0</v>
      </c>
      <c r="U514" s="323">
        <f>'ALL ML SYSTEMS'!U512</f>
        <v>0</v>
      </c>
      <c r="V514" s="323">
        <f>'ALL ML SYSTEMS'!V512</f>
        <v>0</v>
      </c>
      <c r="W514" s="323">
        <f>'ALL ML SYSTEMS'!W512</f>
        <v>0</v>
      </c>
      <c r="X514" s="323">
        <f>'ALL ML SYSTEMS'!X512</f>
        <v>0</v>
      </c>
      <c r="Y514" s="323">
        <f>'ALL ML SYSTEMS'!Y512</f>
        <v>0</v>
      </c>
      <c r="Z514" s="323">
        <f>'ALL ML SYSTEMS'!Z512</f>
        <v>0</v>
      </c>
      <c r="AA514" s="340" t="str">
        <f>'ALL ML SYSTEMS'!AA512</f>
        <v/>
      </c>
      <c r="AB514" s="323" t="e">
        <f>#REF!</f>
        <v>#REF!</v>
      </c>
      <c r="AC514" s="323" t="e">
        <f>#REF!</f>
        <v>#REF!</v>
      </c>
      <c r="AD514" s="323" t="e">
        <f>#REF!</f>
        <v>#REF!</v>
      </c>
    </row>
    <row r="515" hidden="1" customHeight="1" spans="1:30">
      <c r="A515" s="325" t="e">
        <f>#REF!</f>
        <v>#REF!</v>
      </c>
      <c r="B515" s="325" t="e">
        <f>#REF!</f>
        <v>#REF!</v>
      </c>
      <c r="C515" s="325" t="e">
        <f>#REF!</f>
        <v>#REF!</v>
      </c>
      <c r="D515" s="325" t="e">
        <f>#REF!</f>
        <v>#REF!</v>
      </c>
      <c r="E515" s="325" t="e">
        <f>#REF!</f>
        <v>#REF!</v>
      </c>
      <c r="F515" s="325" t="e">
        <f>#REF!</f>
        <v>#REF!</v>
      </c>
      <c r="G515" s="325" t="e">
        <f>#REF!</f>
        <v>#REF!</v>
      </c>
      <c r="H515" s="325" t="e">
        <f>#REF!</f>
        <v>#REF!</v>
      </c>
      <c r="I515" s="325" t="e">
        <f>#REF!</f>
        <v>#REF!</v>
      </c>
      <c r="J515" s="325" t="e">
        <f>#REF!</f>
        <v>#REF!</v>
      </c>
      <c r="K515" s="325" t="e">
        <f>#REF!</f>
        <v>#REF!</v>
      </c>
      <c r="L515" s="325" t="e">
        <f>#REF!</f>
        <v>#REF!</v>
      </c>
      <c r="M515" s="325" t="e">
        <f>#REF!</f>
        <v>#REF!</v>
      </c>
      <c r="N515" s="325" t="e">
        <f>#REF!</f>
        <v>#REF!</v>
      </c>
      <c r="O515" s="325" t="e">
        <f>#REF!</f>
        <v>#REF!</v>
      </c>
      <c r="P515" s="325" t="e">
        <f>#REF!</f>
        <v>#REF!</v>
      </c>
      <c r="Q515" s="325" t="e">
        <f>#REF!</f>
        <v>#REF!</v>
      </c>
      <c r="R515" s="325" t="e">
        <f>#REF!</f>
        <v>#REF!</v>
      </c>
      <c r="S515" s="325" t="e">
        <f>#REF!</f>
        <v>#REF!</v>
      </c>
      <c r="T515" s="325" t="e">
        <f>#REF!</f>
        <v>#REF!</v>
      </c>
      <c r="U515" s="325" t="e">
        <f>#REF!</f>
        <v>#REF!</v>
      </c>
      <c r="V515" s="325" t="e">
        <f>#REF!</f>
        <v>#REF!</v>
      </c>
      <c r="W515" s="325" t="e">
        <f>#REF!</f>
        <v>#REF!</v>
      </c>
      <c r="X515" s="325" t="e">
        <f>#REF!</f>
        <v>#REF!</v>
      </c>
      <c r="Y515" s="325" t="e">
        <f>#REF!</f>
        <v>#REF!</v>
      </c>
      <c r="Z515" s="325" t="e">
        <f>#REF!</f>
        <v>#REF!</v>
      </c>
      <c r="AA515" s="325" t="e">
        <f>#REF!</f>
        <v>#REF!</v>
      </c>
      <c r="AB515" s="325"/>
      <c r="AC515" s="325" t="e">
        <f>#REF!</f>
        <v>#REF!</v>
      </c>
      <c r="AD515" s="325" t="e">
        <f>#REF!</f>
        <v>#REF!</v>
      </c>
    </row>
    <row r="516" customHeight="1" spans="1:30">
      <c r="A516" s="323" t="str">
        <f>'ALL ML SYSTEMS'!A513</f>
        <v>TD(0)</v>
      </c>
      <c r="B516" s="323">
        <f>'ALL ML SYSTEMS'!B513</f>
        <v>0</v>
      </c>
      <c r="C516" s="323">
        <f>'ALL ML SYSTEMS'!C513</f>
        <v>0</v>
      </c>
      <c r="D516" s="323" t="str">
        <f>'ALL ML SYSTEMS'!D513</f>
        <v>University of Essex</v>
      </c>
      <c r="E516" s="323" t="str">
        <f>'ALL ML SYSTEMS'!E513</f>
        <v>Academia</v>
      </c>
      <c r="F516" s="323" t="str">
        <f>'ALL ML SYSTEMS'!F513</f>
        <v>Ian Witten</v>
      </c>
      <c r="G516" s="324">
        <f>'ALL ML SYSTEMS'!G513</f>
        <v>28338</v>
      </c>
      <c r="H516" s="329">
        <f>'ALL ML SYSTEMS'!H513</f>
        <v>8338</v>
      </c>
      <c r="I516" s="323" t="str">
        <f>'ALL ML SYSTEMS'!I513</f>
        <v>An adaptive optimal controller for discrete-time Markov environments</v>
      </c>
      <c r="J516" s="334" t="str">
        <f>'ALL ML SYSTEMS'!J513</f>
        <v>https://www.sciencedirect.com/science/article/pii/S0019995877903540</v>
      </c>
      <c r="K516" s="335">
        <f>'ALL ML SYSTEMS'!K513</f>
        <v>269</v>
      </c>
      <c r="L516" s="323" t="str">
        <f>'ALL ML SYSTEMS'!L513</f>
        <v>Historical relevance</v>
      </c>
      <c r="M516" s="335" t="str">
        <f>'ALL ML SYSTEMS'!M513</f>
        <v>Yes</v>
      </c>
      <c r="N516" s="335">
        <f>'ALL ML SYSTEMS'!N513</f>
        <v>0</v>
      </c>
      <c r="O516" s="335">
        <f>'ALL ML SYSTEMS'!O513</f>
        <v>0</v>
      </c>
      <c r="P516" s="336">
        <f>'ALL ML SYSTEMS'!P513</f>
        <v>0</v>
      </c>
      <c r="Q516" s="335">
        <f>'ALL ML SYSTEMS'!Q513</f>
        <v>0</v>
      </c>
      <c r="R516" s="323">
        <f>'ALL ML SYSTEMS'!R513</f>
        <v>0</v>
      </c>
      <c r="S516" s="335">
        <f>'ALL ML SYSTEMS'!S513</f>
        <v>0</v>
      </c>
      <c r="T516" s="323">
        <f>'ALL ML SYSTEMS'!T513</f>
        <v>0</v>
      </c>
      <c r="U516" s="323">
        <f>'ALL ML SYSTEMS'!U513</f>
        <v>0</v>
      </c>
      <c r="V516" s="323">
        <f>'ALL ML SYSTEMS'!V513</f>
        <v>0</v>
      </c>
      <c r="W516" s="323">
        <f>'ALL ML SYSTEMS'!W513</f>
        <v>0</v>
      </c>
      <c r="X516" s="323">
        <f>'ALL ML SYSTEMS'!X513</f>
        <v>0</v>
      </c>
      <c r="Y516" s="323">
        <f>'ALL ML SYSTEMS'!Y513</f>
        <v>0</v>
      </c>
      <c r="Z516" s="323">
        <f>'ALL ML SYSTEMS'!Z513</f>
        <v>0</v>
      </c>
      <c r="AA516" s="340" t="str">
        <f>'ALL ML SYSTEMS'!AA513</f>
        <v/>
      </c>
      <c r="AB516" s="323">
        <f>'ALL ML SYSTEMS'!AB512</f>
        <v>0</v>
      </c>
      <c r="AC516" s="323">
        <f>'ALL ML SYSTEMS'!AC512</f>
        <v>0</v>
      </c>
      <c r="AD516" s="323" t="str">
        <f>'ALL ML SYSTEMS'!AD512</f>
        <v>Academia</v>
      </c>
    </row>
    <row r="517" hidden="1" customHeight="1" spans="1:30">
      <c r="A517" s="325" t="e">
        <f>#REF!</f>
        <v>#REF!</v>
      </c>
      <c r="B517" s="325" t="e">
        <f>#REF!</f>
        <v>#REF!</v>
      </c>
      <c r="C517" s="325" t="e">
        <f>#REF!</f>
        <v>#REF!</v>
      </c>
      <c r="D517" s="325" t="e">
        <f>#REF!</f>
        <v>#REF!</v>
      </c>
      <c r="E517" s="325" t="e">
        <f>#REF!</f>
        <v>#REF!</v>
      </c>
      <c r="F517" s="325" t="e">
        <f>#REF!</f>
        <v>#REF!</v>
      </c>
      <c r="G517" s="325" t="e">
        <f>#REF!</f>
        <v>#REF!</v>
      </c>
      <c r="H517" s="325" t="e">
        <f>#REF!</f>
        <v>#REF!</v>
      </c>
      <c r="I517" s="325" t="e">
        <f>#REF!</f>
        <v>#REF!</v>
      </c>
      <c r="J517" s="325" t="e">
        <f>#REF!</f>
        <v>#REF!</v>
      </c>
      <c r="K517" s="325" t="e">
        <f>#REF!</f>
        <v>#REF!</v>
      </c>
      <c r="L517" s="325" t="e">
        <f>#REF!</f>
        <v>#REF!</v>
      </c>
      <c r="M517" s="325" t="e">
        <f>#REF!</f>
        <v>#REF!</v>
      </c>
      <c r="N517" s="325" t="e">
        <f>#REF!</f>
        <v>#REF!</v>
      </c>
      <c r="O517" s="325" t="e">
        <f>#REF!</f>
        <v>#REF!</v>
      </c>
      <c r="P517" s="325" t="e">
        <f>#REF!</f>
        <v>#REF!</v>
      </c>
      <c r="Q517" s="325" t="e">
        <f>#REF!</f>
        <v>#REF!</v>
      </c>
      <c r="R517" s="325" t="e">
        <f>#REF!</f>
        <v>#REF!</v>
      </c>
      <c r="S517" s="325" t="e">
        <f>#REF!</f>
        <v>#REF!</v>
      </c>
      <c r="T517" s="325" t="e">
        <f>#REF!</f>
        <v>#REF!</v>
      </c>
      <c r="U517" s="325" t="e">
        <f>#REF!</f>
        <v>#REF!</v>
      </c>
      <c r="V517" s="325" t="e">
        <f>#REF!</f>
        <v>#REF!</v>
      </c>
      <c r="W517" s="325" t="e">
        <f>#REF!</f>
        <v>#REF!</v>
      </c>
      <c r="X517" s="325" t="e">
        <f>#REF!</f>
        <v>#REF!</v>
      </c>
      <c r="Y517" s="325" t="e">
        <f>#REF!</f>
        <v>#REF!</v>
      </c>
      <c r="Z517" s="325" t="e">
        <f>#REF!</f>
        <v>#REF!</v>
      </c>
      <c r="AA517" s="325" t="e">
        <f>#REF!</f>
        <v>#REF!</v>
      </c>
      <c r="AB517" s="325"/>
      <c r="AC517" s="325" t="e">
        <f>#REF!</f>
        <v>#REF!</v>
      </c>
      <c r="AD517" s="325" t="e">
        <f>#REF!</f>
        <v>#REF!</v>
      </c>
    </row>
    <row r="518" hidden="1" customHeight="1" spans="1:30">
      <c r="A518" s="323" t="e">
        <f>#REF!</f>
        <v>#REF!</v>
      </c>
      <c r="B518" s="323" t="e">
        <f>#REF!</f>
        <v>#REF!</v>
      </c>
      <c r="C518" s="323" t="e">
        <f>#REF!</f>
        <v>#REF!</v>
      </c>
      <c r="D518" s="323" t="e">
        <f>#REF!</f>
        <v>#REF!</v>
      </c>
      <c r="E518" s="323" t="e">
        <f>#REF!</f>
        <v>#REF!</v>
      </c>
      <c r="F518" s="323" t="e">
        <f>#REF!</f>
        <v>#REF!</v>
      </c>
      <c r="G518" s="323" t="e">
        <f>#REF!</f>
        <v>#REF!</v>
      </c>
      <c r="H518" s="323" t="e">
        <f>#REF!</f>
        <v>#REF!</v>
      </c>
      <c r="I518" s="323" t="e">
        <f>#REF!</f>
        <v>#REF!</v>
      </c>
      <c r="J518" s="323" t="e">
        <f>#REF!</f>
        <v>#REF!</v>
      </c>
      <c r="K518" s="323" t="e">
        <f>#REF!</f>
        <v>#REF!</v>
      </c>
      <c r="L518" s="323" t="e">
        <f>#REF!</f>
        <v>#REF!</v>
      </c>
      <c r="M518" s="323" t="e">
        <f>#REF!</f>
        <v>#REF!</v>
      </c>
      <c r="N518" s="323" t="e">
        <f>#REF!</f>
        <v>#REF!</v>
      </c>
      <c r="O518" s="323" t="e">
        <f>#REF!</f>
        <v>#REF!</v>
      </c>
      <c r="P518" s="323" t="e">
        <f>#REF!</f>
        <v>#REF!</v>
      </c>
      <c r="Q518" s="323" t="e">
        <f>#REF!</f>
        <v>#REF!</v>
      </c>
      <c r="R518" s="323" t="e">
        <f>#REF!</f>
        <v>#REF!</v>
      </c>
      <c r="S518" s="323" t="e">
        <f>#REF!</f>
        <v>#REF!</v>
      </c>
      <c r="T518" s="323" t="e">
        <f>#REF!</f>
        <v>#REF!</v>
      </c>
      <c r="U518" s="323" t="e">
        <f>#REF!</f>
        <v>#REF!</v>
      </c>
      <c r="V518" s="323" t="e">
        <f>#REF!</f>
        <v>#REF!</v>
      </c>
      <c r="W518" s="323" t="e">
        <f>#REF!</f>
        <v>#REF!</v>
      </c>
      <c r="X518" s="323" t="e">
        <f>#REF!</f>
        <v>#REF!</v>
      </c>
      <c r="Y518" s="323" t="e">
        <f>#REF!</f>
        <v>#REF!</v>
      </c>
      <c r="Z518" s="323" t="e">
        <f>#REF!</f>
        <v>#REF!</v>
      </c>
      <c r="AA518" s="323" t="e">
        <f>#REF!</f>
        <v>#REF!</v>
      </c>
      <c r="AB518" s="323"/>
      <c r="AC518" s="323" t="e">
        <f>#REF!</f>
        <v>#REF!</v>
      </c>
      <c r="AD518" s="323" t="e">
        <f>#REF!</f>
        <v>#REF!</v>
      </c>
    </row>
    <row r="519" hidden="1" customHeight="1" spans="1:30">
      <c r="A519" s="325" t="e">
        <f>#REF!</f>
        <v>#REF!</v>
      </c>
      <c r="B519" s="325" t="e">
        <f>#REF!</f>
        <v>#REF!</v>
      </c>
      <c r="C519" s="325" t="e">
        <f>#REF!</f>
        <v>#REF!</v>
      </c>
      <c r="D519" s="325" t="e">
        <f>#REF!</f>
        <v>#REF!</v>
      </c>
      <c r="E519" s="325" t="e">
        <f>#REF!</f>
        <v>#REF!</v>
      </c>
      <c r="F519" s="325" t="e">
        <f>#REF!</f>
        <v>#REF!</v>
      </c>
      <c r="G519" s="325" t="e">
        <f>#REF!</f>
        <v>#REF!</v>
      </c>
      <c r="H519" s="325" t="e">
        <f>#REF!</f>
        <v>#REF!</v>
      </c>
      <c r="I519" s="325" t="e">
        <f>#REF!</f>
        <v>#REF!</v>
      </c>
      <c r="J519" s="325" t="e">
        <f>#REF!</f>
        <v>#REF!</v>
      </c>
      <c r="K519" s="325" t="e">
        <f>#REF!</f>
        <v>#REF!</v>
      </c>
      <c r="L519" s="325" t="e">
        <f>#REF!</f>
        <v>#REF!</v>
      </c>
      <c r="M519" s="325" t="e">
        <f>#REF!</f>
        <v>#REF!</v>
      </c>
      <c r="N519" s="325" t="e">
        <f>#REF!</f>
        <v>#REF!</v>
      </c>
      <c r="O519" s="325" t="e">
        <f>#REF!</f>
        <v>#REF!</v>
      </c>
      <c r="P519" s="325" t="e">
        <f>#REF!</f>
        <v>#REF!</v>
      </c>
      <c r="Q519" s="325" t="e">
        <f>#REF!</f>
        <v>#REF!</v>
      </c>
      <c r="R519" s="325" t="e">
        <f>#REF!</f>
        <v>#REF!</v>
      </c>
      <c r="S519" s="325" t="e">
        <f>#REF!</f>
        <v>#REF!</v>
      </c>
      <c r="T519" s="325" t="e">
        <f>#REF!</f>
        <v>#REF!</v>
      </c>
      <c r="U519" s="325" t="e">
        <f>#REF!</f>
        <v>#REF!</v>
      </c>
      <c r="V519" s="325" t="e">
        <f>#REF!</f>
        <v>#REF!</v>
      </c>
      <c r="W519" s="325" t="e">
        <f>#REF!</f>
        <v>#REF!</v>
      </c>
      <c r="X519" s="325" t="e">
        <f>#REF!</f>
        <v>#REF!</v>
      </c>
      <c r="Y519" s="325" t="e">
        <f>#REF!</f>
        <v>#REF!</v>
      </c>
      <c r="Z519" s="325" t="e">
        <f>#REF!</f>
        <v>#REF!</v>
      </c>
      <c r="AA519" s="325" t="e">
        <f>#REF!</f>
        <v>#REF!</v>
      </c>
      <c r="AB519" s="325"/>
      <c r="AC519" s="325" t="e">
        <f>#REF!</f>
        <v>#REF!</v>
      </c>
      <c r="AD519" s="325" t="e">
        <f>#REF!</f>
        <v>#REF!</v>
      </c>
    </row>
    <row r="520" customHeight="1" spans="1:30">
      <c r="A520" s="323" t="e">
        <f>#REF!</f>
        <v>#REF!</v>
      </c>
      <c r="B520" s="323" t="e">
        <f>#REF!</f>
        <v>#REF!</v>
      </c>
      <c r="C520" s="323" t="e">
        <f>#REF!</f>
        <v>#REF!</v>
      </c>
      <c r="D520" s="323" t="e">
        <f>#REF!</f>
        <v>#REF!</v>
      </c>
      <c r="E520" s="323" t="e">
        <f>#REF!</f>
        <v>#REF!</v>
      </c>
      <c r="F520" s="323" t="e">
        <f>#REF!</f>
        <v>#REF!</v>
      </c>
      <c r="G520" s="323" t="e">
        <f>#REF!</f>
        <v>#REF!</v>
      </c>
      <c r="H520" s="323" t="e">
        <f>#REF!</f>
        <v>#REF!</v>
      </c>
      <c r="I520" s="323" t="e">
        <f>#REF!</f>
        <v>#REF!</v>
      </c>
      <c r="J520" s="323" t="e">
        <f>#REF!</f>
        <v>#REF!</v>
      </c>
      <c r="K520" s="323" t="e">
        <f>#REF!</f>
        <v>#REF!</v>
      </c>
      <c r="L520" s="323" t="e">
        <f>#REF!</f>
        <v>#REF!</v>
      </c>
      <c r="M520" s="323" t="e">
        <f>#REF!</f>
        <v>#REF!</v>
      </c>
      <c r="N520" s="323" t="e">
        <f>#REF!</f>
        <v>#REF!</v>
      </c>
      <c r="O520" s="323" t="e">
        <f>#REF!</f>
        <v>#REF!</v>
      </c>
      <c r="P520" s="323" t="e">
        <f>#REF!</f>
        <v>#REF!</v>
      </c>
      <c r="Q520" s="323" t="e">
        <f>#REF!</f>
        <v>#REF!</v>
      </c>
      <c r="R520" s="323" t="e">
        <f>#REF!</f>
        <v>#REF!</v>
      </c>
      <c r="S520" s="323" t="e">
        <f>#REF!</f>
        <v>#REF!</v>
      </c>
      <c r="T520" s="323" t="e">
        <f>#REF!</f>
        <v>#REF!</v>
      </c>
      <c r="U520" s="323" t="e">
        <f>#REF!</f>
        <v>#REF!</v>
      </c>
      <c r="V520" s="323" t="e">
        <f>#REF!</f>
        <v>#REF!</v>
      </c>
      <c r="W520" s="323" t="e">
        <f>#REF!</f>
        <v>#REF!</v>
      </c>
      <c r="X520" s="323" t="e">
        <f>#REF!</f>
        <v>#REF!</v>
      </c>
      <c r="Y520" s="323" t="e">
        <f>#REF!</f>
        <v>#REF!</v>
      </c>
      <c r="Z520" s="323" t="e">
        <f>#REF!</f>
        <v>#REF!</v>
      </c>
      <c r="AA520" s="323" t="e">
        <f>#REF!</f>
        <v>#REF!</v>
      </c>
      <c r="AB520" s="323" t="e">
        <f>#REF!</f>
        <v>#REF!</v>
      </c>
      <c r="AC520" s="323" t="e">
        <f>#REF!</f>
        <v>#REF!</v>
      </c>
      <c r="AD520" s="323" t="e">
        <f>#REF!</f>
        <v>#REF!</v>
      </c>
    </row>
    <row r="521" hidden="1" customHeight="1" spans="1:30">
      <c r="A521" s="325" t="e">
        <f>#REF!</f>
        <v>#REF!</v>
      </c>
      <c r="B521" s="325" t="e">
        <f>#REF!</f>
        <v>#REF!</v>
      </c>
      <c r="C521" s="325" t="e">
        <f>#REF!</f>
        <v>#REF!</v>
      </c>
      <c r="D521" s="325" t="e">
        <f>#REF!</f>
        <v>#REF!</v>
      </c>
      <c r="E521" s="325" t="e">
        <f>#REF!</f>
        <v>#REF!</v>
      </c>
      <c r="F521" s="325" t="e">
        <f>#REF!</f>
        <v>#REF!</v>
      </c>
      <c r="G521" s="325" t="e">
        <f>#REF!</f>
        <v>#REF!</v>
      </c>
      <c r="H521" s="325" t="e">
        <f>#REF!</f>
        <v>#REF!</v>
      </c>
      <c r="I521" s="325" t="e">
        <f>#REF!</f>
        <v>#REF!</v>
      </c>
      <c r="J521" s="325" t="e">
        <f>#REF!</f>
        <v>#REF!</v>
      </c>
      <c r="K521" s="325" t="e">
        <f>#REF!</f>
        <v>#REF!</v>
      </c>
      <c r="L521" s="325" t="e">
        <f>#REF!</f>
        <v>#REF!</v>
      </c>
      <c r="M521" s="325" t="e">
        <f>#REF!</f>
        <v>#REF!</v>
      </c>
      <c r="N521" s="325" t="e">
        <f>#REF!</f>
        <v>#REF!</v>
      </c>
      <c r="O521" s="325" t="e">
        <f>#REF!</f>
        <v>#REF!</v>
      </c>
      <c r="P521" s="325" t="e">
        <f>#REF!</f>
        <v>#REF!</v>
      </c>
      <c r="Q521" s="325" t="e">
        <f>#REF!</f>
        <v>#REF!</v>
      </c>
      <c r="R521" s="325" t="e">
        <f>#REF!</f>
        <v>#REF!</v>
      </c>
      <c r="S521" s="325" t="e">
        <f>#REF!</f>
        <v>#REF!</v>
      </c>
      <c r="T521" s="325" t="e">
        <f>#REF!</f>
        <v>#REF!</v>
      </c>
      <c r="U521" s="325" t="e">
        <f>#REF!</f>
        <v>#REF!</v>
      </c>
      <c r="V521" s="325" t="e">
        <f>#REF!</f>
        <v>#REF!</v>
      </c>
      <c r="W521" s="325" t="e">
        <f>#REF!</f>
        <v>#REF!</v>
      </c>
      <c r="X521" s="325" t="e">
        <f>#REF!</f>
        <v>#REF!</v>
      </c>
      <c r="Y521" s="325" t="e">
        <f>#REF!</f>
        <v>#REF!</v>
      </c>
      <c r="Z521" s="325" t="e">
        <f>#REF!</f>
        <v>#REF!</v>
      </c>
      <c r="AA521" s="325" t="e">
        <f>#REF!</f>
        <v>#REF!</v>
      </c>
      <c r="AB521" s="325"/>
      <c r="AC521" s="325" t="e">
        <f>#REF!</f>
        <v>#REF!</v>
      </c>
      <c r="AD521" s="325" t="e">
        <f>#REF!</f>
        <v>#REF!</v>
      </c>
    </row>
    <row r="522" customHeight="1" spans="1:30">
      <c r="A522" s="323" t="str">
        <f>'ALL ML SYSTEMS'!A514</f>
        <v>Cognitron</v>
      </c>
      <c r="B522" s="323">
        <f>'ALL ML SYSTEMS'!B514</f>
        <v>0</v>
      </c>
      <c r="C522" s="323">
        <f>'ALL ML SYSTEMS'!C514</f>
        <v>0</v>
      </c>
      <c r="D522" s="323" t="str">
        <f>'ALL ML SYSTEMS'!D514</f>
        <v>Biological Cybernetics</v>
      </c>
      <c r="E522" s="323" t="str">
        <f>'ALL ML SYSTEMS'!E514</f>
        <v>Industry</v>
      </c>
      <c r="F522" s="323" t="str">
        <f>'ALL ML SYSTEMS'!F514</f>
        <v>Kunihiko Fukushima</v>
      </c>
      <c r="G522" s="324">
        <f>'ALL ML SYSTEMS'!G514</f>
        <v>27638</v>
      </c>
      <c r="H522" s="329">
        <f>'ALL ML SYSTEMS'!H514</f>
        <v>7638</v>
      </c>
      <c r="I522" s="323" t="str">
        <f>'ALL ML SYSTEMS'!I514</f>
        <v>Cognitron: a self-organizing multilayered neural network</v>
      </c>
      <c r="J522" s="334" t="str">
        <f>'ALL ML SYSTEMS'!J514</f>
        <v>https://link.springer.com/article/10.1007%2FBF00342633</v>
      </c>
      <c r="K522" s="335">
        <f>'ALL ML SYSTEMS'!K514</f>
        <v>791</v>
      </c>
      <c r="L522" s="323" t="str">
        <f>'ALL ML SYSTEMS'!L514</f>
        <v>Historical relevance</v>
      </c>
      <c r="M522" s="335" t="str">
        <f>'ALL ML SYSTEMS'!M514</f>
        <v>Yes</v>
      </c>
      <c r="N522" s="323">
        <f>'ALL ML SYSTEMS'!N514</f>
        <v>0</v>
      </c>
      <c r="O522" s="335">
        <f>'ALL ML SYSTEMS'!O514</f>
        <v>0</v>
      </c>
      <c r="P522" s="336">
        <f>'ALL ML SYSTEMS'!P514</f>
        <v>0</v>
      </c>
      <c r="Q522" s="335">
        <f>'ALL ML SYSTEMS'!Q514</f>
        <v>0</v>
      </c>
      <c r="R522" s="323">
        <f>'ALL ML SYSTEMS'!R514</f>
        <v>0</v>
      </c>
      <c r="S522" s="335">
        <f>'ALL ML SYSTEMS'!S514</f>
        <v>0</v>
      </c>
      <c r="T522" s="323">
        <f>'ALL ML SYSTEMS'!T514</f>
        <v>0</v>
      </c>
      <c r="U522" s="323">
        <f>'ALL ML SYSTEMS'!U514</f>
        <v>0</v>
      </c>
      <c r="V522" s="323">
        <f>'ALL ML SYSTEMS'!V514</f>
        <v>0</v>
      </c>
      <c r="W522" s="323">
        <f>'ALL ML SYSTEMS'!W514</f>
        <v>0</v>
      </c>
      <c r="X522" s="323">
        <f>'ALL ML SYSTEMS'!X514</f>
        <v>0</v>
      </c>
      <c r="Y522" s="323">
        <f>'ALL ML SYSTEMS'!Y514</f>
        <v>0</v>
      </c>
      <c r="Z522" s="323">
        <f>'ALL ML SYSTEMS'!Z514</f>
        <v>0</v>
      </c>
      <c r="AA522" s="340" t="str">
        <f>'ALL ML SYSTEMS'!AA514</f>
        <v/>
      </c>
      <c r="AB522" s="323" t="e">
        <f>#REF!</f>
        <v>#REF!</v>
      </c>
      <c r="AC522" s="323" t="e">
        <f>#REF!</f>
        <v>#REF!</v>
      </c>
      <c r="AD522" s="323" t="e">
        <f>#REF!</f>
        <v>#REF!</v>
      </c>
    </row>
    <row r="523" customHeight="1" spans="1:30">
      <c r="A523" s="325" t="str">
        <f>'ALL ML SYSTEMS'!A515</f>
        <v>Naive Bayes</v>
      </c>
      <c r="B523" s="325" t="str">
        <f>'ALL ML SYSTEMS'!B515</f>
        <v>Vision</v>
      </c>
      <c r="C523" s="325">
        <f>'ALL ML SYSTEMS'!C515</f>
        <v>0</v>
      </c>
      <c r="D523" s="325" t="str">
        <f>'ALL ML SYSTEMS'!D515</f>
        <v>Stanford Research Institute</v>
      </c>
      <c r="E523" s="325" t="str">
        <f>'ALL ML SYSTEMS'!E515</f>
        <v>Industry</v>
      </c>
      <c r="F523" s="325" t="str">
        <f>'ALL ML SYSTEMS'!F515</f>
        <v>Duda and Hart</v>
      </c>
      <c r="G523" s="326">
        <f>'ALL ML SYSTEMS'!G515</f>
        <v>27273</v>
      </c>
      <c r="H523" s="327">
        <f>'ALL ML SYSTEMS'!H515</f>
        <v>7273</v>
      </c>
      <c r="I523" s="325" t="str">
        <f>'ALL ML SYSTEMS'!I515</f>
        <v>Pattern Classification and Scene Analysis</v>
      </c>
      <c r="J523" s="337" t="str">
        <f>'ALL ML SYSTEMS'!J515</f>
        <v>https://www.semanticscholar.org/paper/Pattern-classification-and-scene-analysis-Duda-Hart/b07ce649d6f6eb636872527104b0209d3edc8188</v>
      </c>
      <c r="K523" s="338">
        <f>'ALL ML SYSTEMS'!K515</f>
        <v>23127</v>
      </c>
      <c r="L523" s="325" t="str">
        <f>'ALL ML SYSTEMS'!L515</f>
        <v>Highly cited</v>
      </c>
      <c r="M523" s="338" t="str">
        <f>'ALL ML SYSTEMS'!M515</f>
        <v>Yes</v>
      </c>
      <c r="N523" s="338">
        <f>'ALL ML SYSTEMS'!N515</f>
        <v>0</v>
      </c>
      <c r="O523" s="338">
        <f>'ALL ML SYSTEMS'!O515</f>
        <v>0</v>
      </c>
      <c r="P523" s="339">
        <f>'ALL ML SYSTEMS'!P515</f>
        <v>0</v>
      </c>
      <c r="Q523" s="338">
        <f>'ALL ML SYSTEMS'!Q515</f>
        <v>0</v>
      </c>
      <c r="R523" s="325">
        <f>'ALL ML SYSTEMS'!R515</f>
        <v>0</v>
      </c>
      <c r="S523" s="338">
        <f>'ALL ML SYSTEMS'!S515</f>
        <v>0</v>
      </c>
      <c r="T523" s="325">
        <f>'ALL ML SYSTEMS'!T515</f>
        <v>0</v>
      </c>
      <c r="U523" s="325">
        <f>'ALL ML SYSTEMS'!U515</f>
        <v>0</v>
      </c>
      <c r="V523" s="325">
        <f>'ALL ML SYSTEMS'!V515</f>
        <v>0</v>
      </c>
      <c r="W523" s="325">
        <f>'ALL ML SYSTEMS'!W515</f>
        <v>0</v>
      </c>
      <c r="X523" s="325">
        <f>'ALL ML SYSTEMS'!X515</f>
        <v>0</v>
      </c>
      <c r="Y523" s="325">
        <f>'ALL ML SYSTEMS'!Y515</f>
        <v>0</v>
      </c>
      <c r="Z523" s="325">
        <f>'ALL ML SYSTEMS'!Z515</f>
        <v>0</v>
      </c>
      <c r="AA523" s="341" t="str">
        <f>'ALL ML SYSTEMS'!AA515</f>
        <v/>
      </c>
      <c r="AB523" s="325" t="e">
        <f>#REF!</f>
        <v>#REF!</v>
      </c>
      <c r="AC523" s="325" t="e">
        <f>#REF!</f>
        <v>#REF!</v>
      </c>
      <c r="AD523" s="325" t="e">
        <f>#REF!</f>
        <v>#REF!</v>
      </c>
    </row>
    <row r="524" hidden="1" customHeight="1" spans="1:30">
      <c r="A524" s="323" t="str">
        <f>'ALL ML SYSTEMS'!A516</f>
        <v>Bootstrap Adaptation</v>
      </c>
      <c r="B524" s="323" t="str">
        <f>'ALL ML SYSTEMS'!B516</f>
        <v>Games</v>
      </c>
      <c r="C524" s="323" t="str">
        <f>'ALL ML SYSTEMS'!C516</f>
        <v>Blackjack</v>
      </c>
      <c r="D524" s="323" t="str">
        <f>'ALL ML SYSTEMS'!D516</f>
        <v>IEEE</v>
      </c>
      <c r="E524" s="323" t="str">
        <f>'ALL ML SYSTEMS'!E516</f>
        <v>Academia</v>
      </c>
      <c r="F524" s="323" t="str">
        <f>'ALL ML SYSTEMS'!F516</f>
        <v>Widrow, Gupta, and Maitra</v>
      </c>
      <c r="G524" s="324">
        <f>'ALL ML SYSTEMS'!G516</f>
        <v>26908</v>
      </c>
      <c r="H524" s="329">
        <f>'ALL ML SYSTEMS'!H516</f>
        <v>6908</v>
      </c>
      <c r="I524" s="323" t="str">
        <f>'ALL ML SYSTEMS'!I516</f>
        <v>Punish/Reward: Learning with a Critic in Adaptive Threshold Systems</v>
      </c>
      <c r="J524" s="334" t="str">
        <f>'ALL ML SYSTEMS'!J516</f>
        <v>https://ieeexplore.ieee.org/document/4309272</v>
      </c>
      <c r="K524" s="335">
        <f>'ALL ML SYSTEMS'!K516</f>
        <v>397</v>
      </c>
      <c r="L524" s="323">
        <f>'ALL ML SYSTEMS'!L516</f>
        <v>0</v>
      </c>
      <c r="M524" s="335" t="str">
        <f>'ALL ML SYSTEMS'!M516</f>
        <v>No</v>
      </c>
      <c r="N524" s="335">
        <f>'ALL ML SYSTEMS'!N516</f>
        <v>21</v>
      </c>
      <c r="O524" s="335">
        <f>'ALL ML SYSTEMS'!O516</f>
        <v>0</v>
      </c>
      <c r="P524" s="336">
        <f>'ALL ML SYSTEMS'!P516</f>
        <v>0</v>
      </c>
      <c r="Q524" s="335">
        <f>'ALL ML SYSTEMS'!Q516</f>
        <v>0</v>
      </c>
      <c r="R524" s="323">
        <f>'ALL ML SYSTEMS'!R516</f>
        <v>0</v>
      </c>
      <c r="S524" s="335">
        <f>'ALL ML SYSTEMS'!S516</f>
        <v>0</v>
      </c>
      <c r="T524" s="323">
        <f>'ALL ML SYSTEMS'!T516</f>
        <v>0</v>
      </c>
      <c r="U524" s="323">
        <f>'ALL ML SYSTEMS'!U516</f>
        <v>0</v>
      </c>
      <c r="V524" s="323">
        <f>'ALL ML SYSTEMS'!V516</f>
        <v>0</v>
      </c>
      <c r="W524" s="323">
        <f>'ALL ML SYSTEMS'!W516</f>
        <v>0</v>
      </c>
      <c r="X524" s="323">
        <f>'ALL ML SYSTEMS'!X516</f>
        <v>0</v>
      </c>
      <c r="Y524" s="323">
        <f>'ALL ML SYSTEMS'!Y516</f>
        <v>0</v>
      </c>
      <c r="Z524" s="323">
        <f>'ALL ML SYSTEMS'!Z516</f>
        <v>0</v>
      </c>
      <c r="AA524" s="340" t="str">
        <f>'ALL ML SYSTEMS'!AA516</f>
        <v/>
      </c>
      <c r="AB524" s="323"/>
      <c r="AC524" s="323">
        <f>'ALL ML SYSTEMS'!AC516</f>
        <v>0</v>
      </c>
      <c r="AD524" s="323" t="str">
        <f>'ALL ML SYSTEMS'!AD516</f>
        <v>Academia</v>
      </c>
    </row>
    <row r="525" hidden="1" customHeight="1" spans="1:30">
      <c r="A525" s="325" t="e">
        <f>#REF!</f>
        <v>#REF!</v>
      </c>
      <c r="B525" s="325" t="e">
        <f>#REF!</f>
        <v>#REF!</v>
      </c>
      <c r="C525" s="325" t="e">
        <f>#REF!</f>
        <v>#REF!</v>
      </c>
      <c r="D525" s="325" t="e">
        <f>#REF!</f>
        <v>#REF!</v>
      </c>
      <c r="E525" s="325" t="e">
        <f>#REF!</f>
        <v>#REF!</v>
      </c>
      <c r="F525" s="325" t="e">
        <f>#REF!</f>
        <v>#REF!</v>
      </c>
      <c r="G525" s="325" t="e">
        <f>#REF!</f>
        <v>#REF!</v>
      </c>
      <c r="H525" s="325" t="e">
        <f>#REF!</f>
        <v>#REF!</v>
      </c>
      <c r="I525" s="325" t="e">
        <f>#REF!</f>
        <v>#REF!</v>
      </c>
      <c r="J525" s="325" t="e">
        <f>#REF!</f>
        <v>#REF!</v>
      </c>
      <c r="K525" s="325" t="e">
        <f>#REF!</f>
        <v>#REF!</v>
      </c>
      <c r="L525" s="325" t="e">
        <f>#REF!</f>
        <v>#REF!</v>
      </c>
      <c r="M525" s="325" t="e">
        <f>#REF!</f>
        <v>#REF!</v>
      </c>
      <c r="N525" s="325" t="e">
        <f>#REF!</f>
        <v>#REF!</v>
      </c>
      <c r="O525" s="325" t="e">
        <f>#REF!</f>
        <v>#REF!</v>
      </c>
      <c r="P525" s="325" t="e">
        <f>#REF!</f>
        <v>#REF!</v>
      </c>
      <c r="Q525" s="325" t="e">
        <f>#REF!</f>
        <v>#REF!</v>
      </c>
      <c r="R525" s="325" t="e">
        <f>#REF!</f>
        <v>#REF!</v>
      </c>
      <c r="S525" s="325" t="e">
        <f>#REF!</f>
        <v>#REF!</v>
      </c>
      <c r="T525" s="325" t="e">
        <f>#REF!</f>
        <v>#REF!</v>
      </c>
      <c r="U525" s="325" t="e">
        <f>#REF!</f>
        <v>#REF!</v>
      </c>
      <c r="V525" s="325" t="e">
        <f>#REF!</f>
        <v>#REF!</v>
      </c>
      <c r="W525" s="325" t="e">
        <f>#REF!</f>
        <v>#REF!</v>
      </c>
      <c r="X525" s="325" t="e">
        <f>#REF!</f>
        <v>#REF!</v>
      </c>
      <c r="Y525" s="325" t="e">
        <f>#REF!</f>
        <v>#REF!</v>
      </c>
      <c r="Z525" s="325" t="e">
        <f>#REF!</f>
        <v>#REF!</v>
      </c>
      <c r="AA525" s="325" t="e">
        <f>#REF!</f>
        <v>#REF!</v>
      </c>
      <c r="AB525" s="325"/>
      <c r="AC525" s="325" t="e">
        <f>#REF!</f>
        <v>#REF!</v>
      </c>
      <c r="AD525" s="325" t="e">
        <f>#REF!</f>
        <v>#REF!</v>
      </c>
    </row>
    <row r="526" hidden="1" customHeight="1" spans="1:30">
      <c r="A526" s="323" t="e">
        <f>#REF!</f>
        <v>#REF!</v>
      </c>
      <c r="B526" s="323" t="e">
        <f>#REF!</f>
        <v>#REF!</v>
      </c>
      <c r="C526" s="323" t="e">
        <f>#REF!</f>
        <v>#REF!</v>
      </c>
      <c r="D526" s="323" t="e">
        <f>#REF!</f>
        <v>#REF!</v>
      </c>
      <c r="E526" s="323" t="e">
        <f>#REF!</f>
        <v>#REF!</v>
      </c>
      <c r="F526" s="323" t="e">
        <f>#REF!</f>
        <v>#REF!</v>
      </c>
      <c r="G526" s="323" t="e">
        <f>#REF!</f>
        <v>#REF!</v>
      </c>
      <c r="H526" s="323" t="e">
        <f>#REF!</f>
        <v>#REF!</v>
      </c>
      <c r="I526" s="323" t="e">
        <f>#REF!</f>
        <v>#REF!</v>
      </c>
      <c r="J526" s="323" t="e">
        <f>#REF!</f>
        <v>#REF!</v>
      </c>
      <c r="K526" s="323" t="e">
        <f>#REF!</f>
        <v>#REF!</v>
      </c>
      <c r="L526" s="323" t="e">
        <f>#REF!</f>
        <v>#REF!</v>
      </c>
      <c r="M526" s="323" t="e">
        <f>#REF!</f>
        <v>#REF!</v>
      </c>
      <c r="N526" s="323" t="e">
        <f>#REF!</f>
        <v>#REF!</v>
      </c>
      <c r="O526" s="323" t="e">
        <f>#REF!</f>
        <v>#REF!</v>
      </c>
      <c r="P526" s="323" t="e">
        <f>#REF!</f>
        <v>#REF!</v>
      </c>
      <c r="Q526" s="323" t="e">
        <f>#REF!</f>
        <v>#REF!</v>
      </c>
      <c r="R526" s="323" t="e">
        <f>#REF!</f>
        <v>#REF!</v>
      </c>
      <c r="S526" s="323" t="e">
        <f>#REF!</f>
        <v>#REF!</v>
      </c>
      <c r="T526" s="323" t="e">
        <f>#REF!</f>
        <v>#REF!</v>
      </c>
      <c r="U526" s="323" t="e">
        <f>#REF!</f>
        <v>#REF!</v>
      </c>
      <c r="V526" s="323" t="e">
        <f>#REF!</f>
        <v>#REF!</v>
      </c>
      <c r="W526" s="323" t="e">
        <f>#REF!</f>
        <v>#REF!</v>
      </c>
      <c r="X526" s="323" t="e">
        <f>#REF!</f>
        <v>#REF!</v>
      </c>
      <c r="Y526" s="323" t="e">
        <f>#REF!</f>
        <v>#REF!</v>
      </c>
      <c r="Z526" s="323" t="e">
        <f>#REF!</f>
        <v>#REF!</v>
      </c>
      <c r="AA526" s="323" t="e">
        <f>#REF!</f>
        <v>#REF!</v>
      </c>
      <c r="AB526" s="323"/>
      <c r="AC526" s="323" t="e">
        <f>#REF!</f>
        <v>#REF!</v>
      </c>
      <c r="AD526" s="323" t="e">
        <f>#REF!</f>
        <v>#REF!</v>
      </c>
    </row>
    <row r="527" customHeight="1" spans="1:30">
      <c r="A527" s="344" t="str">
        <f>'ALL ML SYSTEMS'!A517</f>
        <v>Punish/Reward</v>
      </c>
      <c r="B527" s="344">
        <f>'ALL ML SYSTEMS'!B517</f>
        <v>0</v>
      </c>
      <c r="C527" s="344">
        <f>'ALL ML SYSTEMS'!C517</f>
        <v>0</v>
      </c>
      <c r="D527" s="344" t="str">
        <f>'ALL ML SYSTEMS'!D517</f>
        <v>Massachusetts Institute of Technology</v>
      </c>
      <c r="E527" s="344" t="str">
        <f>'ALL ML SYSTEMS'!E517</f>
        <v>Academia</v>
      </c>
      <c r="F527" s="344" t="str">
        <f>'ALL ML SYSTEMS'!F517</f>
        <v>Patrick Winston</v>
      </c>
      <c r="G527" s="345">
        <f>'ALL ML SYSTEMS'!G517</f>
        <v>25812</v>
      </c>
      <c r="H527" s="346">
        <f>'ALL ML SYSTEMS'!H517</f>
        <v>5812</v>
      </c>
      <c r="I527" s="344" t="str">
        <f>'ALL ML SYSTEMS'!I517</f>
        <v>Learning Structural Definitions from Examples</v>
      </c>
      <c r="J527" s="347" t="str">
        <f>'ALL ML SYSTEMS'!J517</f>
        <v>https://dspace.mit.edu/handle/1721.1/6884</v>
      </c>
      <c r="K527" s="348">
        <f>'ALL ML SYSTEMS'!K517</f>
        <v>1805</v>
      </c>
      <c r="L527" s="344" t="str">
        <f>'ALL ML SYSTEMS'!L517</f>
        <v>Highly cited</v>
      </c>
      <c r="M527" s="348" t="str">
        <f>'ALL ML SYSTEMS'!M517</f>
        <v>Yes</v>
      </c>
      <c r="N527" s="348">
        <f>'ALL ML SYSTEMS'!N517</f>
        <v>0</v>
      </c>
      <c r="O527" s="348">
        <f>'ALL ML SYSTEMS'!O517</f>
        <v>0</v>
      </c>
      <c r="P527" s="349">
        <f>'ALL ML SYSTEMS'!P517</f>
        <v>0</v>
      </c>
      <c r="Q527" s="348">
        <f>'ALL ML SYSTEMS'!Q517</f>
        <v>0</v>
      </c>
      <c r="R527" s="344">
        <f>'ALL ML SYSTEMS'!R517</f>
        <v>0</v>
      </c>
      <c r="S527" s="348">
        <f>'ALL ML SYSTEMS'!S517</f>
        <v>0</v>
      </c>
      <c r="T527" s="344">
        <f>'ALL ML SYSTEMS'!T517</f>
        <v>0</v>
      </c>
      <c r="U527" s="344">
        <f>'ALL ML SYSTEMS'!U517</f>
        <v>0</v>
      </c>
      <c r="V527" s="344">
        <f>'ALL ML SYSTEMS'!V517</f>
        <v>0</v>
      </c>
      <c r="W527" s="344">
        <f>'ALL ML SYSTEMS'!W517</f>
        <v>0</v>
      </c>
      <c r="X527" s="344">
        <f>'ALL ML SYSTEMS'!X517</f>
        <v>0</v>
      </c>
      <c r="Y527" s="344">
        <f>'ALL ML SYSTEMS'!Y517</f>
        <v>0</v>
      </c>
      <c r="Z527" s="344">
        <f>'ALL ML SYSTEMS'!Z517</f>
        <v>0</v>
      </c>
      <c r="AA527" s="350" t="str">
        <f>'ALL ML SYSTEMS'!AA517</f>
        <v/>
      </c>
      <c r="AB527" s="344" t="e">
        <f>#REF!</f>
        <v>#REF!</v>
      </c>
      <c r="AC527" s="344" t="e">
        <f>#REF!</f>
        <v>#REF!</v>
      </c>
      <c r="AD527" s="344" t="e">
        <f>#REF!</f>
        <v>#REF!</v>
      </c>
    </row>
    <row r="528" hidden="1" customHeight="1" spans="1:30">
      <c r="A528" s="344" t="e">
        <f>#REF!</f>
        <v>#REF!</v>
      </c>
      <c r="B528" s="344" t="e">
        <f>#REF!</f>
        <v>#REF!</v>
      </c>
      <c r="C528" s="344" t="e">
        <f>#REF!</f>
        <v>#REF!</v>
      </c>
      <c r="D528" s="344" t="e">
        <f>#REF!</f>
        <v>#REF!</v>
      </c>
      <c r="E528" s="344" t="e">
        <f>#REF!</f>
        <v>#REF!</v>
      </c>
      <c r="F528" s="344" t="e">
        <f>#REF!</f>
        <v>#REF!</v>
      </c>
      <c r="G528" s="344" t="e">
        <f>#REF!</f>
        <v>#REF!</v>
      </c>
      <c r="H528" s="344" t="e">
        <f>#REF!</f>
        <v>#REF!</v>
      </c>
      <c r="I528" s="344" t="e">
        <f>#REF!</f>
        <v>#REF!</v>
      </c>
      <c r="J528" s="344" t="e">
        <f>#REF!</f>
        <v>#REF!</v>
      </c>
      <c r="K528" s="344" t="e">
        <f>#REF!</f>
        <v>#REF!</v>
      </c>
      <c r="L528" s="344" t="e">
        <f>#REF!</f>
        <v>#REF!</v>
      </c>
      <c r="M528" s="344" t="e">
        <f>#REF!</f>
        <v>#REF!</v>
      </c>
      <c r="N528" s="344" t="e">
        <f>#REF!</f>
        <v>#REF!</v>
      </c>
      <c r="O528" s="344" t="e">
        <f>#REF!</f>
        <v>#REF!</v>
      </c>
      <c r="P528" s="344" t="e">
        <f>#REF!</f>
        <v>#REF!</v>
      </c>
      <c r="Q528" s="344" t="e">
        <f>#REF!</f>
        <v>#REF!</v>
      </c>
      <c r="R528" s="344" t="e">
        <f>#REF!</f>
        <v>#REF!</v>
      </c>
      <c r="S528" s="344" t="e">
        <f>#REF!</f>
        <v>#REF!</v>
      </c>
      <c r="T528" s="344" t="e">
        <f>#REF!</f>
        <v>#REF!</v>
      </c>
      <c r="U528" s="344" t="e">
        <f>#REF!</f>
        <v>#REF!</v>
      </c>
      <c r="V528" s="344" t="e">
        <f>#REF!</f>
        <v>#REF!</v>
      </c>
      <c r="W528" s="344" t="e">
        <f>#REF!</f>
        <v>#REF!</v>
      </c>
      <c r="X528" s="344" t="e">
        <f>#REF!</f>
        <v>#REF!</v>
      </c>
      <c r="Y528" s="344" t="e">
        <f>#REF!</f>
        <v>#REF!</v>
      </c>
      <c r="Z528" s="344" t="e">
        <f>#REF!</f>
        <v>#REF!</v>
      </c>
      <c r="AA528" s="344" t="e">
        <f>#REF!</f>
        <v>#REF!</v>
      </c>
      <c r="AB528" s="344"/>
      <c r="AC528" s="344" t="e">
        <f>#REF!</f>
        <v>#REF!</v>
      </c>
      <c r="AD528" s="344" t="e">
        <f>#REF!</f>
        <v>#REF!</v>
      </c>
    </row>
    <row r="529" customHeight="1" spans="1:30">
      <c r="A529" s="344" t="str">
        <f>'ALL ML SYSTEMS'!A518</f>
        <v>GLEE</v>
      </c>
      <c r="B529" s="344" t="str">
        <f>'ALL ML SYSTEMS'!B518</f>
        <v>Games</v>
      </c>
      <c r="C529" s="344" t="str">
        <f>'ALL ML SYSTEMS'!C518</f>
        <v>Tic Tac Toe</v>
      </c>
      <c r="D529" s="344" t="str">
        <f>'ALL ML SYSTEMS'!D518</f>
        <v>University of Edinburgh</v>
      </c>
      <c r="E529" s="344" t="str">
        <f>'ALL ML SYSTEMS'!E518</f>
        <v>Academia</v>
      </c>
      <c r="F529" s="344" t="str">
        <f>'ALL ML SYSTEMS'!F518</f>
        <v>Michie and Chambers</v>
      </c>
      <c r="G529" s="345">
        <f>'ALL ML SYSTEMS'!G518</f>
        <v>25020</v>
      </c>
      <c r="H529" s="346">
        <f>'ALL ML SYSTEMS'!H518</f>
        <v>5020</v>
      </c>
      <c r="I529" s="344" t="str">
        <f>'ALL ML SYSTEMS'!I518</f>
        <v>Boxes: An Experiment in Adaptive Control</v>
      </c>
      <c r="J529" s="347" t="str">
        <f>'ALL ML SYSTEMS'!J518</f>
        <v>https://citeseerx.ist.psu.edu/viewdoc/summary?doi=10.1.1.474.2430</v>
      </c>
      <c r="K529" s="348">
        <f>'ALL ML SYSTEMS'!K518</f>
        <v>590</v>
      </c>
      <c r="L529" s="344" t="str">
        <f>'ALL ML SYSTEMS'!L518</f>
        <v>Historical relevance</v>
      </c>
      <c r="M529" s="348" t="str">
        <f>'ALL ML SYSTEMS'!M518</f>
        <v>Yes</v>
      </c>
      <c r="N529" s="348">
        <f>'ALL ML SYSTEMS'!N518</f>
        <v>0</v>
      </c>
      <c r="O529" s="348">
        <f>'ALL ML SYSTEMS'!O518</f>
        <v>0</v>
      </c>
      <c r="P529" s="349">
        <f>'ALL ML SYSTEMS'!P518</f>
        <v>0</v>
      </c>
      <c r="Q529" s="348">
        <f>'ALL ML SYSTEMS'!Q518</f>
        <v>0</v>
      </c>
      <c r="R529" s="344">
        <f>'ALL ML SYSTEMS'!R518</f>
        <v>0</v>
      </c>
      <c r="S529" s="348">
        <f>'ALL ML SYSTEMS'!S518</f>
        <v>0</v>
      </c>
      <c r="T529" s="344">
        <f>'ALL ML SYSTEMS'!T518</f>
        <v>0</v>
      </c>
      <c r="U529" s="344">
        <f>'ALL ML SYSTEMS'!U518</f>
        <v>0</v>
      </c>
      <c r="V529" s="344">
        <f>'ALL ML SYSTEMS'!V518</f>
        <v>0</v>
      </c>
      <c r="W529" s="344">
        <f>'ALL ML SYSTEMS'!W518</f>
        <v>0</v>
      </c>
      <c r="X529" s="344">
        <f>'ALL ML SYSTEMS'!X518</f>
        <v>0</v>
      </c>
      <c r="Y529" s="344">
        <f>'ALL ML SYSTEMS'!Y518</f>
        <v>0</v>
      </c>
      <c r="Z529" s="344">
        <f>'ALL ML SYSTEMS'!Z518</f>
        <v>0</v>
      </c>
      <c r="AA529" s="350" t="str">
        <f>'ALL ML SYSTEMS'!AA518</f>
        <v/>
      </c>
      <c r="AB529" s="344">
        <f>'ALL ML SYSTEMS'!AB517</f>
        <v>0</v>
      </c>
      <c r="AC529" s="344">
        <f>'ALL ML SYSTEMS'!AC517</f>
        <v>0</v>
      </c>
      <c r="AD529" s="344" t="str">
        <f>'ALL ML SYSTEMS'!AD517</f>
        <v>Academia</v>
      </c>
    </row>
    <row r="530" customHeight="1" spans="1:30">
      <c r="A530" s="344" t="str">
        <f>'ALL ML SYSTEMS'!A519</f>
        <v>BOXES</v>
      </c>
      <c r="B530" s="344" t="str">
        <f>'ALL ML SYSTEMS'!B519</f>
        <v>Games</v>
      </c>
      <c r="C530" s="344" t="str">
        <f>'ALL ML SYSTEMS'!C519</f>
        <v>Pole balancing</v>
      </c>
      <c r="D530" s="344" t="str">
        <f>'ALL ML SYSTEMS'!D519</f>
        <v>University of Edinburgh</v>
      </c>
      <c r="E530" s="344" t="str">
        <f>'ALL ML SYSTEMS'!E519</f>
        <v>Academia</v>
      </c>
      <c r="F530" s="344" t="str">
        <f>'ALL ML SYSTEMS'!F519</f>
        <v>Michie and Chambers</v>
      </c>
      <c r="G530" s="345">
        <f>'ALL ML SYSTEMS'!G519</f>
        <v>25020</v>
      </c>
      <c r="H530" s="346">
        <f>'ALL ML SYSTEMS'!H519</f>
        <v>5020</v>
      </c>
      <c r="I530" s="344" t="str">
        <f>'ALL ML SYSTEMS'!I519</f>
        <v>Boxes: An Experiment in Adaptive Control</v>
      </c>
      <c r="J530" s="347" t="str">
        <f>'ALL ML SYSTEMS'!J519</f>
        <v>https://citeseerx.ist.psu.edu/viewdoc/summary?doi=10.1.1.474.2430</v>
      </c>
      <c r="K530" s="348">
        <f>'ALL ML SYSTEMS'!K519</f>
        <v>590</v>
      </c>
      <c r="L530" s="344" t="str">
        <f>'ALL ML SYSTEMS'!L519</f>
        <v>Historical relevance</v>
      </c>
      <c r="M530" s="348" t="str">
        <f>'ALL ML SYSTEMS'!M519</f>
        <v>Yes</v>
      </c>
      <c r="N530" s="348">
        <f>'ALL ML SYSTEMS'!N519</f>
        <v>0</v>
      </c>
      <c r="O530" s="348">
        <f>'ALL ML SYSTEMS'!O519</f>
        <v>0</v>
      </c>
      <c r="P530" s="349">
        <f>'ALL ML SYSTEMS'!P519</f>
        <v>0</v>
      </c>
      <c r="Q530" s="348">
        <f>'ALL ML SYSTEMS'!Q519</f>
        <v>0</v>
      </c>
      <c r="R530" s="344">
        <f>'ALL ML SYSTEMS'!R519</f>
        <v>0</v>
      </c>
      <c r="S530" s="348">
        <f>'ALL ML SYSTEMS'!S519</f>
        <v>0</v>
      </c>
      <c r="T530" s="344">
        <f>'ALL ML SYSTEMS'!T519</f>
        <v>0</v>
      </c>
      <c r="U530" s="344">
        <f>'ALL ML SYSTEMS'!U519</f>
        <v>0</v>
      </c>
      <c r="V530" s="344">
        <f>'ALL ML SYSTEMS'!V519</f>
        <v>0</v>
      </c>
      <c r="W530" s="344">
        <f>'ALL ML SYSTEMS'!W519</f>
        <v>0</v>
      </c>
      <c r="X530" s="344">
        <f>'ALL ML SYSTEMS'!X519</f>
        <v>0</v>
      </c>
      <c r="Y530" s="344">
        <f>'ALL ML SYSTEMS'!Y519</f>
        <v>0</v>
      </c>
      <c r="Z530" s="344">
        <f>'ALL ML SYSTEMS'!Z519</f>
        <v>0</v>
      </c>
      <c r="AA530" s="350" t="str">
        <f>'ALL ML SYSTEMS'!AA519</f>
        <v/>
      </c>
      <c r="AB530" s="344" t="e">
        <f>#REF!</f>
        <v>#REF!</v>
      </c>
      <c r="AC530" s="344" t="e">
        <f>#REF!</f>
        <v>#REF!</v>
      </c>
      <c r="AD530" s="344" t="e">
        <f>#REF!</f>
        <v>#REF!</v>
      </c>
    </row>
    <row r="531" hidden="1" customHeight="1" spans="1:30">
      <c r="A531" s="344" t="str">
        <f>'ALL ML SYSTEMS'!A520</f>
        <v>Samuel Neural Checkers II</v>
      </c>
      <c r="B531" s="344" t="str">
        <f>'ALL ML SYSTEMS'!B520</f>
        <v>Games</v>
      </c>
      <c r="C531" s="344" t="str">
        <f>'ALL ML SYSTEMS'!C520</f>
        <v>Checkers</v>
      </c>
      <c r="D531" s="344" t="str">
        <f>'ALL ML SYSTEMS'!D520</f>
        <v>University of Geneva</v>
      </c>
      <c r="E531" s="344" t="str">
        <f>'ALL ML SYSTEMS'!E520</f>
        <v>Academia</v>
      </c>
      <c r="F531" s="344" t="str">
        <f>'ALL ML SYSTEMS'!F520</f>
        <v>Palmieri, G. and R. Sanna</v>
      </c>
      <c r="G531" s="345">
        <f>'ALL ML SYSTEMS'!G520</f>
        <v>24777</v>
      </c>
      <c r="H531" s="346">
        <f>'ALL ML SYSTEMS'!H520</f>
        <v>4777</v>
      </c>
      <c r="I531" s="344" t="str">
        <f>'ALL ML SYSTEMS'!I520</f>
        <v>Some studies in machine learning using the game of checkers. Part II</v>
      </c>
      <c r="J531" s="347" t="str">
        <f>'ALL ML SYSTEMS'!J520</f>
        <v>https://www.cs.virginia.edu/~evans/greatworks/samuel.pdf</v>
      </c>
      <c r="K531" s="348">
        <f>'ALL ML SYSTEMS'!K520</f>
        <v>747</v>
      </c>
      <c r="L531" s="344">
        <f>'ALL ML SYSTEMS'!L520</f>
        <v>0</v>
      </c>
      <c r="M531" s="348" t="str">
        <f>'ALL ML SYSTEMS'!M520</f>
        <v>No</v>
      </c>
      <c r="N531" s="348">
        <f>'ALL ML SYSTEMS'!N520</f>
        <v>40</v>
      </c>
      <c r="O531" s="348">
        <f>'ALL ML SYSTEMS'!O520</f>
        <v>0</v>
      </c>
      <c r="P531" s="349">
        <f>'ALL ML SYSTEMS'!P520</f>
        <v>0</v>
      </c>
      <c r="Q531" s="348">
        <f>'ALL ML SYSTEMS'!Q520</f>
        <v>0</v>
      </c>
      <c r="R531" s="344" t="str">
        <f>'ALL ML SYSTEMS'!R520</f>
        <v>N/A</v>
      </c>
      <c r="S531" s="348">
        <f>'ALL ML SYSTEMS'!S520</f>
        <v>0</v>
      </c>
      <c r="T531" s="344">
        <f>'ALL ML SYSTEMS'!T520</f>
        <v>0</v>
      </c>
      <c r="U531" s="344">
        <f>'ALL ML SYSTEMS'!U520</f>
        <v>0</v>
      </c>
      <c r="V531" s="344">
        <f>'ALL ML SYSTEMS'!V520</f>
        <v>0</v>
      </c>
      <c r="W531" s="344">
        <f>'ALL ML SYSTEMS'!W520</f>
        <v>0</v>
      </c>
      <c r="X531" s="344">
        <f>'ALL ML SYSTEMS'!X520</f>
        <v>0</v>
      </c>
      <c r="Y531" s="344">
        <f>'ALL ML SYSTEMS'!Y520</f>
        <v>0</v>
      </c>
      <c r="Z531" s="344">
        <f>'ALL ML SYSTEMS'!Z520</f>
        <v>0</v>
      </c>
      <c r="AA531" s="350" t="str">
        <f>'ALL ML SYSTEMS'!AA520</f>
        <v/>
      </c>
      <c r="AB531" s="344"/>
      <c r="AC531" s="344">
        <f>'ALL ML SYSTEMS'!AC520</f>
        <v>0</v>
      </c>
      <c r="AD531" s="344" t="str">
        <f>'ALL ML SYSTEMS'!AD520</f>
        <v>Academia</v>
      </c>
    </row>
    <row r="532" customHeight="1" spans="1:30">
      <c r="A532" s="344" t="e">
        <f>#REF!</f>
        <v>#REF!</v>
      </c>
      <c r="B532" s="344" t="e">
        <f>#REF!</f>
        <v>#REF!</v>
      </c>
      <c r="C532" s="344" t="e">
        <f>#REF!</f>
        <v>#REF!</v>
      </c>
      <c r="D532" s="344" t="e">
        <f>#REF!</f>
        <v>#REF!</v>
      </c>
      <c r="E532" s="344" t="e">
        <f>#REF!</f>
        <v>#REF!</v>
      </c>
      <c r="F532" s="344" t="e">
        <f>#REF!</f>
        <v>#REF!</v>
      </c>
      <c r="G532" s="344" t="e">
        <f>#REF!</f>
        <v>#REF!</v>
      </c>
      <c r="H532" s="344" t="e">
        <f>#REF!</f>
        <v>#REF!</v>
      </c>
      <c r="I532" s="344" t="e">
        <f>#REF!</f>
        <v>#REF!</v>
      </c>
      <c r="J532" s="344" t="e">
        <f>#REF!</f>
        <v>#REF!</v>
      </c>
      <c r="K532" s="344" t="e">
        <f>#REF!</f>
        <v>#REF!</v>
      </c>
      <c r="L532" s="344" t="e">
        <f>#REF!</f>
        <v>#REF!</v>
      </c>
      <c r="M532" s="344" t="e">
        <f>#REF!</f>
        <v>#REF!</v>
      </c>
      <c r="N532" s="344" t="e">
        <f>#REF!</f>
        <v>#REF!</v>
      </c>
      <c r="O532" s="344" t="e">
        <f>#REF!</f>
        <v>#REF!</v>
      </c>
      <c r="P532" s="344" t="e">
        <f>#REF!</f>
        <v>#REF!</v>
      </c>
      <c r="Q532" s="344" t="e">
        <f>#REF!</f>
        <v>#REF!</v>
      </c>
      <c r="R532" s="344" t="e">
        <f>#REF!</f>
        <v>#REF!</v>
      </c>
      <c r="S532" s="344" t="e">
        <f>#REF!</f>
        <v>#REF!</v>
      </c>
      <c r="T532" s="344" t="e">
        <f>#REF!</f>
        <v>#REF!</v>
      </c>
      <c r="U532" s="344" t="e">
        <f>#REF!</f>
        <v>#REF!</v>
      </c>
      <c r="V532" s="344" t="e">
        <f>#REF!</f>
        <v>#REF!</v>
      </c>
      <c r="W532" s="344" t="e">
        <f>#REF!</f>
        <v>#REF!</v>
      </c>
      <c r="X532" s="344" t="e">
        <f>#REF!</f>
        <v>#REF!</v>
      </c>
      <c r="Y532" s="344" t="e">
        <f>#REF!</f>
        <v>#REF!</v>
      </c>
      <c r="Z532" s="344" t="e">
        <f>#REF!</f>
        <v>#REF!</v>
      </c>
      <c r="AA532" s="344" t="e">
        <f>#REF!</f>
        <v>#REF!</v>
      </c>
      <c r="AB532" s="344">
        <f>'ALL ML SYSTEMS'!AB519</f>
        <v>0</v>
      </c>
      <c r="AC532" s="344">
        <f>'ALL ML SYSTEMS'!AC519</f>
        <v>0</v>
      </c>
      <c r="AD532" s="344" t="str">
        <f>'ALL ML SYSTEMS'!AD519</f>
        <v>Academia</v>
      </c>
    </row>
    <row r="533" customHeight="1" spans="1:30">
      <c r="A533" s="344" t="e">
        <f>#REF!</f>
        <v>#REF!</v>
      </c>
      <c r="B533" s="344" t="e">
        <f>#REF!</f>
        <v>#REF!</v>
      </c>
      <c r="C533" s="344" t="e">
        <f>#REF!</f>
        <v>#REF!</v>
      </c>
      <c r="D533" s="344" t="e">
        <f>#REF!</f>
        <v>#REF!</v>
      </c>
      <c r="E533" s="344" t="e">
        <f>#REF!</f>
        <v>#REF!</v>
      </c>
      <c r="F533" s="344" t="e">
        <f>#REF!</f>
        <v>#REF!</v>
      </c>
      <c r="G533" s="344" t="e">
        <f>#REF!</f>
        <v>#REF!</v>
      </c>
      <c r="H533" s="344" t="e">
        <f>#REF!</f>
        <v>#REF!</v>
      </c>
      <c r="I533" s="344" t="e">
        <f>#REF!</f>
        <v>#REF!</v>
      </c>
      <c r="J533" s="344" t="e">
        <f>#REF!</f>
        <v>#REF!</v>
      </c>
      <c r="K533" s="344" t="e">
        <f>#REF!</f>
        <v>#REF!</v>
      </c>
      <c r="L533" s="344" t="e">
        <f>#REF!</f>
        <v>#REF!</v>
      </c>
      <c r="M533" s="344" t="e">
        <f>#REF!</f>
        <v>#REF!</v>
      </c>
      <c r="N533" s="344" t="e">
        <f>#REF!</f>
        <v>#REF!</v>
      </c>
      <c r="O533" s="344" t="e">
        <f>#REF!</f>
        <v>#REF!</v>
      </c>
      <c r="P533" s="344" t="e">
        <f>#REF!</f>
        <v>#REF!</v>
      </c>
      <c r="Q533" s="344" t="e">
        <f>#REF!</f>
        <v>#REF!</v>
      </c>
      <c r="R533" s="344" t="e">
        <f>#REF!</f>
        <v>#REF!</v>
      </c>
      <c r="S533" s="344" t="e">
        <f>#REF!</f>
        <v>#REF!</v>
      </c>
      <c r="T533" s="344" t="e">
        <f>#REF!</f>
        <v>#REF!</v>
      </c>
      <c r="U533" s="344" t="e">
        <f>#REF!</f>
        <v>#REF!</v>
      </c>
      <c r="V533" s="344" t="e">
        <f>#REF!</f>
        <v>#REF!</v>
      </c>
      <c r="W533" s="344" t="e">
        <f>#REF!</f>
        <v>#REF!</v>
      </c>
      <c r="X533" s="344" t="e">
        <f>#REF!</f>
        <v>#REF!</v>
      </c>
      <c r="Y533" s="344" t="e">
        <f>#REF!</f>
        <v>#REF!</v>
      </c>
      <c r="Z533" s="344" t="e">
        <f>#REF!</f>
        <v>#REF!</v>
      </c>
      <c r="AA533" s="344" t="e">
        <f>#REF!</f>
        <v>#REF!</v>
      </c>
      <c r="AB533" s="344">
        <f>'ALL ML SYSTEMS'!AB520</f>
        <v>0</v>
      </c>
      <c r="AC533" s="344">
        <f>'ALL ML SYSTEMS'!AC520</f>
        <v>0</v>
      </c>
      <c r="AD533" s="344" t="str">
        <f>'ALL ML SYSTEMS'!AD520</f>
        <v>Academia</v>
      </c>
    </row>
    <row r="534" hidden="1" customHeight="1" spans="1:30">
      <c r="A534" s="344" t="str">
        <f>'ALL ML SYSTEMS'!A521</f>
        <v>STeLLA</v>
      </c>
      <c r="B534" s="344">
        <f>'ALL ML SYSTEMS'!B521</f>
        <v>0</v>
      </c>
      <c r="C534" s="344">
        <f>'ALL ML SYSTEMS'!C521</f>
        <v>0</v>
      </c>
      <c r="D534" s="344" t="str">
        <f>'ALL ML SYSTEMS'!D521</f>
        <v>University of Canterbury</v>
      </c>
      <c r="E534" s="344" t="str">
        <f>'ALL ML SYSTEMS'!E521</f>
        <v>Academia</v>
      </c>
      <c r="F534" s="344" t="str">
        <f>'ALL ML SYSTEMS'!F521</f>
        <v>J.H. Andreae and Peter L. Joyce</v>
      </c>
      <c r="G534" s="345">
        <f>'ALL ML SYSTEMS'!G521</f>
        <v>23163</v>
      </c>
      <c r="H534" s="346">
        <f>'ALL ML SYSTEMS'!H521</f>
        <v>3163</v>
      </c>
      <c r="I534" s="344" t="str">
        <f>'ALL ML SYSTEMS'!I521</f>
        <v>STeLLA: A Scheme for a Learning Machine</v>
      </c>
      <c r="J534" s="347" t="str">
        <f>'ALL ML SYSTEMS'!J521</f>
        <v>https://www.researchgate.net/publication/252919025_STELLA_A_scheme_for_a_learning_machine</v>
      </c>
      <c r="K534" s="348">
        <f>'ALL ML SYSTEMS'!K521</f>
        <v>34</v>
      </c>
      <c r="L534" s="344">
        <f>'ALL ML SYSTEMS'!L521</f>
        <v>0</v>
      </c>
      <c r="M534" s="348" t="str">
        <f>'ALL ML SYSTEMS'!M521</f>
        <v>No</v>
      </c>
      <c r="N534" s="348">
        <f>'ALL ML SYSTEMS'!N521</f>
        <v>0</v>
      </c>
      <c r="O534" s="348">
        <f>'ALL ML SYSTEMS'!O521</f>
        <v>0</v>
      </c>
      <c r="P534" s="349">
        <f>'ALL ML SYSTEMS'!P521</f>
        <v>0</v>
      </c>
      <c r="Q534" s="348">
        <f>'ALL ML SYSTEMS'!Q521</f>
        <v>0</v>
      </c>
      <c r="R534" s="344">
        <f>'ALL ML SYSTEMS'!R521</f>
        <v>0</v>
      </c>
      <c r="S534" s="348">
        <f>'ALL ML SYSTEMS'!S521</f>
        <v>0</v>
      </c>
      <c r="T534" s="344">
        <f>'ALL ML SYSTEMS'!T521</f>
        <v>0</v>
      </c>
      <c r="U534" s="344">
        <f>'ALL ML SYSTEMS'!U521</f>
        <v>0</v>
      </c>
      <c r="V534" s="344">
        <f>'ALL ML SYSTEMS'!V521</f>
        <v>0</v>
      </c>
      <c r="W534" s="344">
        <f>'ALL ML SYSTEMS'!W521</f>
        <v>0</v>
      </c>
      <c r="X534" s="344">
        <f>'ALL ML SYSTEMS'!X521</f>
        <v>0</v>
      </c>
      <c r="Y534" s="344">
        <f>'ALL ML SYSTEMS'!Y521</f>
        <v>0</v>
      </c>
      <c r="Z534" s="344">
        <f>'ALL ML SYSTEMS'!Z521</f>
        <v>0</v>
      </c>
      <c r="AA534" s="350" t="str">
        <f>'ALL ML SYSTEMS'!AA521</f>
        <v/>
      </c>
      <c r="AB534" s="344"/>
      <c r="AC534" s="344">
        <f>'ALL ML SYSTEMS'!AC521</f>
        <v>0</v>
      </c>
      <c r="AD534" s="344" t="str">
        <f>'ALL ML SYSTEMS'!AD521</f>
        <v>Academia</v>
      </c>
    </row>
    <row r="535" hidden="1" customHeight="1" spans="1:30">
      <c r="A535" s="344" t="str">
        <f>'ALL ML SYSTEMS'!A522</f>
        <v>MENACE</v>
      </c>
      <c r="B535" s="344" t="str">
        <f>'ALL ML SYSTEMS'!B522</f>
        <v>Games</v>
      </c>
      <c r="C535" s="344" t="str">
        <f>'ALL ML SYSTEMS'!C522</f>
        <v>Tic Tac Toe</v>
      </c>
      <c r="D535" s="344" t="str">
        <f>'ALL ML SYSTEMS'!D522</f>
        <v>University of Edinburgh</v>
      </c>
      <c r="E535" s="344" t="str">
        <f>'ALL ML SYSTEMS'!E522</f>
        <v>Academia</v>
      </c>
      <c r="F535" s="344" t="str">
        <f>'ALL ML SYSTEMS'!F522</f>
        <v>Donald Michie</v>
      </c>
      <c r="G535" s="345">
        <f>'ALL ML SYSTEMS'!G522</f>
        <v>23316</v>
      </c>
      <c r="H535" s="346">
        <f>'ALL ML SYSTEMS'!H522</f>
        <v>3316</v>
      </c>
      <c r="I535" s="344" t="str">
        <f>'ALL ML SYSTEMS'!I522</f>
        <v>Experiments on the Mechanization of Game-Learning Part I. Characterization of the Model and its parameters</v>
      </c>
      <c r="J535" s="347" t="str">
        <f>'ALL ML SYSTEMS'!J522</f>
        <v>https://academic.oup.com/comjnl/article/6/3/232/360077</v>
      </c>
      <c r="K535" s="348">
        <f>'ALL ML SYSTEMS'!K522</f>
        <v>46</v>
      </c>
      <c r="L535" s="344">
        <f>'ALL ML SYSTEMS'!L522</f>
        <v>0</v>
      </c>
      <c r="M535" s="348" t="str">
        <f>'ALL ML SYSTEMS'!M522</f>
        <v>No</v>
      </c>
      <c r="N535" s="348">
        <f>'ALL ML SYSTEMS'!N522</f>
        <v>0</v>
      </c>
      <c r="O535" s="348">
        <f>'ALL ML SYSTEMS'!O522</f>
        <v>0</v>
      </c>
      <c r="P535" s="349">
        <f>'ALL ML SYSTEMS'!P522</f>
        <v>0</v>
      </c>
      <c r="Q535" s="348">
        <f>'ALL ML SYSTEMS'!Q522</f>
        <v>0</v>
      </c>
      <c r="R535" s="344">
        <f>'ALL ML SYSTEMS'!R522</f>
        <v>0</v>
      </c>
      <c r="S535" s="348">
        <f>'ALL ML SYSTEMS'!S522</f>
        <v>0</v>
      </c>
      <c r="T535" s="344">
        <f>'ALL ML SYSTEMS'!T522</f>
        <v>0</v>
      </c>
      <c r="U535" s="344">
        <f>'ALL ML SYSTEMS'!U522</f>
        <v>0</v>
      </c>
      <c r="V535" s="344">
        <f>'ALL ML SYSTEMS'!V522</f>
        <v>0</v>
      </c>
      <c r="W535" s="344">
        <f>'ALL ML SYSTEMS'!W522</f>
        <v>0</v>
      </c>
      <c r="X535" s="344">
        <f>'ALL ML SYSTEMS'!X522</f>
        <v>0</v>
      </c>
      <c r="Y535" s="344">
        <f>'ALL ML SYSTEMS'!Y522</f>
        <v>0</v>
      </c>
      <c r="Z535" s="344">
        <f>'ALL ML SYSTEMS'!Z522</f>
        <v>0</v>
      </c>
      <c r="AA535" s="350" t="str">
        <f>'ALL ML SYSTEMS'!AA522</f>
        <v/>
      </c>
      <c r="AB535" s="344"/>
      <c r="AC535" s="344">
        <f>'ALL ML SYSTEMS'!AC522</f>
        <v>0</v>
      </c>
      <c r="AD535" s="344" t="str">
        <f>'ALL ML SYSTEMS'!AD522</f>
        <v>Academia</v>
      </c>
    </row>
    <row r="536" customHeight="1" spans="1:30">
      <c r="A536" s="344" t="str">
        <f>'ALL ML SYSTEMS'!A523</f>
        <v>MADALINE I</v>
      </c>
      <c r="B536" s="344">
        <f>'ALL ML SYSTEMS'!B523</f>
        <v>0</v>
      </c>
      <c r="C536" s="344">
        <f>'ALL ML SYSTEMS'!C523</f>
        <v>0</v>
      </c>
      <c r="D536" s="344" t="str">
        <f>'ALL ML SYSTEMS'!D523</f>
        <v>Stanford University</v>
      </c>
      <c r="E536" s="344" t="str">
        <f>'ALL ML SYSTEMS'!E523</f>
        <v>Academia</v>
      </c>
      <c r="F536" s="344" t="str">
        <f>'ALL ML SYSTEMS'!F523</f>
        <v>William Combs Ridgway</v>
      </c>
      <c r="G536" s="345">
        <f>'ALL ML SYSTEMS'!G523</f>
        <v>22828</v>
      </c>
      <c r="H536" s="346">
        <f>'ALL ML SYSTEMS'!H523</f>
        <v>2828</v>
      </c>
      <c r="I536" s="344" t="str">
        <f>'ALL ML SYSTEMS'!I523</f>
        <v>An adaptive logic system with generalizing properties</v>
      </c>
      <c r="J536" s="347" t="str">
        <f>'ALL ML SYSTEMS'!J523</f>
        <v>https://www.proquest.com/openview/7898314db50a218b58052ac91e3bde1e/1?</v>
      </c>
      <c r="K536" s="348">
        <f>'ALL ML SYSTEMS'!K523</f>
        <v>75</v>
      </c>
      <c r="L536" s="344" t="str">
        <f>'ALL ML SYSTEMS'!L523</f>
        <v>Historical relevance</v>
      </c>
      <c r="M536" s="348" t="str">
        <f>'ALL ML SYSTEMS'!M523</f>
        <v>Yes</v>
      </c>
      <c r="N536" s="348">
        <f>'ALL ML SYSTEMS'!N523</f>
        <v>0</v>
      </c>
      <c r="O536" s="348">
        <f>'ALL ML SYSTEMS'!O523</f>
        <v>0</v>
      </c>
      <c r="P536" s="349">
        <f>'ALL ML SYSTEMS'!P523</f>
        <v>0</v>
      </c>
      <c r="Q536" s="348">
        <f>'ALL ML SYSTEMS'!Q523</f>
        <v>0</v>
      </c>
      <c r="R536" s="344">
        <f>'ALL ML SYSTEMS'!R523</f>
        <v>0</v>
      </c>
      <c r="S536" s="348">
        <f>'ALL ML SYSTEMS'!S523</f>
        <v>0</v>
      </c>
      <c r="T536" s="344">
        <f>'ALL ML SYSTEMS'!T523</f>
        <v>0</v>
      </c>
      <c r="U536" s="344">
        <f>'ALL ML SYSTEMS'!U523</f>
        <v>0</v>
      </c>
      <c r="V536" s="344">
        <f>'ALL ML SYSTEMS'!V523</f>
        <v>0</v>
      </c>
      <c r="W536" s="344">
        <f>'ALL ML SYSTEMS'!W523</f>
        <v>0</v>
      </c>
      <c r="X536" s="344">
        <f>'ALL ML SYSTEMS'!X523</f>
        <v>0</v>
      </c>
      <c r="Y536" s="344">
        <f>'ALL ML SYSTEMS'!Y523</f>
        <v>0</v>
      </c>
      <c r="Z536" s="344">
        <f>'ALL ML SYSTEMS'!Z523</f>
        <v>0</v>
      </c>
      <c r="AA536" s="350" t="str">
        <f>'ALL ML SYSTEMS'!AA523</f>
        <v/>
      </c>
      <c r="AB536" s="344">
        <f>'ALL ML SYSTEMS'!AB521</f>
        <v>0</v>
      </c>
      <c r="AC536" s="344">
        <f>'ALL ML SYSTEMS'!AC521</f>
        <v>0</v>
      </c>
      <c r="AD536" s="344" t="str">
        <f>'ALL ML SYSTEMS'!AD521</f>
        <v>Academia</v>
      </c>
    </row>
    <row r="537" customHeight="1" spans="1:30">
      <c r="A537" s="344">
        <f>'ALL ML SYSTEMS'!A524</f>
        <v>0</v>
      </c>
      <c r="B537" s="344">
        <f>'ALL ML SYSTEMS'!B524</f>
        <v>0</v>
      </c>
      <c r="C537" s="344">
        <f>'ALL ML SYSTEMS'!C524</f>
        <v>0</v>
      </c>
      <c r="D537" s="344" t="str">
        <f>'ALL ML SYSTEMS'!D524</f>
        <v>Massachusetts Institute of Technology (MIT)</v>
      </c>
      <c r="E537" s="344" t="str">
        <f>'ALL ML SYSTEMS'!E524</f>
        <v>Academia</v>
      </c>
      <c r="F537" s="344" t="str">
        <f>'ALL ML SYSTEMS'!F524</f>
        <v>Marvin Minsky</v>
      </c>
      <c r="G537" s="345">
        <f>'ALL ML SYSTEMS'!G524</f>
        <v>22282</v>
      </c>
      <c r="H537" s="346">
        <f>'ALL ML SYSTEMS'!H524</f>
        <v>2282</v>
      </c>
      <c r="I537" s="344" t="str">
        <f>'ALL ML SYSTEMS'!I524</f>
        <v>Steps Toward Artificial Intelligence</v>
      </c>
      <c r="J537" s="347" t="str">
        <f>'ALL ML SYSTEMS'!J524</f>
        <v>https://ieeexplore.ieee.org/abstract/document/4066245</v>
      </c>
      <c r="K537" s="348">
        <f>'ALL ML SYSTEMS'!K524</f>
        <v>2430</v>
      </c>
      <c r="L537" s="344" t="str">
        <f>'ALL ML SYSTEMS'!L524</f>
        <v>Highly cited</v>
      </c>
      <c r="M537" s="348" t="str">
        <f>'ALL ML SYSTEMS'!M524</f>
        <v>Yes</v>
      </c>
      <c r="N537" s="348">
        <f>'ALL ML SYSTEMS'!N524</f>
        <v>0</v>
      </c>
      <c r="O537" s="348">
        <f>'ALL ML SYSTEMS'!O524</f>
        <v>0</v>
      </c>
      <c r="P537" s="349">
        <f>'ALL ML SYSTEMS'!P524</f>
        <v>0</v>
      </c>
      <c r="Q537" s="348">
        <f>'ALL ML SYSTEMS'!Q524</f>
        <v>0</v>
      </c>
      <c r="R537" s="344">
        <f>'ALL ML SYSTEMS'!R524</f>
        <v>0</v>
      </c>
      <c r="S537" s="348">
        <f>'ALL ML SYSTEMS'!S524</f>
        <v>0</v>
      </c>
      <c r="T537" s="344">
        <f>'ALL ML SYSTEMS'!T524</f>
        <v>0</v>
      </c>
      <c r="U537" s="344">
        <f>'ALL ML SYSTEMS'!U524</f>
        <v>0</v>
      </c>
      <c r="V537" s="344">
        <f>'ALL ML SYSTEMS'!V524</f>
        <v>0</v>
      </c>
      <c r="W537" s="344">
        <f>'ALL ML SYSTEMS'!W524</f>
        <v>0</v>
      </c>
      <c r="X537" s="344">
        <f>'ALL ML SYSTEMS'!X524</f>
        <v>0</v>
      </c>
      <c r="Y537" s="344">
        <f>'ALL ML SYSTEMS'!Y524</f>
        <v>0</v>
      </c>
      <c r="Z537" s="344">
        <f>'ALL ML SYSTEMS'!Z524</f>
        <v>0</v>
      </c>
      <c r="AA537" s="350" t="str">
        <f>'ALL ML SYSTEMS'!AA524</f>
        <v/>
      </c>
      <c r="AB537" s="344">
        <f>'ALL ML SYSTEMS'!AB522</f>
        <v>0</v>
      </c>
      <c r="AC537" s="344">
        <f>'ALL ML SYSTEMS'!AC522</f>
        <v>0</v>
      </c>
      <c r="AD537" s="344" t="str">
        <f>'ALL ML SYSTEMS'!AD522</f>
        <v>Academia</v>
      </c>
    </row>
    <row r="538" customHeight="1" spans="1:30">
      <c r="A538" s="344">
        <f>'ALL ML SYSTEMS'!A525</f>
        <v>0</v>
      </c>
      <c r="B538" s="344">
        <f>'ALL ML SYSTEMS'!B525</f>
        <v>0</v>
      </c>
      <c r="C538" s="344">
        <f>'ALL ML SYSTEMS'!C525</f>
        <v>0</v>
      </c>
      <c r="D538" s="344" t="str">
        <f>'ALL ML SYSTEMS'!D525</f>
        <v>Massachusetts Institute of Technology (MIT)</v>
      </c>
      <c r="E538" s="344" t="str">
        <f>'ALL ML SYSTEMS'!E525</f>
        <v>Academia</v>
      </c>
      <c r="F538" s="344" t="str">
        <f>'ALL ML SYSTEMS'!F525</f>
        <v>Marvin Minsky and Oliver G. Selfridge</v>
      </c>
      <c r="G538" s="345">
        <f>'ALL ML SYSTEMS'!G525</f>
        <v>22463</v>
      </c>
      <c r="H538" s="346">
        <f>'ALL ML SYSTEMS'!H525</f>
        <v>2463</v>
      </c>
      <c r="I538" s="344" t="str">
        <f>'ALL ML SYSTEMS'!I525</f>
        <v>Learning in random nets</v>
      </c>
      <c r="J538" s="347" t="str">
        <f>'ALL ML SYSTEMS'!J525</f>
        <v>https://stacks.stanford.edu/file/druid:yr384hg3073/yr384hg3073.pdf</v>
      </c>
      <c r="K538" s="348">
        <f>'ALL ML SYSTEMS'!K525</f>
        <v>47</v>
      </c>
      <c r="L538" s="344" t="str">
        <f>'ALL ML SYSTEMS'!L525</f>
        <v>Historical relevance</v>
      </c>
      <c r="M538" s="348" t="str">
        <f>'ALL ML SYSTEMS'!M525</f>
        <v>Yes</v>
      </c>
      <c r="N538" s="348">
        <f>'ALL ML SYSTEMS'!N525</f>
        <v>0</v>
      </c>
      <c r="O538" s="348">
        <f>'ALL ML SYSTEMS'!O525</f>
        <v>0</v>
      </c>
      <c r="P538" s="349">
        <f>'ALL ML SYSTEMS'!P525</f>
        <v>0</v>
      </c>
      <c r="Q538" s="348">
        <f>'ALL ML SYSTEMS'!Q525</f>
        <v>0</v>
      </c>
      <c r="R538" s="344">
        <f>'ALL ML SYSTEMS'!R525</f>
        <v>0</v>
      </c>
      <c r="S538" s="348">
        <f>'ALL ML SYSTEMS'!S525</f>
        <v>0</v>
      </c>
      <c r="T538" s="344">
        <f>'ALL ML SYSTEMS'!T525</f>
        <v>0</v>
      </c>
      <c r="U538" s="344">
        <f>'ALL ML SYSTEMS'!U525</f>
        <v>0</v>
      </c>
      <c r="V538" s="344">
        <f>'ALL ML SYSTEMS'!V525</f>
        <v>0</v>
      </c>
      <c r="W538" s="344">
        <f>'ALL ML SYSTEMS'!W525</f>
        <v>0</v>
      </c>
      <c r="X538" s="344">
        <f>'ALL ML SYSTEMS'!X525</f>
        <v>0</v>
      </c>
      <c r="Y538" s="344">
        <f>'ALL ML SYSTEMS'!Y525</f>
        <v>0</v>
      </c>
      <c r="Z538" s="344">
        <f>'ALL ML SYSTEMS'!Z525</f>
        <v>0</v>
      </c>
      <c r="AA538" s="350" t="str">
        <f>'ALL ML SYSTEMS'!AA525</f>
        <v/>
      </c>
      <c r="AB538" s="344">
        <f>'ALL ML SYSTEMS'!AB523</f>
        <v>0</v>
      </c>
      <c r="AC538" s="344">
        <f>'ALL ML SYSTEMS'!AC523</f>
        <v>0</v>
      </c>
      <c r="AD538" s="344" t="str">
        <f>'ALL ML SYSTEMS'!AD523</f>
        <v>Academia</v>
      </c>
    </row>
    <row r="539" hidden="1" customHeight="1" spans="1:30">
      <c r="A539" s="344">
        <f>'ALL ML SYSTEMS'!A526</f>
        <v>0</v>
      </c>
      <c r="B539" s="344">
        <f>'ALL ML SYSTEMS'!B526</f>
        <v>0</v>
      </c>
      <c r="C539" s="344" t="str">
        <f>'ALL ML SYSTEMS'!C526</f>
        <v>Binary classification</v>
      </c>
      <c r="D539" s="344" t="str">
        <f>'ALL ML SYSTEMS'!D526</f>
        <v>The University of Genoa</v>
      </c>
      <c r="E539" s="344" t="str">
        <f>'ALL ML SYSTEMS'!E526</f>
        <v>Academia</v>
      </c>
      <c r="F539" s="344" t="str">
        <f>'ALL ML SYSTEMS'!F526</f>
        <v>A Gamba, L Gamberini, G Palmieri, R Sanna</v>
      </c>
      <c r="G539" s="345">
        <f>'ALL ML SYSTEMS'!G526</f>
        <v>22525</v>
      </c>
      <c r="H539" s="346">
        <f>'ALL ML SYSTEMS'!H526</f>
        <v>2525</v>
      </c>
      <c r="I539" s="344" t="str">
        <f>'ALL ML SYSTEMS'!I526</f>
        <v>Further experiments with PAPA</v>
      </c>
      <c r="J539" s="347" t="str">
        <f>'ALL ML SYSTEMS'!J526</f>
        <v>https://www.semanticscholar.org/paper/Further-experiments-with-PAPA-Gamba-Gamberini/c3a20b9aa86033cec29f08e69f4bc81e8b329ae2</v>
      </c>
      <c r="K539" s="348">
        <f>'ALL ML SYSTEMS'!K526</f>
        <v>24</v>
      </c>
      <c r="L539" s="344">
        <f>'ALL ML SYSTEMS'!L526</f>
        <v>0</v>
      </c>
      <c r="M539" s="348" t="str">
        <f>'ALL ML SYSTEMS'!M526</f>
        <v>No</v>
      </c>
      <c r="N539" s="348">
        <f>'ALL ML SYSTEMS'!N526</f>
        <v>0</v>
      </c>
      <c r="O539" s="348">
        <f>'ALL ML SYSTEMS'!O526</f>
        <v>0</v>
      </c>
      <c r="P539" s="349">
        <f>'ALL ML SYSTEMS'!P526</f>
        <v>0</v>
      </c>
      <c r="Q539" s="348">
        <f>'ALL ML SYSTEMS'!Q526</f>
        <v>0</v>
      </c>
      <c r="R539" s="344">
        <f>'ALL ML SYSTEMS'!R526</f>
        <v>0</v>
      </c>
      <c r="S539" s="348">
        <f>'ALL ML SYSTEMS'!S526</f>
        <v>0</v>
      </c>
      <c r="T539" s="344">
        <f>'ALL ML SYSTEMS'!T526</f>
        <v>0</v>
      </c>
      <c r="U539" s="344">
        <f>'ALL ML SYSTEMS'!U526</f>
        <v>0</v>
      </c>
      <c r="V539" s="344">
        <f>'ALL ML SYSTEMS'!V526</f>
        <v>0</v>
      </c>
      <c r="W539" s="344">
        <f>'ALL ML SYSTEMS'!W526</f>
        <v>0</v>
      </c>
      <c r="X539" s="344">
        <f>'ALL ML SYSTEMS'!X526</f>
        <v>0</v>
      </c>
      <c r="Y539" s="344">
        <f>'ALL ML SYSTEMS'!Y526</f>
        <v>0</v>
      </c>
      <c r="Z539" s="344">
        <f>'ALL ML SYSTEMS'!Z526</f>
        <v>0</v>
      </c>
      <c r="AA539" s="350" t="str">
        <f>'ALL ML SYSTEMS'!AA526</f>
        <v/>
      </c>
      <c r="AB539" s="344"/>
      <c r="AC539" s="344">
        <f>'ALL ML SYSTEMS'!AC526</f>
        <v>0</v>
      </c>
      <c r="AD539" s="344" t="str">
        <f>'ALL ML SYSTEMS'!AD526</f>
        <v>Academia</v>
      </c>
    </row>
    <row r="540" customHeight="1" spans="1:30">
      <c r="A540" s="344" t="str">
        <f>'ALL ML SYSTEMS'!A527</f>
        <v>ADALINE</v>
      </c>
      <c r="B540" s="344" t="str">
        <f>'ALL ML SYSTEMS'!B527</f>
        <v>Vision</v>
      </c>
      <c r="C540" s="344" t="str">
        <f>'ALL ML SYSTEMS'!C527</f>
        <v>Pattern recognition</v>
      </c>
      <c r="D540" s="344" t="str">
        <f>'ALL ML SYSTEMS'!D527</f>
        <v>Stanford University</v>
      </c>
      <c r="E540" s="344" t="str">
        <f>'ALL ML SYSTEMS'!E527</f>
        <v>Academia</v>
      </c>
      <c r="F540" s="344" t="str">
        <f>'ALL ML SYSTEMS'!F527</f>
        <v>Widrow and Hoff</v>
      </c>
      <c r="G540" s="345">
        <f>'ALL ML SYSTEMS'!G527</f>
        <v>22097</v>
      </c>
      <c r="H540" s="346">
        <f>'ALL ML SYSTEMS'!H527</f>
        <v>2097</v>
      </c>
      <c r="I540" s="344" t="str">
        <f>'ALL ML SYSTEMS'!I527</f>
        <v>Adaptive switching circuits</v>
      </c>
      <c r="J540" s="347" t="str">
        <f>'ALL ML SYSTEMS'!J527</f>
        <v>https://isl.stanford.edu/~widrow/papers/c1960adaptiveswitching.pdf</v>
      </c>
      <c r="K540" s="348">
        <f>'ALL ML SYSTEMS'!K527</f>
        <v>6329</v>
      </c>
      <c r="L540" s="344" t="str">
        <f>'ALL ML SYSTEMS'!L527</f>
        <v>Highly cited</v>
      </c>
      <c r="M540" s="348" t="str">
        <f>'ALL ML SYSTEMS'!M527</f>
        <v>Yes</v>
      </c>
      <c r="N540" s="348">
        <f>'ALL ML SYSTEMS'!N527</f>
        <v>17</v>
      </c>
      <c r="O540" s="348">
        <f>'ALL ML SYSTEMS'!O527</f>
        <v>9900</v>
      </c>
      <c r="P540" s="349">
        <f>'ALL ML SYSTEMS'!P527</f>
        <v>0</v>
      </c>
      <c r="Q540" s="348">
        <f>'ALL ML SYSTEMS'!Q527</f>
        <v>100</v>
      </c>
      <c r="R540" s="344">
        <f>'ALL ML SYSTEMS'!R527</f>
        <v>0</v>
      </c>
      <c r="S540" s="348">
        <f>'ALL ML SYSTEMS'!S527</f>
        <v>33</v>
      </c>
      <c r="T540" s="344">
        <f>'ALL ML SYSTEMS'!T527</f>
        <v>0</v>
      </c>
      <c r="U540" s="344">
        <f>'ALL ML SYSTEMS'!U527</f>
        <v>0</v>
      </c>
      <c r="V540" s="344">
        <f>'ALL ML SYSTEMS'!V527</f>
        <v>0</v>
      </c>
      <c r="W540" s="344">
        <f>'ALL ML SYSTEMS'!W527</f>
        <v>0</v>
      </c>
      <c r="X540" s="344">
        <f>'ALL ML SYSTEMS'!X527</f>
        <v>0</v>
      </c>
      <c r="Y540" s="344">
        <f>'ALL ML SYSTEMS'!Y527</f>
        <v>0</v>
      </c>
      <c r="Z540" s="344">
        <f>'ALL ML SYSTEMS'!Z527</f>
        <v>0</v>
      </c>
      <c r="AA540" s="350" t="str">
        <f>'ALL ML SYSTEMS'!AA527</f>
        <v/>
      </c>
      <c r="AB540" s="344">
        <f>'ALL ML SYSTEMS'!AB525</f>
        <v>0</v>
      </c>
      <c r="AC540" s="344">
        <f>'ALL ML SYSTEMS'!AC525</f>
        <v>0</v>
      </c>
      <c r="AD540" s="344" t="str">
        <f>'ALL ML SYSTEMS'!AD525</f>
        <v>Academia</v>
      </c>
    </row>
    <row r="541" customHeight="1" spans="1:30">
      <c r="A541" s="344" t="str">
        <f>'ALL ML SYSTEMS'!A528</f>
        <v>LMS</v>
      </c>
      <c r="B541" s="344">
        <f>'ALL ML SYSTEMS'!B528</f>
        <v>0</v>
      </c>
      <c r="C541" s="344">
        <f>'ALL ML SYSTEMS'!C528</f>
        <v>0</v>
      </c>
      <c r="D541" s="344" t="str">
        <f>'ALL ML SYSTEMS'!D528</f>
        <v>Stanford University</v>
      </c>
      <c r="E541" s="344" t="str">
        <f>'ALL ML SYSTEMS'!E528</f>
        <v>Academia</v>
      </c>
      <c r="F541" s="344" t="str">
        <f>'ALL ML SYSTEMS'!F528</f>
        <v>Widrow and Hoff</v>
      </c>
      <c r="G541" s="345">
        <f>'ALL ML SYSTEMS'!G528</f>
        <v>22097</v>
      </c>
      <c r="H541" s="346">
        <f>'ALL ML SYSTEMS'!H528</f>
        <v>2097</v>
      </c>
      <c r="I541" s="344" t="str">
        <f>'ALL ML SYSTEMS'!I528</f>
        <v>Adaptive switching circuits (technical report)</v>
      </c>
      <c r="J541" s="347" t="str">
        <f>'ALL ML SYSTEMS'!J528</f>
        <v>https://www.scirp.org/(S(351jmbntvnsjt1aadkposzje))/reference/ReferencesPapers.aspx?ReferenceID=547230</v>
      </c>
      <c r="K541" s="348">
        <f>'ALL ML SYSTEMS'!K528</f>
        <v>6329</v>
      </c>
      <c r="L541" s="344" t="str">
        <f>'ALL ML SYSTEMS'!L528</f>
        <v>Highly cited</v>
      </c>
      <c r="M541" s="348" t="str">
        <f>'ALL ML SYSTEMS'!M528</f>
        <v>Yes</v>
      </c>
      <c r="N541" s="348">
        <f>'ALL ML SYSTEMS'!N528</f>
        <v>0</v>
      </c>
      <c r="O541" s="348">
        <f>'ALL ML SYSTEMS'!O528</f>
        <v>0</v>
      </c>
      <c r="P541" s="349">
        <f>'ALL ML SYSTEMS'!P528</f>
        <v>0</v>
      </c>
      <c r="Q541" s="348">
        <f>'ALL ML SYSTEMS'!Q528</f>
        <v>0</v>
      </c>
      <c r="R541" s="344">
        <f>'ALL ML SYSTEMS'!R528</f>
        <v>0</v>
      </c>
      <c r="S541" s="348">
        <f>'ALL ML SYSTEMS'!S528</f>
        <v>0</v>
      </c>
      <c r="T541" s="344">
        <f>'ALL ML SYSTEMS'!T528</f>
        <v>0</v>
      </c>
      <c r="U541" s="344">
        <f>'ALL ML SYSTEMS'!U528</f>
        <v>0</v>
      </c>
      <c r="V541" s="344">
        <f>'ALL ML SYSTEMS'!V528</f>
        <v>0</v>
      </c>
      <c r="W541" s="344">
        <f>'ALL ML SYSTEMS'!W528</f>
        <v>0</v>
      </c>
      <c r="X541" s="344">
        <f>'ALL ML SYSTEMS'!X528</f>
        <v>0</v>
      </c>
      <c r="Y541" s="344">
        <f>'ALL ML SYSTEMS'!Y528</f>
        <v>0</v>
      </c>
      <c r="Z541" s="344">
        <f>'ALL ML SYSTEMS'!Z528</f>
        <v>0</v>
      </c>
      <c r="AA541" s="350" t="str">
        <f>'ALL ML SYSTEMS'!AA528</f>
        <v/>
      </c>
      <c r="AB541" s="344">
        <f>'ALL ML SYSTEMS'!AB526</f>
        <v>0</v>
      </c>
      <c r="AC541" s="344">
        <f>'ALL ML SYSTEMS'!AC526</f>
        <v>0</v>
      </c>
      <c r="AD541" s="344" t="str">
        <f>'ALL ML SYSTEMS'!AD526</f>
        <v>Academia</v>
      </c>
    </row>
    <row r="542" customHeight="1" spans="1:30">
      <c r="A542" s="344" t="str">
        <f>'ALL ML SYSTEMS'!A529</f>
        <v>Pandemonium (morse)</v>
      </c>
      <c r="B542" s="344" t="str">
        <f>'ALL ML SYSTEMS'!B529</f>
        <v>Other</v>
      </c>
      <c r="C542" s="344" t="str">
        <f>'ALL ML SYSTEMS'!C529</f>
        <v>Morse translation</v>
      </c>
      <c r="D542" s="344" t="str">
        <f>'ALL ML SYSTEMS'!D529</f>
        <v>Massachusetts Institute of Technology</v>
      </c>
      <c r="E542" s="344" t="str">
        <f>'ALL ML SYSTEMS'!E529</f>
        <v>Academia</v>
      </c>
      <c r="F542" s="344" t="str">
        <f>'ALL ML SYSTEMS'!F529</f>
        <v>OG Selfridge</v>
      </c>
      <c r="G542" s="345">
        <f>'ALL ML SYSTEMS'!G529</f>
        <v>21582</v>
      </c>
      <c r="H542" s="346">
        <f>'ALL ML SYSTEMS'!H529</f>
        <v>1582</v>
      </c>
      <c r="I542" s="344" t="str">
        <f>'ALL ML SYSTEMS'!I529</f>
        <v>Pandemonium: A Paradigm for Learning</v>
      </c>
      <c r="J542" s="347" t="str">
        <f>'ALL ML SYSTEMS'!J529</f>
        <v>https://aitopics.org/doc/classics:504E1BAC/</v>
      </c>
      <c r="K542" s="348">
        <f>'ALL ML SYSTEMS'!K529</f>
        <v>1453</v>
      </c>
      <c r="L542" s="344" t="str">
        <f>'ALL ML SYSTEMS'!L529</f>
        <v>Highly cited</v>
      </c>
      <c r="M542" s="348" t="str">
        <f>'ALL ML SYSTEMS'!M529</f>
        <v>Yes</v>
      </c>
      <c r="N542" s="348">
        <f>'ALL ML SYSTEMS'!N529</f>
        <v>3000</v>
      </c>
      <c r="O542" s="348">
        <f>'ALL ML SYSTEMS'!O529</f>
        <v>600000000</v>
      </c>
      <c r="P542" s="349">
        <f>'ALL ML SYSTEMS'!P529</f>
        <v>0</v>
      </c>
      <c r="Q542" s="348">
        <f>'ALL ML SYSTEMS'!Q529</f>
        <v>0</v>
      </c>
      <c r="R542" s="344">
        <f>'ALL ML SYSTEMS'!R529</f>
        <v>0</v>
      </c>
      <c r="S542" s="348">
        <f>'ALL ML SYSTEMS'!S529</f>
        <v>0</v>
      </c>
      <c r="T542" s="344">
        <f>'ALL ML SYSTEMS'!T529</f>
        <v>0</v>
      </c>
      <c r="U542" s="344">
        <f>'ALL ML SYSTEMS'!U529</f>
        <v>0</v>
      </c>
      <c r="V542" s="344">
        <f>'ALL ML SYSTEMS'!V529</f>
        <v>0</v>
      </c>
      <c r="W542" s="344">
        <f>'ALL ML SYSTEMS'!W529</f>
        <v>0</v>
      </c>
      <c r="X542" s="344">
        <f>'ALL ML SYSTEMS'!X529</f>
        <v>0</v>
      </c>
      <c r="Y542" s="344">
        <f>'ALL ML SYSTEMS'!Y529</f>
        <v>0</v>
      </c>
      <c r="Z542" s="344">
        <f>'ALL ML SYSTEMS'!Z529</f>
        <v>0</v>
      </c>
      <c r="AA542" s="350" t="str">
        <f>'ALL ML SYSTEMS'!AA529</f>
        <v/>
      </c>
      <c r="AB542" s="344">
        <f>'ALL ML SYSTEMS'!AB527</f>
        <v>0</v>
      </c>
      <c r="AC542" s="344">
        <f>'ALL ML SYSTEMS'!AC527</f>
        <v>0</v>
      </c>
      <c r="AD542" s="344" t="str">
        <f>'ALL ML SYSTEMS'!AD527</f>
        <v>Academia</v>
      </c>
    </row>
    <row r="543" customHeight="1" spans="1:30">
      <c r="A543" s="344" t="str">
        <f>'ALL ML SYSTEMS'!A530</f>
        <v>Samuel Neural Checkers</v>
      </c>
      <c r="B543" s="344" t="str">
        <f>'ALL ML SYSTEMS'!B530</f>
        <v>Games</v>
      </c>
      <c r="C543" s="344" t="str">
        <f>'ALL ML SYSTEMS'!C530</f>
        <v>Checkers</v>
      </c>
      <c r="D543" s="344" t="str">
        <f>'ALL ML SYSTEMS'!D530</f>
        <v>IBM</v>
      </c>
      <c r="E543" s="344" t="str">
        <f>'ALL ML SYSTEMS'!E530</f>
        <v>Industry</v>
      </c>
      <c r="F543" s="344" t="str">
        <f>'ALL ML SYSTEMS'!F530</f>
        <v>Arthur L. Samuel</v>
      </c>
      <c r="G543" s="345">
        <f>'ALL ML SYSTEMS'!G530</f>
        <v>21732</v>
      </c>
      <c r="H543" s="346">
        <f>'ALL ML SYSTEMS'!H530</f>
        <v>1732</v>
      </c>
      <c r="I543" s="344" t="str">
        <f>'ALL ML SYSTEMS'!I530</f>
        <v>Some studies in machine learning using the game of checkers</v>
      </c>
      <c r="J543" s="347" t="str">
        <f>'ALL ML SYSTEMS'!J530</f>
        <v>https://ieeexplore.ieee.org/abstract/document/5392560</v>
      </c>
      <c r="K543" s="348">
        <f>'ALL ML SYSTEMS'!K530</f>
        <v>4151</v>
      </c>
      <c r="L543" s="344" t="str">
        <f>'ALL ML SYSTEMS'!L530</f>
        <v>Highly cited</v>
      </c>
      <c r="M543" s="348" t="str">
        <f>'ALL ML SYSTEMS'!M530</f>
        <v>Yes</v>
      </c>
      <c r="N543" s="348">
        <f>'ALL ML SYSTEMS'!N530</f>
        <v>16</v>
      </c>
      <c r="O543" s="348">
        <f>'ALL ML SYSTEMS'!O530</f>
        <v>428400000</v>
      </c>
      <c r="P543" s="349">
        <f>'ALL ML SYSTEMS'!P530</f>
        <v>0</v>
      </c>
      <c r="Q543" s="348">
        <f>'ALL ML SYSTEMS'!Q530</f>
        <v>53000</v>
      </c>
      <c r="R543" s="344" t="str">
        <f>'ALL ML SYSTEMS'!R530</f>
        <v>N/A</v>
      </c>
      <c r="S543" s="348">
        <f>'ALL ML SYSTEMS'!S530</f>
        <v>0</v>
      </c>
      <c r="T543" s="344">
        <f>'ALL ML SYSTEMS'!T530</f>
        <v>0</v>
      </c>
      <c r="U543" s="344">
        <f>'ALL ML SYSTEMS'!U530</f>
        <v>9</v>
      </c>
      <c r="V543" s="344">
        <f>'ALL ML SYSTEMS'!V530</f>
        <v>7.5</v>
      </c>
      <c r="W543" s="344">
        <f>'ALL ML SYSTEMS'!W530</f>
        <v>0</v>
      </c>
      <c r="X543" s="344">
        <f>'ALL ML SYSTEMS'!X530</f>
        <v>0</v>
      </c>
      <c r="Y543" s="344">
        <f>'ALL ML SYSTEMS'!Y530</f>
        <v>0</v>
      </c>
      <c r="Z543" s="344">
        <f>'ALL ML SYSTEMS'!Z530</f>
        <v>0</v>
      </c>
      <c r="AA543" s="350" t="str">
        <f>'ALL ML SYSTEMS'!AA530</f>
        <v/>
      </c>
      <c r="AB543" s="344">
        <f>'ALL ML SYSTEMS'!AB528</f>
        <v>0</v>
      </c>
      <c r="AC543" s="344">
        <f>'ALL ML SYSTEMS'!AC528</f>
        <v>0</v>
      </c>
      <c r="AD543" s="344" t="str">
        <f>'ALL ML SYSTEMS'!AD528</f>
        <v>Academia</v>
      </c>
    </row>
    <row r="544" customHeight="1" spans="1:30">
      <c r="A544" s="344" t="str">
        <f>'ALL ML SYSTEMS'!A531</f>
        <v>Pattern recognition and reading by machine</v>
      </c>
      <c r="B544" s="344" t="str">
        <f>'ALL ML SYSTEMS'!B531</f>
        <v>Vision</v>
      </c>
      <c r="C544" s="344" t="str">
        <f>'ALL ML SYSTEMS'!C531</f>
        <v>Character recognition</v>
      </c>
      <c r="D544" s="344" t="str">
        <f>'ALL ML SYSTEMS'!D531</f>
        <v>Sandia Corporation</v>
      </c>
      <c r="E544" s="344" t="str">
        <f>'ALL ML SYSTEMS'!E531</f>
        <v>Industry</v>
      </c>
      <c r="F544" s="344" t="str">
        <f>'ALL ML SYSTEMS'!F531</f>
        <v>W. W. Bledsoe, I. Browning</v>
      </c>
      <c r="G544" s="345">
        <f>'ALL ML SYSTEMS'!G531</f>
        <v>21885</v>
      </c>
      <c r="H544" s="346">
        <f>'ALL ML SYSTEMS'!H531</f>
        <v>1885</v>
      </c>
      <c r="I544" s="344" t="str">
        <f>'ALL ML SYSTEMS'!I531</f>
        <v>Pattern recognition and reading by machine</v>
      </c>
      <c r="J544" s="347" t="str">
        <f>'ALL ML SYSTEMS'!J531</f>
        <v>https://dl.acm.org/doi/10.1145/1460299.1460326</v>
      </c>
      <c r="K544" s="348">
        <f>'ALL ML SYSTEMS'!K531</f>
        <v>587</v>
      </c>
      <c r="L544" s="344" t="str">
        <f>'ALL ML SYSTEMS'!L531</f>
        <v>Historical relevance</v>
      </c>
      <c r="M544" s="348" t="str">
        <f>'ALL ML SYSTEMS'!M531</f>
        <v>Yes</v>
      </c>
      <c r="N544" s="348">
        <f>'ALL ML SYSTEMS'!N531</f>
        <v>2625</v>
      </c>
      <c r="O544" s="348">
        <f>'ALL ML SYSTEMS'!O531</f>
        <v>0</v>
      </c>
      <c r="P544" s="349">
        <f>'ALL ML SYSTEMS'!P531</f>
        <v>0</v>
      </c>
      <c r="Q544" s="348">
        <f>'ALL ML SYSTEMS'!Q531</f>
        <v>0</v>
      </c>
      <c r="R544" s="344">
        <f>'ALL ML SYSTEMS'!R531</f>
        <v>0</v>
      </c>
      <c r="S544" s="348">
        <f>'ALL ML SYSTEMS'!S531</f>
        <v>0</v>
      </c>
      <c r="T544" s="344">
        <f>'ALL ML SYSTEMS'!T531</f>
        <v>0</v>
      </c>
      <c r="U544" s="344">
        <f>'ALL ML SYSTEMS'!U531</f>
        <v>0</v>
      </c>
      <c r="V544" s="344">
        <f>'ALL ML SYSTEMS'!V531</f>
        <v>0</v>
      </c>
      <c r="W544" s="344">
        <f>'ALL ML SYSTEMS'!W531</f>
        <v>0</v>
      </c>
      <c r="X544" s="344">
        <f>'ALL ML SYSTEMS'!X531</f>
        <v>0</v>
      </c>
      <c r="Y544" s="344">
        <f>'ALL ML SYSTEMS'!Y531</f>
        <v>0</v>
      </c>
      <c r="Z544" s="344">
        <f>'ALL ML SYSTEMS'!Z531</f>
        <v>0</v>
      </c>
      <c r="AA544" s="350" t="str">
        <f>'ALL ML SYSTEMS'!AA531</f>
        <v/>
      </c>
      <c r="AB544" s="344">
        <f>'ALL ML SYSTEMS'!AB529</f>
        <v>0</v>
      </c>
      <c r="AC544" s="344">
        <f>'ALL ML SYSTEMS'!AC529</f>
        <v>0</v>
      </c>
      <c r="AD544" s="344" t="str">
        <f>'ALL ML SYSTEMS'!AD529</f>
        <v>Academia</v>
      </c>
    </row>
    <row r="545" customHeight="1" spans="1:30">
      <c r="A545" s="344" t="str">
        <f>'ALL ML SYSTEMS'!A532</f>
        <v>Perceptron Mark I</v>
      </c>
      <c r="B545" s="344" t="str">
        <f>'ALL ML SYSTEMS'!B532</f>
        <v>Vision</v>
      </c>
      <c r="C545" s="344" t="str">
        <f>'ALL ML SYSTEMS'!C532</f>
        <v>Binary classification</v>
      </c>
      <c r="D545" s="344" t="str">
        <f>'ALL ML SYSTEMS'!D532</f>
        <v>Cornell Aeronautical Laboratory</v>
      </c>
      <c r="E545" s="344" t="str">
        <f>'ALL ML SYSTEMS'!E532</f>
        <v>Industry</v>
      </c>
      <c r="F545" s="344" t="str">
        <f>'ALL ML SYSTEMS'!F532</f>
        <v>F Rosenblatt</v>
      </c>
      <c r="G545" s="345">
        <f>'ALL ML SYSTEMS'!G532</f>
        <v>20821</v>
      </c>
      <c r="H545" s="346">
        <f>'ALL ML SYSTEMS'!H532</f>
        <v>821</v>
      </c>
      <c r="I545" s="344" t="str">
        <f>'ALL ML SYSTEMS'!I532</f>
        <v>The Perceptron—a perceiving and recognizing automaton</v>
      </c>
      <c r="J545" s="347" t="str">
        <f>'ALL ML SYSTEMS'!J532</f>
        <v>https://blogs.umass.edu/brain-wars/files/2016/03/rosenblatt-1957.pdf</v>
      </c>
      <c r="K545" s="348">
        <f>'ALL ML SYSTEMS'!K532</f>
        <v>1610</v>
      </c>
      <c r="L545" s="344" t="str">
        <f>'ALL ML SYSTEMS'!L532</f>
        <v>Historical relevance</v>
      </c>
      <c r="M545" s="348" t="str">
        <f>'ALL ML SYSTEMS'!M532</f>
        <v>Yes</v>
      </c>
      <c r="N545" s="348">
        <f>'ALL ML SYSTEMS'!N532</f>
        <v>400</v>
      </c>
      <c r="O545" s="348">
        <f>'ALL ML SYSTEMS'!O532</f>
        <v>694894.937736182</v>
      </c>
      <c r="P545" s="349">
        <f>'ALL ML SYSTEMS'!P532</f>
        <v>0</v>
      </c>
      <c r="Q545" s="348">
        <f>'ALL ML SYSTEMS'!Q532</f>
        <v>6</v>
      </c>
      <c r="R545" s="344" t="str">
        <f>'ALL ML SYSTEMS'!R532</f>
        <v>N/A</v>
      </c>
      <c r="S545" s="348">
        <f>'ALL ML SYSTEMS'!S532</f>
        <v>0</v>
      </c>
      <c r="T545" s="344">
        <f>'ALL ML SYSTEMS'!T532</f>
        <v>0</v>
      </c>
      <c r="U545" s="344">
        <f>'ALL ML SYSTEMS'!U532</f>
        <v>0</v>
      </c>
      <c r="V545" s="344">
        <f>'ALL ML SYSTEMS'!V532</f>
        <v>0</v>
      </c>
      <c r="W545" s="344">
        <f>'ALL ML SYSTEMS'!W532</f>
        <v>0</v>
      </c>
      <c r="X545" s="344">
        <f>'ALL ML SYSTEMS'!X532</f>
        <v>0</v>
      </c>
      <c r="Y545" s="344">
        <f>'ALL ML SYSTEMS'!Y532</f>
        <v>0</v>
      </c>
      <c r="Z545" s="344" t="str">
        <f>'ALL ML SYSTEMS'!Z532</f>
        <v>N/A</v>
      </c>
      <c r="AA545" s="350" t="str">
        <f>'ALL ML SYSTEMS'!AA532</f>
        <v/>
      </c>
      <c r="AB545" s="344">
        <f>'ALL ML SYSTEMS'!AB530</f>
        <v>0</v>
      </c>
      <c r="AC545" s="344">
        <f>'ALL ML SYSTEMS'!AC530</f>
        <v>0</v>
      </c>
      <c r="AD545" s="344" t="str">
        <f>'ALL ML SYSTEMS'!AD530</f>
        <v>Industry</v>
      </c>
    </row>
    <row r="546" customHeight="1" spans="1:30">
      <c r="A546" s="344">
        <f>'ALL ML SYSTEMS'!A533</f>
        <v>0</v>
      </c>
      <c r="B546" s="344" t="str">
        <f>'ALL ML SYSTEMS'!B533</f>
        <v>Vision</v>
      </c>
      <c r="C546" s="344">
        <f>'ALL ML SYSTEMS'!C533</f>
        <v>0</v>
      </c>
      <c r="D546" s="344" t="str">
        <f>'ALL ML SYSTEMS'!D533</f>
        <v>Princeton University</v>
      </c>
      <c r="E546" s="344" t="str">
        <f>'ALL ML SYSTEMS'!E533</f>
        <v>Academia</v>
      </c>
      <c r="F546" s="344" t="str">
        <f>'ALL ML SYSTEMS'!F533</f>
        <v>AM Uttley</v>
      </c>
      <c r="G546" s="345">
        <f>'ALL ML SYSTEMS'!G533</f>
        <v>20637</v>
      </c>
      <c r="H546" s="346">
        <f>'ALL ML SYSTEMS'!H533</f>
        <v>637</v>
      </c>
      <c r="I546" s="344" t="str">
        <f>'ALL ML SYSTEMS'!I533</f>
        <v>Conditional probability machines</v>
      </c>
      <c r="J546" s="347" t="str">
        <f>'ALL ML SYSTEMS'!J533</f>
        <v>https://www.moma.org/collection/works/illustratedbooks/16252?locale=es</v>
      </c>
      <c r="K546" s="348">
        <f>'ALL ML SYSTEMS'!K533</f>
        <v>84</v>
      </c>
      <c r="L546" s="344" t="str">
        <f>'ALL ML SYSTEMS'!L533</f>
        <v>Historical relevance</v>
      </c>
      <c r="M546" s="348" t="str">
        <f>'ALL ML SYSTEMS'!M533</f>
        <v>Yes</v>
      </c>
      <c r="N546" s="348">
        <f>'ALL ML SYSTEMS'!N533</f>
        <v>0</v>
      </c>
      <c r="O546" s="348">
        <f>'ALL ML SYSTEMS'!O533</f>
        <v>0</v>
      </c>
      <c r="P546" s="349">
        <f>'ALL ML SYSTEMS'!P533</f>
        <v>0</v>
      </c>
      <c r="Q546" s="348">
        <f>'ALL ML SYSTEMS'!Q533</f>
        <v>0</v>
      </c>
      <c r="R546" s="344">
        <f>'ALL ML SYSTEMS'!R533</f>
        <v>0</v>
      </c>
      <c r="S546" s="348">
        <f>'ALL ML SYSTEMS'!S533</f>
        <v>0</v>
      </c>
      <c r="T546" s="344">
        <f>'ALL ML SYSTEMS'!T533</f>
        <v>0</v>
      </c>
      <c r="U546" s="344">
        <f>'ALL ML SYSTEMS'!U533</f>
        <v>0</v>
      </c>
      <c r="V546" s="344">
        <f>'ALL ML SYSTEMS'!V533</f>
        <v>0</v>
      </c>
      <c r="W546" s="344">
        <f>'ALL ML SYSTEMS'!W533</f>
        <v>0</v>
      </c>
      <c r="X546" s="344">
        <f>'ALL ML SYSTEMS'!X533</f>
        <v>0</v>
      </c>
      <c r="Y546" s="344">
        <f>'ALL ML SYSTEMS'!Y533</f>
        <v>0</v>
      </c>
      <c r="Z546" s="344">
        <f>'ALL ML SYSTEMS'!Z533</f>
        <v>0</v>
      </c>
      <c r="AA546" s="350" t="str">
        <f>'ALL ML SYSTEMS'!AA533</f>
        <v/>
      </c>
      <c r="AB546" s="344">
        <f>'ALL ML SYSTEMS'!AB531</f>
        <v>0</v>
      </c>
      <c r="AC546" s="344">
        <f>'ALL ML SYSTEMS'!AC531</f>
        <v>0</v>
      </c>
      <c r="AD546" s="344" t="str">
        <f>'ALL ML SYSTEMS'!AD531</f>
        <v>Industry</v>
      </c>
    </row>
    <row r="547" customHeight="1" spans="1:30">
      <c r="A547" s="344" t="str">
        <f>'ALL ML SYSTEMS'!A534</f>
        <v>Self Organizing System</v>
      </c>
      <c r="B547" s="344" t="str">
        <f>'ALL ML SYSTEMS'!B534</f>
        <v>Vision</v>
      </c>
      <c r="C547" s="344" t="str">
        <f>'ALL ML SYSTEMS'!C534</f>
        <v>Pattern recognition</v>
      </c>
      <c r="D547" s="344" t="str">
        <f>'ALL ML SYSTEMS'!D534</f>
        <v>Massachusetts Institute of Technology</v>
      </c>
      <c r="E547" s="344" t="str">
        <f>'ALL ML SYSTEMS'!E534</f>
        <v>Academia</v>
      </c>
      <c r="F547" s="344" t="str">
        <f>'ALL ML SYSTEMS'!F534</f>
        <v>W. A. Clark and B. G. Farley</v>
      </c>
      <c r="G547" s="345">
        <f>'ALL ML SYSTEMS'!G534</f>
        <v>20149</v>
      </c>
      <c r="H547" s="346">
        <f>'ALL ML SYSTEMS'!H534</f>
        <v>149</v>
      </c>
      <c r="I547" s="344" t="str">
        <f>'ALL ML SYSTEMS'!I534</f>
        <v>Generalization of pattern recognition in a self-organizing system</v>
      </c>
      <c r="J547" s="347" t="str">
        <f>'ALL ML SYSTEMS'!J534</f>
        <v>https://dl.acm.org/doi/10.1145/1455292.1455309</v>
      </c>
      <c r="K547" s="348">
        <f>'ALL ML SYSTEMS'!K534</f>
        <v>93</v>
      </c>
      <c r="L547" s="344" t="str">
        <f>'ALL ML SYSTEMS'!L534</f>
        <v>Historical relevance</v>
      </c>
      <c r="M547" s="348" t="str">
        <f>'ALL ML SYSTEMS'!M534</f>
        <v>Yes</v>
      </c>
      <c r="N547" s="348">
        <f>'ALL ML SYSTEMS'!N534</f>
        <v>225</v>
      </c>
      <c r="O547" s="348">
        <f>'ALL ML SYSTEMS'!O534</f>
        <v>0</v>
      </c>
      <c r="P547" s="349">
        <f>'ALL ML SYSTEMS'!P534</f>
        <v>0</v>
      </c>
      <c r="Q547" s="348">
        <f>'ALL ML SYSTEMS'!Q534</f>
        <v>256</v>
      </c>
      <c r="R547" s="344">
        <f>'ALL ML SYSTEMS'!R534</f>
        <v>0</v>
      </c>
      <c r="S547" s="348">
        <f>'ALL ML SYSTEMS'!S534</f>
        <v>0</v>
      </c>
      <c r="T547" s="344">
        <f>'ALL ML SYSTEMS'!T534</f>
        <v>0</v>
      </c>
      <c r="U547" s="344">
        <f>'ALL ML SYSTEMS'!U534</f>
        <v>0</v>
      </c>
      <c r="V547" s="344">
        <f>'ALL ML SYSTEMS'!V534</f>
        <v>0</v>
      </c>
      <c r="W547" s="344">
        <f>'ALL ML SYSTEMS'!W534</f>
        <v>0</v>
      </c>
      <c r="X547" s="344">
        <f>'ALL ML SYSTEMS'!X534</f>
        <v>0</v>
      </c>
      <c r="Y547" s="344">
        <f>'ALL ML SYSTEMS'!Y534</f>
        <v>0</v>
      </c>
      <c r="Z547" s="344">
        <f>'ALL ML SYSTEMS'!Z534</f>
        <v>0</v>
      </c>
      <c r="AA547" s="350" t="str">
        <f>'ALL ML SYSTEMS'!AA534</f>
        <v/>
      </c>
      <c r="AB547" s="344">
        <f>'ALL ML SYSTEMS'!AB532</f>
        <v>0</v>
      </c>
      <c r="AC547" s="344">
        <f>'ALL ML SYSTEMS'!AC532</f>
        <v>0</v>
      </c>
      <c r="AD547" s="344" t="str">
        <f>'ALL ML SYSTEMS'!AD532</f>
        <v>Industry</v>
      </c>
    </row>
    <row r="548" customHeight="1" spans="1:30">
      <c r="A548" s="344">
        <f>'ALL ML SYSTEMS'!A535</f>
        <v>0</v>
      </c>
      <c r="B548" s="344" t="str">
        <f>'ALL ML SYSTEMS'!B535</f>
        <v>Vision</v>
      </c>
      <c r="C548" s="344" t="str">
        <f>'ALL ML SYSTEMS'!C535</f>
        <v>Character recognition</v>
      </c>
      <c r="D548" s="344" t="str">
        <f>'ALL ML SYSTEMS'!D535</f>
        <v>Massachusetts Institute of Technology</v>
      </c>
      <c r="E548" s="344" t="str">
        <f>'ALL ML SYSTEMS'!E535</f>
        <v>Academia</v>
      </c>
      <c r="F548" s="344" t="str">
        <f>'ALL ML SYSTEMS'!F535</f>
        <v>O. G. Selfridge</v>
      </c>
      <c r="G548" s="345">
        <f>'ALL ML SYSTEMS'!G535</f>
        <v>20149</v>
      </c>
      <c r="H548" s="346">
        <f>'ALL ML SYSTEMS'!H535</f>
        <v>149</v>
      </c>
      <c r="I548" s="344" t="str">
        <f>'ALL ML SYSTEMS'!I535</f>
        <v>Pattern recognition and learning</v>
      </c>
      <c r="J548" s="347" t="str">
        <f>'ALL ML SYSTEMS'!J535</f>
        <v>https://dl.acm.org/doi/10.1145/1455292.1455310</v>
      </c>
      <c r="K548" s="348">
        <f>'ALL ML SYSTEMS'!K535</f>
        <v>290</v>
      </c>
      <c r="L548" s="344" t="str">
        <f>'ALL ML SYSTEMS'!L535</f>
        <v>Historical relevance</v>
      </c>
      <c r="M548" s="348" t="str">
        <f>'ALL ML SYSTEMS'!M535</f>
        <v>Yes</v>
      </c>
      <c r="N548" s="348">
        <f>'ALL ML SYSTEMS'!N535</f>
        <v>0</v>
      </c>
      <c r="O548" s="348">
        <f>'ALL ML SYSTEMS'!O535</f>
        <v>0</v>
      </c>
      <c r="P548" s="349">
        <f>'ALL ML SYSTEMS'!P535</f>
        <v>0</v>
      </c>
      <c r="Q548" s="348">
        <f>'ALL ML SYSTEMS'!Q535</f>
        <v>0</v>
      </c>
      <c r="R548" s="344">
        <f>'ALL ML SYSTEMS'!R535</f>
        <v>0</v>
      </c>
      <c r="S548" s="348">
        <f>'ALL ML SYSTEMS'!S535</f>
        <v>0</v>
      </c>
      <c r="T548" s="344">
        <f>'ALL ML SYSTEMS'!T535</f>
        <v>0</v>
      </c>
      <c r="U548" s="344">
        <f>'ALL ML SYSTEMS'!U535</f>
        <v>0</v>
      </c>
      <c r="V548" s="344">
        <f>'ALL ML SYSTEMS'!V535</f>
        <v>0</v>
      </c>
      <c r="W548" s="344">
        <f>'ALL ML SYSTEMS'!W535</f>
        <v>0</v>
      </c>
      <c r="X548" s="344">
        <f>'ALL ML SYSTEMS'!X535</f>
        <v>0</v>
      </c>
      <c r="Y548" s="344">
        <f>'ALL ML SYSTEMS'!Y535</f>
        <v>0</v>
      </c>
      <c r="Z548" s="344">
        <f>'ALL ML SYSTEMS'!Z535</f>
        <v>0</v>
      </c>
      <c r="AA548" s="350" t="str">
        <f>'ALL ML SYSTEMS'!AA535</f>
        <v/>
      </c>
      <c r="AB548" s="344">
        <f>'ALL ML SYSTEMS'!AB533</f>
        <v>0</v>
      </c>
      <c r="AC548" s="344">
        <f>'ALL ML SYSTEMS'!AC533</f>
        <v>0</v>
      </c>
      <c r="AD548" s="344" t="str">
        <f>'ALL ML SYSTEMS'!AD533</f>
        <v>Academia</v>
      </c>
    </row>
    <row r="549" customHeight="1" spans="1:30">
      <c r="A549" s="344">
        <f>'ALL ML SYSTEMS'!A536</f>
        <v>0</v>
      </c>
      <c r="B549" s="344">
        <f>'ALL ML SYSTEMS'!B536</f>
        <v>0</v>
      </c>
      <c r="C549" s="344">
        <f>'ALL ML SYSTEMS'!C536</f>
        <v>0</v>
      </c>
      <c r="D549" s="344" t="str">
        <f>'ALL ML SYSTEMS'!D536</f>
        <v>Institute for Advanced Study</v>
      </c>
      <c r="E549" s="344" t="str">
        <f>'ALL ML SYSTEMS'!E536</f>
        <v>Academia</v>
      </c>
      <c r="F549" s="344" t="str">
        <f>'ALL ML SYSTEMS'!F536</f>
        <v>NA Barricelli</v>
      </c>
      <c r="G549" s="345">
        <f>'ALL ML SYSTEMS'!G536</f>
        <v>19907</v>
      </c>
      <c r="H549" s="346">
        <f>'ALL ML SYSTEMS'!H536</f>
        <v>9907</v>
      </c>
      <c r="I549" s="344" t="str">
        <f>'ALL ML SYSTEMS'!I536</f>
        <v>Esempi numerici di processi di evoluzione</v>
      </c>
      <c r="J549" s="347" t="str">
        <f>'ALL ML SYSTEMS'!J536</f>
        <v>https://link.springer.com/article/10.1007/BF01556771</v>
      </c>
      <c r="K549" s="348">
        <f>'ALL ML SYSTEMS'!K536</f>
        <v>266</v>
      </c>
      <c r="L549" s="344" t="str">
        <f>'ALL ML SYSTEMS'!L536</f>
        <v>Historical relevance</v>
      </c>
      <c r="M549" s="348" t="str">
        <f>'ALL ML SYSTEMS'!M536</f>
        <v>Yes</v>
      </c>
      <c r="N549" s="348">
        <f>'ALL ML SYSTEMS'!N536</f>
        <v>0</v>
      </c>
      <c r="O549" s="348">
        <f>'ALL ML SYSTEMS'!O536</f>
        <v>0</v>
      </c>
      <c r="P549" s="349">
        <f>'ALL ML SYSTEMS'!P536</f>
        <v>0</v>
      </c>
      <c r="Q549" s="348">
        <f>'ALL ML SYSTEMS'!Q536</f>
        <v>0</v>
      </c>
      <c r="R549" s="344">
        <f>'ALL ML SYSTEMS'!R536</f>
        <v>0</v>
      </c>
      <c r="S549" s="348">
        <f>'ALL ML SYSTEMS'!S536</f>
        <v>0</v>
      </c>
      <c r="T549" s="344">
        <f>'ALL ML SYSTEMS'!T536</f>
        <v>0</v>
      </c>
      <c r="U549" s="344">
        <f>'ALL ML SYSTEMS'!U536</f>
        <v>0</v>
      </c>
      <c r="V549" s="344">
        <f>'ALL ML SYSTEMS'!V536</f>
        <v>0</v>
      </c>
      <c r="W549" s="344">
        <f>'ALL ML SYSTEMS'!W536</f>
        <v>0</v>
      </c>
      <c r="X549" s="344">
        <f>'ALL ML SYSTEMS'!X536</f>
        <v>0</v>
      </c>
      <c r="Y549" s="344">
        <f>'ALL ML SYSTEMS'!Y536</f>
        <v>0</v>
      </c>
      <c r="Z549" s="344">
        <f>'ALL ML SYSTEMS'!Z536</f>
        <v>0</v>
      </c>
      <c r="AA549" s="350" t="str">
        <f>'ALL ML SYSTEMS'!AA536</f>
        <v/>
      </c>
      <c r="AB549" s="344">
        <f>'ALL ML SYSTEMS'!AB534</f>
        <v>0</v>
      </c>
      <c r="AC549" s="344">
        <f>'ALL ML SYSTEMS'!AC534</f>
        <v>0</v>
      </c>
      <c r="AD549" s="344" t="str">
        <f>'ALL ML SYSTEMS'!AD534</f>
        <v>Academia</v>
      </c>
    </row>
    <row r="550" customHeight="1" spans="1:30">
      <c r="A550" s="344" t="e">
        <f>#REF!</f>
        <v>#REF!</v>
      </c>
      <c r="B550" s="344" t="e">
        <f>#REF!</f>
        <v>#REF!</v>
      </c>
      <c r="C550" s="344" t="e">
        <f>#REF!</f>
        <v>#REF!</v>
      </c>
      <c r="D550" s="344" t="e">
        <f>#REF!</f>
        <v>#REF!</v>
      </c>
      <c r="E550" s="344" t="e">
        <f>#REF!</f>
        <v>#REF!</v>
      </c>
      <c r="F550" s="344" t="e">
        <f>#REF!</f>
        <v>#REF!</v>
      </c>
      <c r="G550" s="344" t="e">
        <f>#REF!</f>
        <v>#REF!</v>
      </c>
      <c r="H550" s="344" t="e">
        <f>#REF!</f>
        <v>#REF!</v>
      </c>
      <c r="I550" s="344" t="e">
        <f>#REF!</f>
        <v>#REF!</v>
      </c>
      <c r="J550" s="344" t="e">
        <f>#REF!</f>
        <v>#REF!</v>
      </c>
      <c r="K550" s="344" t="e">
        <f>#REF!</f>
        <v>#REF!</v>
      </c>
      <c r="L550" s="344" t="e">
        <f>#REF!</f>
        <v>#REF!</v>
      </c>
      <c r="M550" s="344" t="e">
        <f>#REF!</f>
        <v>#REF!</v>
      </c>
      <c r="N550" s="344" t="e">
        <f>#REF!</f>
        <v>#REF!</v>
      </c>
      <c r="O550" s="344" t="e">
        <f>#REF!</f>
        <v>#REF!</v>
      </c>
      <c r="P550" s="344" t="e">
        <f>#REF!</f>
        <v>#REF!</v>
      </c>
      <c r="Q550" s="344" t="e">
        <f>#REF!</f>
        <v>#REF!</v>
      </c>
      <c r="R550" s="344" t="e">
        <f>#REF!</f>
        <v>#REF!</v>
      </c>
      <c r="S550" s="344" t="e">
        <f>#REF!</f>
        <v>#REF!</v>
      </c>
      <c r="T550" s="344" t="e">
        <f>#REF!</f>
        <v>#REF!</v>
      </c>
      <c r="U550" s="344" t="e">
        <f>#REF!</f>
        <v>#REF!</v>
      </c>
      <c r="V550" s="344" t="e">
        <f>#REF!</f>
        <v>#REF!</v>
      </c>
      <c r="W550" s="344" t="e">
        <f>#REF!</f>
        <v>#REF!</v>
      </c>
      <c r="X550" s="344" t="e">
        <f>#REF!</f>
        <v>#REF!</v>
      </c>
      <c r="Y550" s="344" t="e">
        <f>#REF!</f>
        <v>#REF!</v>
      </c>
      <c r="Z550" s="344" t="e">
        <f>#REF!</f>
        <v>#REF!</v>
      </c>
      <c r="AA550" s="344" t="e">
        <f>#REF!</f>
        <v>#REF!</v>
      </c>
      <c r="AB550" s="344">
        <f>'ALL ML SYSTEMS'!AB535</f>
        <v>0</v>
      </c>
      <c r="AC550" s="344">
        <f>'ALL ML SYSTEMS'!AC535</f>
        <v>0</v>
      </c>
      <c r="AD550" s="344" t="str">
        <f>'ALL ML SYSTEMS'!AD535</f>
        <v>Academia</v>
      </c>
    </row>
    <row r="551" customHeight="1" spans="1:30">
      <c r="A551" s="344" t="str">
        <f>'ALL ML SYSTEMS'!A537</f>
        <v>SNARC</v>
      </c>
      <c r="B551" s="344" t="str">
        <f>'ALL ML SYSTEMS'!B537</f>
        <v>Other</v>
      </c>
      <c r="C551" s="344" t="str">
        <f>'ALL ML SYSTEMS'!C537</f>
        <v>Maze solving</v>
      </c>
      <c r="D551" s="344" t="str">
        <f>'ALL ML SYSTEMS'!D537</f>
        <v>Harvard University Psychological Laboratories</v>
      </c>
      <c r="E551" s="344" t="str">
        <f>'ALL ML SYSTEMS'!E537</f>
        <v>Academia</v>
      </c>
      <c r="F551" s="344" t="str">
        <f>'ALL ML SYSTEMS'!F537</f>
        <v>Marvin Minsky</v>
      </c>
      <c r="G551" s="345">
        <f>'ALL ML SYSTEMS'!G537</f>
        <v>19001</v>
      </c>
      <c r="H551" s="346">
        <f>'ALL ML SYSTEMS'!H537</f>
        <v>9001</v>
      </c>
      <c r="I551" s="344" t="str">
        <f>'ALL ML SYSTEMS'!I537</f>
        <v>A Neural-Analogue Calculator Based upon a Probability Model of Reinforcement</v>
      </c>
      <c r="J551" s="347" t="str">
        <f>'ALL ML SYSTEMS'!J537</f>
        <v>https://en.wikipedia.org/wiki/Stochastic_neural_analog_reinforcement_calculator</v>
      </c>
      <c r="K551" s="348">
        <f>'ALL ML SYSTEMS'!K537</f>
        <v>33</v>
      </c>
      <c r="L551" s="344" t="str">
        <f>'ALL ML SYSTEMS'!L537</f>
        <v>Historical relevance</v>
      </c>
      <c r="M551" s="348" t="str">
        <f>'ALL ML SYSTEMS'!M537</f>
        <v>Yes</v>
      </c>
      <c r="N551" s="348">
        <f>'ALL ML SYSTEMS'!N537</f>
        <v>40</v>
      </c>
      <c r="O551" s="348">
        <f>'ALL ML SYSTEMS'!O537</f>
        <v>0</v>
      </c>
      <c r="P551" s="349">
        <f>'ALL ML SYSTEMS'!P537</f>
        <v>0</v>
      </c>
      <c r="Q551" s="348">
        <f>'ALL ML SYSTEMS'!Q537</f>
        <v>0</v>
      </c>
      <c r="R551" s="344">
        <f>'ALL ML SYSTEMS'!R537</f>
        <v>0</v>
      </c>
      <c r="S551" s="348">
        <f>'ALL ML SYSTEMS'!S537</f>
        <v>0</v>
      </c>
      <c r="T551" s="344">
        <f>'ALL ML SYSTEMS'!T537</f>
        <v>0</v>
      </c>
      <c r="U551" s="344">
        <f>'ALL ML SYSTEMS'!U537</f>
        <v>0</v>
      </c>
      <c r="V551" s="344">
        <f>'ALL ML SYSTEMS'!V537</f>
        <v>0</v>
      </c>
      <c r="W551" s="344">
        <f>'ALL ML SYSTEMS'!W537</f>
        <v>0</v>
      </c>
      <c r="X551" s="344">
        <f>'ALL ML SYSTEMS'!X537</f>
        <v>0</v>
      </c>
      <c r="Y551" s="344">
        <f>'ALL ML SYSTEMS'!Y537</f>
        <v>0</v>
      </c>
      <c r="Z551" s="344">
        <f>'ALL ML SYSTEMS'!Z537</f>
        <v>0</v>
      </c>
      <c r="AA551" s="350" t="str">
        <f>'ALL ML SYSTEMS'!AA537</f>
        <v/>
      </c>
      <c r="AB551" s="344">
        <f>'ALL ML SYSTEMS'!AB536</f>
        <v>0</v>
      </c>
      <c r="AC551" s="344">
        <f>'ALL ML SYSTEMS'!AC536</f>
        <v>0</v>
      </c>
      <c r="AD551" s="344" t="str">
        <f>'ALL ML SYSTEMS'!AD536</f>
        <v>Academia</v>
      </c>
    </row>
    <row r="552" customHeight="1" spans="1:30">
      <c r="A552" s="344" t="str">
        <f>'ALL ML SYSTEMS'!A538</f>
        <v>Theseus</v>
      </c>
      <c r="B552" s="344" t="str">
        <f>'ALL ML SYSTEMS'!B538</f>
        <v>Other</v>
      </c>
      <c r="C552" s="344" t="str">
        <f>'ALL ML SYSTEMS'!C538</f>
        <v>Maze solving</v>
      </c>
      <c r="D552" s="344" t="str">
        <f>'ALL ML SYSTEMS'!D538</f>
        <v>Bell Laboratories</v>
      </c>
      <c r="E552" s="344" t="str">
        <f>'ALL ML SYSTEMS'!E538</f>
        <v>Industry</v>
      </c>
      <c r="F552" s="344" t="str">
        <f>'ALL ML SYSTEMS'!F538</f>
        <v>Claude Shannon</v>
      </c>
      <c r="G552" s="345">
        <f>'ALL ML SYSTEMS'!G538</f>
        <v>18446</v>
      </c>
      <c r="H552" s="346">
        <f>'ALL ML SYSTEMS'!H538</f>
        <v>8446</v>
      </c>
      <c r="I552" s="344" t="str">
        <f>'ALL ML SYSTEMS'!I538</f>
        <v>Mighty Mouse</v>
      </c>
      <c r="J552" s="347" t="str">
        <f>'ALL ML SYSTEMS'!J538</f>
        <v>https://www.technologyreview.com/2018/12/19/138508/mighty-mouse/</v>
      </c>
      <c r="K552" s="348" t="str">
        <f>'ALL ML SYSTEMS'!K538</f>
        <v>N/A</v>
      </c>
      <c r="L552" s="344" t="str">
        <f>'ALL ML SYSTEMS'!L538</f>
        <v>Historical relevance</v>
      </c>
      <c r="M552" s="348" t="str">
        <f>'ALL ML SYSTEMS'!M538</f>
        <v>Yes</v>
      </c>
      <c r="N552" s="348">
        <f>'ALL ML SYSTEMS'!N538</f>
        <v>40</v>
      </c>
      <c r="O552" s="348">
        <f>'ALL ML SYSTEMS'!O538</f>
        <v>40</v>
      </c>
      <c r="P552" s="349">
        <f>'ALL ML SYSTEMS'!P538</f>
        <v>0</v>
      </c>
      <c r="Q552" s="348">
        <f>'ALL ML SYSTEMS'!Q538</f>
        <v>40</v>
      </c>
      <c r="R552" s="344">
        <f>'ALL ML SYSTEMS'!R538</f>
        <v>0</v>
      </c>
      <c r="S552" s="348">
        <f>'ALL ML SYSTEMS'!S538</f>
        <v>0</v>
      </c>
      <c r="T552" s="344">
        <f>'ALL ML SYSTEMS'!T538</f>
        <v>0</v>
      </c>
      <c r="U552" s="344">
        <f>'ALL ML SYSTEMS'!U538</f>
        <v>0</v>
      </c>
      <c r="V552" s="344">
        <f>'ALL ML SYSTEMS'!V538</f>
        <v>0</v>
      </c>
      <c r="W552" s="344">
        <f>'ALL ML SYSTEMS'!W538</f>
        <v>0</v>
      </c>
      <c r="X552" s="344">
        <f>'ALL ML SYSTEMS'!X538</f>
        <v>0</v>
      </c>
      <c r="Y552" s="344">
        <f>'ALL ML SYSTEMS'!Y538</f>
        <v>0</v>
      </c>
      <c r="Z552" s="344">
        <f>'ALL ML SYSTEMS'!Z538</f>
        <v>0</v>
      </c>
      <c r="AA552" s="350" t="str">
        <f>'ALL ML SYSTEMS'!AA538</f>
        <v/>
      </c>
      <c r="AB552" s="344" t="e">
        <f>#REF!</f>
        <v>#REF!</v>
      </c>
      <c r="AC552" s="344" t="e">
        <f>#REF!</f>
        <v>#REF!</v>
      </c>
      <c r="AD552" s="344" t="e">
        <f>#REF!</f>
        <v>#REF!</v>
      </c>
    </row>
    <row r="553" hidden="1" customHeight="1" spans="1:30">
      <c r="A553" s="344">
        <f>'ALL ML SYSTEMS'!A539</f>
        <v>0</v>
      </c>
      <c r="B553" s="344">
        <f>'ALL ML SYSTEMS'!B539</f>
        <v>0</v>
      </c>
      <c r="C553" s="344">
        <f>'ALL ML SYSTEMS'!C539</f>
        <v>0</v>
      </c>
      <c r="D553" s="344">
        <f>'ALL ML SYSTEMS'!D539</f>
        <v>0</v>
      </c>
      <c r="E553" s="344">
        <f>'ALL ML SYSTEMS'!E539</f>
        <v>0</v>
      </c>
      <c r="F553" s="344">
        <f>'ALL ML SYSTEMS'!F539</f>
        <v>0</v>
      </c>
      <c r="G553" s="345">
        <f>'ALL ML SYSTEMS'!G539</f>
        <v>0</v>
      </c>
      <c r="H553" s="346">
        <f>'ALL ML SYSTEMS'!H539</f>
        <v>0</v>
      </c>
      <c r="I553" s="344">
        <f>'ALL ML SYSTEMS'!I539</f>
        <v>0</v>
      </c>
      <c r="J553" s="344">
        <f>'ALL ML SYSTEMS'!J539</f>
        <v>0</v>
      </c>
      <c r="K553" s="348">
        <f>'ALL ML SYSTEMS'!K539</f>
        <v>0</v>
      </c>
      <c r="L553" s="344">
        <f>'ALL ML SYSTEMS'!L539</f>
        <v>0</v>
      </c>
      <c r="M553" s="348">
        <f>'ALL ML SYSTEMS'!M539</f>
        <v>0</v>
      </c>
      <c r="N553" s="348">
        <f>'ALL ML SYSTEMS'!N539</f>
        <v>0</v>
      </c>
      <c r="O553" s="348">
        <f>'ALL ML SYSTEMS'!O539</f>
        <v>0</v>
      </c>
      <c r="P553" s="349">
        <f>'ALL ML SYSTEMS'!P539</f>
        <v>0</v>
      </c>
      <c r="Q553" s="348">
        <f>'ALL ML SYSTEMS'!Q539</f>
        <v>0</v>
      </c>
      <c r="R553" s="344">
        <f>'ALL ML SYSTEMS'!R539</f>
        <v>0</v>
      </c>
      <c r="S553" s="348">
        <f>'ALL ML SYSTEMS'!S539</f>
        <v>0</v>
      </c>
      <c r="T553" s="344">
        <f>'ALL ML SYSTEMS'!T539</f>
        <v>0</v>
      </c>
      <c r="U553" s="344">
        <f>'ALL ML SYSTEMS'!U539</f>
        <v>0</v>
      </c>
      <c r="V553" s="344">
        <f>'ALL ML SYSTEMS'!V539</f>
        <v>0</v>
      </c>
      <c r="W553" s="344">
        <f>'ALL ML SYSTEMS'!W539</f>
        <v>0</v>
      </c>
      <c r="X553" s="344">
        <f>'ALL ML SYSTEMS'!X539</f>
        <v>0</v>
      </c>
      <c r="Y553" s="344">
        <f>'ALL ML SYSTEMS'!Y539</f>
        <v>0</v>
      </c>
      <c r="Z553" s="344">
        <f>'ALL ML SYSTEMS'!Z539</f>
        <v>0</v>
      </c>
      <c r="AA553" s="350">
        <f>'ALL ML SYSTEMS'!AA539</f>
        <v>0</v>
      </c>
      <c r="AB553" s="344"/>
      <c r="AC553" s="344">
        <f>'ALL ML SYSTEMS'!AC539</f>
        <v>0</v>
      </c>
      <c r="AD553" s="344">
        <f>'ALL ML SYSTEMS'!AD539</f>
        <v>0</v>
      </c>
    </row>
    <row r="554" hidden="1" customHeight="1" spans="1:30">
      <c r="A554" s="344">
        <f>'ALL ML SYSTEMS'!A540</f>
        <v>0</v>
      </c>
      <c r="B554" s="344">
        <f>'ALL ML SYSTEMS'!B540</f>
        <v>0</v>
      </c>
      <c r="C554" s="344">
        <f>'ALL ML SYSTEMS'!C540</f>
        <v>0</v>
      </c>
      <c r="D554" s="344">
        <f>'ALL ML SYSTEMS'!D540</f>
        <v>0</v>
      </c>
      <c r="E554" s="344">
        <f>'ALL ML SYSTEMS'!E540</f>
        <v>0</v>
      </c>
      <c r="F554" s="344">
        <f>'ALL ML SYSTEMS'!F540</f>
        <v>0</v>
      </c>
      <c r="G554" s="345">
        <f>'ALL ML SYSTEMS'!G540</f>
        <v>0</v>
      </c>
      <c r="H554" s="346">
        <f>'ALL ML SYSTEMS'!H540</f>
        <v>0</v>
      </c>
      <c r="I554" s="344">
        <f>'ALL ML SYSTEMS'!I540</f>
        <v>0</v>
      </c>
      <c r="J554" s="344">
        <f>'ALL ML SYSTEMS'!J540</f>
        <v>0</v>
      </c>
      <c r="K554" s="348">
        <f>'ALL ML SYSTEMS'!K540</f>
        <v>0</v>
      </c>
      <c r="L554" s="344">
        <f>'ALL ML SYSTEMS'!L540</f>
        <v>0</v>
      </c>
      <c r="M554" s="348">
        <f>'ALL ML SYSTEMS'!M540</f>
        <v>0</v>
      </c>
      <c r="N554" s="348">
        <f>'ALL ML SYSTEMS'!N540</f>
        <v>0</v>
      </c>
      <c r="O554" s="348">
        <f>'ALL ML SYSTEMS'!O540</f>
        <v>0</v>
      </c>
      <c r="P554" s="349">
        <f>'ALL ML SYSTEMS'!P540</f>
        <v>0</v>
      </c>
      <c r="Q554" s="348">
        <f>'ALL ML SYSTEMS'!Q540</f>
        <v>0</v>
      </c>
      <c r="R554" s="344">
        <f>'ALL ML SYSTEMS'!R540</f>
        <v>0</v>
      </c>
      <c r="S554" s="348">
        <f>'ALL ML SYSTEMS'!S540</f>
        <v>0</v>
      </c>
      <c r="T554" s="344">
        <f>'ALL ML SYSTEMS'!T540</f>
        <v>0</v>
      </c>
      <c r="U554" s="344">
        <f>'ALL ML SYSTEMS'!U540</f>
        <v>0</v>
      </c>
      <c r="V554" s="344">
        <f>'ALL ML SYSTEMS'!V540</f>
        <v>0</v>
      </c>
      <c r="W554" s="344">
        <f>'ALL ML SYSTEMS'!W540</f>
        <v>0</v>
      </c>
      <c r="X554" s="344">
        <f>'ALL ML SYSTEMS'!X540</f>
        <v>0</v>
      </c>
      <c r="Y554" s="344">
        <f>'ALL ML SYSTEMS'!Y540</f>
        <v>0</v>
      </c>
      <c r="Z554" s="344">
        <f>'ALL ML SYSTEMS'!Z540</f>
        <v>0</v>
      </c>
      <c r="AA554" s="350">
        <f>'ALL ML SYSTEMS'!AA540</f>
        <v>0</v>
      </c>
      <c r="AB554" s="344"/>
      <c r="AC554" s="344">
        <f>'ALL ML SYSTEMS'!AC540</f>
        <v>0</v>
      </c>
      <c r="AD554" s="344">
        <f>'ALL ML SYSTEMS'!AD540</f>
        <v>0</v>
      </c>
    </row>
    <row r="555" hidden="1" customHeight="1" spans="1:30">
      <c r="A555" s="344">
        <f>'ALL ML SYSTEMS'!A541</f>
        <v>0</v>
      </c>
      <c r="B555" s="344">
        <f>'ALL ML SYSTEMS'!B541</f>
        <v>0</v>
      </c>
      <c r="C555" s="344">
        <f>'ALL ML SYSTEMS'!C541</f>
        <v>0</v>
      </c>
      <c r="D555" s="344">
        <f>'ALL ML SYSTEMS'!D541</f>
        <v>0</v>
      </c>
      <c r="E555" s="344">
        <f>'ALL ML SYSTEMS'!E541</f>
        <v>0</v>
      </c>
      <c r="F555" s="344">
        <f>'ALL ML SYSTEMS'!F541</f>
        <v>0</v>
      </c>
      <c r="G555" s="345">
        <f>'ALL ML SYSTEMS'!G541</f>
        <v>0</v>
      </c>
      <c r="H555" s="346">
        <f>'ALL ML SYSTEMS'!H541</f>
        <v>0</v>
      </c>
      <c r="I555" s="344">
        <f>'ALL ML SYSTEMS'!I541</f>
        <v>0</v>
      </c>
      <c r="J555" s="344">
        <f>'ALL ML SYSTEMS'!J541</f>
        <v>0</v>
      </c>
      <c r="K555" s="348">
        <f>'ALL ML SYSTEMS'!K541</f>
        <v>0</v>
      </c>
      <c r="L555" s="344">
        <f>'ALL ML SYSTEMS'!L541</f>
        <v>0</v>
      </c>
      <c r="M555" s="348">
        <f>'ALL ML SYSTEMS'!M541</f>
        <v>0</v>
      </c>
      <c r="N555" s="348">
        <f>'ALL ML SYSTEMS'!N541</f>
        <v>0</v>
      </c>
      <c r="O555" s="348">
        <f>'ALL ML SYSTEMS'!O541</f>
        <v>0</v>
      </c>
      <c r="P555" s="349">
        <f>'ALL ML SYSTEMS'!P541</f>
        <v>0</v>
      </c>
      <c r="Q555" s="348">
        <f>'ALL ML SYSTEMS'!Q541</f>
        <v>0</v>
      </c>
      <c r="R555" s="344">
        <f>'ALL ML SYSTEMS'!R541</f>
        <v>0</v>
      </c>
      <c r="S555" s="348">
        <f>'ALL ML SYSTEMS'!S541</f>
        <v>0</v>
      </c>
      <c r="T555" s="344">
        <f>'ALL ML SYSTEMS'!T541</f>
        <v>0</v>
      </c>
      <c r="U555" s="344">
        <f>'ALL ML SYSTEMS'!U541</f>
        <v>0</v>
      </c>
      <c r="V555" s="344">
        <f>'ALL ML SYSTEMS'!V541</f>
        <v>0</v>
      </c>
      <c r="W555" s="344">
        <f>'ALL ML SYSTEMS'!W541</f>
        <v>0</v>
      </c>
      <c r="X555" s="344">
        <f>'ALL ML SYSTEMS'!X541</f>
        <v>0</v>
      </c>
      <c r="Y555" s="344">
        <f>'ALL ML SYSTEMS'!Y541</f>
        <v>0</v>
      </c>
      <c r="Z555" s="344">
        <f>'ALL ML SYSTEMS'!Z541</f>
        <v>0</v>
      </c>
      <c r="AA555" s="350">
        <f>'ALL ML SYSTEMS'!AA541</f>
        <v>0</v>
      </c>
      <c r="AB555" s="344"/>
      <c r="AC555" s="344">
        <f>'ALL ML SYSTEMS'!AC541</f>
        <v>0</v>
      </c>
      <c r="AD555" s="344">
        <f>'ALL ML SYSTEMS'!AD541</f>
        <v>0</v>
      </c>
    </row>
    <row r="556" hidden="1" customHeight="1" spans="1:30">
      <c r="A556" s="344">
        <f>'ALL ML SYSTEMS'!A542</f>
        <v>0</v>
      </c>
      <c r="B556" s="344">
        <f>'ALL ML SYSTEMS'!B542</f>
        <v>0</v>
      </c>
      <c r="C556" s="344">
        <f>'ALL ML SYSTEMS'!C542</f>
        <v>0</v>
      </c>
      <c r="D556" s="344">
        <f>'ALL ML SYSTEMS'!D542</f>
        <v>0</v>
      </c>
      <c r="E556" s="344">
        <f>'ALL ML SYSTEMS'!E542</f>
        <v>0</v>
      </c>
      <c r="F556" s="344">
        <f>'ALL ML SYSTEMS'!F542</f>
        <v>0</v>
      </c>
      <c r="G556" s="345">
        <f>'ALL ML SYSTEMS'!G542</f>
        <v>0</v>
      </c>
      <c r="H556" s="346">
        <f>'ALL ML SYSTEMS'!H542</f>
        <v>0</v>
      </c>
      <c r="I556" s="344">
        <f>'ALL ML SYSTEMS'!I542</f>
        <v>0</v>
      </c>
      <c r="J556" s="344">
        <f>'ALL ML SYSTEMS'!J542</f>
        <v>0</v>
      </c>
      <c r="K556" s="348">
        <f>'ALL ML SYSTEMS'!K542</f>
        <v>0</v>
      </c>
      <c r="L556" s="344">
        <f>'ALL ML SYSTEMS'!L542</f>
        <v>0</v>
      </c>
      <c r="M556" s="348">
        <f>'ALL ML SYSTEMS'!M542</f>
        <v>0</v>
      </c>
      <c r="N556" s="348">
        <f>'ALL ML SYSTEMS'!N542</f>
        <v>0</v>
      </c>
      <c r="O556" s="348">
        <f>'ALL ML SYSTEMS'!O542</f>
        <v>0</v>
      </c>
      <c r="P556" s="349">
        <f>'ALL ML SYSTEMS'!P542</f>
        <v>0</v>
      </c>
      <c r="Q556" s="348">
        <f>'ALL ML SYSTEMS'!Q542</f>
        <v>0</v>
      </c>
      <c r="R556" s="344">
        <f>'ALL ML SYSTEMS'!R542</f>
        <v>0</v>
      </c>
      <c r="S556" s="348">
        <f>'ALL ML SYSTEMS'!S542</f>
        <v>0</v>
      </c>
      <c r="T556" s="344">
        <f>'ALL ML SYSTEMS'!T542</f>
        <v>0</v>
      </c>
      <c r="U556" s="344">
        <f>'ALL ML SYSTEMS'!U542</f>
        <v>0</v>
      </c>
      <c r="V556" s="344">
        <f>'ALL ML SYSTEMS'!V542</f>
        <v>0</v>
      </c>
      <c r="W556" s="344">
        <f>'ALL ML SYSTEMS'!W542</f>
        <v>0</v>
      </c>
      <c r="X556" s="344">
        <f>'ALL ML SYSTEMS'!X542</f>
        <v>0</v>
      </c>
      <c r="Y556" s="344">
        <f>'ALL ML SYSTEMS'!Y542</f>
        <v>0</v>
      </c>
      <c r="Z556" s="344">
        <f>'ALL ML SYSTEMS'!Z542</f>
        <v>0</v>
      </c>
      <c r="AA556" s="350">
        <f>'ALL ML SYSTEMS'!AA542</f>
        <v>0</v>
      </c>
      <c r="AB556" s="344"/>
      <c r="AC556" s="344">
        <f>'ALL ML SYSTEMS'!AC542</f>
        <v>0</v>
      </c>
      <c r="AD556" s="344">
        <f>'ALL ML SYSTEMS'!AD542</f>
        <v>0</v>
      </c>
    </row>
    <row r="557" hidden="1" customHeight="1" spans="1:30">
      <c r="A557" s="344">
        <f>'ALL ML SYSTEMS'!A543</f>
        <v>0</v>
      </c>
      <c r="B557" s="344">
        <f>'ALL ML SYSTEMS'!B543</f>
        <v>0</v>
      </c>
      <c r="C557" s="344">
        <f>'ALL ML SYSTEMS'!C543</f>
        <v>0</v>
      </c>
      <c r="D557" s="344">
        <f>'ALL ML SYSTEMS'!D543</f>
        <v>0</v>
      </c>
      <c r="E557" s="344">
        <f>'ALL ML SYSTEMS'!E543</f>
        <v>0</v>
      </c>
      <c r="F557" s="344">
        <f>'ALL ML SYSTEMS'!F543</f>
        <v>0</v>
      </c>
      <c r="G557" s="344">
        <f>'ALL ML SYSTEMS'!G543</f>
        <v>0</v>
      </c>
      <c r="H557" s="344">
        <f>'ALL ML SYSTEMS'!H543</f>
        <v>0</v>
      </c>
      <c r="I557" s="344">
        <f>'ALL ML SYSTEMS'!I543</f>
        <v>0</v>
      </c>
      <c r="J557" s="344">
        <f>'ALL ML SYSTEMS'!J543</f>
        <v>0</v>
      </c>
      <c r="K557" s="344">
        <f>'ALL ML SYSTEMS'!K543</f>
        <v>0</v>
      </c>
      <c r="L557" s="344">
        <f>'ALL ML SYSTEMS'!L543</f>
        <v>0</v>
      </c>
      <c r="M557" s="344">
        <f>'ALL ML SYSTEMS'!M543</f>
        <v>0</v>
      </c>
      <c r="N557" s="344">
        <f>'ALL ML SYSTEMS'!N543</f>
        <v>0</v>
      </c>
      <c r="O557" s="344">
        <f>'ALL ML SYSTEMS'!O543</f>
        <v>0</v>
      </c>
      <c r="P557" s="344">
        <f>'ALL ML SYSTEMS'!P543</f>
        <v>0</v>
      </c>
      <c r="Q557" s="344">
        <f>'ALL ML SYSTEMS'!Q543</f>
        <v>0</v>
      </c>
      <c r="R557" s="344">
        <f>'ALL ML SYSTEMS'!R543</f>
        <v>0</v>
      </c>
      <c r="S557" s="344">
        <f>'ALL ML SYSTEMS'!S543</f>
        <v>0</v>
      </c>
      <c r="T557" s="344">
        <f>'ALL ML SYSTEMS'!T543</f>
        <v>0</v>
      </c>
      <c r="U557" s="344">
        <f>'ALL ML SYSTEMS'!U543</f>
        <v>0</v>
      </c>
      <c r="V557" s="344">
        <f>'ALL ML SYSTEMS'!V543</f>
        <v>0</v>
      </c>
      <c r="W557" s="344">
        <f>'ALL ML SYSTEMS'!W543</f>
        <v>0</v>
      </c>
      <c r="X557" s="344">
        <f>'ALL ML SYSTEMS'!X543</f>
        <v>0</v>
      </c>
      <c r="Y557" s="344">
        <f>'ALL ML SYSTEMS'!Y543</f>
        <v>0</v>
      </c>
      <c r="Z557" s="344">
        <f>'ALL ML SYSTEMS'!Z543</f>
        <v>0</v>
      </c>
      <c r="AA557" s="344">
        <f>'ALL ML SYSTEMS'!AA543</f>
        <v>0</v>
      </c>
      <c r="AB557" s="344"/>
      <c r="AC557" s="344">
        <f>'ALL ML SYSTEMS'!AC543</f>
        <v>0</v>
      </c>
      <c r="AD557" s="344">
        <f>'ALL ML SYSTEMS'!AD543</f>
        <v>0</v>
      </c>
    </row>
    <row r="558" hidden="1" customHeight="1" spans="1:30">
      <c r="A558" s="344">
        <f>'ALL ML SYSTEMS'!A544</f>
        <v>0</v>
      </c>
      <c r="B558" s="344">
        <f>'ALL ML SYSTEMS'!B544</f>
        <v>0</v>
      </c>
      <c r="C558" s="344">
        <f>'ALL ML SYSTEMS'!C544</f>
        <v>0</v>
      </c>
      <c r="D558" s="344">
        <f>'ALL ML SYSTEMS'!D544</f>
        <v>0</v>
      </c>
      <c r="E558" s="344">
        <f>'ALL ML SYSTEMS'!E544</f>
        <v>0</v>
      </c>
      <c r="F558" s="344">
        <f>'ALL ML SYSTEMS'!F544</f>
        <v>0</v>
      </c>
      <c r="G558" s="344">
        <f>'ALL ML SYSTEMS'!G544</f>
        <v>0</v>
      </c>
      <c r="H558" s="344">
        <f>'ALL ML SYSTEMS'!H544</f>
        <v>0</v>
      </c>
      <c r="I558" s="344">
        <f>'ALL ML SYSTEMS'!I544</f>
        <v>0</v>
      </c>
      <c r="J558" s="344">
        <f>'ALL ML SYSTEMS'!J544</f>
        <v>0</v>
      </c>
      <c r="K558" s="344">
        <f>'ALL ML SYSTEMS'!K544</f>
        <v>0</v>
      </c>
      <c r="L558" s="344">
        <f>'ALL ML SYSTEMS'!L544</f>
        <v>0</v>
      </c>
      <c r="M558" s="344">
        <f>'ALL ML SYSTEMS'!M544</f>
        <v>0</v>
      </c>
      <c r="N558" s="344">
        <f>'ALL ML SYSTEMS'!N544</f>
        <v>0</v>
      </c>
      <c r="O558" s="344">
        <f>'ALL ML SYSTEMS'!O544</f>
        <v>0</v>
      </c>
      <c r="P558" s="344">
        <f>'ALL ML SYSTEMS'!P544</f>
        <v>0</v>
      </c>
      <c r="Q558" s="344">
        <f>'ALL ML SYSTEMS'!Q544</f>
        <v>0</v>
      </c>
      <c r="R558" s="344">
        <f>'ALL ML SYSTEMS'!R544</f>
        <v>0</v>
      </c>
      <c r="S558" s="344">
        <f>'ALL ML SYSTEMS'!S544</f>
        <v>0</v>
      </c>
      <c r="T558" s="344">
        <f>'ALL ML SYSTEMS'!T544</f>
        <v>0</v>
      </c>
      <c r="U558" s="344">
        <f>'ALL ML SYSTEMS'!U544</f>
        <v>0</v>
      </c>
      <c r="V558" s="344">
        <f>'ALL ML SYSTEMS'!V544</f>
        <v>0</v>
      </c>
      <c r="W558" s="344">
        <f>'ALL ML SYSTEMS'!W544</f>
        <v>0</v>
      </c>
      <c r="X558" s="344">
        <f>'ALL ML SYSTEMS'!X544</f>
        <v>0</v>
      </c>
      <c r="Y558" s="344">
        <f>'ALL ML SYSTEMS'!Y544</f>
        <v>0</v>
      </c>
      <c r="Z558" s="344">
        <f>'ALL ML SYSTEMS'!Z544</f>
        <v>0</v>
      </c>
      <c r="AA558" s="344">
        <f>'ALL ML SYSTEMS'!AA544</f>
        <v>0</v>
      </c>
      <c r="AB558" s="344"/>
      <c r="AC558" s="344">
        <f>'ALL ML SYSTEMS'!AC544</f>
        <v>0</v>
      </c>
      <c r="AD558" s="344">
        <f>'ALL ML SYSTEMS'!AD544</f>
        <v>0</v>
      </c>
    </row>
    <row r="559" hidden="1" customHeight="1" spans="1:30">
      <c r="A559" s="344">
        <f>'ALL ML SYSTEMS'!A545</f>
        <v>0</v>
      </c>
      <c r="B559" s="344">
        <f>'ALL ML SYSTEMS'!B545</f>
        <v>0</v>
      </c>
      <c r="C559" s="344">
        <f>'ALL ML SYSTEMS'!C545</f>
        <v>0</v>
      </c>
      <c r="D559" s="344">
        <f>'ALL ML SYSTEMS'!D545</f>
        <v>0</v>
      </c>
      <c r="E559" s="344">
        <f>'ALL ML SYSTEMS'!E545</f>
        <v>0</v>
      </c>
      <c r="F559" s="344">
        <f>'ALL ML SYSTEMS'!F545</f>
        <v>0</v>
      </c>
      <c r="G559" s="344">
        <f>'ALL ML SYSTEMS'!G545</f>
        <v>0</v>
      </c>
      <c r="H559" s="344">
        <f>'ALL ML SYSTEMS'!H545</f>
        <v>0</v>
      </c>
      <c r="I559" s="344">
        <f>'ALL ML SYSTEMS'!I545</f>
        <v>0</v>
      </c>
      <c r="J559" s="344">
        <f>'ALL ML SYSTEMS'!J545</f>
        <v>0</v>
      </c>
      <c r="K559" s="344">
        <f>'ALL ML SYSTEMS'!K545</f>
        <v>0</v>
      </c>
      <c r="L559" s="344">
        <f>'ALL ML SYSTEMS'!L545</f>
        <v>0</v>
      </c>
      <c r="M559" s="344">
        <f>'ALL ML SYSTEMS'!M545</f>
        <v>0</v>
      </c>
      <c r="N559" s="344">
        <f>'ALL ML SYSTEMS'!N545</f>
        <v>0</v>
      </c>
      <c r="O559" s="344">
        <f>'ALL ML SYSTEMS'!O545</f>
        <v>0</v>
      </c>
      <c r="P559" s="344">
        <f>'ALL ML SYSTEMS'!P545</f>
        <v>0</v>
      </c>
      <c r="Q559" s="344">
        <f>'ALL ML SYSTEMS'!Q545</f>
        <v>0</v>
      </c>
      <c r="R559" s="344">
        <f>'ALL ML SYSTEMS'!R545</f>
        <v>0</v>
      </c>
      <c r="S559" s="344">
        <f>'ALL ML SYSTEMS'!S545</f>
        <v>0</v>
      </c>
      <c r="T559" s="344">
        <f>'ALL ML SYSTEMS'!T545</f>
        <v>0</v>
      </c>
      <c r="U559" s="344">
        <f>'ALL ML SYSTEMS'!U545</f>
        <v>0</v>
      </c>
      <c r="V559" s="344">
        <f>'ALL ML SYSTEMS'!V545</f>
        <v>0</v>
      </c>
      <c r="W559" s="344">
        <f>'ALL ML SYSTEMS'!W545</f>
        <v>0</v>
      </c>
      <c r="X559" s="344">
        <f>'ALL ML SYSTEMS'!X545</f>
        <v>0</v>
      </c>
      <c r="Y559" s="344">
        <f>'ALL ML SYSTEMS'!Y545</f>
        <v>0</v>
      </c>
      <c r="Z559" s="344">
        <f>'ALL ML SYSTEMS'!Z545</f>
        <v>0</v>
      </c>
      <c r="AA559" s="344">
        <f>'ALL ML SYSTEMS'!AA545</f>
        <v>0</v>
      </c>
      <c r="AB559" s="344"/>
      <c r="AC559" s="344">
        <f>'ALL ML SYSTEMS'!AC545</f>
        <v>0</v>
      </c>
      <c r="AD559" s="344">
        <f>'ALL ML SYSTEMS'!AD545</f>
        <v>0</v>
      </c>
    </row>
    <row r="560" hidden="1" customHeight="1" spans="1:30">
      <c r="A560" s="344">
        <f>'ALL ML SYSTEMS'!A546</f>
        <v>0</v>
      </c>
      <c r="B560" s="344">
        <f>'ALL ML SYSTEMS'!B546</f>
        <v>0</v>
      </c>
      <c r="C560" s="344">
        <f>'ALL ML SYSTEMS'!C546</f>
        <v>0</v>
      </c>
      <c r="D560" s="344">
        <f>'ALL ML SYSTEMS'!D546</f>
        <v>0</v>
      </c>
      <c r="E560" s="344">
        <f>'ALL ML SYSTEMS'!E546</f>
        <v>0</v>
      </c>
      <c r="F560" s="344">
        <f>'ALL ML SYSTEMS'!F546</f>
        <v>0</v>
      </c>
      <c r="G560" s="344">
        <f>'ALL ML SYSTEMS'!G546</f>
        <v>0</v>
      </c>
      <c r="H560" s="344">
        <f>'ALL ML SYSTEMS'!H546</f>
        <v>0</v>
      </c>
      <c r="I560" s="344">
        <f>'ALL ML SYSTEMS'!I546</f>
        <v>0</v>
      </c>
      <c r="J560" s="344">
        <f>'ALL ML SYSTEMS'!J546</f>
        <v>0</v>
      </c>
      <c r="K560" s="344">
        <f>'ALL ML SYSTEMS'!K546</f>
        <v>0</v>
      </c>
      <c r="L560" s="344">
        <f>'ALL ML SYSTEMS'!L546</f>
        <v>0</v>
      </c>
      <c r="M560" s="344">
        <f>'ALL ML SYSTEMS'!M546</f>
        <v>0</v>
      </c>
      <c r="N560" s="344">
        <f>'ALL ML SYSTEMS'!N546</f>
        <v>0</v>
      </c>
      <c r="O560" s="344">
        <f>'ALL ML SYSTEMS'!O546</f>
        <v>0</v>
      </c>
      <c r="P560" s="344">
        <f>'ALL ML SYSTEMS'!P546</f>
        <v>0</v>
      </c>
      <c r="Q560" s="344">
        <f>'ALL ML SYSTEMS'!Q546</f>
        <v>0</v>
      </c>
      <c r="R560" s="344">
        <f>'ALL ML SYSTEMS'!R546</f>
        <v>0</v>
      </c>
      <c r="S560" s="344">
        <f>'ALL ML SYSTEMS'!S546</f>
        <v>0</v>
      </c>
      <c r="T560" s="344">
        <f>'ALL ML SYSTEMS'!T546</f>
        <v>0</v>
      </c>
      <c r="U560" s="344">
        <f>'ALL ML SYSTEMS'!U546</f>
        <v>0</v>
      </c>
      <c r="V560" s="344">
        <f>'ALL ML SYSTEMS'!V546</f>
        <v>0</v>
      </c>
      <c r="W560" s="344">
        <f>'ALL ML SYSTEMS'!W546</f>
        <v>0</v>
      </c>
      <c r="X560" s="344">
        <f>'ALL ML SYSTEMS'!X546</f>
        <v>0</v>
      </c>
      <c r="Y560" s="344">
        <f>'ALL ML SYSTEMS'!Y546</f>
        <v>0</v>
      </c>
      <c r="Z560" s="344">
        <f>'ALL ML SYSTEMS'!Z546</f>
        <v>0</v>
      </c>
      <c r="AA560" s="344">
        <f>'ALL ML SYSTEMS'!AA546</f>
        <v>0</v>
      </c>
      <c r="AB560" s="344"/>
      <c r="AC560" s="344">
        <f>'ALL ML SYSTEMS'!AC546</f>
        <v>0</v>
      </c>
      <c r="AD560" s="344">
        <f>'ALL ML SYSTEMS'!AD546</f>
        <v>0</v>
      </c>
    </row>
    <row r="561" hidden="1" customHeight="1" spans="1:30">
      <c r="A561" s="344">
        <f>'ALL ML SYSTEMS'!A547</f>
        <v>0</v>
      </c>
      <c r="B561" s="344">
        <f>'ALL ML SYSTEMS'!B547</f>
        <v>0</v>
      </c>
      <c r="C561" s="344">
        <f>'ALL ML SYSTEMS'!C547</f>
        <v>0</v>
      </c>
      <c r="D561" s="344">
        <f>'ALL ML SYSTEMS'!D547</f>
        <v>0</v>
      </c>
      <c r="E561" s="344">
        <f>'ALL ML SYSTEMS'!E547</f>
        <v>0</v>
      </c>
      <c r="F561" s="344">
        <f>'ALL ML SYSTEMS'!F547</f>
        <v>0</v>
      </c>
      <c r="G561" s="344">
        <f>'ALL ML SYSTEMS'!G547</f>
        <v>0</v>
      </c>
      <c r="H561" s="344">
        <f>'ALL ML SYSTEMS'!H547</f>
        <v>0</v>
      </c>
      <c r="I561" s="344">
        <f>'ALL ML SYSTEMS'!I547</f>
        <v>0</v>
      </c>
      <c r="J561" s="344">
        <f>'ALL ML SYSTEMS'!J547</f>
        <v>0</v>
      </c>
      <c r="K561" s="344">
        <f>'ALL ML SYSTEMS'!K547</f>
        <v>0</v>
      </c>
      <c r="L561" s="344">
        <f>'ALL ML SYSTEMS'!L547</f>
        <v>0</v>
      </c>
      <c r="M561" s="344">
        <f>'ALL ML SYSTEMS'!M547</f>
        <v>0</v>
      </c>
      <c r="N561" s="344">
        <f>'ALL ML SYSTEMS'!N547</f>
        <v>0</v>
      </c>
      <c r="O561" s="344">
        <f>'ALL ML SYSTEMS'!O547</f>
        <v>0</v>
      </c>
      <c r="P561" s="344">
        <f>'ALL ML SYSTEMS'!P547</f>
        <v>0</v>
      </c>
      <c r="Q561" s="344">
        <f>'ALL ML SYSTEMS'!Q547</f>
        <v>0</v>
      </c>
      <c r="R561" s="344">
        <f>'ALL ML SYSTEMS'!R547</f>
        <v>0</v>
      </c>
      <c r="S561" s="344">
        <f>'ALL ML SYSTEMS'!S547</f>
        <v>0</v>
      </c>
      <c r="T561" s="344">
        <f>'ALL ML SYSTEMS'!T547</f>
        <v>0</v>
      </c>
      <c r="U561" s="344">
        <f>'ALL ML SYSTEMS'!U547</f>
        <v>0</v>
      </c>
      <c r="V561" s="344">
        <f>'ALL ML SYSTEMS'!V547</f>
        <v>0</v>
      </c>
      <c r="W561" s="344">
        <f>'ALL ML SYSTEMS'!W547</f>
        <v>0</v>
      </c>
      <c r="X561" s="344">
        <f>'ALL ML SYSTEMS'!X547</f>
        <v>0</v>
      </c>
      <c r="Y561" s="344">
        <f>'ALL ML SYSTEMS'!Y547</f>
        <v>0</v>
      </c>
      <c r="Z561" s="344">
        <f>'ALL ML SYSTEMS'!Z547</f>
        <v>0</v>
      </c>
      <c r="AA561" s="344">
        <f>'ALL ML SYSTEMS'!AA547</f>
        <v>0</v>
      </c>
      <c r="AB561" s="344"/>
      <c r="AC561" s="344">
        <f>'ALL ML SYSTEMS'!AC547</f>
        <v>0</v>
      </c>
      <c r="AD561" s="344">
        <f>'ALL ML SYSTEMS'!AD547</f>
        <v>0</v>
      </c>
    </row>
    <row r="562" hidden="1" customHeight="1" spans="1:30">
      <c r="A562" s="344">
        <f>'ALL ML SYSTEMS'!A548</f>
        <v>0</v>
      </c>
      <c r="B562" s="344">
        <f>'ALL ML SYSTEMS'!B548</f>
        <v>0</v>
      </c>
      <c r="C562" s="344">
        <f>'ALL ML SYSTEMS'!C548</f>
        <v>0</v>
      </c>
      <c r="D562" s="344">
        <f>'ALL ML SYSTEMS'!D548</f>
        <v>0</v>
      </c>
      <c r="E562" s="344">
        <f>'ALL ML SYSTEMS'!E548</f>
        <v>0</v>
      </c>
      <c r="F562" s="344">
        <f>'ALL ML SYSTEMS'!F548</f>
        <v>0</v>
      </c>
      <c r="G562" s="344">
        <f>'ALL ML SYSTEMS'!G548</f>
        <v>0</v>
      </c>
      <c r="H562" s="344">
        <f>'ALL ML SYSTEMS'!H548</f>
        <v>0</v>
      </c>
      <c r="I562" s="344">
        <f>'ALL ML SYSTEMS'!I548</f>
        <v>0</v>
      </c>
      <c r="J562" s="344">
        <f>'ALL ML SYSTEMS'!J548</f>
        <v>0</v>
      </c>
      <c r="K562" s="344">
        <f>'ALL ML SYSTEMS'!K548</f>
        <v>0</v>
      </c>
      <c r="L562" s="344">
        <f>'ALL ML SYSTEMS'!L548</f>
        <v>0</v>
      </c>
      <c r="M562" s="344">
        <f>'ALL ML SYSTEMS'!M548</f>
        <v>0</v>
      </c>
      <c r="N562" s="344">
        <f>'ALL ML SYSTEMS'!N548</f>
        <v>0</v>
      </c>
      <c r="O562" s="344">
        <f>'ALL ML SYSTEMS'!O548</f>
        <v>0</v>
      </c>
      <c r="P562" s="344">
        <f>'ALL ML SYSTEMS'!P548</f>
        <v>0</v>
      </c>
      <c r="Q562" s="344">
        <f>'ALL ML SYSTEMS'!Q548</f>
        <v>0</v>
      </c>
      <c r="R562" s="344">
        <f>'ALL ML SYSTEMS'!R548</f>
        <v>0</v>
      </c>
      <c r="S562" s="344">
        <f>'ALL ML SYSTEMS'!S548</f>
        <v>0</v>
      </c>
      <c r="T562" s="344">
        <f>'ALL ML SYSTEMS'!T548</f>
        <v>0</v>
      </c>
      <c r="U562" s="344">
        <f>'ALL ML SYSTEMS'!U548</f>
        <v>0</v>
      </c>
      <c r="V562" s="344">
        <f>'ALL ML SYSTEMS'!V548</f>
        <v>0</v>
      </c>
      <c r="W562" s="344">
        <f>'ALL ML SYSTEMS'!W548</f>
        <v>0</v>
      </c>
      <c r="X562" s="344">
        <f>'ALL ML SYSTEMS'!X548</f>
        <v>0</v>
      </c>
      <c r="Y562" s="344">
        <f>'ALL ML SYSTEMS'!Y548</f>
        <v>0</v>
      </c>
      <c r="Z562" s="344">
        <f>'ALL ML SYSTEMS'!Z548</f>
        <v>0</v>
      </c>
      <c r="AA562" s="344">
        <f>'ALL ML SYSTEMS'!AA548</f>
        <v>0</v>
      </c>
      <c r="AB562" s="344"/>
      <c r="AC562" s="344">
        <f>'ALL ML SYSTEMS'!AC548</f>
        <v>0</v>
      </c>
      <c r="AD562" s="344">
        <f>'ALL ML SYSTEMS'!AD548</f>
        <v>0</v>
      </c>
    </row>
    <row r="563" hidden="1" customHeight="1" spans="1:30">
      <c r="A563" s="344">
        <f>'ALL ML SYSTEMS'!A549</f>
        <v>0</v>
      </c>
      <c r="B563" s="344">
        <f>'ALL ML SYSTEMS'!B549</f>
        <v>0</v>
      </c>
      <c r="C563" s="344">
        <f>'ALL ML SYSTEMS'!C549</f>
        <v>0</v>
      </c>
      <c r="D563" s="344">
        <f>'ALL ML SYSTEMS'!D549</f>
        <v>0</v>
      </c>
      <c r="E563" s="344">
        <f>'ALL ML SYSTEMS'!E549</f>
        <v>0</v>
      </c>
      <c r="F563" s="344">
        <f>'ALL ML SYSTEMS'!F549</f>
        <v>0</v>
      </c>
      <c r="G563" s="344">
        <f>'ALL ML SYSTEMS'!G549</f>
        <v>0</v>
      </c>
      <c r="H563" s="344">
        <f>'ALL ML SYSTEMS'!H549</f>
        <v>0</v>
      </c>
      <c r="I563" s="344">
        <f>'ALL ML SYSTEMS'!I549</f>
        <v>0</v>
      </c>
      <c r="J563" s="344">
        <f>'ALL ML SYSTEMS'!J549</f>
        <v>0</v>
      </c>
      <c r="K563" s="344">
        <f>'ALL ML SYSTEMS'!K549</f>
        <v>0</v>
      </c>
      <c r="L563" s="344">
        <f>'ALL ML SYSTEMS'!L549</f>
        <v>0</v>
      </c>
      <c r="M563" s="344">
        <f>'ALL ML SYSTEMS'!M549</f>
        <v>0</v>
      </c>
      <c r="N563" s="344">
        <f>'ALL ML SYSTEMS'!N549</f>
        <v>0</v>
      </c>
      <c r="O563" s="344">
        <f>'ALL ML SYSTEMS'!O549</f>
        <v>0</v>
      </c>
      <c r="P563" s="344">
        <f>'ALL ML SYSTEMS'!P549</f>
        <v>0</v>
      </c>
      <c r="Q563" s="344">
        <f>'ALL ML SYSTEMS'!Q549</f>
        <v>0</v>
      </c>
      <c r="R563" s="344">
        <f>'ALL ML SYSTEMS'!R549</f>
        <v>0</v>
      </c>
      <c r="S563" s="344">
        <f>'ALL ML SYSTEMS'!S549</f>
        <v>0</v>
      </c>
      <c r="T563" s="344">
        <f>'ALL ML SYSTEMS'!T549</f>
        <v>0</v>
      </c>
      <c r="U563" s="344">
        <f>'ALL ML SYSTEMS'!U549</f>
        <v>0</v>
      </c>
      <c r="V563" s="344">
        <f>'ALL ML SYSTEMS'!V549</f>
        <v>0</v>
      </c>
      <c r="W563" s="344">
        <f>'ALL ML SYSTEMS'!W549</f>
        <v>0</v>
      </c>
      <c r="X563" s="344">
        <f>'ALL ML SYSTEMS'!X549</f>
        <v>0</v>
      </c>
      <c r="Y563" s="344">
        <f>'ALL ML SYSTEMS'!Y549</f>
        <v>0</v>
      </c>
      <c r="Z563" s="344">
        <f>'ALL ML SYSTEMS'!Z549</f>
        <v>0</v>
      </c>
      <c r="AA563" s="344">
        <f>'ALL ML SYSTEMS'!AA549</f>
        <v>0</v>
      </c>
      <c r="AB563" s="344"/>
      <c r="AC563" s="344">
        <f>'ALL ML SYSTEMS'!AC549</f>
        <v>0</v>
      </c>
      <c r="AD563" s="344">
        <f>'ALL ML SYSTEMS'!AD549</f>
        <v>0</v>
      </c>
    </row>
    <row r="564" hidden="1" customHeight="1" spans="1:30">
      <c r="A564" s="344">
        <f>'ALL ML SYSTEMS'!A550</f>
        <v>0</v>
      </c>
      <c r="B564" s="344">
        <f>'ALL ML SYSTEMS'!B550</f>
        <v>0</v>
      </c>
      <c r="C564" s="344">
        <f>'ALL ML SYSTEMS'!C550</f>
        <v>0</v>
      </c>
      <c r="D564" s="344">
        <f>'ALL ML SYSTEMS'!D550</f>
        <v>0</v>
      </c>
      <c r="E564" s="344">
        <f>'ALL ML SYSTEMS'!E550</f>
        <v>0</v>
      </c>
      <c r="F564" s="344">
        <f>'ALL ML SYSTEMS'!F550</f>
        <v>0</v>
      </c>
      <c r="G564" s="344">
        <f>'ALL ML SYSTEMS'!G550</f>
        <v>0</v>
      </c>
      <c r="H564" s="344">
        <f>'ALL ML SYSTEMS'!H550</f>
        <v>0</v>
      </c>
      <c r="I564" s="344">
        <f>'ALL ML SYSTEMS'!I550</f>
        <v>0</v>
      </c>
      <c r="J564" s="344">
        <f>'ALL ML SYSTEMS'!J550</f>
        <v>0</v>
      </c>
      <c r="K564" s="344">
        <f>'ALL ML SYSTEMS'!K550</f>
        <v>0</v>
      </c>
      <c r="L564" s="344">
        <f>'ALL ML SYSTEMS'!L550</f>
        <v>0</v>
      </c>
      <c r="M564" s="344">
        <f>'ALL ML SYSTEMS'!M550</f>
        <v>0</v>
      </c>
      <c r="N564" s="344">
        <f>'ALL ML SYSTEMS'!N550</f>
        <v>0</v>
      </c>
      <c r="O564" s="344">
        <f>'ALL ML SYSTEMS'!O550</f>
        <v>0</v>
      </c>
      <c r="P564" s="344">
        <f>'ALL ML SYSTEMS'!P550</f>
        <v>0</v>
      </c>
      <c r="Q564" s="344">
        <f>'ALL ML SYSTEMS'!Q550</f>
        <v>0</v>
      </c>
      <c r="R564" s="344">
        <f>'ALL ML SYSTEMS'!R550</f>
        <v>0</v>
      </c>
      <c r="S564" s="344">
        <f>'ALL ML SYSTEMS'!S550</f>
        <v>0</v>
      </c>
      <c r="T564" s="344">
        <f>'ALL ML SYSTEMS'!T550</f>
        <v>0</v>
      </c>
      <c r="U564" s="344">
        <f>'ALL ML SYSTEMS'!U550</f>
        <v>0</v>
      </c>
      <c r="V564" s="344">
        <f>'ALL ML SYSTEMS'!V550</f>
        <v>0</v>
      </c>
      <c r="W564" s="344">
        <f>'ALL ML SYSTEMS'!W550</f>
        <v>0</v>
      </c>
      <c r="X564" s="344">
        <f>'ALL ML SYSTEMS'!X550</f>
        <v>0</v>
      </c>
      <c r="Y564" s="344">
        <f>'ALL ML SYSTEMS'!Y550</f>
        <v>0</v>
      </c>
      <c r="Z564" s="344">
        <f>'ALL ML SYSTEMS'!Z550</f>
        <v>0</v>
      </c>
      <c r="AA564" s="344">
        <f>'ALL ML SYSTEMS'!AA550</f>
        <v>0</v>
      </c>
      <c r="AB564" s="344"/>
      <c r="AC564" s="344">
        <f>'ALL ML SYSTEMS'!AC550</f>
        <v>0</v>
      </c>
      <c r="AD564" s="344">
        <f>'ALL ML SYSTEMS'!AD550</f>
        <v>0</v>
      </c>
    </row>
    <row r="565" hidden="1" customHeight="1" spans="1:30">
      <c r="A565" s="344">
        <f>'ALL ML SYSTEMS'!A551</f>
        <v>0</v>
      </c>
      <c r="B565" s="344">
        <f>'ALL ML SYSTEMS'!B551</f>
        <v>0</v>
      </c>
      <c r="C565" s="344">
        <f>'ALL ML SYSTEMS'!C551</f>
        <v>0</v>
      </c>
      <c r="D565" s="344">
        <f>'ALL ML SYSTEMS'!D551</f>
        <v>0</v>
      </c>
      <c r="E565" s="344">
        <f>'ALL ML SYSTEMS'!E551</f>
        <v>0</v>
      </c>
      <c r="F565" s="344">
        <f>'ALL ML SYSTEMS'!F551</f>
        <v>0</v>
      </c>
      <c r="G565" s="344">
        <f>'ALL ML SYSTEMS'!G551</f>
        <v>0</v>
      </c>
      <c r="H565" s="344">
        <f>'ALL ML SYSTEMS'!H551</f>
        <v>0</v>
      </c>
      <c r="I565" s="344">
        <f>'ALL ML SYSTEMS'!I551</f>
        <v>0</v>
      </c>
      <c r="J565" s="344">
        <f>'ALL ML SYSTEMS'!J551</f>
        <v>0</v>
      </c>
      <c r="K565" s="344">
        <f>'ALL ML SYSTEMS'!K551</f>
        <v>0</v>
      </c>
      <c r="L565" s="344">
        <f>'ALL ML SYSTEMS'!L551</f>
        <v>0</v>
      </c>
      <c r="M565" s="344">
        <f>'ALL ML SYSTEMS'!M551</f>
        <v>0</v>
      </c>
      <c r="N565" s="344">
        <f>'ALL ML SYSTEMS'!N551</f>
        <v>0</v>
      </c>
      <c r="O565" s="344">
        <f>'ALL ML SYSTEMS'!O551</f>
        <v>0</v>
      </c>
      <c r="P565" s="344">
        <f>'ALL ML SYSTEMS'!P551</f>
        <v>0</v>
      </c>
      <c r="Q565" s="344">
        <f>'ALL ML SYSTEMS'!Q551</f>
        <v>0</v>
      </c>
      <c r="R565" s="344">
        <f>'ALL ML SYSTEMS'!R551</f>
        <v>0</v>
      </c>
      <c r="S565" s="344">
        <f>'ALL ML SYSTEMS'!S551</f>
        <v>0</v>
      </c>
      <c r="T565" s="344">
        <f>'ALL ML SYSTEMS'!T551</f>
        <v>0</v>
      </c>
      <c r="U565" s="344">
        <f>'ALL ML SYSTEMS'!U551</f>
        <v>0</v>
      </c>
      <c r="V565" s="344">
        <f>'ALL ML SYSTEMS'!V551</f>
        <v>0</v>
      </c>
      <c r="W565" s="344">
        <f>'ALL ML SYSTEMS'!W551</f>
        <v>0</v>
      </c>
      <c r="X565" s="344">
        <f>'ALL ML SYSTEMS'!X551</f>
        <v>0</v>
      </c>
      <c r="Y565" s="344">
        <f>'ALL ML SYSTEMS'!Y551</f>
        <v>0</v>
      </c>
      <c r="Z565" s="344">
        <f>'ALL ML SYSTEMS'!Z551</f>
        <v>0</v>
      </c>
      <c r="AA565" s="344">
        <f>'ALL ML SYSTEMS'!AA551</f>
        <v>0</v>
      </c>
      <c r="AB565" s="344"/>
      <c r="AC565" s="344">
        <f>'ALL ML SYSTEMS'!AC551</f>
        <v>0</v>
      </c>
      <c r="AD565" s="344">
        <f>'ALL ML SYSTEMS'!AD551</f>
        <v>0</v>
      </c>
    </row>
    <row r="566" hidden="1" customHeight="1" spans="1:30">
      <c r="A566" s="344">
        <f>'ALL ML SYSTEMS'!A552</f>
        <v>0</v>
      </c>
      <c r="B566" s="344">
        <f>'ALL ML SYSTEMS'!B552</f>
        <v>0</v>
      </c>
      <c r="C566" s="344">
        <f>'ALL ML SYSTEMS'!C552</f>
        <v>0</v>
      </c>
      <c r="D566" s="344">
        <f>'ALL ML SYSTEMS'!D552</f>
        <v>0</v>
      </c>
      <c r="E566" s="344">
        <f>'ALL ML SYSTEMS'!E552</f>
        <v>0</v>
      </c>
      <c r="F566" s="344">
        <f>'ALL ML SYSTEMS'!F552</f>
        <v>0</v>
      </c>
      <c r="G566" s="344">
        <f>'ALL ML SYSTEMS'!G552</f>
        <v>0</v>
      </c>
      <c r="H566" s="344">
        <f>'ALL ML SYSTEMS'!H552</f>
        <v>0</v>
      </c>
      <c r="I566" s="344">
        <f>'ALL ML SYSTEMS'!I552</f>
        <v>0</v>
      </c>
      <c r="J566" s="344">
        <f>'ALL ML SYSTEMS'!J552</f>
        <v>0</v>
      </c>
      <c r="K566" s="344">
        <f>'ALL ML SYSTEMS'!K552</f>
        <v>0</v>
      </c>
      <c r="L566" s="344">
        <f>'ALL ML SYSTEMS'!L552</f>
        <v>0</v>
      </c>
      <c r="M566" s="344">
        <f>'ALL ML SYSTEMS'!M552</f>
        <v>0</v>
      </c>
      <c r="N566" s="344">
        <f>'ALL ML SYSTEMS'!N552</f>
        <v>0</v>
      </c>
      <c r="O566" s="344">
        <f>'ALL ML SYSTEMS'!O552</f>
        <v>0</v>
      </c>
      <c r="P566" s="344">
        <f>'ALL ML SYSTEMS'!P552</f>
        <v>0</v>
      </c>
      <c r="Q566" s="344">
        <f>'ALL ML SYSTEMS'!Q552</f>
        <v>0</v>
      </c>
      <c r="R566" s="344">
        <f>'ALL ML SYSTEMS'!R552</f>
        <v>0</v>
      </c>
      <c r="S566" s="344">
        <f>'ALL ML SYSTEMS'!S552</f>
        <v>0</v>
      </c>
      <c r="T566" s="344">
        <f>'ALL ML SYSTEMS'!T552</f>
        <v>0</v>
      </c>
      <c r="U566" s="344">
        <f>'ALL ML SYSTEMS'!U552</f>
        <v>0</v>
      </c>
      <c r="V566" s="344">
        <f>'ALL ML SYSTEMS'!V552</f>
        <v>0</v>
      </c>
      <c r="W566" s="344">
        <f>'ALL ML SYSTEMS'!W552</f>
        <v>0</v>
      </c>
      <c r="X566" s="344">
        <f>'ALL ML SYSTEMS'!X552</f>
        <v>0</v>
      </c>
      <c r="Y566" s="344">
        <f>'ALL ML SYSTEMS'!Y552</f>
        <v>0</v>
      </c>
      <c r="Z566" s="344">
        <f>'ALL ML SYSTEMS'!Z552</f>
        <v>0</v>
      </c>
      <c r="AA566" s="344">
        <f>'ALL ML SYSTEMS'!AA552</f>
        <v>0</v>
      </c>
      <c r="AB566" s="344"/>
      <c r="AC566" s="344">
        <f>'ALL ML SYSTEMS'!AC552</f>
        <v>0</v>
      </c>
      <c r="AD566" s="344">
        <f>'ALL ML SYSTEMS'!AD552</f>
        <v>0</v>
      </c>
    </row>
    <row r="567" hidden="1" customHeight="1" spans="1:30">
      <c r="A567" s="344">
        <f>'ALL ML SYSTEMS'!A553</f>
        <v>0</v>
      </c>
      <c r="B567" s="344">
        <f>'ALL ML SYSTEMS'!B553</f>
        <v>0</v>
      </c>
      <c r="C567" s="344">
        <f>'ALL ML SYSTEMS'!C553</f>
        <v>0</v>
      </c>
      <c r="D567" s="344">
        <f>'ALL ML SYSTEMS'!D553</f>
        <v>0</v>
      </c>
      <c r="E567" s="344">
        <f>'ALL ML SYSTEMS'!E553</f>
        <v>0</v>
      </c>
      <c r="F567" s="344">
        <f>'ALL ML SYSTEMS'!F553</f>
        <v>0</v>
      </c>
      <c r="G567" s="344">
        <f>'ALL ML SYSTEMS'!G553</f>
        <v>0</v>
      </c>
      <c r="H567" s="344">
        <f>'ALL ML SYSTEMS'!H553</f>
        <v>0</v>
      </c>
      <c r="I567" s="344">
        <f>'ALL ML SYSTEMS'!I553</f>
        <v>0</v>
      </c>
      <c r="J567" s="344">
        <f>'ALL ML SYSTEMS'!J553</f>
        <v>0</v>
      </c>
      <c r="K567" s="344">
        <f>'ALL ML SYSTEMS'!K553</f>
        <v>0</v>
      </c>
      <c r="L567" s="344">
        <f>'ALL ML SYSTEMS'!L553</f>
        <v>0</v>
      </c>
      <c r="M567" s="344">
        <f>'ALL ML SYSTEMS'!M553</f>
        <v>0</v>
      </c>
      <c r="N567" s="344">
        <f>'ALL ML SYSTEMS'!N553</f>
        <v>0</v>
      </c>
      <c r="O567" s="344">
        <f>'ALL ML SYSTEMS'!O553</f>
        <v>0</v>
      </c>
      <c r="P567" s="344">
        <f>'ALL ML SYSTEMS'!P553</f>
        <v>0</v>
      </c>
      <c r="Q567" s="344">
        <f>'ALL ML SYSTEMS'!Q553</f>
        <v>0</v>
      </c>
      <c r="R567" s="344">
        <f>'ALL ML SYSTEMS'!R553</f>
        <v>0</v>
      </c>
      <c r="S567" s="344">
        <f>'ALL ML SYSTEMS'!S553</f>
        <v>0</v>
      </c>
      <c r="T567" s="344">
        <f>'ALL ML SYSTEMS'!T553</f>
        <v>0</v>
      </c>
      <c r="U567" s="344">
        <f>'ALL ML SYSTEMS'!U553</f>
        <v>0</v>
      </c>
      <c r="V567" s="344">
        <f>'ALL ML SYSTEMS'!V553</f>
        <v>0</v>
      </c>
      <c r="W567" s="344">
        <f>'ALL ML SYSTEMS'!W553</f>
        <v>0</v>
      </c>
      <c r="X567" s="344">
        <f>'ALL ML SYSTEMS'!X553</f>
        <v>0</v>
      </c>
      <c r="Y567" s="344">
        <f>'ALL ML SYSTEMS'!Y553</f>
        <v>0</v>
      </c>
      <c r="Z567" s="344">
        <f>'ALL ML SYSTEMS'!Z553</f>
        <v>0</v>
      </c>
      <c r="AA567" s="344">
        <f>'ALL ML SYSTEMS'!AA553</f>
        <v>0</v>
      </c>
      <c r="AB567" s="344"/>
      <c r="AC567" s="344">
        <f>'ALL ML SYSTEMS'!AC553</f>
        <v>0</v>
      </c>
      <c r="AD567" s="344">
        <f>'ALL ML SYSTEMS'!AD553</f>
        <v>0</v>
      </c>
    </row>
    <row r="568" hidden="1" customHeight="1" spans="1:30">
      <c r="A568" s="344">
        <f>'ALL ML SYSTEMS'!A554</f>
        <v>0</v>
      </c>
      <c r="B568" s="344">
        <f>'ALL ML SYSTEMS'!B554</f>
        <v>0</v>
      </c>
      <c r="C568" s="344">
        <f>'ALL ML SYSTEMS'!C554</f>
        <v>0</v>
      </c>
      <c r="D568" s="344">
        <f>'ALL ML SYSTEMS'!D554</f>
        <v>0</v>
      </c>
      <c r="E568" s="344">
        <f>'ALL ML SYSTEMS'!E554</f>
        <v>0</v>
      </c>
      <c r="F568" s="344">
        <f>'ALL ML SYSTEMS'!F554</f>
        <v>0</v>
      </c>
      <c r="G568" s="344">
        <f>'ALL ML SYSTEMS'!G554</f>
        <v>0</v>
      </c>
      <c r="H568" s="344">
        <f>'ALL ML SYSTEMS'!H554</f>
        <v>0</v>
      </c>
      <c r="I568" s="344">
        <f>'ALL ML SYSTEMS'!I554</f>
        <v>0</v>
      </c>
      <c r="J568" s="344">
        <f>'ALL ML SYSTEMS'!J554</f>
        <v>0</v>
      </c>
      <c r="K568" s="344">
        <f>'ALL ML SYSTEMS'!K554</f>
        <v>0</v>
      </c>
      <c r="L568" s="344">
        <f>'ALL ML SYSTEMS'!L554</f>
        <v>0</v>
      </c>
      <c r="M568" s="344">
        <f>'ALL ML SYSTEMS'!M554</f>
        <v>0</v>
      </c>
      <c r="N568" s="344">
        <f>'ALL ML SYSTEMS'!N554</f>
        <v>0</v>
      </c>
      <c r="O568" s="344">
        <f>'ALL ML SYSTEMS'!O554</f>
        <v>0</v>
      </c>
      <c r="P568" s="344">
        <f>'ALL ML SYSTEMS'!P554</f>
        <v>0</v>
      </c>
      <c r="Q568" s="344">
        <f>'ALL ML SYSTEMS'!Q554</f>
        <v>0</v>
      </c>
      <c r="R568" s="344">
        <f>'ALL ML SYSTEMS'!R554</f>
        <v>0</v>
      </c>
      <c r="S568" s="344">
        <f>'ALL ML SYSTEMS'!S554</f>
        <v>0</v>
      </c>
      <c r="T568" s="344">
        <f>'ALL ML SYSTEMS'!T554</f>
        <v>0</v>
      </c>
      <c r="U568" s="344">
        <f>'ALL ML SYSTEMS'!U554</f>
        <v>0</v>
      </c>
      <c r="V568" s="344">
        <f>'ALL ML SYSTEMS'!V554</f>
        <v>0</v>
      </c>
      <c r="W568" s="344">
        <f>'ALL ML SYSTEMS'!W554</f>
        <v>0</v>
      </c>
      <c r="X568" s="344">
        <f>'ALL ML SYSTEMS'!X554</f>
        <v>0</v>
      </c>
      <c r="Y568" s="344">
        <f>'ALL ML SYSTEMS'!Y554</f>
        <v>0</v>
      </c>
      <c r="Z568" s="344">
        <f>'ALL ML SYSTEMS'!Z554</f>
        <v>0</v>
      </c>
      <c r="AA568" s="344">
        <f>'ALL ML SYSTEMS'!AA554</f>
        <v>0</v>
      </c>
      <c r="AB568" s="344"/>
      <c r="AC568" s="344">
        <f>'ALL ML SYSTEMS'!AC554</f>
        <v>0</v>
      </c>
      <c r="AD568" s="344">
        <f>'ALL ML SYSTEMS'!AD554</f>
        <v>0</v>
      </c>
    </row>
    <row r="569" hidden="1" customHeight="1" spans="1:30">
      <c r="A569" s="344">
        <f>'ALL ML SYSTEMS'!A555</f>
        <v>0</v>
      </c>
      <c r="B569" s="344">
        <f>'ALL ML SYSTEMS'!B555</f>
        <v>0</v>
      </c>
      <c r="C569" s="344">
        <f>'ALL ML SYSTEMS'!C555</f>
        <v>0</v>
      </c>
      <c r="D569" s="344">
        <f>'ALL ML SYSTEMS'!D555</f>
        <v>0</v>
      </c>
      <c r="E569" s="344">
        <f>'ALL ML SYSTEMS'!E555</f>
        <v>0</v>
      </c>
      <c r="F569" s="344">
        <f>'ALL ML SYSTEMS'!F555</f>
        <v>0</v>
      </c>
      <c r="G569" s="344">
        <f>'ALL ML SYSTEMS'!G555</f>
        <v>0</v>
      </c>
      <c r="H569" s="344">
        <f>'ALL ML SYSTEMS'!H555</f>
        <v>0</v>
      </c>
      <c r="I569" s="344">
        <f>'ALL ML SYSTEMS'!I555</f>
        <v>0</v>
      </c>
      <c r="J569" s="344">
        <f>'ALL ML SYSTEMS'!J555</f>
        <v>0</v>
      </c>
      <c r="K569" s="344">
        <f>'ALL ML SYSTEMS'!K555</f>
        <v>0</v>
      </c>
      <c r="L569" s="344">
        <f>'ALL ML SYSTEMS'!L555</f>
        <v>0</v>
      </c>
      <c r="M569" s="344">
        <f>'ALL ML SYSTEMS'!M555</f>
        <v>0</v>
      </c>
      <c r="N569" s="344">
        <f>'ALL ML SYSTEMS'!N555</f>
        <v>0</v>
      </c>
      <c r="O569" s="344">
        <f>'ALL ML SYSTEMS'!O555</f>
        <v>0</v>
      </c>
      <c r="P569" s="344">
        <f>'ALL ML SYSTEMS'!P555</f>
        <v>0</v>
      </c>
      <c r="Q569" s="344">
        <f>'ALL ML SYSTEMS'!Q555</f>
        <v>0</v>
      </c>
      <c r="R569" s="344">
        <f>'ALL ML SYSTEMS'!R555</f>
        <v>0</v>
      </c>
      <c r="S569" s="344">
        <f>'ALL ML SYSTEMS'!S555</f>
        <v>0</v>
      </c>
      <c r="T569" s="344">
        <f>'ALL ML SYSTEMS'!T555</f>
        <v>0</v>
      </c>
      <c r="U569" s="344">
        <f>'ALL ML SYSTEMS'!U555</f>
        <v>0</v>
      </c>
      <c r="V569" s="344">
        <f>'ALL ML SYSTEMS'!V555</f>
        <v>0</v>
      </c>
      <c r="W569" s="344">
        <f>'ALL ML SYSTEMS'!W555</f>
        <v>0</v>
      </c>
      <c r="X569" s="344">
        <f>'ALL ML SYSTEMS'!X555</f>
        <v>0</v>
      </c>
      <c r="Y569" s="344">
        <f>'ALL ML SYSTEMS'!Y555</f>
        <v>0</v>
      </c>
      <c r="Z569" s="344">
        <f>'ALL ML SYSTEMS'!Z555</f>
        <v>0</v>
      </c>
      <c r="AA569" s="344">
        <f>'ALL ML SYSTEMS'!AA555</f>
        <v>0</v>
      </c>
      <c r="AB569" s="344"/>
      <c r="AC569" s="344">
        <f>'ALL ML SYSTEMS'!AC555</f>
        <v>0</v>
      </c>
      <c r="AD569" s="344">
        <f>'ALL ML SYSTEMS'!AD555</f>
        <v>0</v>
      </c>
    </row>
    <row r="570" hidden="1" customHeight="1" spans="1:30">
      <c r="A570" s="344">
        <f>'ALL ML SYSTEMS'!A556</f>
        <v>0</v>
      </c>
      <c r="B570" s="344">
        <f>'ALL ML SYSTEMS'!B556</f>
        <v>0</v>
      </c>
      <c r="C570" s="344">
        <f>'ALL ML SYSTEMS'!C556</f>
        <v>0</v>
      </c>
      <c r="D570" s="344">
        <f>'ALL ML SYSTEMS'!D556</f>
        <v>0</v>
      </c>
      <c r="E570" s="344">
        <f>'ALL ML SYSTEMS'!E556</f>
        <v>0</v>
      </c>
      <c r="F570" s="344">
        <f>'ALL ML SYSTEMS'!F556</f>
        <v>0</v>
      </c>
      <c r="G570" s="344">
        <f>'ALL ML SYSTEMS'!G556</f>
        <v>0</v>
      </c>
      <c r="H570" s="344">
        <f>'ALL ML SYSTEMS'!H556</f>
        <v>0</v>
      </c>
      <c r="I570" s="344">
        <f>'ALL ML SYSTEMS'!I556</f>
        <v>0</v>
      </c>
      <c r="J570" s="344">
        <f>'ALL ML SYSTEMS'!J556</f>
        <v>0</v>
      </c>
      <c r="K570" s="344">
        <f>'ALL ML SYSTEMS'!K556</f>
        <v>0</v>
      </c>
      <c r="L570" s="344">
        <f>'ALL ML SYSTEMS'!L556</f>
        <v>0</v>
      </c>
      <c r="M570" s="344">
        <f>'ALL ML SYSTEMS'!M556</f>
        <v>0</v>
      </c>
      <c r="N570" s="344">
        <f>'ALL ML SYSTEMS'!N556</f>
        <v>0</v>
      </c>
      <c r="O570" s="344">
        <f>'ALL ML SYSTEMS'!O556</f>
        <v>0</v>
      </c>
      <c r="P570" s="344">
        <f>'ALL ML SYSTEMS'!P556</f>
        <v>0</v>
      </c>
      <c r="Q570" s="344">
        <f>'ALL ML SYSTEMS'!Q556</f>
        <v>0</v>
      </c>
      <c r="R570" s="344">
        <f>'ALL ML SYSTEMS'!R556</f>
        <v>0</v>
      </c>
      <c r="S570" s="344">
        <f>'ALL ML SYSTEMS'!S556</f>
        <v>0</v>
      </c>
      <c r="T570" s="344">
        <f>'ALL ML SYSTEMS'!T556</f>
        <v>0</v>
      </c>
      <c r="U570" s="344">
        <f>'ALL ML SYSTEMS'!U556</f>
        <v>0</v>
      </c>
      <c r="V570" s="344">
        <f>'ALL ML SYSTEMS'!V556</f>
        <v>0</v>
      </c>
      <c r="W570" s="344">
        <f>'ALL ML SYSTEMS'!W556</f>
        <v>0</v>
      </c>
      <c r="X570" s="344">
        <f>'ALL ML SYSTEMS'!X556</f>
        <v>0</v>
      </c>
      <c r="Y570" s="344">
        <f>'ALL ML SYSTEMS'!Y556</f>
        <v>0</v>
      </c>
      <c r="Z570" s="344">
        <f>'ALL ML SYSTEMS'!Z556</f>
        <v>0</v>
      </c>
      <c r="AA570" s="344">
        <f>'ALL ML SYSTEMS'!AA556</f>
        <v>0</v>
      </c>
      <c r="AB570" s="344"/>
      <c r="AC570" s="344">
        <f>'ALL ML SYSTEMS'!AC556</f>
        <v>0</v>
      </c>
      <c r="AD570" s="344">
        <f>'ALL ML SYSTEMS'!AD556</f>
        <v>0</v>
      </c>
    </row>
    <row r="571" hidden="1" customHeight="1" spans="1:30">
      <c r="A571" s="344">
        <f>'ALL ML SYSTEMS'!A557</f>
        <v>0</v>
      </c>
      <c r="B571" s="344">
        <f>'ALL ML SYSTEMS'!B557</f>
        <v>0</v>
      </c>
      <c r="C571" s="344">
        <f>'ALL ML SYSTEMS'!C557</f>
        <v>0</v>
      </c>
      <c r="D571" s="344">
        <f>'ALL ML SYSTEMS'!D557</f>
        <v>0</v>
      </c>
      <c r="E571" s="344">
        <f>'ALL ML SYSTEMS'!E557</f>
        <v>0</v>
      </c>
      <c r="F571" s="344">
        <f>'ALL ML SYSTEMS'!F557</f>
        <v>0</v>
      </c>
      <c r="G571" s="344">
        <f>'ALL ML SYSTEMS'!G557</f>
        <v>0</v>
      </c>
      <c r="H571" s="344">
        <f>'ALL ML SYSTEMS'!H557</f>
        <v>0</v>
      </c>
      <c r="I571" s="344">
        <f>'ALL ML SYSTEMS'!I557</f>
        <v>0</v>
      </c>
      <c r="J571" s="344">
        <f>'ALL ML SYSTEMS'!J557</f>
        <v>0</v>
      </c>
      <c r="K571" s="344">
        <f>'ALL ML SYSTEMS'!K557</f>
        <v>0</v>
      </c>
      <c r="L571" s="344">
        <f>'ALL ML SYSTEMS'!L557</f>
        <v>0</v>
      </c>
      <c r="M571" s="344">
        <f>'ALL ML SYSTEMS'!M557</f>
        <v>0</v>
      </c>
      <c r="N571" s="344">
        <f>'ALL ML SYSTEMS'!N557</f>
        <v>0</v>
      </c>
      <c r="O571" s="344">
        <f>'ALL ML SYSTEMS'!O557</f>
        <v>0</v>
      </c>
      <c r="P571" s="344">
        <f>'ALL ML SYSTEMS'!P557</f>
        <v>0</v>
      </c>
      <c r="Q571" s="344">
        <f>'ALL ML SYSTEMS'!Q557</f>
        <v>0</v>
      </c>
      <c r="R571" s="344">
        <f>'ALL ML SYSTEMS'!R557</f>
        <v>0</v>
      </c>
      <c r="S571" s="344">
        <f>'ALL ML SYSTEMS'!S557</f>
        <v>0</v>
      </c>
      <c r="T571" s="344">
        <f>'ALL ML SYSTEMS'!T557</f>
        <v>0</v>
      </c>
      <c r="U571" s="344">
        <f>'ALL ML SYSTEMS'!U557</f>
        <v>0</v>
      </c>
      <c r="V571" s="344">
        <f>'ALL ML SYSTEMS'!V557</f>
        <v>0</v>
      </c>
      <c r="W571" s="344">
        <f>'ALL ML SYSTEMS'!W557</f>
        <v>0</v>
      </c>
      <c r="X571" s="344">
        <f>'ALL ML SYSTEMS'!X557</f>
        <v>0</v>
      </c>
      <c r="Y571" s="344">
        <f>'ALL ML SYSTEMS'!Y557</f>
        <v>0</v>
      </c>
      <c r="Z571" s="344">
        <f>'ALL ML SYSTEMS'!Z557</f>
        <v>0</v>
      </c>
      <c r="AA571" s="344">
        <f>'ALL ML SYSTEMS'!AA557</f>
        <v>0</v>
      </c>
      <c r="AB571" s="344"/>
      <c r="AC571" s="344">
        <f>'ALL ML SYSTEMS'!AC557</f>
        <v>0</v>
      </c>
      <c r="AD571" s="344">
        <f>'ALL ML SYSTEMS'!AD557</f>
        <v>0</v>
      </c>
    </row>
    <row r="572" hidden="1" customHeight="1" spans="1:30">
      <c r="A572" s="344">
        <f>'ALL ML SYSTEMS'!A558</f>
        <v>0</v>
      </c>
      <c r="B572" s="344">
        <f>'ALL ML SYSTEMS'!B558</f>
        <v>0</v>
      </c>
      <c r="C572" s="344">
        <f>'ALL ML SYSTEMS'!C558</f>
        <v>0</v>
      </c>
      <c r="D572" s="344">
        <f>'ALL ML SYSTEMS'!D558</f>
        <v>0</v>
      </c>
      <c r="E572" s="344">
        <f>'ALL ML SYSTEMS'!E558</f>
        <v>0</v>
      </c>
      <c r="F572" s="344">
        <f>'ALL ML SYSTEMS'!F558</f>
        <v>0</v>
      </c>
      <c r="G572" s="344">
        <f>'ALL ML SYSTEMS'!G558</f>
        <v>0</v>
      </c>
      <c r="H572" s="344">
        <f>'ALL ML SYSTEMS'!H558</f>
        <v>0</v>
      </c>
      <c r="I572" s="344">
        <f>'ALL ML SYSTEMS'!I558</f>
        <v>0</v>
      </c>
      <c r="J572" s="344">
        <f>'ALL ML SYSTEMS'!J558</f>
        <v>0</v>
      </c>
      <c r="K572" s="344">
        <f>'ALL ML SYSTEMS'!K558</f>
        <v>0</v>
      </c>
      <c r="L572" s="344">
        <f>'ALL ML SYSTEMS'!L558</f>
        <v>0</v>
      </c>
      <c r="M572" s="344">
        <f>'ALL ML SYSTEMS'!M558</f>
        <v>0</v>
      </c>
      <c r="N572" s="344">
        <f>'ALL ML SYSTEMS'!N558</f>
        <v>0</v>
      </c>
      <c r="O572" s="344">
        <f>'ALL ML SYSTEMS'!O558</f>
        <v>0</v>
      </c>
      <c r="P572" s="344">
        <f>'ALL ML SYSTEMS'!P558</f>
        <v>0</v>
      </c>
      <c r="Q572" s="344">
        <f>'ALL ML SYSTEMS'!Q558</f>
        <v>0</v>
      </c>
      <c r="R572" s="344">
        <f>'ALL ML SYSTEMS'!R558</f>
        <v>0</v>
      </c>
      <c r="S572" s="344">
        <f>'ALL ML SYSTEMS'!S558</f>
        <v>0</v>
      </c>
      <c r="T572" s="344">
        <f>'ALL ML SYSTEMS'!T558</f>
        <v>0</v>
      </c>
      <c r="U572" s="344">
        <f>'ALL ML SYSTEMS'!U558</f>
        <v>0</v>
      </c>
      <c r="V572" s="344">
        <f>'ALL ML SYSTEMS'!V558</f>
        <v>0</v>
      </c>
      <c r="W572" s="344">
        <f>'ALL ML SYSTEMS'!W558</f>
        <v>0</v>
      </c>
      <c r="X572" s="344">
        <f>'ALL ML SYSTEMS'!X558</f>
        <v>0</v>
      </c>
      <c r="Y572" s="344">
        <f>'ALL ML SYSTEMS'!Y558</f>
        <v>0</v>
      </c>
      <c r="Z572" s="344">
        <f>'ALL ML SYSTEMS'!Z558</f>
        <v>0</v>
      </c>
      <c r="AA572" s="344">
        <f>'ALL ML SYSTEMS'!AA558</f>
        <v>0</v>
      </c>
      <c r="AB572" s="344"/>
      <c r="AC572" s="344">
        <f>'ALL ML SYSTEMS'!AC558</f>
        <v>0</v>
      </c>
      <c r="AD572" s="344">
        <f>'ALL ML SYSTEMS'!AD558</f>
        <v>0</v>
      </c>
    </row>
    <row r="573" hidden="1" customHeight="1" spans="1:30">
      <c r="A573" s="344">
        <f>'ALL ML SYSTEMS'!A559</f>
        <v>0</v>
      </c>
      <c r="B573" s="344">
        <f>'ALL ML SYSTEMS'!B559</f>
        <v>0</v>
      </c>
      <c r="C573" s="344">
        <f>'ALL ML SYSTEMS'!C559</f>
        <v>0</v>
      </c>
      <c r="D573" s="344">
        <f>'ALL ML SYSTEMS'!D559</f>
        <v>0</v>
      </c>
      <c r="E573" s="344">
        <f>'ALL ML SYSTEMS'!E559</f>
        <v>0</v>
      </c>
      <c r="F573" s="344">
        <f>'ALL ML SYSTEMS'!F559</f>
        <v>0</v>
      </c>
      <c r="G573" s="344">
        <f>'ALL ML SYSTEMS'!G559</f>
        <v>0</v>
      </c>
      <c r="H573" s="344">
        <f>'ALL ML SYSTEMS'!H559</f>
        <v>0</v>
      </c>
      <c r="I573" s="344">
        <f>'ALL ML SYSTEMS'!I559</f>
        <v>0</v>
      </c>
      <c r="J573" s="344">
        <f>'ALL ML SYSTEMS'!J559</f>
        <v>0</v>
      </c>
      <c r="K573" s="344">
        <f>'ALL ML SYSTEMS'!K559</f>
        <v>0</v>
      </c>
      <c r="L573" s="344">
        <f>'ALL ML SYSTEMS'!L559</f>
        <v>0</v>
      </c>
      <c r="M573" s="344">
        <f>'ALL ML SYSTEMS'!M559</f>
        <v>0</v>
      </c>
      <c r="N573" s="344">
        <f>'ALL ML SYSTEMS'!N559</f>
        <v>0</v>
      </c>
      <c r="O573" s="344">
        <f>'ALL ML SYSTEMS'!O559</f>
        <v>0</v>
      </c>
      <c r="P573" s="344">
        <f>'ALL ML SYSTEMS'!P559</f>
        <v>0</v>
      </c>
      <c r="Q573" s="344">
        <f>'ALL ML SYSTEMS'!Q559</f>
        <v>0</v>
      </c>
      <c r="R573" s="344">
        <f>'ALL ML SYSTEMS'!R559</f>
        <v>0</v>
      </c>
      <c r="S573" s="344">
        <f>'ALL ML SYSTEMS'!S559</f>
        <v>0</v>
      </c>
      <c r="T573" s="344">
        <f>'ALL ML SYSTEMS'!T559</f>
        <v>0</v>
      </c>
      <c r="U573" s="344">
        <f>'ALL ML SYSTEMS'!U559</f>
        <v>0</v>
      </c>
      <c r="V573" s="344">
        <f>'ALL ML SYSTEMS'!V559</f>
        <v>0</v>
      </c>
      <c r="W573" s="344">
        <f>'ALL ML SYSTEMS'!W559</f>
        <v>0</v>
      </c>
      <c r="X573" s="344">
        <f>'ALL ML SYSTEMS'!X559</f>
        <v>0</v>
      </c>
      <c r="Y573" s="344">
        <f>'ALL ML SYSTEMS'!Y559</f>
        <v>0</v>
      </c>
      <c r="Z573" s="344">
        <f>'ALL ML SYSTEMS'!Z559</f>
        <v>0</v>
      </c>
      <c r="AA573" s="344">
        <f>'ALL ML SYSTEMS'!AA559</f>
        <v>0</v>
      </c>
      <c r="AB573" s="344"/>
      <c r="AC573" s="344">
        <f>'ALL ML SYSTEMS'!AC559</f>
        <v>0</v>
      </c>
      <c r="AD573" s="344">
        <f>'ALL ML SYSTEMS'!AD559</f>
        <v>0</v>
      </c>
    </row>
    <row r="574" hidden="1" customHeight="1" spans="1:30">
      <c r="A574" s="344">
        <f>'ALL ML SYSTEMS'!A560</f>
        <v>0</v>
      </c>
      <c r="B574" s="344">
        <f>'ALL ML SYSTEMS'!B560</f>
        <v>0</v>
      </c>
      <c r="C574" s="344">
        <f>'ALL ML SYSTEMS'!C560</f>
        <v>0</v>
      </c>
      <c r="D574" s="344">
        <f>'ALL ML SYSTEMS'!D560</f>
        <v>0</v>
      </c>
      <c r="E574" s="344">
        <f>'ALL ML SYSTEMS'!E560</f>
        <v>0</v>
      </c>
      <c r="F574" s="344">
        <f>'ALL ML SYSTEMS'!F560</f>
        <v>0</v>
      </c>
      <c r="G574" s="344">
        <f>'ALL ML SYSTEMS'!G560</f>
        <v>0</v>
      </c>
      <c r="H574" s="344">
        <f>'ALL ML SYSTEMS'!H560</f>
        <v>0</v>
      </c>
      <c r="I574" s="344">
        <f>'ALL ML SYSTEMS'!I560</f>
        <v>0</v>
      </c>
      <c r="J574" s="344">
        <f>'ALL ML SYSTEMS'!J560</f>
        <v>0</v>
      </c>
      <c r="K574" s="344">
        <f>'ALL ML SYSTEMS'!K560</f>
        <v>0</v>
      </c>
      <c r="L574" s="344">
        <f>'ALL ML SYSTEMS'!L560</f>
        <v>0</v>
      </c>
      <c r="M574" s="344">
        <f>'ALL ML SYSTEMS'!M560</f>
        <v>0</v>
      </c>
      <c r="N574" s="344">
        <f>'ALL ML SYSTEMS'!N560</f>
        <v>0</v>
      </c>
      <c r="O574" s="344">
        <f>'ALL ML SYSTEMS'!O560</f>
        <v>0</v>
      </c>
      <c r="P574" s="344">
        <f>'ALL ML SYSTEMS'!P560</f>
        <v>0</v>
      </c>
      <c r="Q574" s="344">
        <f>'ALL ML SYSTEMS'!Q560</f>
        <v>0</v>
      </c>
      <c r="R574" s="344">
        <f>'ALL ML SYSTEMS'!R560</f>
        <v>0</v>
      </c>
      <c r="S574" s="344">
        <f>'ALL ML SYSTEMS'!S560</f>
        <v>0</v>
      </c>
      <c r="T574" s="344">
        <f>'ALL ML SYSTEMS'!T560</f>
        <v>0</v>
      </c>
      <c r="U574" s="344">
        <f>'ALL ML SYSTEMS'!U560</f>
        <v>0</v>
      </c>
      <c r="V574" s="344">
        <f>'ALL ML SYSTEMS'!V560</f>
        <v>0</v>
      </c>
      <c r="W574" s="344">
        <f>'ALL ML SYSTEMS'!W560</f>
        <v>0</v>
      </c>
      <c r="X574" s="344">
        <f>'ALL ML SYSTEMS'!X560</f>
        <v>0</v>
      </c>
      <c r="Y574" s="344">
        <f>'ALL ML SYSTEMS'!Y560</f>
        <v>0</v>
      </c>
      <c r="Z574" s="344">
        <f>'ALL ML SYSTEMS'!Z560</f>
        <v>0</v>
      </c>
      <c r="AA574" s="344">
        <f>'ALL ML SYSTEMS'!AA560</f>
        <v>0</v>
      </c>
      <c r="AB574" s="344"/>
      <c r="AC574" s="344">
        <f>'ALL ML SYSTEMS'!AC560</f>
        <v>0</v>
      </c>
      <c r="AD574" s="344">
        <f>'ALL ML SYSTEMS'!AD560</f>
        <v>0</v>
      </c>
    </row>
    <row r="575" hidden="1" customHeight="1" spans="1:30">
      <c r="A575" s="344">
        <f>'ALL ML SYSTEMS'!A561</f>
        <v>0</v>
      </c>
      <c r="B575" s="344">
        <f>'ALL ML SYSTEMS'!B561</f>
        <v>0</v>
      </c>
      <c r="C575" s="344">
        <f>'ALL ML SYSTEMS'!C561</f>
        <v>0</v>
      </c>
      <c r="D575" s="344">
        <f>'ALL ML SYSTEMS'!D561</f>
        <v>0</v>
      </c>
      <c r="E575" s="344">
        <f>'ALL ML SYSTEMS'!E561</f>
        <v>0</v>
      </c>
      <c r="F575" s="344">
        <f>'ALL ML SYSTEMS'!F561</f>
        <v>0</v>
      </c>
      <c r="G575" s="344">
        <f>'ALL ML SYSTEMS'!G561</f>
        <v>0</v>
      </c>
      <c r="H575" s="344">
        <f>'ALL ML SYSTEMS'!H561</f>
        <v>0</v>
      </c>
      <c r="I575" s="344">
        <f>'ALL ML SYSTEMS'!I561</f>
        <v>0</v>
      </c>
      <c r="J575" s="344">
        <f>'ALL ML SYSTEMS'!J561</f>
        <v>0</v>
      </c>
      <c r="K575" s="344">
        <f>'ALL ML SYSTEMS'!K561</f>
        <v>0</v>
      </c>
      <c r="L575" s="344">
        <f>'ALL ML SYSTEMS'!L561</f>
        <v>0</v>
      </c>
      <c r="M575" s="344">
        <f>'ALL ML SYSTEMS'!M561</f>
        <v>0</v>
      </c>
      <c r="N575" s="344">
        <f>'ALL ML SYSTEMS'!N561</f>
        <v>0</v>
      </c>
      <c r="O575" s="344">
        <f>'ALL ML SYSTEMS'!O561</f>
        <v>0</v>
      </c>
      <c r="P575" s="344">
        <f>'ALL ML SYSTEMS'!P561</f>
        <v>0</v>
      </c>
      <c r="Q575" s="344">
        <f>'ALL ML SYSTEMS'!Q561</f>
        <v>0</v>
      </c>
      <c r="R575" s="344">
        <f>'ALL ML SYSTEMS'!R561</f>
        <v>0</v>
      </c>
      <c r="S575" s="344">
        <f>'ALL ML SYSTEMS'!S561</f>
        <v>0</v>
      </c>
      <c r="T575" s="344">
        <f>'ALL ML SYSTEMS'!T561</f>
        <v>0</v>
      </c>
      <c r="U575" s="344">
        <f>'ALL ML SYSTEMS'!U561</f>
        <v>0</v>
      </c>
      <c r="V575" s="344">
        <f>'ALL ML SYSTEMS'!V561</f>
        <v>0</v>
      </c>
      <c r="W575" s="344">
        <f>'ALL ML SYSTEMS'!W561</f>
        <v>0</v>
      </c>
      <c r="X575" s="344">
        <f>'ALL ML SYSTEMS'!X561</f>
        <v>0</v>
      </c>
      <c r="Y575" s="344">
        <f>'ALL ML SYSTEMS'!Y561</f>
        <v>0</v>
      </c>
      <c r="Z575" s="344">
        <f>'ALL ML SYSTEMS'!Z561</f>
        <v>0</v>
      </c>
      <c r="AA575" s="344">
        <f>'ALL ML SYSTEMS'!AA561</f>
        <v>0</v>
      </c>
      <c r="AB575" s="344"/>
      <c r="AC575" s="344">
        <f>'ALL ML SYSTEMS'!AC561</f>
        <v>0</v>
      </c>
      <c r="AD575" s="344">
        <f>'ALL ML SYSTEMS'!AD561</f>
        <v>0</v>
      </c>
    </row>
    <row r="576" hidden="1" customHeight="1" spans="1:30">
      <c r="A576" s="344">
        <f>'ALL ML SYSTEMS'!A562</f>
        <v>0</v>
      </c>
      <c r="B576" s="344">
        <f>'ALL ML SYSTEMS'!B562</f>
        <v>0</v>
      </c>
      <c r="C576" s="344">
        <f>'ALL ML SYSTEMS'!C562</f>
        <v>0</v>
      </c>
      <c r="D576" s="344">
        <f>'ALL ML SYSTEMS'!D562</f>
        <v>0</v>
      </c>
      <c r="E576" s="344">
        <f>'ALL ML SYSTEMS'!E562</f>
        <v>0</v>
      </c>
      <c r="F576" s="344">
        <f>'ALL ML SYSTEMS'!F562</f>
        <v>0</v>
      </c>
      <c r="G576" s="344">
        <f>'ALL ML SYSTEMS'!G562</f>
        <v>0</v>
      </c>
      <c r="H576" s="344">
        <f>'ALL ML SYSTEMS'!H562</f>
        <v>0</v>
      </c>
      <c r="I576" s="344">
        <f>'ALL ML SYSTEMS'!I562</f>
        <v>0</v>
      </c>
      <c r="J576" s="344">
        <f>'ALL ML SYSTEMS'!J562</f>
        <v>0</v>
      </c>
      <c r="K576" s="344">
        <f>'ALL ML SYSTEMS'!K562</f>
        <v>0</v>
      </c>
      <c r="L576" s="344">
        <f>'ALL ML SYSTEMS'!L562</f>
        <v>0</v>
      </c>
      <c r="M576" s="344">
        <f>'ALL ML SYSTEMS'!M562</f>
        <v>0</v>
      </c>
      <c r="N576" s="344">
        <f>'ALL ML SYSTEMS'!N562</f>
        <v>0</v>
      </c>
      <c r="O576" s="344">
        <f>'ALL ML SYSTEMS'!O562</f>
        <v>0</v>
      </c>
      <c r="P576" s="344">
        <f>'ALL ML SYSTEMS'!P562</f>
        <v>0</v>
      </c>
      <c r="Q576" s="344">
        <f>'ALL ML SYSTEMS'!Q562</f>
        <v>0</v>
      </c>
      <c r="R576" s="344">
        <f>'ALL ML SYSTEMS'!R562</f>
        <v>0</v>
      </c>
      <c r="S576" s="344">
        <f>'ALL ML SYSTEMS'!S562</f>
        <v>0</v>
      </c>
      <c r="T576" s="344">
        <f>'ALL ML SYSTEMS'!T562</f>
        <v>0</v>
      </c>
      <c r="U576" s="344">
        <f>'ALL ML SYSTEMS'!U562</f>
        <v>0</v>
      </c>
      <c r="V576" s="344">
        <f>'ALL ML SYSTEMS'!V562</f>
        <v>0</v>
      </c>
      <c r="W576" s="344">
        <f>'ALL ML SYSTEMS'!W562</f>
        <v>0</v>
      </c>
      <c r="X576" s="344">
        <f>'ALL ML SYSTEMS'!X562</f>
        <v>0</v>
      </c>
      <c r="Y576" s="344">
        <f>'ALL ML SYSTEMS'!Y562</f>
        <v>0</v>
      </c>
      <c r="Z576" s="344">
        <f>'ALL ML SYSTEMS'!Z562</f>
        <v>0</v>
      </c>
      <c r="AA576" s="344">
        <f>'ALL ML SYSTEMS'!AA562</f>
        <v>0</v>
      </c>
      <c r="AB576" s="344"/>
      <c r="AC576" s="344">
        <f>'ALL ML SYSTEMS'!AC562</f>
        <v>0</v>
      </c>
      <c r="AD576" s="344">
        <f>'ALL ML SYSTEMS'!AD562</f>
        <v>0</v>
      </c>
    </row>
    <row r="577" hidden="1" customHeight="1" spans="1:30">
      <c r="A577" s="344">
        <f>'ALL ML SYSTEMS'!A563</f>
        <v>0</v>
      </c>
      <c r="B577" s="344">
        <f>'ALL ML SYSTEMS'!B563</f>
        <v>0</v>
      </c>
      <c r="C577" s="344">
        <f>'ALL ML SYSTEMS'!C563</f>
        <v>0</v>
      </c>
      <c r="D577" s="344">
        <f>'ALL ML SYSTEMS'!D563</f>
        <v>0</v>
      </c>
      <c r="E577" s="344">
        <f>'ALL ML SYSTEMS'!E563</f>
        <v>0</v>
      </c>
      <c r="F577" s="344">
        <f>'ALL ML SYSTEMS'!F563</f>
        <v>0</v>
      </c>
      <c r="G577" s="344">
        <f>'ALL ML SYSTEMS'!G563</f>
        <v>0</v>
      </c>
      <c r="H577" s="344">
        <f>'ALL ML SYSTEMS'!H563</f>
        <v>0</v>
      </c>
      <c r="I577" s="344">
        <f>'ALL ML SYSTEMS'!I563</f>
        <v>0</v>
      </c>
      <c r="J577" s="344">
        <f>'ALL ML SYSTEMS'!J563</f>
        <v>0</v>
      </c>
      <c r="K577" s="344">
        <f>'ALL ML SYSTEMS'!K563</f>
        <v>0</v>
      </c>
      <c r="L577" s="344">
        <f>'ALL ML SYSTEMS'!L563</f>
        <v>0</v>
      </c>
      <c r="M577" s="344">
        <f>'ALL ML SYSTEMS'!M563</f>
        <v>0</v>
      </c>
      <c r="N577" s="344">
        <f>'ALL ML SYSTEMS'!N563</f>
        <v>0</v>
      </c>
      <c r="O577" s="344">
        <f>'ALL ML SYSTEMS'!O563</f>
        <v>0</v>
      </c>
      <c r="P577" s="344">
        <f>'ALL ML SYSTEMS'!P563</f>
        <v>0</v>
      </c>
      <c r="Q577" s="344">
        <f>'ALL ML SYSTEMS'!Q563</f>
        <v>0</v>
      </c>
      <c r="R577" s="344">
        <f>'ALL ML SYSTEMS'!R563</f>
        <v>0</v>
      </c>
      <c r="S577" s="344">
        <f>'ALL ML SYSTEMS'!S563</f>
        <v>0</v>
      </c>
      <c r="T577" s="344">
        <f>'ALL ML SYSTEMS'!T563</f>
        <v>0</v>
      </c>
      <c r="U577" s="344">
        <f>'ALL ML SYSTEMS'!U563</f>
        <v>0</v>
      </c>
      <c r="V577" s="344">
        <f>'ALL ML SYSTEMS'!V563</f>
        <v>0</v>
      </c>
      <c r="W577" s="344">
        <f>'ALL ML SYSTEMS'!W563</f>
        <v>0</v>
      </c>
      <c r="X577" s="344">
        <f>'ALL ML SYSTEMS'!X563</f>
        <v>0</v>
      </c>
      <c r="Y577" s="344">
        <f>'ALL ML SYSTEMS'!Y563</f>
        <v>0</v>
      </c>
      <c r="Z577" s="344">
        <f>'ALL ML SYSTEMS'!Z563</f>
        <v>0</v>
      </c>
      <c r="AA577" s="344">
        <f>'ALL ML SYSTEMS'!AA563</f>
        <v>0</v>
      </c>
      <c r="AB577" s="344"/>
      <c r="AC577" s="344">
        <f>'ALL ML SYSTEMS'!AC563</f>
        <v>0</v>
      </c>
      <c r="AD577" s="344">
        <f>'ALL ML SYSTEMS'!AD563</f>
        <v>0</v>
      </c>
    </row>
    <row r="578" hidden="1" customHeight="1" spans="1:30">
      <c r="A578" s="344">
        <f>'ALL ML SYSTEMS'!A564</f>
        <v>0</v>
      </c>
      <c r="B578" s="344">
        <f>'ALL ML SYSTEMS'!B564</f>
        <v>0</v>
      </c>
      <c r="C578" s="344">
        <f>'ALL ML SYSTEMS'!C564</f>
        <v>0</v>
      </c>
      <c r="D578" s="344">
        <f>'ALL ML SYSTEMS'!D564</f>
        <v>0</v>
      </c>
      <c r="E578" s="344">
        <f>'ALL ML SYSTEMS'!E564</f>
        <v>0</v>
      </c>
      <c r="F578" s="344">
        <f>'ALL ML SYSTEMS'!F564</f>
        <v>0</v>
      </c>
      <c r="G578" s="344">
        <f>'ALL ML SYSTEMS'!G564</f>
        <v>0</v>
      </c>
      <c r="H578" s="344">
        <f>'ALL ML SYSTEMS'!H564</f>
        <v>0</v>
      </c>
      <c r="I578" s="344">
        <f>'ALL ML SYSTEMS'!I564</f>
        <v>0</v>
      </c>
      <c r="J578" s="344">
        <f>'ALL ML SYSTEMS'!J564</f>
        <v>0</v>
      </c>
      <c r="K578" s="344">
        <f>'ALL ML SYSTEMS'!K564</f>
        <v>0</v>
      </c>
      <c r="L578" s="344">
        <f>'ALL ML SYSTEMS'!L564</f>
        <v>0</v>
      </c>
      <c r="M578" s="344">
        <f>'ALL ML SYSTEMS'!M564</f>
        <v>0</v>
      </c>
      <c r="N578" s="344">
        <f>'ALL ML SYSTEMS'!N564</f>
        <v>0</v>
      </c>
      <c r="O578" s="344">
        <f>'ALL ML SYSTEMS'!O564</f>
        <v>0</v>
      </c>
      <c r="P578" s="344">
        <f>'ALL ML SYSTEMS'!P564</f>
        <v>0</v>
      </c>
      <c r="Q578" s="344">
        <f>'ALL ML SYSTEMS'!Q564</f>
        <v>0</v>
      </c>
      <c r="R578" s="344">
        <f>'ALL ML SYSTEMS'!R564</f>
        <v>0</v>
      </c>
      <c r="S578" s="344">
        <f>'ALL ML SYSTEMS'!S564</f>
        <v>0</v>
      </c>
      <c r="T578" s="344">
        <f>'ALL ML SYSTEMS'!T564</f>
        <v>0</v>
      </c>
      <c r="U578" s="344">
        <f>'ALL ML SYSTEMS'!U564</f>
        <v>0</v>
      </c>
      <c r="V578" s="344">
        <f>'ALL ML SYSTEMS'!V564</f>
        <v>0</v>
      </c>
      <c r="W578" s="344">
        <f>'ALL ML SYSTEMS'!W564</f>
        <v>0</v>
      </c>
      <c r="X578" s="344">
        <f>'ALL ML SYSTEMS'!X564</f>
        <v>0</v>
      </c>
      <c r="Y578" s="344">
        <f>'ALL ML SYSTEMS'!Y564</f>
        <v>0</v>
      </c>
      <c r="Z578" s="344">
        <f>'ALL ML SYSTEMS'!Z564</f>
        <v>0</v>
      </c>
      <c r="AA578" s="344">
        <f>'ALL ML SYSTEMS'!AA564</f>
        <v>0</v>
      </c>
      <c r="AB578" s="344"/>
      <c r="AC578" s="344">
        <f>'ALL ML SYSTEMS'!AC564</f>
        <v>0</v>
      </c>
      <c r="AD578" s="344">
        <f>'ALL ML SYSTEMS'!AD564</f>
        <v>0</v>
      </c>
    </row>
    <row r="579" hidden="1" customHeight="1" spans="1:30">
      <c r="A579" s="344">
        <f>'ALL ML SYSTEMS'!A565</f>
        <v>0</v>
      </c>
      <c r="B579" s="344">
        <f>'ALL ML SYSTEMS'!B565</f>
        <v>0</v>
      </c>
      <c r="C579" s="344">
        <f>'ALL ML SYSTEMS'!C565</f>
        <v>0</v>
      </c>
      <c r="D579" s="344">
        <f>'ALL ML SYSTEMS'!D565</f>
        <v>0</v>
      </c>
      <c r="E579" s="344">
        <f>'ALL ML SYSTEMS'!E565</f>
        <v>0</v>
      </c>
      <c r="F579" s="344">
        <f>'ALL ML SYSTEMS'!F565</f>
        <v>0</v>
      </c>
      <c r="G579" s="344">
        <f>'ALL ML SYSTEMS'!G565</f>
        <v>0</v>
      </c>
      <c r="H579" s="344">
        <f>'ALL ML SYSTEMS'!H565</f>
        <v>0</v>
      </c>
      <c r="I579" s="344">
        <f>'ALL ML SYSTEMS'!I565</f>
        <v>0</v>
      </c>
      <c r="J579" s="344">
        <f>'ALL ML SYSTEMS'!J565</f>
        <v>0</v>
      </c>
      <c r="K579" s="344">
        <f>'ALL ML SYSTEMS'!K565</f>
        <v>0</v>
      </c>
      <c r="L579" s="344">
        <f>'ALL ML SYSTEMS'!L565</f>
        <v>0</v>
      </c>
      <c r="M579" s="344">
        <f>'ALL ML SYSTEMS'!M565</f>
        <v>0</v>
      </c>
      <c r="N579" s="344">
        <f>'ALL ML SYSTEMS'!N565</f>
        <v>0</v>
      </c>
      <c r="O579" s="344">
        <f>'ALL ML SYSTEMS'!O565</f>
        <v>0</v>
      </c>
      <c r="P579" s="344">
        <f>'ALL ML SYSTEMS'!P565</f>
        <v>0</v>
      </c>
      <c r="Q579" s="344">
        <f>'ALL ML SYSTEMS'!Q565</f>
        <v>0</v>
      </c>
      <c r="R579" s="344">
        <f>'ALL ML SYSTEMS'!R565</f>
        <v>0</v>
      </c>
      <c r="S579" s="344">
        <f>'ALL ML SYSTEMS'!S565</f>
        <v>0</v>
      </c>
      <c r="T579" s="344">
        <f>'ALL ML SYSTEMS'!T565</f>
        <v>0</v>
      </c>
      <c r="U579" s="344">
        <f>'ALL ML SYSTEMS'!U565</f>
        <v>0</v>
      </c>
      <c r="V579" s="344">
        <f>'ALL ML SYSTEMS'!V565</f>
        <v>0</v>
      </c>
      <c r="W579" s="344">
        <f>'ALL ML SYSTEMS'!W565</f>
        <v>0</v>
      </c>
      <c r="X579" s="344">
        <f>'ALL ML SYSTEMS'!X565</f>
        <v>0</v>
      </c>
      <c r="Y579" s="344">
        <f>'ALL ML SYSTEMS'!Y565</f>
        <v>0</v>
      </c>
      <c r="Z579" s="344">
        <f>'ALL ML SYSTEMS'!Z565</f>
        <v>0</v>
      </c>
      <c r="AA579" s="344">
        <f>'ALL ML SYSTEMS'!AA565</f>
        <v>0</v>
      </c>
      <c r="AB579" s="344"/>
      <c r="AC579" s="344">
        <f>'ALL ML SYSTEMS'!AC565</f>
        <v>0</v>
      </c>
      <c r="AD579" s="344">
        <f>'ALL ML SYSTEMS'!AD565</f>
        <v>0</v>
      </c>
    </row>
    <row r="580" hidden="1" customHeight="1" spans="1:30">
      <c r="A580" s="344">
        <f>'ALL ML SYSTEMS'!A566</f>
        <v>0</v>
      </c>
      <c r="B580" s="344">
        <f>'ALL ML SYSTEMS'!B566</f>
        <v>0</v>
      </c>
      <c r="C580" s="344">
        <f>'ALL ML SYSTEMS'!C566</f>
        <v>0</v>
      </c>
      <c r="D580" s="344">
        <f>'ALL ML SYSTEMS'!D566</f>
        <v>0</v>
      </c>
      <c r="E580" s="344">
        <f>'ALL ML SYSTEMS'!E566</f>
        <v>0</v>
      </c>
      <c r="F580" s="344">
        <f>'ALL ML SYSTEMS'!F566</f>
        <v>0</v>
      </c>
      <c r="G580" s="344">
        <f>'ALL ML SYSTEMS'!G566</f>
        <v>0</v>
      </c>
      <c r="H580" s="344">
        <f>'ALL ML SYSTEMS'!H566</f>
        <v>0</v>
      </c>
      <c r="I580" s="344">
        <f>'ALL ML SYSTEMS'!I566</f>
        <v>0</v>
      </c>
      <c r="J580" s="344">
        <f>'ALL ML SYSTEMS'!J566</f>
        <v>0</v>
      </c>
      <c r="K580" s="344">
        <f>'ALL ML SYSTEMS'!K566</f>
        <v>0</v>
      </c>
      <c r="L580" s="344">
        <f>'ALL ML SYSTEMS'!L566</f>
        <v>0</v>
      </c>
      <c r="M580" s="344">
        <f>'ALL ML SYSTEMS'!M566</f>
        <v>0</v>
      </c>
      <c r="N580" s="344">
        <f>'ALL ML SYSTEMS'!N566</f>
        <v>0</v>
      </c>
      <c r="O580" s="344">
        <f>'ALL ML SYSTEMS'!O566</f>
        <v>0</v>
      </c>
      <c r="P580" s="344">
        <f>'ALL ML SYSTEMS'!P566</f>
        <v>0</v>
      </c>
      <c r="Q580" s="344">
        <f>'ALL ML SYSTEMS'!Q566</f>
        <v>0</v>
      </c>
      <c r="R580" s="344">
        <f>'ALL ML SYSTEMS'!R566</f>
        <v>0</v>
      </c>
      <c r="S580" s="344">
        <f>'ALL ML SYSTEMS'!S566</f>
        <v>0</v>
      </c>
      <c r="T580" s="344">
        <f>'ALL ML SYSTEMS'!T566</f>
        <v>0</v>
      </c>
      <c r="U580" s="344">
        <f>'ALL ML SYSTEMS'!U566</f>
        <v>0</v>
      </c>
      <c r="V580" s="344">
        <f>'ALL ML SYSTEMS'!V566</f>
        <v>0</v>
      </c>
      <c r="W580" s="344">
        <f>'ALL ML SYSTEMS'!W566</f>
        <v>0</v>
      </c>
      <c r="X580" s="344">
        <f>'ALL ML SYSTEMS'!X566</f>
        <v>0</v>
      </c>
      <c r="Y580" s="344">
        <f>'ALL ML SYSTEMS'!Y566</f>
        <v>0</v>
      </c>
      <c r="Z580" s="344">
        <f>'ALL ML SYSTEMS'!Z566</f>
        <v>0</v>
      </c>
      <c r="AA580" s="344">
        <f>'ALL ML SYSTEMS'!AA566</f>
        <v>0</v>
      </c>
      <c r="AB580" s="344"/>
      <c r="AC580" s="344">
        <f>'ALL ML SYSTEMS'!AC566</f>
        <v>0</v>
      </c>
      <c r="AD580" s="344">
        <f>'ALL ML SYSTEMS'!AD566</f>
        <v>0</v>
      </c>
    </row>
    <row r="581" hidden="1" customHeight="1" spans="1:30">
      <c r="A581" s="344">
        <f>'ALL ML SYSTEMS'!A567</f>
        <v>0</v>
      </c>
      <c r="B581" s="344">
        <f>'ALL ML SYSTEMS'!B567</f>
        <v>0</v>
      </c>
      <c r="C581" s="344">
        <f>'ALL ML SYSTEMS'!C567</f>
        <v>0</v>
      </c>
      <c r="D581" s="344">
        <f>'ALL ML SYSTEMS'!D567</f>
        <v>0</v>
      </c>
      <c r="E581" s="344">
        <f>'ALL ML SYSTEMS'!E567</f>
        <v>0</v>
      </c>
      <c r="F581" s="344">
        <f>'ALL ML SYSTEMS'!F567</f>
        <v>0</v>
      </c>
      <c r="G581" s="344">
        <f>'ALL ML SYSTEMS'!G567</f>
        <v>0</v>
      </c>
      <c r="H581" s="344">
        <f>'ALL ML SYSTEMS'!H567</f>
        <v>0</v>
      </c>
      <c r="I581" s="344">
        <f>'ALL ML SYSTEMS'!I567</f>
        <v>0</v>
      </c>
      <c r="J581" s="344">
        <f>'ALL ML SYSTEMS'!J567</f>
        <v>0</v>
      </c>
      <c r="K581" s="344">
        <f>'ALL ML SYSTEMS'!K567</f>
        <v>0</v>
      </c>
      <c r="L581" s="344">
        <f>'ALL ML SYSTEMS'!L567</f>
        <v>0</v>
      </c>
      <c r="M581" s="344">
        <f>'ALL ML SYSTEMS'!M567</f>
        <v>0</v>
      </c>
      <c r="N581" s="344">
        <f>'ALL ML SYSTEMS'!N567</f>
        <v>0</v>
      </c>
      <c r="O581" s="344">
        <f>'ALL ML SYSTEMS'!O567</f>
        <v>0</v>
      </c>
      <c r="P581" s="344">
        <f>'ALL ML SYSTEMS'!P567</f>
        <v>0</v>
      </c>
      <c r="Q581" s="344">
        <f>'ALL ML SYSTEMS'!Q567</f>
        <v>0</v>
      </c>
      <c r="R581" s="344">
        <f>'ALL ML SYSTEMS'!R567</f>
        <v>0</v>
      </c>
      <c r="S581" s="344">
        <f>'ALL ML SYSTEMS'!S567</f>
        <v>0</v>
      </c>
      <c r="T581" s="344">
        <f>'ALL ML SYSTEMS'!T567</f>
        <v>0</v>
      </c>
      <c r="U581" s="344">
        <f>'ALL ML SYSTEMS'!U567</f>
        <v>0</v>
      </c>
      <c r="V581" s="344">
        <f>'ALL ML SYSTEMS'!V567</f>
        <v>0</v>
      </c>
      <c r="W581" s="344">
        <f>'ALL ML SYSTEMS'!W567</f>
        <v>0</v>
      </c>
      <c r="X581" s="344">
        <f>'ALL ML SYSTEMS'!X567</f>
        <v>0</v>
      </c>
      <c r="Y581" s="344">
        <f>'ALL ML SYSTEMS'!Y567</f>
        <v>0</v>
      </c>
      <c r="Z581" s="344">
        <f>'ALL ML SYSTEMS'!Z567</f>
        <v>0</v>
      </c>
      <c r="AA581" s="344">
        <f>'ALL ML SYSTEMS'!AA567</f>
        <v>0</v>
      </c>
      <c r="AB581" s="344"/>
      <c r="AC581" s="344">
        <f>'ALL ML SYSTEMS'!AC567</f>
        <v>0</v>
      </c>
      <c r="AD581" s="344">
        <f>'ALL ML SYSTEMS'!AD567</f>
        <v>0</v>
      </c>
    </row>
    <row r="582" hidden="1" customHeight="1" spans="1:30">
      <c r="A582" s="344">
        <f>'ALL ML SYSTEMS'!A568</f>
        <v>0</v>
      </c>
      <c r="B582" s="344">
        <f>'ALL ML SYSTEMS'!B568</f>
        <v>0</v>
      </c>
      <c r="C582" s="344">
        <f>'ALL ML SYSTEMS'!C568</f>
        <v>0</v>
      </c>
      <c r="D582" s="344">
        <f>'ALL ML SYSTEMS'!D568</f>
        <v>0</v>
      </c>
      <c r="E582" s="344">
        <f>'ALL ML SYSTEMS'!E568</f>
        <v>0</v>
      </c>
      <c r="F582" s="344">
        <f>'ALL ML SYSTEMS'!F568</f>
        <v>0</v>
      </c>
      <c r="G582" s="344">
        <f>'ALL ML SYSTEMS'!G568</f>
        <v>0</v>
      </c>
      <c r="H582" s="344">
        <f>'ALL ML SYSTEMS'!H568</f>
        <v>0</v>
      </c>
      <c r="I582" s="344">
        <f>'ALL ML SYSTEMS'!I568</f>
        <v>0</v>
      </c>
      <c r="J582" s="344">
        <f>'ALL ML SYSTEMS'!J568</f>
        <v>0</v>
      </c>
      <c r="K582" s="344">
        <f>'ALL ML SYSTEMS'!K568</f>
        <v>0</v>
      </c>
      <c r="L582" s="344">
        <f>'ALL ML SYSTEMS'!L568</f>
        <v>0</v>
      </c>
      <c r="M582" s="344">
        <f>'ALL ML SYSTEMS'!M568</f>
        <v>0</v>
      </c>
      <c r="N582" s="344">
        <f>'ALL ML SYSTEMS'!N568</f>
        <v>0</v>
      </c>
      <c r="O582" s="344">
        <f>'ALL ML SYSTEMS'!O568</f>
        <v>0</v>
      </c>
      <c r="P582" s="344">
        <f>'ALL ML SYSTEMS'!P568</f>
        <v>0</v>
      </c>
      <c r="Q582" s="344">
        <f>'ALL ML SYSTEMS'!Q568</f>
        <v>0</v>
      </c>
      <c r="R582" s="344">
        <f>'ALL ML SYSTEMS'!R568</f>
        <v>0</v>
      </c>
      <c r="S582" s="344">
        <f>'ALL ML SYSTEMS'!S568</f>
        <v>0</v>
      </c>
      <c r="T582" s="344">
        <f>'ALL ML SYSTEMS'!T568</f>
        <v>0</v>
      </c>
      <c r="U582" s="344">
        <f>'ALL ML SYSTEMS'!U568</f>
        <v>0</v>
      </c>
      <c r="V582" s="344">
        <f>'ALL ML SYSTEMS'!V568</f>
        <v>0</v>
      </c>
      <c r="W582" s="344">
        <f>'ALL ML SYSTEMS'!W568</f>
        <v>0</v>
      </c>
      <c r="X582" s="344">
        <f>'ALL ML SYSTEMS'!X568</f>
        <v>0</v>
      </c>
      <c r="Y582" s="344">
        <f>'ALL ML SYSTEMS'!Y568</f>
        <v>0</v>
      </c>
      <c r="Z582" s="344">
        <f>'ALL ML SYSTEMS'!Z568</f>
        <v>0</v>
      </c>
      <c r="AA582" s="344">
        <f>'ALL ML SYSTEMS'!AA568</f>
        <v>0</v>
      </c>
      <c r="AB582" s="344"/>
      <c r="AC582" s="344">
        <f>'ALL ML SYSTEMS'!AC568</f>
        <v>0</v>
      </c>
      <c r="AD582" s="344">
        <f>'ALL ML SYSTEMS'!AD568</f>
        <v>0</v>
      </c>
    </row>
    <row r="583" hidden="1" customHeight="1" spans="1:30">
      <c r="A583" s="344">
        <f>'ALL ML SYSTEMS'!A569</f>
        <v>0</v>
      </c>
      <c r="B583" s="344">
        <f>'ALL ML SYSTEMS'!B569</f>
        <v>0</v>
      </c>
      <c r="C583" s="344">
        <f>'ALL ML SYSTEMS'!C569</f>
        <v>0</v>
      </c>
      <c r="D583" s="344">
        <f>'ALL ML SYSTEMS'!D569</f>
        <v>0</v>
      </c>
      <c r="E583" s="344">
        <f>'ALL ML SYSTEMS'!E569</f>
        <v>0</v>
      </c>
      <c r="F583" s="344">
        <f>'ALL ML SYSTEMS'!F569</f>
        <v>0</v>
      </c>
      <c r="G583" s="344">
        <f>'ALL ML SYSTEMS'!G569</f>
        <v>0</v>
      </c>
      <c r="H583" s="344">
        <f>'ALL ML SYSTEMS'!H569</f>
        <v>0</v>
      </c>
      <c r="I583" s="344">
        <f>'ALL ML SYSTEMS'!I569</f>
        <v>0</v>
      </c>
      <c r="J583" s="344">
        <f>'ALL ML SYSTEMS'!J569</f>
        <v>0</v>
      </c>
      <c r="K583" s="344">
        <f>'ALL ML SYSTEMS'!K569</f>
        <v>0</v>
      </c>
      <c r="L583" s="344">
        <f>'ALL ML SYSTEMS'!L569</f>
        <v>0</v>
      </c>
      <c r="M583" s="344">
        <f>'ALL ML SYSTEMS'!M569</f>
        <v>0</v>
      </c>
      <c r="N583" s="344">
        <f>'ALL ML SYSTEMS'!N569</f>
        <v>0</v>
      </c>
      <c r="O583" s="344">
        <f>'ALL ML SYSTEMS'!O569</f>
        <v>0</v>
      </c>
      <c r="P583" s="344">
        <f>'ALL ML SYSTEMS'!P569</f>
        <v>0</v>
      </c>
      <c r="Q583" s="344">
        <f>'ALL ML SYSTEMS'!Q569</f>
        <v>0</v>
      </c>
      <c r="R583" s="344">
        <f>'ALL ML SYSTEMS'!R569</f>
        <v>0</v>
      </c>
      <c r="S583" s="344">
        <f>'ALL ML SYSTEMS'!S569</f>
        <v>0</v>
      </c>
      <c r="T583" s="344">
        <f>'ALL ML SYSTEMS'!T569</f>
        <v>0</v>
      </c>
      <c r="U583" s="344">
        <f>'ALL ML SYSTEMS'!U569</f>
        <v>0</v>
      </c>
      <c r="V583" s="344">
        <f>'ALL ML SYSTEMS'!V569</f>
        <v>0</v>
      </c>
      <c r="W583" s="344">
        <f>'ALL ML SYSTEMS'!W569</f>
        <v>0</v>
      </c>
      <c r="X583" s="344">
        <f>'ALL ML SYSTEMS'!X569</f>
        <v>0</v>
      </c>
      <c r="Y583" s="344">
        <f>'ALL ML SYSTEMS'!Y569</f>
        <v>0</v>
      </c>
      <c r="Z583" s="344">
        <f>'ALL ML SYSTEMS'!Z569</f>
        <v>0</v>
      </c>
      <c r="AA583" s="344">
        <f>'ALL ML SYSTEMS'!AA569</f>
        <v>0</v>
      </c>
      <c r="AB583" s="344"/>
      <c r="AC583" s="344">
        <f>'ALL ML SYSTEMS'!AC569</f>
        <v>0</v>
      </c>
      <c r="AD583" s="344">
        <f>'ALL ML SYSTEMS'!AD569</f>
        <v>0</v>
      </c>
    </row>
    <row r="584" hidden="1" customHeight="1" spans="1:30">
      <c r="A584" s="344">
        <f>'ALL ML SYSTEMS'!A570</f>
        <v>0</v>
      </c>
      <c r="B584" s="344">
        <f>'ALL ML SYSTEMS'!B570</f>
        <v>0</v>
      </c>
      <c r="C584" s="344">
        <f>'ALL ML SYSTEMS'!C570</f>
        <v>0</v>
      </c>
      <c r="D584" s="344">
        <f>'ALL ML SYSTEMS'!D570</f>
        <v>0</v>
      </c>
      <c r="E584" s="344">
        <f>'ALL ML SYSTEMS'!E570</f>
        <v>0</v>
      </c>
      <c r="F584" s="344">
        <f>'ALL ML SYSTEMS'!F570</f>
        <v>0</v>
      </c>
      <c r="G584" s="344">
        <f>'ALL ML SYSTEMS'!G570</f>
        <v>0</v>
      </c>
      <c r="H584" s="344">
        <f>'ALL ML SYSTEMS'!H570</f>
        <v>0</v>
      </c>
      <c r="I584" s="344">
        <f>'ALL ML SYSTEMS'!I570</f>
        <v>0</v>
      </c>
      <c r="J584" s="344">
        <f>'ALL ML SYSTEMS'!J570</f>
        <v>0</v>
      </c>
      <c r="K584" s="344">
        <f>'ALL ML SYSTEMS'!K570</f>
        <v>0</v>
      </c>
      <c r="L584" s="344">
        <f>'ALL ML SYSTEMS'!L570</f>
        <v>0</v>
      </c>
      <c r="M584" s="344">
        <f>'ALL ML SYSTEMS'!M570</f>
        <v>0</v>
      </c>
      <c r="N584" s="344">
        <f>'ALL ML SYSTEMS'!N570</f>
        <v>0</v>
      </c>
      <c r="O584" s="344">
        <f>'ALL ML SYSTEMS'!O570</f>
        <v>0</v>
      </c>
      <c r="P584" s="344">
        <f>'ALL ML SYSTEMS'!P570</f>
        <v>0</v>
      </c>
      <c r="Q584" s="344">
        <f>'ALL ML SYSTEMS'!Q570</f>
        <v>0</v>
      </c>
      <c r="R584" s="344">
        <f>'ALL ML SYSTEMS'!R570</f>
        <v>0</v>
      </c>
      <c r="S584" s="344">
        <f>'ALL ML SYSTEMS'!S570</f>
        <v>0</v>
      </c>
      <c r="T584" s="344">
        <f>'ALL ML SYSTEMS'!T570</f>
        <v>0</v>
      </c>
      <c r="U584" s="344">
        <f>'ALL ML SYSTEMS'!U570</f>
        <v>0</v>
      </c>
      <c r="V584" s="344">
        <f>'ALL ML SYSTEMS'!V570</f>
        <v>0</v>
      </c>
      <c r="W584" s="344">
        <f>'ALL ML SYSTEMS'!W570</f>
        <v>0</v>
      </c>
      <c r="X584" s="344">
        <f>'ALL ML SYSTEMS'!X570</f>
        <v>0</v>
      </c>
      <c r="Y584" s="344">
        <f>'ALL ML SYSTEMS'!Y570</f>
        <v>0</v>
      </c>
      <c r="Z584" s="344">
        <f>'ALL ML SYSTEMS'!Z570</f>
        <v>0</v>
      </c>
      <c r="AA584" s="344">
        <f>'ALL ML SYSTEMS'!AA570</f>
        <v>0</v>
      </c>
      <c r="AB584" s="344"/>
      <c r="AC584" s="344">
        <f>'ALL ML SYSTEMS'!AC570</f>
        <v>0</v>
      </c>
      <c r="AD584" s="344">
        <f>'ALL ML SYSTEMS'!AD570</f>
        <v>0</v>
      </c>
    </row>
    <row r="585" hidden="1" customHeight="1" spans="1:30">
      <c r="A585" s="344">
        <f>'ALL ML SYSTEMS'!A571</f>
        <v>0</v>
      </c>
      <c r="B585" s="344">
        <f>'ALL ML SYSTEMS'!B571</f>
        <v>0</v>
      </c>
      <c r="C585" s="344">
        <f>'ALL ML SYSTEMS'!C571</f>
        <v>0</v>
      </c>
      <c r="D585" s="344">
        <f>'ALL ML SYSTEMS'!D571</f>
        <v>0</v>
      </c>
      <c r="E585" s="344">
        <f>'ALL ML SYSTEMS'!E571</f>
        <v>0</v>
      </c>
      <c r="F585" s="344">
        <f>'ALL ML SYSTEMS'!F571</f>
        <v>0</v>
      </c>
      <c r="G585" s="344">
        <f>'ALL ML SYSTEMS'!G571</f>
        <v>0</v>
      </c>
      <c r="H585" s="344">
        <f>'ALL ML SYSTEMS'!H571</f>
        <v>0</v>
      </c>
      <c r="I585" s="344">
        <f>'ALL ML SYSTEMS'!I571</f>
        <v>0</v>
      </c>
      <c r="J585" s="344">
        <f>'ALL ML SYSTEMS'!J571</f>
        <v>0</v>
      </c>
      <c r="K585" s="344">
        <f>'ALL ML SYSTEMS'!K571</f>
        <v>0</v>
      </c>
      <c r="L585" s="344">
        <f>'ALL ML SYSTEMS'!L571</f>
        <v>0</v>
      </c>
      <c r="M585" s="344">
        <f>'ALL ML SYSTEMS'!M571</f>
        <v>0</v>
      </c>
      <c r="N585" s="344">
        <f>'ALL ML SYSTEMS'!N571</f>
        <v>0</v>
      </c>
      <c r="O585" s="344">
        <f>'ALL ML SYSTEMS'!O571</f>
        <v>0</v>
      </c>
      <c r="P585" s="344">
        <f>'ALL ML SYSTEMS'!P571</f>
        <v>0</v>
      </c>
      <c r="Q585" s="344">
        <f>'ALL ML SYSTEMS'!Q571</f>
        <v>0</v>
      </c>
      <c r="R585" s="344">
        <f>'ALL ML SYSTEMS'!R571</f>
        <v>0</v>
      </c>
      <c r="S585" s="344">
        <f>'ALL ML SYSTEMS'!S571</f>
        <v>0</v>
      </c>
      <c r="T585" s="344">
        <f>'ALL ML SYSTEMS'!T571</f>
        <v>0</v>
      </c>
      <c r="U585" s="344">
        <f>'ALL ML SYSTEMS'!U571</f>
        <v>0</v>
      </c>
      <c r="V585" s="344">
        <f>'ALL ML SYSTEMS'!V571</f>
        <v>0</v>
      </c>
      <c r="W585" s="344">
        <f>'ALL ML SYSTEMS'!W571</f>
        <v>0</v>
      </c>
      <c r="X585" s="344">
        <f>'ALL ML SYSTEMS'!X571</f>
        <v>0</v>
      </c>
      <c r="Y585" s="344">
        <f>'ALL ML SYSTEMS'!Y571</f>
        <v>0</v>
      </c>
      <c r="Z585" s="344">
        <f>'ALL ML SYSTEMS'!Z571</f>
        <v>0</v>
      </c>
      <c r="AA585" s="344">
        <f>'ALL ML SYSTEMS'!AA571</f>
        <v>0</v>
      </c>
      <c r="AB585" s="344"/>
      <c r="AC585" s="344">
        <f>'ALL ML SYSTEMS'!AC571</f>
        <v>0</v>
      </c>
      <c r="AD585" s="344">
        <f>'ALL ML SYSTEMS'!AD571</f>
        <v>0</v>
      </c>
    </row>
    <row r="586" hidden="1" customHeight="1" spans="1:30">
      <c r="A586" s="344">
        <f>'ALL ML SYSTEMS'!A572</f>
        <v>0</v>
      </c>
      <c r="B586" s="344">
        <f>'ALL ML SYSTEMS'!B572</f>
        <v>0</v>
      </c>
      <c r="C586" s="344">
        <f>'ALL ML SYSTEMS'!C572</f>
        <v>0</v>
      </c>
      <c r="D586" s="344">
        <f>'ALL ML SYSTEMS'!D572</f>
        <v>0</v>
      </c>
      <c r="E586" s="344">
        <f>'ALL ML SYSTEMS'!E572</f>
        <v>0</v>
      </c>
      <c r="F586" s="344">
        <f>'ALL ML SYSTEMS'!F572</f>
        <v>0</v>
      </c>
      <c r="G586" s="344">
        <f>'ALL ML SYSTEMS'!G572</f>
        <v>0</v>
      </c>
      <c r="H586" s="344">
        <f>'ALL ML SYSTEMS'!H572</f>
        <v>0</v>
      </c>
      <c r="I586" s="344">
        <f>'ALL ML SYSTEMS'!I572</f>
        <v>0</v>
      </c>
      <c r="J586" s="344">
        <f>'ALL ML SYSTEMS'!J572</f>
        <v>0</v>
      </c>
      <c r="K586" s="344">
        <f>'ALL ML SYSTEMS'!K572</f>
        <v>0</v>
      </c>
      <c r="L586" s="344">
        <f>'ALL ML SYSTEMS'!L572</f>
        <v>0</v>
      </c>
      <c r="M586" s="344">
        <f>'ALL ML SYSTEMS'!M572</f>
        <v>0</v>
      </c>
      <c r="N586" s="344">
        <f>'ALL ML SYSTEMS'!N572</f>
        <v>0</v>
      </c>
      <c r="O586" s="344">
        <f>'ALL ML SYSTEMS'!O572</f>
        <v>0</v>
      </c>
      <c r="P586" s="344">
        <f>'ALL ML SYSTEMS'!P572</f>
        <v>0</v>
      </c>
      <c r="Q586" s="344">
        <f>'ALL ML SYSTEMS'!Q572</f>
        <v>0</v>
      </c>
      <c r="R586" s="344">
        <f>'ALL ML SYSTEMS'!R572</f>
        <v>0</v>
      </c>
      <c r="S586" s="344">
        <f>'ALL ML SYSTEMS'!S572</f>
        <v>0</v>
      </c>
      <c r="T586" s="344">
        <f>'ALL ML SYSTEMS'!T572</f>
        <v>0</v>
      </c>
      <c r="U586" s="344">
        <f>'ALL ML SYSTEMS'!U572</f>
        <v>0</v>
      </c>
      <c r="V586" s="344">
        <f>'ALL ML SYSTEMS'!V572</f>
        <v>0</v>
      </c>
      <c r="W586" s="344">
        <f>'ALL ML SYSTEMS'!W572</f>
        <v>0</v>
      </c>
      <c r="X586" s="344">
        <f>'ALL ML SYSTEMS'!X572</f>
        <v>0</v>
      </c>
      <c r="Y586" s="344">
        <f>'ALL ML SYSTEMS'!Y572</f>
        <v>0</v>
      </c>
      <c r="Z586" s="344">
        <f>'ALL ML SYSTEMS'!Z572</f>
        <v>0</v>
      </c>
      <c r="AA586" s="344">
        <f>'ALL ML SYSTEMS'!AA572</f>
        <v>0</v>
      </c>
      <c r="AB586" s="344"/>
      <c r="AC586" s="344">
        <f>'ALL ML SYSTEMS'!AC572</f>
        <v>0</v>
      </c>
      <c r="AD586" s="344">
        <f>'ALL ML SYSTEMS'!AD572</f>
        <v>0</v>
      </c>
    </row>
    <row r="587" hidden="1" customHeight="1" spans="1:30">
      <c r="A587" s="344">
        <f>'ALL ML SYSTEMS'!A573</f>
        <v>0</v>
      </c>
      <c r="B587" s="344">
        <f>'ALL ML SYSTEMS'!B573</f>
        <v>0</v>
      </c>
      <c r="C587" s="344">
        <f>'ALL ML SYSTEMS'!C573</f>
        <v>0</v>
      </c>
      <c r="D587" s="344">
        <f>'ALL ML SYSTEMS'!D573</f>
        <v>0</v>
      </c>
      <c r="E587" s="344">
        <f>'ALL ML SYSTEMS'!E573</f>
        <v>0</v>
      </c>
      <c r="F587" s="344">
        <f>'ALL ML SYSTEMS'!F573</f>
        <v>0</v>
      </c>
      <c r="G587" s="344">
        <f>'ALL ML SYSTEMS'!G573</f>
        <v>0</v>
      </c>
      <c r="H587" s="344">
        <f>'ALL ML SYSTEMS'!H573</f>
        <v>0</v>
      </c>
      <c r="I587" s="344">
        <f>'ALL ML SYSTEMS'!I573</f>
        <v>0</v>
      </c>
      <c r="J587" s="344">
        <f>'ALL ML SYSTEMS'!J573</f>
        <v>0</v>
      </c>
      <c r="K587" s="344">
        <f>'ALL ML SYSTEMS'!K573</f>
        <v>0</v>
      </c>
      <c r="L587" s="344">
        <f>'ALL ML SYSTEMS'!L573</f>
        <v>0</v>
      </c>
      <c r="M587" s="344">
        <f>'ALL ML SYSTEMS'!M573</f>
        <v>0</v>
      </c>
      <c r="N587" s="344">
        <f>'ALL ML SYSTEMS'!N573</f>
        <v>0</v>
      </c>
      <c r="O587" s="344">
        <f>'ALL ML SYSTEMS'!O573</f>
        <v>0</v>
      </c>
      <c r="P587" s="344">
        <f>'ALL ML SYSTEMS'!P573</f>
        <v>0</v>
      </c>
      <c r="Q587" s="344">
        <f>'ALL ML SYSTEMS'!Q573</f>
        <v>0</v>
      </c>
      <c r="R587" s="344">
        <f>'ALL ML SYSTEMS'!R573</f>
        <v>0</v>
      </c>
      <c r="S587" s="344">
        <f>'ALL ML SYSTEMS'!S573</f>
        <v>0</v>
      </c>
      <c r="T587" s="344">
        <f>'ALL ML SYSTEMS'!T573</f>
        <v>0</v>
      </c>
      <c r="U587" s="344">
        <f>'ALL ML SYSTEMS'!U573</f>
        <v>0</v>
      </c>
      <c r="V587" s="344">
        <f>'ALL ML SYSTEMS'!V573</f>
        <v>0</v>
      </c>
      <c r="W587" s="344">
        <f>'ALL ML SYSTEMS'!W573</f>
        <v>0</v>
      </c>
      <c r="X587" s="344">
        <f>'ALL ML SYSTEMS'!X573</f>
        <v>0</v>
      </c>
      <c r="Y587" s="344">
        <f>'ALL ML SYSTEMS'!Y573</f>
        <v>0</v>
      </c>
      <c r="Z587" s="344">
        <f>'ALL ML SYSTEMS'!Z573</f>
        <v>0</v>
      </c>
      <c r="AA587" s="344">
        <f>'ALL ML SYSTEMS'!AA573</f>
        <v>0</v>
      </c>
      <c r="AB587" s="344"/>
      <c r="AC587" s="344">
        <f>'ALL ML SYSTEMS'!AC573</f>
        <v>0</v>
      </c>
      <c r="AD587" s="344">
        <f>'ALL ML SYSTEMS'!AD573</f>
        <v>0</v>
      </c>
    </row>
    <row r="588" hidden="1" customHeight="1" spans="1:30">
      <c r="A588" s="344">
        <f>'ALL ML SYSTEMS'!A574</f>
        <v>0</v>
      </c>
      <c r="B588" s="344">
        <f>'ALL ML SYSTEMS'!B574</f>
        <v>0</v>
      </c>
      <c r="C588" s="344">
        <f>'ALL ML SYSTEMS'!C574</f>
        <v>0</v>
      </c>
      <c r="D588" s="344">
        <f>'ALL ML SYSTEMS'!D574</f>
        <v>0</v>
      </c>
      <c r="E588" s="344">
        <f>'ALL ML SYSTEMS'!E574</f>
        <v>0</v>
      </c>
      <c r="F588" s="344">
        <f>'ALL ML SYSTEMS'!F574</f>
        <v>0</v>
      </c>
      <c r="G588" s="344">
        <f>'ALL ML SYSTEMS'!G574</f>
        <v>0</v>
      </c>
      <c r="H588" s="344">
        <f>'ALL ML SYSTEMS'!H574</f>
        <v>0</v>
      </c>
      <c r="I588" s="344">
        <f>'ALL ML SYSTEMS'!I574</f>
        <v>0</v>
      </c>
      <c r="J588" s="344">
        <f>'ALL ML SYSTEMS'!J574</f>
        <v>0</v>
      </c>
      <c r="K588" s="344">
        <f>'ALL ML SYSTEMS'!K574</f>
        <v>0</v>
      </c>
      <c r="L588" s="344">
        <f>'ALL ML SYSTEMS'!L574</f>
        <v>0</v>
      </c>
      <c r="M588" s="344">
        <f>'ALL ML SYSTEMS'!M574</f>
        <v>0</v>
      </c>
      <c r="N588" s="344">
        <f>'ALL ML SYSTEMS'!N574</f>
        <v>0</v>
      </c>
      <c r="O588" s="344">
        <f>'ALL ML SYSTEMS'!O574</f>
        <v>0</v>
      </c>
      <c r="P588" s="344">
        <f>'ALL ML SYSTEMS'!P574</f>
        <v>0</v>
      </c>
      <c r="Q588" s="344">
        <f>'ALL ML SYSTEMS'!Q574</f>
        <v>0</v>
      </c>
      <c r="R588" s="344">
        <f>'ALL ML SYSTEMS'!R574</f>
        <v>0</v>
      </c>
      <c r="S588" s="344">
        <f>'ALL ML SYSTEMS'!S574</f>
        <v>0</v>
      </c>
      <c r="T588" s="344">
        <f>'ALL ML SYSTEMS'!T574</f>
        <v>0</v>
      </c>
      <c r="U588" s="344">
        <f>'ALL ML SYSTEMS'!U574</f>
        <v>0</v>
      </c>
      <c r="V588" s="344">
        <f>'ALL ML SYSTEMS'!V574</f>
        <v>0</v>
      </c>
      <c r="W588" s="344">
        <f>'ALL ML SYSTEMS'!W574</f>
        <v>0</v>
      </c>
      <c r="X588" s="344">
        <f>'ALL ML SYSTEMS'!X574</f>
        <v>0</v>
      </c>
      <c r="Y588" s="344">
        <f>'ALL ML SYSTEMS'!Y574</f>
        <v>0</v>
      </c>
      <c r="Z588" s="344">
        <f>'ALL ML SYSTEMS'!Z574</f>
        <v>0</v>
      </c>
      <c r="AA588" s="344">
        <f>'ALL ML SYSTEMS'!AA574</f>
        <v>0</v>
      </c>
      <c r="AB588" s="344"/>
      <c r="AC588" s="344">
        <f>'ALL ML SYSTEMS'!AC574</f>
        <v>0</v>
      </c>
      <c r="AD588" s="344">
        <f>'ALL ML SYSTEMS'!AD574</f>
        <v>0</v>
      </c>
    </row>
    <row r="589" hidden="1" customHeight="1" spans="1:30">
      <c r="A589" s="344">
        <f>'ALL ML SYSTEMS'!A575</f>
        <v>0</v>
      </c>
      <c r="B589" s="344">
        <f>'ALL ML SYSTEMS'!B575</f>
        <v>0</v>
      </c>
      <c r="C589" s="344">
        <f>'ALL ML SYSTEMS'!C575</f>
        <v>0</v>
      </c>
      <c r="D589" s="344">
        <f>'ALL ML SYSTEMS'!D575</f>
        <v>0</v>
      </c>
      <c r="E589" s="344">
        <f>'ALL ML SYSTEMS'!E575</f>
        <v>0</v>
      </c>
      <c r="F589" s="344">
        <f>'ALL ML SYSTEMS'!F575</f>
        <v>0</v>
      </c>
      <c r="G589" s="344">
        <f>'ALL ML SYSTEMS'!G575</f>
        <v>0</v>
      </c>
      <c r="H589" s="344">
        <f>'ALL ML SYSTEMS'!H575</f>
        <v>0</v>
      </c>
      <c r="I589" s="344">
        <f>'ALL ML SYSTEMS'!I575</f>
        <v>0</v>
      </c>
      <c r="J589" s="344">
        <f>'ALL ML SYSTEMS'!J575</f>
        <v>0</v>
      </c>
      <c r="K589" s="344">
        <f>'ALL ML SYSTEMS'!K575</f>
        <v>0</v>
      </c>
      <c r="L589" s="344">
        <f>'ALL ML SYSTEMS'!L575</f>
        <v>0</v>
      </c>
      <c r="M589" s="344">
        <f>'ALL ML SYSTEMS'!M575</f>
        <v>0</v>
      </c>
      <c r="N589" s="344">
        <f>'ALL ML SYSTEMS'!N575</f>
        <v>0</v>
      </c>
      <c r="O589" s="344">
        <f>'ALL ML SYSTEMS'!O575</f>
        <v>0</v>
      </c>
      <c r="P589" s="344">
        <f>'ALL ML SYSTEMS'!P575</f>
        <v>0</v>
      </c>
      <c r="Q589" s="344">
        <f>'ALL ML SYSTEMS'!Q575</f>
        <v>0</v>
      </c>
      <c r="R589" s="344">
        <f>'ALL ML SYSTEMS'!R575</f>
        <v>0</v>
      </c>
      <c r="S589" s="344">
        <f>'ALL ML SYSTEMS'!S575</f>
        <v>0</v>
      </c>
      <c r="T589" s="344">
        <f>'ALL ML SYSTEMS'!T575</f>
        <v>0</v>
      </c>
      <c r="U589" s="344">
        <f>'ALL ML SYSTEMS'!U575</f>
        <v>0</v>
      </c>
      <c r="V589" s="344">
        <f>'ALL ML SYSTEMS'!V575</f>
        <v>0</v>
      </c>
      <c r="W589" s="344">
        <f>'ALL ML SYSTEMS'!W575</f>
        <v>0</v>
      </c>
      <c r="X589" s="344">
        <f>'ALL ML SYSTEMS'!X575</f>
        <v>0</v>
      </c>
      <c r="Y589" s="344">
        <f>'ALL ML SYSTEMS'!Y575</f>
        <v>0</v>
      </c>
      <c r="Z589" s="344">
        <f>'ALL ML SYSTEMS'!Z575</f>
        <v>0</v>
      </c>
      <c r="AA589" s="344">
        <f>'ALL ML SYSTEMS'!AA575</f>
        <v>0</v>
      </c>
      <c r="AB589" s="344"/>
      <c r="AC589" s="344">
        <f>'ALL ML SYSTEMS'!AC575</f>
        <v>0</v>
      </c>
      <c r="AD589" s="344">
        <f>'ALL ML SYSTEMS'!AD575</f>
        <v>0</v>
      </c>
    </row>
    <row r="590" hidden="1" customHeight="1" spans="1:30">
      <c r="A590" s="344">
        <f>'ALL ML SYSTEMS'!A576</f>
        <v>0</v>
      </c>
      <c r="B590" s="344">
        <f>'ALL ML SYSTEMS'!B576</f>
        <v>0</v>
      </c>
      <c r="C590" s="344">
        <f>'ALL ML SYSTEMS'!C576</f>
        <v>0</v>
      </c>
      <c r="D590" s="344">
        <f>'ALL ML SYSTEMS'!D576</f>
        <v>0</v>
      </c>
      <c r="E590" s="344">
        <f>'ALL ML SYSTEMS'!E576</f>
        <v>0</v>
      </c>
      <c r="F590" s="344">
        <f>'ALL ML SYSTEMS'!F576</f>
        <v>0</v>
      </c>
      <c r="G590" s="344">
        <f>'ALL ML SYSTEMS'!G576</f>
        <v>0</v>
      </c>
      <c r="H590" s="344">
        <f>'ALL ML SYSTEMS'!H576</f>
        <v>0</v>
      </c>
      <c r="I590" s="344">
        <f>'ALL ML SYSTEMS'!I576</f>
        <v>0</v>
      </c>
      <c r="J590" s="344">
        <f>'ALL ML SYSTEMS'!J576</f>
        <v>0</v>
      </c>
      <c r="K590" s="344">
        <f>'ALL ML SYSTEMS'!K576</f>
        <v>0</v>
      </c>
      <c r="L590" s="344">
        <f>'ALL ML SYSTEMS'!L576</f>
        <v>0</v>
      </c>
      <c r="M590" s="344">
        <f>'ALL ML SYSTEMS'!M576</f>
        <v>0</v>
      </c>
      <c r="N590" s="344">
        <f>'ALL ML SYSTEMS'!N576</f>
        <v>0</v>
      </c>
      <c r="O590" s="344">
        <f>'ALL ML SYSTEMS'!O576</f>
        <v>0</v>
      </c>
      <c r="P590" s="344">
        <f>'ALL ML SYSTEMS'!P576</f>
        <v>0</v>
      </c>
      <c r="Q590" s="344">
        <f>'ALL ML SYSTEMS'!Q576</f>
        <v>0</v>
      </c>
      <c r="R590" s="344">
        <f>'ALL ML SYSTEMS'!R576</f>
        <v>0</v>
      </c>
      <c r="S590" s="344">
        <f>'ALL ML SYSTEMS'!S576</f>
        <v>0</v>
      </c>
      <c r="T590" s="344">
        <f>'ALL ML SYSTEMS'!T576</f>
        <v>0</v>
      </c>
      <c r="U590" s="344">
        <f>'ALL ML SYSTEMS'!U576</f>
        <v>0</v>
      </c>
      <c r="V590" s="344">
        <f>'ALL ML SYSTEMS'!V576</f>
        <v>0</v>
      </c>
      <c r="W590" s="344">
        <f>'ALL ML SYSTEMS'!W576</f>
        <v>0</v>
      </c>
      <c r="X590" s="344">
        <f>'ALL ML SYSTEMS'!X576</f>
        <v>0</v>
      </c>
      <c r="Y590" s="344">
        <f>'ALL ML SYSTEMS'!Y576</f>
        <v>0</v>
      </c>
      <c r="Z590" s="344">
        <f>'ALL ML SYSTEMS'!Z576</f>
        <v>0</v>
      </c>
      <c r="AA590" s="344">
        <f>'ALL ML SYSTEMS'!AA576</f>
        <v>0</v>
      </c>
      <c r="AB590" s="344"/>
      <c r="AC590" s="344">
        <f>'ALL ML SYSTEMS'!AC576</f>
        <v>0</v>
      </c>
      <c r="AD590" s="344">
        <f>'ALL ML SYSTEMS'!AD576</f>
        <v>0</v>
      </c>
    </row>
    <row r="591" hidden="1" customHeight="1" spans="1:30">
      <c r="A591" s="344">
        <f>'ALL ML SYSTEMS'!A577</f>
        <v>0</v>
      </c>
      <c r="B591" s="344">
        <f>'ALL ML SYSTEMS'!B577</f>
        <v>0</v>
      </c>
      <c r="C591" s="344">
        <f>'ALL ML SYSTEMS'!C577</f>
        <v>0</v>
      </c>
      <c r="D591" s="344">
        <f>'ALL ML SYSTEMS'!D577</f>
        <v>0</v>
      </c>
      <c r="E591" s="344">
        <f>'ALL ML SYSTEMS'!E577</f>
        <v>0</v>
      </c>
      <c r="F591" s="344">
        <f>'ALL ML SYSTEMS'!F577</f>
        <v>0</v>
      </c>
      <c r="G591" s="344">
        <f>'ALL ML SYSTEMS'!G577</f>
        <v>0</v>
      </c>
      <c r="H591" s="344">
        <f>'ALL ML SYSTEMS'!H577</f>
        <v>0</v>
      </c>
      <c r="I591" s="344">
        <f>'ALL ML SYSTEMS'!I577</f>
        <v>0</v>
      </c>
      <c r="J591" s="344">
        <f>'ALL ML SYSTEMS'!J577</f>
        <v>0</v>
      </c>
      <c r="K591" s="344">
        <f>'ALL ML SYSTEMS'!K577</f>
        <v>0</v>
      </c>
      <c r="L591" s="344">
        <f>'ALL ML SYSTEMS'!L577</f>
        <v>0</v>
      </c>
      <c r="M591" s="344">
        <f>'ALL ML SYSTEMS'!M577</f>
        <v>0</v>
      </c>
      <c r="N591" s="344">
        <f>'ALL ML SYSTEMS'!N577</f>
        <v>0</v>
      </c>
      <c r="O591" s="344">
        <f>'ALL ML SYSTEMS'!O577</f>
        <v>0</v>
      </c>
      <c r="P591" s="344">
        <f>'ALL ML SYSTEMS'!P577</f>
        <v>0</v>
      </c>
      <c r="Q591" s="344">
        <f>'ALL ML SYSTEMS'!Q577</f>
        <v>0</v>
      </c>
      <c r="R591" s="344">
        <f>'ALL ML SYSTEMS'!R577</f>
        <v>0</v>
      </c>
      <c r="S591" s="344">
        <f>'ALL ML SYSTEMS'!S577</f>
        <v>0</v>
      </c>
      <c r="T591" s="344">
        <f>'ALL ML SYSTEMS'!T577</f>
        <v>0</v>
      </c>
      <c r="U591" s="344">
        <f>'ALL ML SYSTEMS'!U577</f>
        <v>0</v>
      </c>
      <c r="V591" s="344">
        <f>'ALL ML SYSTEMS'!V577</f>
        <v>0</v>
      </c>
      <c r="W591" s="344">
        <f>'ALL ML SYSTEMS'!W577</f>
        <v>0</v>
      </c>
      <c r="X591" s="344">
        <f>'ALL ML SYSTEMS'!X577</f>
        <v>0</v>
      </c>
      <c r="Y591" s="344">
        <f>'ALL ML SYSTEMS'!Y577</f>
        <v>0</v>
      </c>
      <c r="Z591" s="344">
        <f>'ALL ML SYSTEMS'!Z577</f>
        <v>0</v>
      </c>
      <c r="AA591" s="344">
        <f>'ALL ML SYSTEMS'!AA577</f>
        <v>0</v>
      </c>
      <c r="AB591" s="344"/>
      <c r="AC591" s="344">
        <f>'ALL ML SYSTEMS'!AC577</f>
        <v>0</v>
      </c>
      <c r="AD591" s="344">
        <f>'ALL ML SYSTEMS'!AD577</f>
        <v>0</v>
      </c>
    </row>
    <row r="592" hidden="1" customHeight="1" spans="1:30">
      <c r="A592" s="344">
        <f>'ALL ML SYSTEMS'!A578</f>
        <v>0</v>
      </c>
      <c r="B592" s="344">
        <f>'ALL ML SYSTEMS'!B578</f>
        <v>0</v>
      </c>
      <c r="C592" s="344">
        <f>'ALL ML SYSTEMS'!C578</f>
        <v>0</v>
      </c>
      <c r="D592" s="344">
        <f>'ALL ML SYSTEMS'!D578</f>
        <v>0</v>
      </c>
      <c r="E592" s="344">
        <f>'ALL ML SYSTEMS'!E578</f>
        <v>0</v>
      </c>
      <c r="F592" s="344">
        <f>'ALL ML SYSTEMS'!F578</f>
        <v>0</v>
      </c>
      <c r="G592" s="344">
        <f>'ALL ML SYSTEMS'!G578</f>
        <v>0</v>
      </c>
      <c r="H592" s="344">
        <f>'ALL ML SYSTEMS'!H578</f>
        <v>0</v>
      </c>
      <c r="I592" s="344">
        <f>'ALL ML SYSTEMS'!I578</f>
        <v>0</v>
      </c>
      <c r="J592" s="344">
        <f>'ALL ML SYSTEMS'!J578</f>
        <v>0</v>
      </c>
      <c r="K592" s="344">
        <f>'ALL ML SYSTEMS'!K578</f>
        <v>0</v>
      </c>
      <c r="L592" s="344">
        <f>'ALL ML SYSTEMS'!L578</f>
        <v>0</v>
      </c>
      <c r="M592" s="344">
        <f>'ALL ML SYSTEMS'!M578</f>
        <v>0</v>
      </c>
      <c r="N592" s="344">
        <f>'ALL ML SYSTEMS'!N578</f>
        <v>0</v>
      </c>
      <c r="O592" s="344">
        <f>'ALL ML SYSTEMS'!O578</f>
        <v>0</v>
      </c>
      <c r="P592" s="344">
        <f>'ALL ML SYSTEMS'!P578</f>
        <v>0</v>
      </c>
      <c r="Q592" s="344">
        <f>'ALL ML SYSTEMS'!Q578</f>
        <v>0</v>
      </c>
      <c r="R592" s="344">
        <f>'ALL ML SYSTEMS'!R578</f>
        <v>0</v>
      </c>
      <c r="S592" s="344">
        <f>'ALL ML SYSTEMS'!S578</f>
        <v>0</v>
      </c>
      <c r="T592" s="344">
        <f>'ALL ML SYSTEMS'!T578</f>
        <v>0</v>
      </c>
      <c r="U592" s="344">
        <f>'ALL ML SYSTEMS'!U578</f>
        <v>0</v>
      </c>
      <c r="V592" s="344">
        <f>'ALL ML SYSTEMS'!V578</f>
        <v>0</v>
      </c>
      <c r="W592" s="344">
        <f>'ALL ML SYSTEMS'!W578</f>
        <v>0</v>
      </c>
      <c r="X592" s="344">
        <f>'ALL ML SYSTEMS'!X578</f>
        <v>0</v>
      </c>
      <c r="Y592" s="344">
        <f>'ALL ML SYSTEMS'!Y578</f>
        <v>0</v>
      </c>
      <c r="Z592" s="344">
        <f>'ALL ML SYSTEMS'!Z578</f>
        <v>0</v>
      </c>
      <c r="AA592" s="344">
        <f>'ALL ML SYSTEMS'!AA578</f>
        <v>0</v>
      </c>
      <c r="AB592" s="344"/>
      <c r="AC592" s="344">
        <f>'ALL ML SYSTEMS'!AC578</f>
        <v>0</v>
      </c>
      <c r="AD592" s="344">
        <f>'ALL ML SYSTEMS'!AD578</f>
        <v>0</v>
      </c>
    </row>
    <row r="593" hidden="1" customHeight="1" spans="1:30">
      <c r="A593" s="344">
        <f>'ALL ML SYSTEMS'!A579</f>
        <v>0</v>
      </c>
      <c r="B593" s="344">
        <f>'ALL ML SYSTEMS'!B579</f>
        <v>0</v>
      </c>
      <c r="C593" s="344">
        <f>'ALL ML SYSTEMS'!C579</f>
        <v>0</v>
      </c>
      <c r="D593" s="344">
        <f>'ALL ML SYSTEMS'!D579</f>
        <v>0</v>
      </c>
      <c r="E593" s="344">
        <f>'ALL ML SYSTEMS'!E579</f>
        <v>0</v>
      </c>
      <c r="F593" s="344">
        <f>'ALL ML SYSTEMS'!F579</f>
        <v>0</v>
      </c>
      <c r="G593" s="344">
        <f>'ALL ML SYSTEMS'!G579</f>
        <v>0</v>
      </c>
      <c r="H593" s="344">
        <f>'ALL ML SYSTEMS'!H579</f>
        <v>0</v>
      </c>
      <c r="I593" s="344">
        <f>'ALL ML SYSTEMS'!I579</f>
        <v>0</v>
      </c>
      <c r="J593" s="344">
        <f>'ALL ML SYSTEMS'!J579</f>
        <v>0</v>
      </c>
      <c r="K593" s="344">
        <f>'ALL ML SYSTEMS'!K579</f>
        <v>0</v>
      </c>
      <c r="L593" s="344">
        <f>'ALL ML SYSTEMS'!L579</f>
        <v>0</v>
      </c>
      <c r="M593" s="344">
        <f>'ALL ML SYSTEMS'!M579</f>
        <v>0</v>
      </c>
      <c r="N593" s="344">
        <f>'ALL ML SYSTEMS'!N579</f>
        <v>0</v>
      </c>
      <c r="O593" s="344">
        <f>'ALL ML SYSTEMS'!O579</f>
        <v>0</v>
      </c>
      <c r="P593" s="344">
        <f>'ALL ML SYSTEMS'!P579</f>
        <v>0</v>
      </c>
      <c r="Q593" s="344">
        <f>'ALL ML SYSTEMS'!Q579</f>
        <v>0</v>
      </c>
      <c r="R593" s="344">
        <f>'ALL ML SYSTEMS'!R579</f>
        <v>0</v>
      </c>
      <c r="S593" s="344">
        <f>'ALL ML SYSTEMS'!S579</f>
        <v>0</v>
      </c>
      <c r="T593" s="344">
        <f>'ALL ML SYSTEMS'!T579</f>
        <v>0</v>
      </c>
      <c r="U593" s="344">
        <f>'ALL ML SYSTEMS'!U579</f>
        <v>0</v>
      </c>
      <c r="V593" s="344">
        <f>'ALL ML SYSTEMS'!V579</f>
        <v>0</v>
      </c>
      <c r="W593" s="344">
        <f>'ALL ML SYSTEMS'!W579</f>
        <v>0</v>
      </c>
      <c r="X593" s="344">
        <f>'ALL ML SYSTEMS'!X579</f>
        <v>0</v>
      </c>
      <c r="Y593" s="344">
        <f>'ALL ML SYSTEMS'!Y579</f>
        <v>0</v>
      </c>
      <c r="Z593" s="344">
        <f>'ALL ML SYSTEMS'!Z579</f>
        <v>0</v>
      </c>
      <c r="AA593" s="344">
        <f>'ALL ML SYSTEMS'!AA579</f>
        <v>0</v>
      </c>
      <c r="AB593" s="344"/>
      <c r="AC593" s="344">
        <f>'ALL ML SYSTEMS'!AC579</f>
        <v>0</v>
      </c>
      <c r="AD593" s="344">
        <f>'ALL ML SYSTEMS'!AD579</f>
        <v>0</v>
      </c>
    </row>
    <row r="594" hidden="1" customHeight="1" spans="1:30">
      <c r="A594" s="344">
        <f>'ALL ML SYSTEMS'!A580</f>
        <v>0</v>
      </c>
      <c r="B594" s="344">
        <f>'ALL ML SYSTEMS'!B580</f>
        <v>0</v>
      </c>
      <c r="C594" s="344">
        <f>'ALL ML SYSTEMS'!C580</f>
        <v>0</v>
      </c>
      <c r="D594" s="344">
        <f>'ALL ML SYSTEMS'!D580</f>
        <v>0</v>
      </c>
      <c r="E594" s="344">
        <f>'ALL ML SYSTEMS'!E580</f>
        <v>0</v>
      </c>
      <c r="F594" s="344">
        <f>'ALL ML SYSTEMS'!F580</f>
        <v>0</v>
      </c>
      <c r="G594" s="344">
        <f>'ALL ML SYSTEMS'!G580</f>
        <v>0</v>
      </c>
      <c r="H594" s="344">
        <f>'ALL ML SYSTEMS'!H580</f>
        <v>0</v>
      </c>
      <c r="I594" s="344">
        <f>'ALL ML SYSTEMS'!I580</f>
        <v>0</v>
      </c>
      <c r="J594" s="344">
        <f>'ALL ML SYSTEMS'!J580</f>
        <v>0</v>
      </c>
      <c r="K594" s="344">
        <f>'ALL ML SYSTEMS'!K580</f>
        <v>0</v>
      </c>
      <c r="L594" s="344">
        <f>'ALL ML SYSTEMS'!L580</f>
        <v>0</v>
      </c>
      <c r="M594" s="344">
        <f>'ALL ML SYSTEMS'!M580</f>
        <v>0</v>
      </c>
      <c r="N594" s="344">
        <f>'ALL ML SYSTEMS'!N580</f>
        <v>0</v>
      </c>
      <c r="O594" s="344">
        <f>'ALL ML SYSTEMS'!O580</f>
        <v>0</v>
      </c>
      <c r="P594" s="344">
        <f>'ALL ML SYSTEMS'!P580</f>
        <v>0</v>
      </c>
      <c r="Q594" s="344">
        <f>'ALL ML SYSTEMS'!Q580</f>
        <v>0</v>
      </c>
      <c r="R594" s="344">
        <f>'ALL ML SYSTEMS'!R580</f>
        <v>0</v>
      </c>
      <c r="S594" s="344">
        <f>'ALL ML SYSTEMS'!S580</f>
        <v>0</v>
      </c>
      <c r="T594" s="344">
        <f>'ALL ML SYSTEMS'!T580</f>
        <v>0</v>
      </c>
      <c r="U594" s="344">
        <f>'ALL ML SYSTEMS'!U580</f>
        <v>0</v>
      </c>
      <c r="V594" s="344">
        <f>'ALL ML SYSTEMS'!V580</f>
        <v>0</v>
      </c>
      <c r="W594" s="344">
        <f>'ALL ML SYSTEMS'!W580</f>
        <v>0</v>
      </c>
      <c r="X594" s="344">
        <f>'ALL ML SYSTEMS'!X580</f>
        <v>0</v>
      </c>
      <c r="Y594" s="344">
        <f>'ALL ML SYSTEMS'!Y580</f>
        <v>0</v>
      </c>
      <c r="Z594" s="344">
        <f>'ALL ML SYSTEMS'!Z580</f>
        <v>0</v>
      </c>
      <c r="AA594" s="344">
        <f>'ALL ML SYSTEMS'!AA580</f>
        <v>0</v>
      </c>
      <c r="AB594" s="344"/>
      <c r="AC594" s="344">
        <f>'ALL ML SYSTEMS'!AC580</f>
        <v>0</v>
      </c>
      <c r="AD594" s="344">
        <f>'ALL ML SYSTEMS'!AD580</f>
        <v>0</v>
      </c>
    </row>
    <row r="595" hidden="1" customHeight="1" spans="1:30">
      <c r="A595" s="344">
        <f>'ALL ML SYSTEMS'!A581</f>
        <v>0</v>
      </c>
      <c r="B595" s="344">
        <f>'ALL ML SYSTEMS'!B581</f>
        <v>0</v>
      </c>
      <c r="C595" s="344">
        <f>'ALL ML SYSTEMS'!C581</f>
        <v>0</v>
      </c>
      <c r="D595" s="344">
        <f>'ALL ML SYSTEMS'!D581</f>
        <v>0</v>
      </c>
      <c r="E595" s="344">
        <f>'ALL ML SYSTEMS'!E581</f>
        <v>0</v>
      </c>
      <c r="F595" s="344">
        <f>'ALL ML SYSTEMS'!F581</f>
        <v>0</v>
      </c>
      <c r="G595" s="344">
        <f>'ALL ML SYSTEMS'!G581</f>
        <v>0</v>
      </c>
      <c r="H595" s="344">
        <f>'ALL ML SYSTEMS'!H581</f>
        <v>0</v>
      </c>
      <c r="I595" s="344">
        <f>'ALL ML SYSTEMS'!I581</f>
        <v>0</v>
      </c>
      <c r="J595" s="344">
        <f>'ALL ML SYSTEMS'!J581</f>
        <v>0</v>
      </c>
      <c r="K595" s="344">
        <f>'ALL ML SYSTEMS'!K581</f>
        <v>0</v>
      </c>
      <c r="L595" s="344">
        <f>'ALL ML SYSTEMS'!L581</f>
        <v>0</v>
      </c>
      <c r="M595" s="344">
        <f>'ALL ML SYSTEMS'!M581</f>
        <v>0</v>
      </c>
      <c r="N595" s="344">
        <f>'ALL ML SYSTEMS'!N581</f>
        <v>0</v>
      </c>
      <c r="O595" s="344">
        <f>'ALL ML SYSTEMS'!O581</f>
        <v>0</v>
      </c>
      <c r="P595" s="344">
        <f>'ALL ML SYSTEMS'!P581</f>
        <v>0</v>
      </c>
      <c r="Q595" s="344">
        <f>'ALL ML SYSTEMS'!Q581</f>
        <v>0</v>
      </c>
      <c r="R595" s="344">
        <f>'ALL ML SYSTEMS'!R581</f>
        <v>0</v>
      </c>
      <c r="S595" s="344">
        <f>'ALL ML SYSTEMS'!S581</f>
        <v>0</v>
      </c>
      <c r="T595" s="344">
        <f>'ALL ML SYSTEMS'!T581</f>
        <v>0</v>
      </c>
      <c r="U595" s="344">
        <f>'ALL ML SYSTEMS'!U581</f>
        <v>0</v>
      </c>
      <c r="V595" s="344">
        <f>'ALL ML SYSTEMS'!V581</f>
        <v>0</v>
      </c>
      <c r="W595" s="344">
        <f>'ALL ML SYSTEMS'!W581</f>
        <v>0</v>
      </c>
      <c r="X595" s="344">
        <f>'ALL ML SYSTEMS'!X581</f>
        <v>0</v>
      </c>
      <c r="Y595" s="344">
        <f>'ALL ML SYSTEMS'!Y581</f>
        <v>0</v>
      </c>
      <c r="Z595" s="344">
        <f>'ALL ML SYSTEMS'!Z581</f>
        <v>0</v>
      </c>
      <c r="AA595" s="344">
        <f>'ALL ML SYSTEMS'!AA581</f>
        <v>0</v>
      </c>
      <c r="AB595" s="344"/>
      <c r="AC595" s="344">
        <f>'ALL ML SYSTEMS'!AC581</f>
        <v>0</v>
      </c>
      <c r="AD595" s="344">
        <f>'ALL ML SYSTEMS'!AD581</f>
        <v>0</v>
      </c>
    </row>
    <row r="596" hidden="1" customHeight="1" spans="1:30">
      <c r="A596" s="344">
        <f>'ALL ML SYSTEMS'!A582</f>
        <v>0</v>
      </c>
      <c r="B596" s="344">
        <f>'ALL ML SYSTEMS'!B582</f>
        <v>0</v>
      </c>
      <c r="C596" s="344">
        <f>'ALL ML SYSTEMS'!C582</f>
        <v>0</v>
      </c>
      <c r="D596" s="344">
        <f>'ALL ML SYSTEMS'!D582</f>
        <v>0</v>
      </c>
      <c r="E596" s="344">
        <f>'ALL ML SYSTEMS'!E582</f>
        <v>0</v>
      </c>
      <c r="F596" s="344">
        <f>'ALL ML SYSTEMS'!F582</f>
        <v>0</v>
      </c>
      <c r="G596" s="344">
        <f>'ALL ML SYSTEMS'!G582</f>
        <v>0</v>
      </c>
      <c r="H596" s="344">
        <f>'ALL ML SYSTEMS'!H582</f>
        <v>0</v>
      </c>
      <c r="I596" s="344">
        <f>'ALL ML SYSTEMS'!I582</f>
        <v>0</v>
      </c>
      <c r="J596" s="344">
        <f>'ALL ML SYSTEMS'!J582</f>
        <v>0</v>
      </c>
      <c r="K596" s="344">
        <f>'ALL ML SYSTEMS'!K582</f>
        <v>0</v>
      </c>
      <c r="L596" s="344">
        <f>'ALL ML SYSTEMS'!L582</f>
        <v>0</v>
      </c>
      <c r="M596" s="344">
        <f>'ALL ML SYSTEMS'!M582</f>
        <v>0</v>
      </c>
      <c r="N596" s="344">
        <f>'ALL ML SYSTEMS'!N582</f>
        <v>0</v>
      </c>
      <c r="O596" s="344">
        <f>'ALL ML SYSTEMS'!O582</f>
        <v>0</v>
      </c>
      <c r="P596" s="344">
        <f>'ALL ML SYSTEMS'!P582</f>
        <v>0</v>
      </c>
      <c r="Q596" s="344">
        <f>'ALL ML SYSTEMS'!Q582</f>
        <v>0</v>
      </c>
      <c r="R596" s="344">
        <f>'ALL ML SYSTEMS'!R582</f>
        <v>0</v>
      </c>
      <c r="S596" s="344">
        <f>'ALL ML SYSTEMS'!S582</f>
        <v>0</v>
      </c>
      <c r="T596" s="344">
        <f>'ALL ML SYSTEMS'!T582</f>
        <v>0</v>
      </c>
      <c r="U596" s="344">
        <f>'ALL ML SYSTEMS'!U582</f>
        <v>0</v>
      </c>
      <c r="V596" s="344">
        <f>'ALL ML SYSTEMS'!V582</f>
        <v>0</v>
      </c>
      <c r="W596" s="344">
        <f>'ALL ML SYSTEMS'!W582</f>
        <v>0</v>
      </c>
      <c r="X596" s="344">
        <f>'ALL ML SYSTEMS'!X582</f>
        <v>0</v>
      </c>
      <c r="Y596" s="344">
        <f>'ALL ML SYSTEMS'!Y582</f>
        <v>0</v>
      </c>
      <c r="Z596" s="344">
        <f>'ALL ML SYSTEMS'!Z582</f>
        <v>0</v>
      </c>
      <c r="AA596" s="344">
        <f>'ALL ML SYSTEMS'!AA582</f>
        <v>0</v>
      </c>
      <c r="AB596" s="344"/>
      <c r="AC596" s="344">
        <f>'ALL ML SYSTEMS'!AC582</f>
        <v>0</v>
      </c>
      <c r="AD596" s="344">
        <f>'ALL ML SYSTEMS'!AD582</f>
        <v>0</v>
      </c>
    </row>
    <row r="597" hidden="1" customHeight="1" spans="1:30">
      <c r="A597" s="344">
        <f>'ALL ML SYSTEMS'!A583</f>
        <v>0</v>
      </c>
      <c r="B597" s="344">
        <f>'ALL ML SYSTEMS'!B583</f>
        <v>0</v>
      </c>
      <c r="C597" s="344">
        <f>'ALL ML SYSTEMS'!C583</f>
        <v>0</v>
      </c>
      <c r="D597" s="344">
        <f>'ALL ML SYSTEMS'!D583</f>
        <v>0</v>
      </c>
      <c r="E597" s="344">
        <f>'ALL ML SYSTEMS'!E583</f>
        <v>0</v>
      </c>
      <c r="F597" s="344">
        <f>'ALL ML SYSTEMS'!F583</f>
        <v>0</v>
      </c>
      <c r="G597" s="344">
        <f>'ALL ML SYSTEMS'!G583</f>
        <v>0</v>
      </c>
      <c r="H597" s="344">
        <f>'ALL ML SYSTEMS'!H583</f>
        <v>0</v>
      </c>
      <c r="I597" s="344">
        <f>'ALL ML SYSTEMS'!I583</f>
        <v>0</v>
      </c>
      <c r="J597" s="344">
        <f>'ALL ML SYSTEMS'!J583</f>
        <v>0</v>
      </c>
      <c r="K597" s="344">
        <f>'ALL ML SYSTEMS'!K583</f>
        <v>0</v>
      </c>
      <c r="L597" s="344">
        <f>'ALL ML SYSTEMS'!L583</f>
        <v>0</v>
      </c>
      <c r="M597" s="344">
        <f>'ALL ML SYSTEMS'!M583</f>
        <v>0</v>
      </c>
      <c r="N597" s="344">
        <f>'ALL ML SYSTEMS'!N583</f>
        <v>0</v>
      </c>
      <c r="O597" s="344">
        <f>'ALL ML SYSTEMS'!O583</f>
        <v>0</v>
      </c>
      <c r="P597" s="344">
        <f>'ALL ML SYSTEMS'!P583</f>
        <v>0</v>
      </c>
      <c r="Q597" s="344">
        <f>'ALL ML SYSTEMS'!Q583</f>
        <v>0</v>
      </c>
      <c r="R597" s="344">
        <f>'ALL ML SYSTEMS'!R583</f>
        <v>0</v>
      </c>
      <c r="S597" s="344">
        <f>'ALL ML SYSTEMS'!S583</f>
        <v>0</v>
      </c>
      <c r="T597" s="344">
        <f>'ALL ML SYSTEMS'!T583</f>
        <v>0</v>
      </c>
      <c r="U597" s="344">
        <f>'ALL ML SYSTEMS'!U583</f>
        <v>0</v>
      </c>
      <c r="V597" s="344">
        <f>'ALL ML SYSTEMS'!V583</f>
        <v>0</v>
      </c>
      <c r="W597" s="344">
        <f>'ALL ML SYSTEMS'!W583</f>
        <v>0</v>
      </c>
      <c r="X597" s="344">
        <f>'ALL ML SYSTEMS'!X583</f>
        <v>0</v>
      </c>
      <c r="Y597" s="344">
        <f>'ALL ML SYSTEMS'!Y583</f>
        <v>0</v>
      </c>
      <c r="Z597" s="344">
        <f>'ALL ML SYSTEMS'!Z583</f>
        <v>0</v>
      </c>
      <c r="AA597" s="344">
        <f>'ALL ML SYSTEMS'!AA583</f>
        <v>0</v>
      </c>
      <c r="AB597" s="344"/>
      <c r="AC597" s="344">
        <f>'ALL ML SYSTEMS'!AC583</f>
        <v>0</v>
      </c>
      <c r="AD597" s="344">
        <f>'ALL ML SYSTEMS'!AD583</f>
        <v>0</v>
      </c>
    </row>
    <row r="598" hidden="1" customHeight="1" spans="1:30">
      <c r="A598" s="344">
        <f>'ALL ML SYSTEMS'!A584</f>
        <v>0</v>
      </c>
      <c r="B598" s="344">
        <f>'ALL ML SYSTEMS'!B584</f>
        <v>0</v>
      </c>
      <c r="C598" s="344">
        <f>'ALL ML SYSTEMS'!C584</f>
        <v>0</v>
      </c>
      <c r="D598" s="344">
        <f>'ALL ML SYSTEMS'!D584</f>
        <v>0</v>
      </c>
      <c r="E598" s="344">
        <f>'ALL ML SYSTEMS'!E584</f>
        <v>0</v>
      </c>
      <c r="F598" s="344">
        <f>'ALL ML SYSTEMS'!F584</f>
        <v>0</v>
      </c>
      <c r="G598" s="344">
        <f>'ALL ML SYSTEMS'!G584</f>
        <v>0</v>
      </c>
      <c r="H598" s="344">
        <f>'ALL ML SYSTEMS'!H584</f>
        <v>0</v>
      </c>
      <c r="I598" s="344">
        <f>'ALL ML SYSTEMS'!I584</f>
        <v>0</v>
      </c>
      <c r="J598" s="344">
        <f>'ALL ML SYSTEMS'!J584</f>
        <v>0</v>
      </c>
      <c r="K598" s="344">
        <f>'ALL ML SYSTEMS'!K584</f>
        <v>0</v>
      </c>
      <c r="L598" s="344">
        <f>'ALL ML SYSTEMS'!L584</f>
        <v>0</v>
      </c>
      <c r="M598" s="344">
        <f>'ALL ML SYSTEMS'!M584</f>
        <v>0</v>
      </c>
      <c r="N598" s="344">
        <f>'ALL ML SYSTEMS'!N584</f>
        <v>0</v>
      </c>
      <c r="O598" s="344">
        <f>'ALL ML SYSTEMS'!O584</f>
        <v>0</v>
      </c>
      <c r="P598" s="344">
        <f>'ALL ML SYSTEMS'!P584</f>
        <v>0</v>
      </c>
      <c r="Q598" s="344">
        <f>'ALL ML SYSTEMS'!Q584</f>
        <v>0</v>
      </c>
      <c r="R598" s="344">
        <f>'ALL ML SYSTEMS'!R584</f>
        <v>0</v>
      </c>
      <c r="S598" s="344">
        <f>'ALL ML SYSTEMS'!S584</f>
        <v>0</v>
      </c>
      <c r="T598" s="344">
        <f>'ALL ML SYSTEMS'!T584</f>
        <v>0</v>
      </c>
      <c r="U598" s="344">
        <f>'ALL ML SYSTEMS'!U584</f>
        <v>0</v>
      </c>
      <c r="V598" s="344">
        <f>'ALL ML SYSTEMS'!V584</f>
        <v>0</v>
      </c>
      <c r="W598" s="344">
        <f>'ALL ML SYSTEMS'!W584</f>
        <v>0</v>
      </c>
      <c r="X598" s="344">
        <f>'ALL ML SYSTEMS'!X584</f>
        <v>0</v>
      </c>
      <c r="Y598" s="344">
        <f>'ALL ML SYSTEMS'!Y584</f>
        <v>0</v>
      </c>
      <c r="Z598" s="344">
        <f>'ALL ML SYSTEMS'!Z584</f>
        <v>0</v>
      </c>
      <c r="AA598" s="344">
        <f>'ALL ML SYSTEMS'!AA584</f>
        <v>0</v>
      </c>
      <c r="AB598" s="344"/>
      <c r="AC598" s="344">
        <f>'ALL ML SYSTEMS'!AC584</f>
        <v>0</v>
      </c>
      <c r="AD598" s="344">
        <f>'ALL ML SYSTEMS'!AD584</f>
        <v>0</v>
      </c>
    </row>
    <row r="599" hidden="1" customHeight="1" spans="1:30">
      <c r="A599" s="344">
        <f>'ALL ML SYSTEMS'!A585</f>
        <v>0</v>
      </c>
      <c r="B599" s="344">
        <f>'ALL ML SYSTEMS'!B585</f>
        <v>0</v>
      </c>
      <c r="C599" s="344">
        <f>'ALL ML SYSTEMS'!C585</f>
        <v>0</v>
      </c>
      <c r="D599" s="344">
        <f>'ALL ML SYSTEMS'!D585</f>
        <v>0</v>
      </c>
      <c r="E599" s="344">
        <f>'ALL ML SYSTEMS'!E585</f>
        <v>0</v>
      </c>
      <c r="F599" s="344">
        <f>'ALL ML SYSTEMS'!F585</f>
        <v>0</v>
      </c>
      <c r="G599" s="344">
        <f>'ALL ML SYSTEMS'!G585</f>
        <v>0</v>
      </c>
      <c r="H599" s="344">
        <f>'ALL ML SYSTEMS'!H585</f>
        <v>0</v>
      </c>
      <c r="I599" s="344">
        <f>'ALL ML SYSTEMS'!I585</f>
        <v>0</v>
      </c>
      <c r="J599" s="344">
        <f>'ALL ML SYSTEMS'!J585</f>
        <v>0</v>
      </c>
      <c r="K599" s="344">
        <f>'ALL ML SYSTEMS'!K585</f>
        <v>0</v>
      </c>
      <c r="L599" s="344">
        <f>'ALL ML SYSTEMS'!L585</f>
        <v>0</v>
      </c>
      <c r="M599" s="344">
        <f>'ALL ML SYSTEMS'!M585</f>
        <v>0</v>
      </c>
      <c r="N599" s="344">
        <f>'ALL ML SYSTEMS'!N585</f>
        <v>0</v>
      </c>
      <c r="O599" s="344">
        <f>'ALL ML SYSTEMS'!O585</f>
        <v>0</v>
      </c>
      <c r="P599" s="344">
        <f>'ALL ML SYSTEMS'!P585</f>
        <v>0</v>
      </c>
      <c r="Q599" s="344">
        <f>'ALL ML SYSTEMS'!Q585</f>
        <v>0</v>
      </c>
      <c r="R599" s="344">
        <f>'ALL ML SYSTEMS'!R585</f>
        <v>0</v>
      </c>
      <c r="S599" s="344">
        <f>'ALL ML SYSTEMS'!S585</f>
        <v>0</v>
      </c>
      <c r="T599" s="344">
        <f>'ALL ML SYSTEMS'!T585</f>
        <v>0</v>
      </c>
      <c r="U599" s="344">
        <f>'ALL ML SYSTEMS'!U585</f>
        <v>0</v>
      </c>
      <c r="V599" s="344">
        <f>'ALL ML SYSTEMS'!V585</f>
        <v>0</v>
      </c>
      <c r="W599" s="344">
        <f>'ALL ML SYSTEMS'!W585</f>
        <v>0</v>
      </c>
      <c r="X599" s="344">
        <f>'ALL ML SYSTEMS'!X585</f>
        <v>0</v>
      </c>
      <c r="Y599" s="344">
        <f>'ALL ML SYSTEMS'!Y585</f>
        <v>0</v>
      </c>
      <c r="Z599" s="344">
        <f>'ALL ML SYSTEMS'!Z585</f>
        <v>0</v>
      </c>
      <c r="AA599" s="344">
        <f>'ALL ML SYSTEMS'!AA585</f>
        <v>0</v>
      </c>
      <c r="AB599" s="344"/>
      <c r="AC599" s="344">
        <f>'ALL ML SYSTEMS'!AC585</f>
        <v>0</v>
      </c>
      <c r="AD599" s="344">
        <f>'ALL ML SYSTEMS'!AD585</f>
        <v>0</v>
      </c>
    </row>
    <row r="600" hidden="1" customHeight="1" spans="1:30">
      <c r="A600" s="344">
        <f>'ALL ML SYSTEMS'!A586</f>
        <v>0</v>
      </c>
      <c r="B600" s="344">
        <f>'ALL ML SYSTEMS'!B586</f>
        <v>0</v>
      </c>
      <c r="C600" s="344">
        <f>'ALL ML SYSTEMS'!C586</f>
        <v>0</v>
      </c>
      <c r="D600" s="344">
        <f>'ALL ML SYSTEMS'!D586</f>
        <v>0</v>
      </c>
      <c r="E600" s="344">
        <f>'ALL ML SYSTEMS'!E586</f>
        <v>0</v>
      </c>
      <c r="F600" s="344">
        <f>'ALL ML SYSTEMS'!F586</f>
        <v>0</v>
      </c>
      <c r="G600" s="344">
        <f>'ALL ML SYSTEMS'!G586</f>
        <v>0</v>
      </c>
      <c r="H600" s="344">
        <f>'ALL ML SYSTEMS'!H586</f>
        <v>0</v>
      </c>
      <c r="I600" s="344">
        <f>'ALL ML SYSTEMS'!I586</f>
        <v>0</v>
      </c>
      <c r="J600" s="344">
        <f>'ALL ML SYSTEMS'!J586</f>
        <v>0</v>
      </c>
      <c r="K600" s="344">
        <f>'ALL ML SYSTEMS'!K586</f>
        <v>0</v>
      </c>
      <c r="L600" s="344">
        <f>'ALL ML SYSTEMS'!L586</f>
        <v>0</v>
      </c>
      <c r="M600" s="344">
        <f>'ALL ML SYSTEMS'!M586</f>
        <v>0</v>
      </c>
      <c r="N600" s="344">
        <f>'ALL ML SYSTEMS'!N586</f>
        <v>0</v>
      </c>
      <c r="O600" s="344">
        <f>'ALL ML SYSTEMS'!O586</f>
        <v>0</v>
      </c>
      <c r="P600" s="344">
        <f>'ALL ML SYSTEMS'!P586</f>
        <v>0</v>
      </c>
      <c r="Q600" s="344">
        <f>'ALL ML SYSTEMS'!Q586</f>
        <v>0</v>
      </c>
      <c r="R600" s="344">
        <f>'ALL ML SYSTEMS'!R586</f>
        <v>0</v>
      </c>
      <c r="S600" s="344">
        <f>'ALL ML SYSTEMS'!S586</f>
        <v>0</v>
      </c>
      <c r="T600" s="344">
        <f>'ALL ML SYSTEMS'!T586</f>
        <v>0</v>
      </c>
      <c r="U600" s="344">
        <f>'ALL ML SYSTEMS'!U586</f>
        <v>0</v>
      </c>
      <c r="V600" s="344">
        <f>'ALL ML SYSTEMS'!V586</f>
        <v>0</v>
      </c>
      <c r="W600" s="344">
        <f>'ALL ML SYSTEMS'!W586</f>
        <v>0</v>
      </c>
      <c r="X600" s="344">
        <f>'ALL ML SYSTEMS'!X586</f>
        <v>0</v>
      </c>
      <c r="Y600" s="344">
        <f>'ALL ML SYSTEMS'!Y586</f>
        <v>0</v>
      </c>
      <c r="Z600" s="344">
        <f>'ALL ML SYSTEMS'!Z586</f>
        <v>0</v>
      </c>
      <c r="AA600" s="344">
        <f>'ALL ML SYSTEMS'!AA586</f>
        <v>0</v>
      </c>
      <c r="AB600" s="344"/>
      <c r="AC600" s="344">
        <f>'ALL ML SYSTEMS'!AC586</f>
        <v>0</v>
      </c>
      <c r="AD600" s="344">
        <f>'ALL ML SYSTEMS'!AD586</f>
        <v>0</v>
      </c>
    </row>
    <row r="601" hidden="1" customHeight="1" spans="1:30">
      <c r="A601" s="344">
        <f>'ALL ML SYSTEMS'!A587</f>
        <v>0</v>
      </c>
      <c r="B601" s="344">
        <f>'ALL ML SYSTEMS'!B587</f>
        <v>0</v>
      </c>
      <c r="C601" s="344">
        <f>'ALL ML SYSTEMS'!C587</f>
        <v>0</v>
      </c>
      <c r="D601" s="344">
        <f>'ALL ML SYSTEMS'!D587</f>
        <v>0</v>
      </c>
      <c r="E601" s="344">
        <f>'ALL ML SYSTEMS'!E587</f>
        <v>0</v>
      </c>
      <c r="F601" s="344">
        <f>'ALL ML SYSTEMS'!F587</f>
        <v>0</v>
      </c>
      <c r="G601" s="344">
        <f>'ALL ML SYSTEMS'!G587</f>
        <v>0</v>
      </c>
      <c r="H601" s="344">
        <f>'ALL ML SYSTEMS'!H587</f>
        <v>0</v>
      </c>
      <c r="I601" s="344">
        <f>'ALL ML SYSTEMS'!I587</f>
        <v>0</v>
      </c>
      <c r="J601" s="344">
        <f>'ALL ML SYSTEMS'!J587</f>
        <v>0</v>
      </c>
      <c r="K601" s="344">
        <f>'ALL ML SYSTEMS'!K587</f>
        <v>0</v>
      </c>
      <c r="L601" s="344">
        <f>'ALL ML SYSTEMS'!L587</f>
        <v>0</v>
      </c>
      <c r="M601" s="344">
        <f>'ALL ML SYSTEMS'!M587</f>
        <v>0</v>
      </c>
      <c r="N601" s="344">
        <f>'ALL ML SYSTEMS'!N587</f>
        <v>0</v>
      </c>
      <c r="O601" s="344">
        <f>'ALL ML SYSTEMS'!O587</f>
        <v>0</v>
      </c>
      <c r="P601" s="344">
        <f>'ALL ML SYSTEMS'!P587</f>
        <v>0</v>
      </c>
      <c r="Q601" s="344">
        <f>'ALL ML SYSTEMS'!Q587</f>
        <v>0</v>
      </c>
      <c r="R601" s="344">
        <f>'ALL ML SYSTEMS'!R587</f>
        <v>0</v>
      </c>
      <c r="S601" s="344">
        <f>'ALL ML SYSTEMS'!S587</f>
        <v>0</v>
      </c>
      <c r="T601" s="344">
        <f>'ALL ML SYSTEMS'!T587</f>
        <v>0</v>
      </c>
      <c r="U601" s="344">
        <f>'ALL ML SYSTEMS'!U587</f>
        <v>0</v>
      </c>
      <c r="V601" s="344">
        <f>'ALL ML SYSTEMS'!V587</f>
        <v>0</v>
      </c>
      <c r="W601" s="344">
        <f>'ALL ML SYSTEMS'!W587</f>
        <v>0</v>
      </c>
      <c r="X601" s="344">
        <f>'ALL ML SYSTEMS'!X587</f>
        <v>0</v>
      </c>
      <c r="Y601" s="344">
        <f>'ALL ML SYSTEMS'!Y587</f>
        <v>0</v>
      </c>
      <c r="Z601" s="344">
        <f>'ALL ML SYSTEMS'!Z587</f>
        <v>0</v>
      </c>
      <c r="AA601" s="344">
        <f>'ALL ML SYSTEMS'!AA587</f>
        <v>0</v>
      </c>
      <c r="AB601" s="344"/>
      <c r="AC601" s="344">
        <f>'ALL ML SYSTEMS'!AC587</f>
        <v>0</v>
      </c>
      <c r="AD601" s="344">
        <f>'ALL ML SYSTEMS'!AD587</f>
        <v>0</v>
      </c>
    </row>
    <row r="602" hidden="1" customHeight="1" spans="1:30">
      <c r="A602" s="344">
        <f>'ALL ML SYSTEMS'!A588</f>
        <v>0</v>
      </c>
      <c r="B602" s="344">
        <f>'ALL ML SYSTEMS'!B588</f>
        <v>0</v>
      </c>
      <c r="C602" s="344">
        <f>'ALL ML SYSTEMS'!C588</f>
        <v>0</v>
      </c>
      <c r="D602" s="344">
        <f>'ALL ML SYSTEMS'!D588</f>
        <v>0</v>
      </c>
      <c r="E602" s="344">
        <f>'ALL ML SYSTEMS'!E588</f>
        <v>0</v>
      </c>
      <c r="F602" s="344">
        <f>'ALL ML SYSTEMS'!F588</f>
        <v>0</v>
      </c>
      <c r="G602" s="344">
        <f>'ALL ML SYSTEMS'!G588</f>
        <v>0</v>
      </c>
      <c r="H602" s="344">
        <f>'ALL ML SYSTEMS'!H588</f>
        <v>0</v>
      </c>
      <c r="I602" s="344">
        <f>'ALL ML SYSTEMS'!I588</f>
        <v>0</v>
      </c>
      <c r="J602" s="344">
        <f>'ALL ML SYSTEMS'!J588</f>
        <v>0</v>
      </c>
      <c r="K602" s="344">
        <f>'ALL ML SYSTEMS'!K588</f>
        <v>0</v>
      </c>
      <c r="L602" s="344">
        <f>'ALL ML SYSTEMS'!L588</f>
        <v>0</v>
      </c>
      <c r="M602" s="344">
        <f>'ALL ML SYSTEMS'!M588</f>
        <v>0</v>
      </c>
      <c r="N602" s="344">
        <f>'ALL ML SYSTEMS'!N588</f>
        <v>0</v>
      </c>
      <c r="O602" s="344">
        <f>'ALL ML SYSTEMS'!O588</f>
        <v>0</v>
      </c>
      <c r="P602" s="344">
        <f>'ALL ML SYSTEMS'!P588</f>
        <v>0</v>
      </c>
      <c r="Q602" s="344">
        <f>'ALL ML SYSTEMS'!Q588</f>
        <v>0</v>
      </c>
      <c r="R602" s="344">
        <f>'ALL ML SYSTEMS'!R588</f>
        <v>0</v>
      </c>
      <c r="S602" s="344">
        <f>'ALL ML SYSTEMS'!S588</f>
        <v>0</v>
      </c>
      <c r="T602" s="344">
        <f>'ALL ML SYSTEMS'!T588</f>
        <v>0</v>
      </c>
      <c r="U602" s="344">
        <f>'ALL ML SYSTEMS'!U588</f>
        <v>0</v>
      </c>
      <c r="V602" s="344">
        <f>'ALL ML SYSTEMS'!V588</f>
        <v>0</v>
      </c>
      <c r="W602" s="344">
        <f>'ALL ML SYSTEMS'!W588</f>
        <v>0</v>
      </c>
      <c r="X602" s="344">
        <f>'ALL ML SYSTEMS'!X588</f>
        <v>0</v>
      </c>
      <c r="Y602" s="344">
        <f>'ALL ML SYSTEMS'!Y588</f>
        <v>0</v>
      </c>
      <c r="Z602" s="344">
        <f>'ALL ML SYSTEMS'!Z588</f>
        <v>0</v>
      </c>
      <c r="AA602" s="344">
        <f>'ALL ML SYSTEMS'!AA588</f>
        <v>0</v>
      </c>
      <c r="AB602" s="344"/>
      <c r="AC602" s="344">
        <f>'ALL ML SYSTEMS'!AC588</f>
        <v>0</v>
      </c>
      <c r="AD602" s="344">
        <f>'ALL ML SYSTEMS'!AD588</f>
        <v>0</v>
      </c>
    </row>
    <row r="603" hidden="1" customHeight="1" spans="1:30">
      <c r="A603" s="344">
        <f>'ALL ML SYSTEMS'!A589</f>
        <v>0</v>
      </c>
      <c r="B603" s="344">
        <f>'ALL ML SYSTEMS'!B589</f>
        <v>0</v>
      </c>
      <c r="C603" s="344">
        <f>'ALL ML SYSTEMS'!C589</f>
        <v>0</v>
      </c>
      <c r="D603" s="344">
        <f>'ALL ML SYSTEMS'!D589</f>
        <v>0</v>
      </c>
      <c r="E603" s="344">
        <f>'ALL ML SYSTEMS'!E589</f>
        <v>0</v>
      </c>
      <c r="F603" s="344">
        <f>'ALL ML SYSTEMS'!F589</f>
        <v>0</v>
      </c>
      <c r="G603" s="344">
        <f>'ALL ML SYSTEMS'!G589</f>
        <v>0</v>
      </c>
      <c r="H603" s="344">
        <f>'ALL ML SYSTEMS'!H589</f>
        <v>0</v>
      </c>
      <c r="I603" s="344">
        <f>'ALL ML SYSTEMS'!I589</f>
        <v>0</v>
      </c>
      <c r="J603" s="344">
        <f>'ALL ML SYSTEMS'!J589</f>
        <v>0</v>
      </c>
      <c r="K603" s="344">
        <f>'ALL ML SYSTEMS'!K589</f>
        <v>0</v>
      </c>
      <c r="L603" s="344">
        <f>'ALL ML SYSTEMS'!L589</f>
        <v>0</v>
      </c>
      <c r="M603" s="344">
        <f>'ALL ML SYSTEMS'!M589</f>
        <v>0</v>
      </c>
      <c r="N603" s="344">
        <f>'ALL ML SYSTEMS'!N589</f>
        <v>0</v>
      </c>
      <c r="O603" s="344">
        <f>'ALL ML SYSTEMS'!O589</f>
        <v>0</v>
      </c>
      <c r="P603" s="344">
        <f>'ALL ML SYSTEMS'!P589</f>
        <v>0</v>
      </c>
      <c r="Q603" s="344">
        <f>'ALL ML SYSTEMS'!Q589</f>
        <v>0</v>
      </c>
      <c r="R603" s="344">
        <f>'ALL ML SYSTEMS'!R589</f>
        <v>0</v>
      </c>
      <c r="S603" s="344">
        <f>'ALL ML SYSTEMS'!S589</f>
        <v>0</v>
      </c>
      <c r="T603" s="344">
        <f>'ALL ML SYSTEMS'!T589</f>
        <v>0</v>
      </c>
      <c r="U603" s="344">
        <f>'ALL ML SYSTEMS'!U589</f>
        <v>0</v>
      </c>
      <c r="V603" s="344">
        <f>'ALL ML SYSTEMS'!V589</f>
        <v>0</v>
      </c>
      <c r="W603" s="344">
        <f>'ALL ML SYSTEMS'!W589</f>
        <v>0</v>
      </c>
      <c r="X603" s="344">
        <f>'ALL ML SYSTEMS'!X589</f>
        <v>0</v>
      </c>
      <c r="Y603" s="344">
        <f>'ALL ML SYSTEMS'!Y589</f>
        <v>0</v>
      </c>
      <c r="Z603" s="344">
        <f>'ALL ML SYSTEMS'!Z589</f>
        <v>0</v>
      </c>
      <c r="AA603" s="344">
        <f>'ALL ML SYSTEMS'!AA589</f>
        <v>0</v>
      </c>
      <c r="AB603" s="344"/>
      <c r="AC603" s="344">
        <f>'ALL ML SYSTEMS'!AC589</f>
        <v>0</v>
      </c>
      <c r="AD603" s="344">
        <f>'ALL ML SYSTEMS'!AD589</f>
        <v>0</v>
      </c>
    </row>
    <row r="604" hidden="1" customHeight="1" spans="1:30">
      <c r="A604" s="344">
        <f>'ALL ML SYSTEMS'!A590</f>
        <v>0</v>
      </c>
      <c r="B604" s="344">
        <f>'ALL ML SYSTEMS'!B590</f>
        <v>0</v>
      </c>
      <c r="C604" s="344">
        <f>'ALL ML SYSTEMS'!C590</f>
        <v>0</v>
      </c>
      <c r="D604" s="344">
        <f>'ALL ML SYSTEMS'!D590</f>
        <v>0</v>
      </c>
      <c r="E604" s="344">
        <f>'ALL ML SYSTEMS'!E590</f>
        <v>0</v>
      </c>
      <c r="F604" s="344">
        <f>'ALL ML SYSTEMS'!F590</f>
        <v>0</v>
      </c>
      <c r="G604" s="344">
        <f>'ALL ML SYSTEMS'!G590</f>
        <v>0</v>
      </c>
      <c r="H604" s="344">
        <f>'ALL ML SYSTEMS'!H590</f>
        <v>0</v>
      </c>
      <c r="I604" s="344">
        <f>'ALL ML SYSTEMS'!I590</f>
        <v>0</v>
      </c>
      <c r="J604" s="344">
        <f>'ALL ML SYSTEMS'!J590</f>
        <v>0</v>
      </c>
      <c r="K604" s="344">
        <f>'ALL ML SYSTEMS'!K590</f>
        <v>0</v>
      </c>
      <c r="L604" s="344">
        <f>'ALL ML SYSTEMS'!L590</f>
        <v>0</v>
      </c>
      <c r="M604" s="344">
        <f>'ALL ML SYSTEMS'!M590</f>
        <v>0</v>
      </c>
      <c r="N604" s="344">
        <f>'ALL ML SYSTEMS'!N590</f>
        <v>0</v>
      </c>
      <c r="O604" s="344">
        <f>'ALL ML SYSTEMS'!O590</f>
        <v>0</v>
      </c>
      <c r="P604" s="344">
        <f>'ALL ML SYSTEMS'!P590</f>
        <v>0</v>
      </c>
      <c r="Q604" s="344">
        <f>'ALL ML SYSTEMS'!Q590</f>
        <v>0</v>
      </c>
      <c r="R604" s="344">
        <f>'ALL ML SYSTEMS'!R590</f>
        <v>0</v>
      </c>
      <c r="S604" s="344">
        <f>'ALL ML SYSTEMS'!S590</f>
        <v>0</v>
      </c>
      <c r="T604" s="344">
        <f>'ALL ML SYSTEMS'!T590</f>
        <v>0</v>
      </c>
      <c r="U604" s="344">
        <f>'ALL ML SYSTEMS'!U590</f>
        <v>0</v>
      </c>
      <c r="V604" s="344">
        <f>'ALL ML SYSTEMS'!V590</f>
        <v>0</v>
      </c>
      <c r="W604" s="344">
        <f>'ALL ML SYSTEMS'!W590</f>
        <v>0</v>
      </c>
      <c r="X604" s="344">
        <f>'ALL ML SYSTEMS'!X590</f>
        <v>0</v>
      </c>
      <c r="Y604" s="344">
        <f>'ALL ML SYSTEMS'!Y590</f>
        <v>0</v>
      </c>
      <c r="Z604" s="344">
        <f>'ALL ML SYSTEMS'!Z590</f>
        <v>0</v>
      </c>
      <c r="AA604" s="344">
        <f>'ALL ML SYSTEMS'!AA590</f>
        <v>0</v>
      </c>
      <c r="AB604" s="344"/>
      <c r="AC604" s="344">
        <f>'ALL ML SYSTEMS'!AC590</f>
        <v>0</v>
      </c>
      <c r="AD604" s="344">
        <f>'ALL ML SYSTEMS'!AD590</f>
        <v>0</v>
      </c>
    </row>
    <row r="605" hidden="1" customHeight="1" spans="1:30">
      <c r="A605" s="344">
        <f>'ALL ML SYSTEMS'!A591</f>
        <v>0</v>
      </c>
      <c r="B605" s="344">
        <f>'ALL ML SYSTEMS'!B591</f>
        <v>0</v>
      </c>
      <c r="C605" s="344">
        <f>'ALL ML SYSTEMS'!C591</f>
        <v>0</v>
      </c>
      <c r="D605" s="344">
        <f>'ALL ML SYSTEMS'!D591</f>
        <v>0</v>
      </c>
      <c r="E605" s="344">
        <f>'ALL ML SYSTEMS'!E591</f>
        <v>0</v>
      </c>
      <c r="F605" s="344">
        <f>'ALL ML SYSTEMS'!F591</f>
        <v>0</v>
      </c>
      <c r="G605" s="344">
        <f>'ALL ML SYSTEMS'!G591</f>
        <v>0</v>
      </c>
      <c r="H605" s="344">
        <f>'ALL ML SYSTEMS'!H591</f>
        <v>0</v>
      </c>
      <c r="I605" s="344">
        <f>'ALL ML SYSTEMS'!I591</f>
        <v>0</v>
      </c>
      <c r="J605" s="344">
        <f>'ALL ML SYSTEMS'!J591</f>
        <v>0</v>
      </c>
      <c r="K605" s="344">
        <f>'ALL ML SYSTEMS'!K591</f>
        <v>0</v>
      </c>
      <c r="L605" s="344">
        <f>'ALL ML SYSTEMS'!L591</f>
        <v>0</v>
      </c>
      <c r="M605" s="344">
        <f>'ALL ML SYSTEMS'!M591</f>
        <v>0</v>
      </c>
      <c r="N605" s="344">
        <f>'ALL ML SYSTEMS'!N591</f>
        <v>0</v>
      </c>
      <c r="O605" s="344">
        <f>'ALL ML SYSTEMS'!O591</f>
        <v>0</v>
      </c>
      <c r="P605" s="344">
        <f>'ALL ML SYSTEMS'!P591</f>
        <v>0</v>
      </c>
      <c r="Q605" s="344">
        <f>'ALL ML SYSTEMS'!Q591</f>
        <v>0</v>
      </c>
      <c r="R605" s="344">
        <f>'ALL ML SYSTEMS'!R591</f>
        <v>0</v>
      </c>
      <c r="S605" s="344">
        <f>'ALL ML SYSTEMS'!S591</f>
        <v>0</v>
      </c>
      <c r="T605" s="344">
        <f>'ALL ML SYSTEMS'!T591</f>
        <v>0</v>
      </c>
      <c r="U605" s="344">
        <f>'ALL ML SYSTEMS'!U591</f>
        <v>0</v>
      </c>
      <c r="V605" s="344">
        <f>'ALL ML SYSTEMS'!V591</f>
        <v>0</v>
      </c>
      <c r="W605" s="344">
        <f>'ALL ML SYSTEMS'!W591</f>
        <v>0</v>
      </c>
      <c r="X605" s="344">
        <f>'ALL ML SYSTEMS'!X591</f>
        <v>0</v>
      </c>
      <c r="Y605" s="344">
        <f>'ALL ML SYSTEMS'!Y591</f>
        <v>0</v>
      </c>
      <c r="Z605" s="344">
        <f>'ALL ML SYSTEMS'!Z591</f>
        <v>0</v>
      </c>
      <c r="AA605" s="344">
        <f>'ALL ML SYSTEMS'!AA591</f>
        <v>0</v>
      </c>
      <c r="AB605" s="344"/>
      <c r="AC605" s="344">
        <f>'ALL ML SYSTEMS'!AC591</f>
        <v>0</v>
      </c>
      <c r="AD605" s="344">
        <f>'ALL ML SYSTEMS'!AD591</f>
        <v>0</v>
      </c>
    </row>
    <row r="606" hidden="1" customHeight="1" spans="1:30">
      <c r="A606" s="344">
        <f>'ALL ML SYSTEMS'!A592</f>
        <v>0</v>
      </c>
      <c r="B606" s="344">
        <f>'ALL ML SYSTEMS'!B592</f>
        <v>0</v>
      </c>
      <c r="C606" s="344">
        <f>'ALL ML SYSTEMS'!C592</f>
        <v>0</v>
      </c>
      <c r="D606" s="344">
        <f>'ALL ML SYSTEMS'!D592</f>
        <v>0</v>
      </c>
      <c r="E606" s="344">
        <f>'ALL ML SYSTEMS'!E592</f>
        <v>0</v>
      </c>
      <c r="F606" s="344">
        <f>'ALL ML SYSTEMS'!F592</f>
        <v>0</v>
      </c>
      <c r="G606" s="344">
        <f>'ALL ML SYSTEMS'!G592</f>
        <v>0</v>
      </c>
      <c r="H606" s="344">
        <f>'ALL ML SYSTEMS'!H592</f>
        <v>0</v>
      </c>
      <c r="I606" s="344">
        <f>'ALL ML SYSTEMS'!I592</f>
        <v>0</v>
      </c>
      <c r="J606" s="344">
        <f>'ALL ML SYSTEMS'!J592</f>
        <v>0</v>
      </c>
      <c r="K606" s="344">
        <f>'ALL ML SYSTEMS'!K592</f>
        <v>0</v>
      </c>
      <c r="L606" s="344">
        <f>'ALL ML SYSTEMS'!L592</f>
        <v>0</v>
      </c>
      <c r="M606" s="344">
        <f>'ALL ML SYSTEMS'!M592</f>
        <v>0</v>
      </c>
      <c r="N606" s="344">
        <f>'ALL ML SYSTEMS'!N592</f>
        <v>0</v>
      </c>
      <c r="O606" s="344">
        <f>'ALL ML SYSTEMS'!O592</f>
        <v>0</v>
      </c>
      <c r="P606" s="344">
        <f>'ALL ML SYSTEMS'!P592</f>
        <v>0</v>
      </c>
      <c r="Q606" s="344">
        <f>'ALL ML SYSTEMS'!Q592</f>
        <v>0</v>
      </c>
      <c r="R606" s="344">
        <f>'ALL ML SYSTEMS'!R592</f>
        <v>0</v>
      </c>
      <c r="S606" s="344">
        <f>'ALL ML SYSTEMS'!S592</f>
        <v>0</v>
      </c>
      <c r="T606" s="344">
        <f>'ALL ML SYSTEMS'!T592</f>
        <v>0</v>
      </c>
      <c r="U606" s="344">
        <f>'ALL ML SYSTEMS'!U592</f>
        <v>0</v>
      </c>
      <c r="V606" s="344">
        <f>'ALL ML SYSTEMS'!V592</f>
        <v>0</v>
      </c>
      <c r="W606" s="344">
        <f>'ALL ML SYSTEMS'!W592</f>
        <v>0</v>
      </c>
      <c r="X606" s="344">
        <f>'ALL ML SYSTEMS'!X592</f>
        <v>0</v>
      </c>
      <c r="Y606" s="344">
        <f>'ALL ML SYSTEMS'!Y592</f>
        <v>0</v>
      </c>
      <c r="Z606" s="344">
        <f>'ALL ML SYSTEMS'!Z592</f>
        <v>0</v>
      </c>
      <c r="AA606" s="344">
        <f>'ALL ML SYSTEMS'!AA592</f>
        <v>0</v>
      </c>
      <c r="AB606" s="344"/>
      <c r="AC606" s="344">
        <f>'ALL ML SYSTEMS'!AC592</f>
        <v>0</v>
      </c>
      <c r="AD606" s="344">
        <f>'ALL ML SYSTEMS'!AD592</f>
        <v>0</v>
      </c>
    </row>
    <row r="607" hidden="1" customHeight="1" spans="1:30">
      <c r="A607" s="344">
        <f>'ALL ML SYSTEMS'!A593</f>
        <v>0</v>
      </c>
      <c r="B607" s="344">
        <f>'ALL ML SYSTEMS'!B593</f>
        <v>0</v>
      </c>
      <c r="C607" s="344">
        <f>'ALL ML SYSTEMS'!C593</f>
        <v>0</v>
      </c>
      <c r="D607" s="344">
        <f>'ALL ML SYSTEMS'!D593</f>
        <v>0</v>
      </c>
      <c r="E607" s="344">
        <f>'ALL ML SYSTEMS'!E593</f>
        <v>0</v>
      </c>
      <c r="F607" s="344">
        <f>'ALL ML SYSTEMS'!F593</f>
        <v>0</v>
      </c>
      <c r="G607" s="344">
        <f>'ALL ML SYSTEMS'!G593</f>
        <v>0</v>
      </c>
      <c r="H607" s="344">
        <f>'ALL ML SYSTEMS'!H593</f>
        <v>0</v>
      </c>
      <c r="I607" s="344">
        <f>'ALL ML SYSTEMS'!I593</f>
        <v>0</v>
      </c>
      <c r="J607" s="344">
        <f>'ALL ML SYSTEMS'!J593</f>
        <v>0</v>
      </c>
      <c r="K607" s="344">
        <f>'ALL ML SYSTEMS'!K593</f>
        <v>0</v>
      </c>
      <c r="L607" s="344">
        <f>'ALL ML SYSTEMS'!L593</f>
        <v>0</v>
      </c>
      <c r="M607" s="344">
        <f>'ALL ML SYSTEMS'!M593</f>
        <v>0</v>
      </c>
      <c r="N607" s="344">
        <f>'ALL ML SYSTEMS'!N593</f>
        <v>0</v>
      </c>
      <c r="O607" s="344">
        <f>'ALL ML SYSTEMS'!O593</f>
        <v>0</v>
      </c>
      <c r="P607" s="344">
        <f>'ALL ML SYSTEMS'!P593</f>
        <v>0</v>
      </c>
      <c r="Q607" s="344">
        <f>'ALL ML SYSTEMS'!Q593</f>
        <v>0</v>
      </c>
      <c r="R607" s="344">
        <f>'ALL ML SYSTEMS'!R593</f>
        <v>0</v>
      </c>
      <c r="S607" s="344">
        <f>'ALL ML SYSTEMS'!S593</f>
        <v>0</v>
      </c>
      <c r="T607" s="344">
        <f>'ALL ML SYSTEMS'!T593</f>
        <v>0</v>
      </c>
      <c r="U607" s="344">
        <f>'ALL ML SYSTEMS'!U593</f>
        <v>0</v>
      </c>
      <c r="V607" s="344">
        <f>'ALL ML SYSTEMS'!V593</f>
        <v>0</v>
      </c>
      <c r="W607" s="344">
        <f>'ALL ML SYSTEMS'!W593</f>
        <v>0</v>
      </c>
      <c r="X607" s="344">
        <f>'ALL ML SYSTEMS'!X593</f>
        <v>0</v>
      </c>
      <c r="Y607" s="344">
        <f>'ALL ML SYSTEMS'!Y593</f>
        <v>0</v>
      </c>
      <c r="Z607" s="344">
        <f>'ALL ML SYSTEMS'!Z593</f>
        <v>0</v>
      </c>
      <c r="AA607" s="344">
        <f>'ALL ML SYSTEMS'!AA593</f>
        <v>0</v>
      </c>
      <c r="AB607" s="344"/>
      <c r="AC607" s="344">
        <f>'ALL ML SYSTEMS'!AC593</f>
        <v>0</v>
      </c>
      <c r="AD607" s="344">
        <f>'ALL ML SYSTEMS'!AD593</f>
        <v>0</v>
      </c>
    </row>
    <row r="608" hidden="1" customHeight="1" spans="1:30">
      <c r="A608" s="344">
        <f>'ALL ML SYSTEMS'!A594</f>
        <v>0</v>
      </c>
      <c r="B608" s="344">
        <f>'ALL ML SYSTEMS'!B594</f>
        <v>0</v>
      </c>
      <c r="C608" s="344">
        <f>'ALL ML SYSTEMS'!C594</f>
        <v>0</v>
      </c>
      <c r="D608" s="344">
        <f>'ALL ML SYSTEMS'!D594</f>
        <v>0</v>
      </c>
      <c r="E608" s="344">
        <f>'ALL ML SYSTEMS'!E594</f>
        <v>0</v>
      </c>
      <c r="F608" s="344">
        <f>'ALL ML SYSTEMS'!F594</f>
        <v>0</v>
      </c>
      <c r="G608" s="344">
        <f>'ALL ML SYSTEMS'!G594</f>
        <v>0</v>
      </c>
      <c r="H608" s="344">
        <f>'ALL ML SYSTEMS'!H594</f>
        <v>0</v>
      </c>
      <c r="I608" s="344">
        <f>'ALL ML SYSTEMS'!I594</f>
        <v>0</v>
      </c>
      <c r="J608" s="344">
        <f>'ALL ML SYSTEMS'!J594</f>
        <v>0</v>
      </c>
      <c r="K608" s="344">
        <f>'ALL ML SYSTEMS'!K594</f>
        <v>0</v>
      </c>
      <c r="L608" s="344">
        <f>'ALL ML SYSTEMS'!L594</f>
        <v>0</v>
      </c>
      <c r="M608" s="344">
        <f>'ALL ML SYSTEMS'!M594</f>
        <v>0</v>
      </c>
      <c r="N608" s="344">
        <f>'ALL ML SYSTEMS'!N594</f>
        <v>0</v>
      </c>
      <c r="O608" s="344">
        <f>'ALL ML SYSTEMS'!O594</f>
        <v>0</v>
      </c>
      <c r="P608" s="344">
        <f>'ALL ML SYSTEMS'!P594</f>
        <v>0</v>
      </c>
      <c r="Q608" s="344">
        <f>'ALL ML SYSTEMS'!Q594</f>
        <v>0</v>
      </c>
      <c r="R608" s="344">
        <f>'ALL ML SYSTEMS'!R594</f>
        <v>0</v>
      </c>
      <c r="S608" s="344">
        <f>'ALL ML SYSTEMS'!S594</f>
        <v>0</v>
      </c>
      <c r="T608" s="344">
        <f>'ALL ML SYSTEMS'!T594</f>
        <v>0</v>
      </c>
      <c r="U608" s="344">
        <f>'ALL ML SYSTEMS'!U594</f>
        <v>0</v>
      </c>
      <c r="V608" s="344">
        <f>'ALL ML SYSTEMS'!V594</f>
        <v>0</v>
      </c>
      <c r="W608" s="344">
        <f>'ALL ML SYSTEMS'!W594</f>
        <v>0</v>
      </c>
      <c r="X608" s="344">
        <f>'ALL ML SYSTEMS'!X594</f>
        <v>0</v>
      </c>
      <c r="Y608" s="344">
        <f>'ALL ML SYSTEMS'!Y594</f>
        <v>0</v>
      </c>
      <c r="Z608" s="344">
        <f>'ALL ML SYSTEMS'!Z594</f>
        <v>0</v>
      </c>
      <c r="AA608" s="344">
        <f>'ALL ML SYSTEMS'!AA594</f>
        <v>0</v>
      </c>
      <c r="AB608" s="344"/>
      <c r="AC608" s="344">
        <f>'ALL ML SYSTEMS'!AC594</f>
        <v>0</v>
      </c>
      <c r="AD608" s="344">
        <f>'ALL ML SYSTEMS'!AD594</f>
        <v>0</v>
      </c>
    </row>
    <row r="609" hidden="1" customHeight="1" spans="1:30">
      <c r="A609" s="344">
        <f>'ALL ML SYSTEMS'!A595</f>
        <v>0</v>
      </c>
      <c r="B609" s="344">
        <f>'ALL ML SYSTEMS'!B595</f>
        <v>0</v>
      </c>
      <c r="C609" s="344">
        <f>'ALL ML SYSTEMS'!C595</f>
        <v>0</v>
      </c>
      <c r="D609" s="344">
        <f>'ALL ML SYSTEMS'!D595</f>
        <v>0</v>
      </c>
      <c r="E609" s="344">
        <f>'ALL ML SYSTEMS'!E595</f>
        <v>0</v>
      </c>
      <c r="F609" s="344">
        <f>'ALL ML SYSTEMS'!F595</f>
        <v>0</v>
      </c>
      <c r="G609" s="344">
        <f>'ALL ML SYSTEMS'!G595</f>
        <v>0</v>
      </c>
      <c r="H609" s="344">
        <f>'ALL ML SYSTEMS'!H595</f>
        <v>0</v>
      </c>
      <c r="I609" s="344">
        <f>'ALL ML SYSTEMS'!I595</f>
        <v>0</v>
      </c>
      <c r="J609" s="344">
        <f>'ALL ML SYSTEMS'!J595</f>
        <v>0</v>
      </c>
      <c r="K609" s="344">
        <f>'ALL ML SYSTEMS'!K595</f>
        <v>0</v>
      </c>
      <c r="L609" s="344">
        <f>'ALL ML SYSTEMS'!L595</f>
        <v>0</v>
      </c>
      <c r="M609" s="344">
        <f>'ALL ML SYSTEMS'!M595</f>
        <v>0</v>
      </c>
      <c r="N609" s="344">
        <f>'ALL ML SYSTEMS'!N595</f>
        <v>0</v>
      </c>
      <c r="O609" s="344">
        <f>'ALL ML SYSTEMS'!O595</f>
        <v>0</v>
      </c>
      <c r="P609" s="344">
        <f>'ALL ML SYSTEMS'!P595</f>
        <v>0</v>
      </c>
      <c r="Q609" s="344">
        <f>'ALL ML SYSTEMS'!Q595</f>
        <v>0</v>
      </c>
      <c r="R609" s="344">
        <f>'ALL ML SYSTEMS'!R595</f>
        <v>0</v>
      </c>
      <c r="S609" s="344">
        <f>'ALL ML SYSTEMS'!S595</f>
        <v>0</v>
      </c>
      <c r="T609" s="344">
        <f>'ALL ML SYSTEMS'!T595</f>
        <v>0</v>
      </c>
      <c r="U609" s="344">
        <f>'ALL ML SYSTEMS'!U595</f>
        <v>0</v>
      </c>
      <c r="V609" s="344">
        <f>'ALL ML SYSTEMS'!V595</f>
        <v>0</v>
      </c>
      <c r="W609" s="344">
        <f>'ALL ML SYSTEMS'!W595</f>
        <v>0</v>
      </c>
      <c r="X609" s="344">
        <f>'ALL ML SYSTEMS'!X595</f>
        <v>0</v>
      </c>
      <c r="Y609" s="344">
        <f>'ALL ML SYSTEMS'!Y595</f>
        <v>0</v>
      </c>
      <c r="Z609" s="344">
        <f>'ALL ML SYSTEMS'!Z595</f>
        <v>0</v>
      </c>
      <c r="AA609" s="344">
        <f>'ALL ML SYSTEMS'!AA595</f>
        <v>0</v>
      </c>
      <c r="AB609" s="344"/>
      <c r="AC609" s="344">
        <f>'ALL ML SYSTEMS'!AC595</f>
        <v>0</v>
      </c>
      <c r="AD609" s="344">
        <f>'ALL ML SYSTEMS'!AD595</f>
        <v>0</v>
      </c>
    </row>
    <row r="610" hidden="1" customHeight="1" spans="1:30">
      <c r="A610" s="344">
        <f>'ALL ML SYSTEMS'!A596</f>
        <v>0</v>
      </c>
      <c r="B610" s="344">
        <f>'ALL ML SYSTEMS'!B596</f>
        <v>0</v>
      </c>
      <c r="C610" s="344">
        <f>'ALL ML SYSTEMS'!C596</f>
        <v>0</v>
      </c>
      <c r="D610" s="344">
        <f>'ALL ML SYSTEMS'!D596</f>
        <v>0</v>
      </c>
      <c r="E610" s="344">
        <f>'ALL ML SYSTEMS'!E596</f>
        <v>0</v>
      </c>
      <c r="F610" s="344">
        <f>'ALL ML SYSTEMS'!F596</f>
        <v>0</v>
      </c>
      <c r="G610" s="344">
        <f>'ALL ML SYSTEMS'!G596</f>
        <v>0</v>
      </c>
      <c r="H610" s="344">
        <f>'ALL ML SYSTEMS'!H596</f>
        <v>0</v>
      </c>
      <c r="I610" s="344">
        <f>'ALL ML SYSTEMS'!I596</f>
        <v>0</v>
      </c>
      <c r="J610" s="344">
        <f>'ALL ML SYSTEMS'!J596</f>
        <v>0</v>
      </c>
      <c r="K610" s="344">
        <f>'ALL ML SYSTEMS'!K596</f>
        <v>0</v>
      </c>
      <c r="L610" s="344">
        <f>'ALL ML SYSTEMS'!L596</f>
        <v>0</v>
      </c>
      <c r="M610" s="344">
        <f>'ALL ML SYSTEMS'!M596</f>
        <v>0</v>
      </c>
      <c r="N610" s="344">
        <f>'ALL ML SYSTEMS'!N596</f>
        <v>0</v>
      </c>
      <c r="O610" s="344">
        <f>'ALL ML SYSTEMS'!O596</f>
        <v>0</v>
      </c>
      <c r="P610" s="344">
        <f>'ALL ML SYSTEMS'!P596</f>
        <v>0</v>
      </c>
      <c r="Q610" s="344">
        <f>'ALL ML SYSTEMS'!Q596</f>
        <v>0</v>
      </c>
      <c r="R610" s="344">
        <f>'ALL ML SYSTEMS'!R596</f>
        <v>0</v>
      </c>
      <c r="S610" s="344">
        <f>'ALL ML SYSTEMS'!S596</f>
        <v>0</v>
      </c>
      <c r="T610" s="344">
        <f>'ALL ML SYSTEMS'!T596</f>
        <v>0</v>
      </c>
      <c r="U610" s="344">
        <f>'ALL ML SYSTEMS'!U596</f>
        <v>0</v>
      </c>
      <c r="V610" s="344">
        <f>'ALL ML SYSTEMS'!V596</f>
        <v>0</v>
      </c>
      <c r="W610" s="344">
        <f>'ALL ML SYSTEMS'!W596</f>
        <v>0</v>
      </c>
      <c r="X610" s="344">
        <f>'ALL ML SYSTEMS'!X596</f>
        <v>0</v>
      </c>
      <c r="Y610" s="344">
        <f>'ALL ML SYSTEMS'!Y596</f>
        <v>0</v>
      </c>
      <c r="Z610" s="344">
        <f>'ALL ML SYSTEMS'!Z596</f>
        <v>0</v>
      </c>
      <c r="AA610" s="344">
        <f>'ALL ML SYSTEMS'!AA596</f>
        <v>0</v>
      </c>
      <c r="AB610" s="344"/>
      <c r="AC610" s="344">
        <f>'ALL ML SYSTEMS'!AC596</f>
        <v>0</v>
      </c>
      <c r="AD610" s="344">
        <f>'ALL ML SYSTEMS'!AD596</f>
        <v>0</v>
      </c>
    </row>
    <row r="611" hidden="1" customHeight="1" spans="1:30">
      <c r="A611" s="344">
        <f>'ALL ML SYSTEMS'!A597</f>
        <v>0</v>
      </c>
      <c r="B611" s="344">
        <f>'ALL ML SYSTEMS'!B597</f>
        <v>0</v>
      </c>
      <c r="C611" s="344">
        <f>'ALL ML SYSTEMS'!C597</f>
        <v>0</v>
      </c>
      <c r="D611" s="344">
        <f>'ALL ML SYSTEMS'!D597</f>
        <v>0</v>
      </c>
      <c r="E611" s="344">
        <f>'ALL ML SYSTEMS'!E597</f>
        <v>0</v>
      </c>
      <c r="F611" s="344">
        <f>'ALL ML SYSTEMS'!F597</f>
        <v>0</v>
      </c>
      <c r="G611" s="344">
        <f>'ALL ML SYSTEMS'!G597</f>
        <v>0</v>
      </c>
      <c r="H611" s="344">
        <f>'ALL ML SYSTEMS'!H597</f>
        <v>0</v>
      </c>
      <c r="I611" s="344">
        <f>'ALL ML SYSTEMS'!I597</f>
        <v>0</v>
      </c>
      <c r="J611" s="344">
        <f>'ALL ML SYSTEMS'!J597</f>
        <v>0</v>
      </c>
      <c r="K611" s="344">
        <f>'ALL ML SYSTEMS'!K597</f>
        <v>0</v>
      </c>
      <c r="L611" s="344">
        <f>'ALL ML SYSTEMS'!L597</f>
        <v>0</v>
      </c>
      <c r="M611" s="344">
        <f>'ALL ML SYSTEMS'!M597</f>
        <v>0</v>
      </c>
      <c r="N611" s="344">
        <f>'ALL ML SYSTEMS'!N597</f>
        <v>0</v>
      </c>
      <c r="O611" s="344">
        <f>'ALL ML SYSTEMS'!O597</f>
        <v>0</v>
      </c>
      <c r="P611" s="344">
        <f>'ALL ML SYSTEMS'!P597</f>
        <v>0</v>
      </c>
      <c r="Q611" s="344">
        <f>'ALL ML SYSTEMS'!Q597</f>
        <v>0</v>
      </c>
      <c r="R611" s="344">
        <f>'ALL ML SYSTEMS'!R597</f>
        <v>0</v>
      </c>
      <c r="S611" s="344">
        <f>'ALL ML SYSTEMS'!S597</f>
        <v>0</v>
      </c>
      <c r="T611" s="344">
        <f>'ALL ML SYSTEMS'!T597</f>
        <v>0</v>
      </c>
      <c r="U611" s="344">
        <f>'ALL ML SYSTEMS'!U597</f>
        <v>0</v>
      </c>
      <c r="V611" s="344">
        <f>'ALL ML SYSTEMS'!V597</f>
        <v>0</v>
      </c>
      <c r="W611" s="344">
        <f>'ALL ML SYSTEMS'!W597</f>
        <v>0</v>
      </c>
      <c r="X611" s="344">
        <f>'ALL ML SYSTEMS'!X597</f>
        <v>0</v>
      </c>
      <c r="Y611" s="344">
        <f>'ALL ML SYSTEMS'!Y597</f>
        <v>0</v>
      </c>
      <c r="Z611" s="344">
        <f>'ALL ML SYSTEMS'!Z597</f>
        <v>0</v>
      </c>
      <c r="AA611" s="344">
        <f>'ALL ML SYSTEMS'!AA597</f>
        <v>0</v>
      </c>
      <c r="AB611" s="344"/>
      <c r="AC611" s="344">
        <f>'ALL ML SYSTEMS'!AC597</f>
        <v>0</v>
      </c>
      <c r="AD611" s="344">
        <f>'ALL ML SYSTEMS'!AD597</f>
        <v>0</v>
      </c>
    </row>
    <row r="612" hidden="1" customHeight="1" spans="1:30">
      <c r="A612" s="344">
        <f>'ALL ML SYSTEMS'!A598</f>
        <v>0</v>
      </c>
      <c r="B612" s="344">
        <f>'ALL ML SYSTEMS'!B598</f>
        <v>0</v>
      </c>
      <c r="C612" s="344">
        <f>'ALL ML SYSTEMS'!C598</f>
        <v>0</v>
      </c>
      <c r="D612" s="344">
        <f>'ALL ML SYSTEMS'!D598</f>
        <v>0</v>
      </c>
      <c r="E612" s="344">
        <f>'ALL ML SYSTEMS'!E598</f>
        <v>0</v>
      </c>
      <c r="F612" s="344">
        <f>'ALL ML SYSTEMS'!F598</f>
        <v>0</v>
      </c>
      <c r="G612" s="344">
        <f>'ALL ML SYSTEMS'!G598</f>
        <v>0</v>
      </c>
      <c r="H612" s="344">
        <f>'ALL ML SYSTEMS'!H598</f>
        <v>0</v>
      </c>
      <c r="I612" s="344">
        <f>'ALL ML SYSTEMS'!I598</f>
        <v>0</v>
      </c>
      <c r="J612" s="344">
        <f>'ALL ML SYSTEMS'!J598</f>
        <v>0</v>
      </c>
      <c r="K612" s="344">
        <f>'ALL ML SYSTEMS'!K598</f>
        <v>0</v>
      </c>
      <c r="L612" s="344">
        <f>'ALL ML SYSTEMS'!L598</f>
        <v>0</v>
      </c>
      <c r="M612" s="344">
        <f>'ALL ML SYSTEMS'!M598</f>
        <v>0</v>
      </c>
      <c r="N612" s="344">
        <f>'ALL ML SYSTEMS'!N598</f>
        <v>0</v>
      </c>
      <c r="O612" s="344">
        <f>'ALL ML SYSTEMS'!O598</f>
        <v>0</v>
      </c>
      <c r="P612" s="344">
        <f>'ALL ML SYSTEMS'!P598</f>
        <v>0</v>
      </c>
      <c r="Q612" s="344">
        <f>'ALL ML SYSTEMS'!Q598</f>
        <v>0</v>
      </c>
      <c r="R612" s="344">
        <f>'ALL ML SYSTEMS'!R598</f>
        <v>0</v>
      </c>
      <c r="S612" s="344">
        <f>'ALL ML SYSTEMS'!S598</f>
        <v>0</v>
      </c>
      <c r="T612" s="344">
        <f>'ALL ML SYSTEMS'!T598</f>
        <v>0</v>
      </c>
      <c r="U612" s="344">
        <f>'ALL ML SYSTEMS'!U598</f>
        <v>0</v>
      </c>
      <c r="V612" s="344">
        <f>'ALL ML SYSTEMS'!V598</f>
        <v>0</v>
      </c>
      <c r="W612" s="344">
        <f>'ALL ML SYSTEMS'!W598</f>
        <v>0</v>
      </c>
      <c r="X612" s="344">
        <f>'ALL ML SYSTEMS'!X598</f>
        <v>0</v>
      </c>
      <c r="Y612" s="344">
        <f>'ALL ML SYSTEMS'!Y598</f>
        <v>0</v>
      </c>
      <c r="Z612" s="344">
        <f>'ALL ML SYSTEMS'!Z598</f>
        <v>0</v>
      </c>
      <c r="AA612" s="344">
        <f>'ALL ML SYSTEMS'!AA598</f>
        <v>0</v>
      </c>
      <c r="AB612" s="344"/>
      <c r="AC612" s="344">
        <f>'ALL ML SYSTEMS'!AC598</f>
        <v>0</v>
      </c>
      <c r="AD612" s="344">
        <f>'ALL ML SYSTEMS'!AD598</f>
        <v>0</v>
      </c>
    </row>
    <row r="613" hidden="1" customHeight="1" spans="1:30">
      <c r="A613" s="344">
        <f>'ALL ML SYSTEMS'!A599</f>
        <v>0</v>
      </c>
      <c r="B613" s="344">
        <f>'ALL ML SYSTEMS'!B599</f>
        <v>0</v>
      </c>
      <c r="C613" s="344">
        <f>'ALL ML SYSTEMS'!C599</f>
        <v>0</v>
      </c>
      <c r="D613" s="344">
        <f>'ALL ML SYSTEMS'!D599</f>
        <v>0</v>
      </c>
      <c r="E613" s="344">
        <f>'ALL ML SYSTEMS'!E599</f>
        <v>0</v>
      </c>
      <c r="F613" s="344">
        <f>'ALL ML SYSTEMS'!F599</f>
        <v>0</v>
      </c>
      <c r="G613" s="344">
        <f>'ALL ML SYSTEMS'!G599</f>
        <v>0</v>
      </c>
      <c r="H613" s="344">
        <f>'ALL ML SYSTEMS'!H599</f>
        <v>0</v>
      </c>
      <c r="I613" s="344">
        <f>'ALL ML SYSTEMS'!I599</f>
        <v>0</v>
      </c>
      <c r="J613" s="344">
        <f>'ALL ML SYSTEMS'!J599</f>
        <v>0</v>
      </c>
      <c r="K613" s="344">
        <f>'ALL ML SYSTEMS'!K599</f>
        <v>0</v>
      </c>
      <c r="L613" s="344">
        <f>'ALL ML SYSTEMS'!L599</f>
        <v>0</v>
      </c>
      <c r="M613" s="344">
        <f>'ALL ML SYSTEMS'!M599</f>
        <v>0</v>
      </c>
      <c r="N613" s="344">
        <f>'ALL ML SYSTEMS'!N599</f>
        <v>0</v>
      </c>
      <c r="O613" s="344">
        <f>'ALL ML SYSTEMS'!O599</f>
        <v>0</v>
      </c>
      <c r="P613" s="344">
        <f>'ALL ML SYSTEMS'!P599</f>
        <v>0</v>
      </c>
      <c r="Q613" s="344">
        <f>'ALL ML SYSTEMS'!Q599</f>
        <v>0</v>
      </c>
      <c r="R613" s="344">
        <f>'ALL ML SYSTEMS'!R599</f>
        <v>0</v>
      </c>
      <c r="S613" s="344">
        <f>'ALL ML SYSTEMS'!S599</f>
        <v>0</v>
      </c>
      <c r="T613" s="344">
        <f>'ALL ML SYSTEMS'!T599</f>
        <v>0</v>
      </c>
      <c r="U613" s="344">
        <f>'ALL ML SYSTEMS'!U599</f>
        <v>0</v>
      </c>
      <c r="V613" s="344">
        <f>'ALL ML SYSTEMS'!V599</f>
        <v>0</v>
      </c>
      <c r="W613" s="344">
        <f>'ALL ML SYSTEMS'!W599</f>
        <v>0</v>
      </c>
      <c r="X613" s="344">
        <f>'ALL ML SYSTEMS'!X599</f>
        <v>0</v>
      </c>
      <c r="Y613" s="344">
        <f>'ALL ML SYSTEMS'!Y599</f>
        <v>0</v>
      </c>
      <c r="Z613" s="344">
        <f>'ALL ML SYSTEMS'!Z599</f>
        <v>0</v>
      </c>
      <c r="AA613" s="344">
        <f>'ALL ML SYSTEMS'!AA599</f>
        <v>0</v>
      </c>
      <c r="AB613" s="344"/>
      <c r="AC613" s="344">
        <f>'ALL ML SYSTEMS'!AC599</f>
        <v>0</v>
      </c>
      <c r="AD613" s="344">
        <f>'ALL ML SYSTEMS'!AD599</f>
        <v>0</v>
      </c>
    </row>
    <row r="614" hidden="1" customHeight="1" spans="1:30">
      <c r="A614" s="344">
        <f>'ALL ML SYSTEMS'!A600</f>
        <v>0</v>
      </c>
      <c r="B614" s="344">
        <f>'ALL ML SYSTEMS'!B600</f>
        <v>0</v>
      </c>
      <c r="C614" s="344">
        <f>'ALL ML SYSTEMS'!C600</f>
        <v>0</v>
      </c>
      <c r="D614" s="344">
        <f>'ALL ML SYSTEMS'!D600</f>
        <v>0</v>
      </c>
      <c r="E614" s="344">
        <f>'ALL ML SYSTEMS'!E600</f>
        <v>0</v>
      </c>
      <c r="F614" s="344">
        <f>'ALL ML SYSTEMS'!F600</f>
        <v>0</v>
      </c>
      <c r="G614" s="344">
        <f>'ALL ML SYSTEMS'!G600</f>
        <v>0</v>
      </c>
      <c r="H614" s="344">
        <f>'ALL ML SYSTEMS'!H600</f>
        <v>0</v>
      </c>
      <c r="I614" s="344">
        <f>'ALL ML SYSTEMS'!I600</f>
        <v>0</v>
      </c>
      <c r="J614" s="344">
        <f>'ALL ML SYSTEMS'!J600</f>
        <v>0</v>
      </c>
      <c r="K614" s="344">
        <f>'ALL ML SYSTEMS'!K600</f>
        <v>0</v>
      </c>
      <c r="L614" s="344">
        <f>'ALL ML SYSTEMS'!L600</f>
        <v>0</v>
      </c>
      <c r="M614" s="344">
        <f>'ALL ML SYSTEMS'!M600</f>
        <v>0</v>
      </c>
      <c r="N614" s="344">
        <f>'ALL ML SYSTEMS'!N600</f>
        <v>0</v>
      </c>
      <c r="O614" s="344">
        <f>'ALL ML SYSTEMS'!O600</f>
        <v>0</v>
      </c>
      <c r="P614" s="344">
        <f>'ALL ML SYSTEMS'!P600</f>
        <v>0</v>
      </c>
      <c r="Q614" s="344">
        <f>'ALL ML SYSTEMS'!Q600</f>
        <v>0</v>
      </c>
      <c r="R614" s="344">
        <f>'ALL ML SYSTEMS'!R600</f>
        <v>0</v>
      </c>
      <c r="S614" s="344">
        <f>'ALL ML SYSTEMS'!S600</f>
        <v>0</v>
      </c>
      <c r="T614" s="344">
        <f>'ALL ML SYSTEMS'!T600</f>
        <v>0</v>
      </c>
      <c r="U614" s="344">
        <f>'ALL ML SYSTEMS'!U600</f>
        <v>0</v>
      </c>
      <c r="V614" s="344">
        <f>'ALL ML SYSTEMS'!V600</f>
        <v>0</v>
      </c>
      <c r="W614" s="344">
        <f>'ALL ML SYSTEMS'!W600</f>
        <v>0</v>
      </c>
      <c r="X614" s="344">
        <f>'ALL ML SYSTEMS'!X600</f>
        <v>0</v>
      </c>
      <c r="Y614" s="344">
        <f>'ALL ML SYSTEMS'!Y600</f>
        <v>0</v>
      </c>
      <c r="Z614" s="344">
        <f>'ALL ML SYSTEMS'!Z600</f>
        <v>0</v>
      </c>
      <c r="AA614" s="344">
        <f>'ALL ML SYSTEMS'!AA600</f>
        <v>0</v>
      </c>
      <c r="AB614" s="344"/>
      <c r="AC614" s="344">
        <f>'ALL ML SYSTEMS'!AC600</f>
        <v>0</v>
      </c>
      <c r="AD614" s="344">
        <f>'ALL ML SYSTEMS'!AD600</f>
        <v>0</v>
      </c>
    </row>
    <row r="615" hidden="1" customHeight="1" spans="1:30">
      <c r="A615" s="344">
        <f>'ALL ML SYSTEMS'!A601</f>
        <v>0</v>
      </c>
      <c r="B615" s="344">
        <f>'ALL ML SYSTEMS'!B601</f>
        <v>0</v>
      </c>
      <c r="C615" s="344">
        <f>'ALL ML SYSTEMS'!C601</f>
        <v>0</v>
      </c>
      <c r="D615" s="344">
        <f>'ALL ML SYSTEMS'!D601</f>
        <v>0</v>
      </c>
      <c r="E615" s="344">
        <f>'ALL ML SYSTEMS'!E601</f>
        <v>0</v>
      </c>
      <c r="F615" s="344">
        <f>'ALL ML SYSTEMS'!F601</f>
        <v>0</v>
      </c>
      <c r="G615" s="344">
        <f>'ALL ML SYSTEMS'!G601</f>
        <v>0</v>
      </c>
      <c r="H615" s="344">
        <f>'ALL ML SYSTEMS'!H601</f>
        <v>0</v>
      </c>
      <c r="I615" s="344">
        <f>'ALL ML SYSTEMS'!I601</f>
        <v>0</v>
      </c>
      <c r="J615" s="344">
        <f>'ALL ML SYSTEMS'!J601</f>
        <v>0</v>
      </c>
      <c r="K615" s="344">
        <f>'ALL ML SYSTEMS'!K601</f>
        <v>0</v>
      </c>
      <c r="L615" s="344">
        <f>'ALL ML SYSTEMS'!L601</f>
        <v>0</v>
      </c>
      <c r="M615" s="344">
        <f>'ALL ML SYSTEMS'!M601</f>
        <v>0</v>
      </c>
      <c r="N615" s="344">
        <f>'ALL ML SYSTEMS'!N601</f>
        <v>0</v>
      </c>
      <c r="O615" s="344">
        <f>'ALL ML SYSTEMS'!O601</f>
        <v>0</v>
      </c>
      <c r="P615" s="344">
        <f>'ALL ML SYSTEMS'!P601</f>
        <v>0</v>
      </c>
      <c r="Q615" s="344">
        <f>'ALL ML SYSTEMS'!Q601</f>
        <v>0</v>
      </c>
      <c r="R615" s="344">
        <f>'ALL ML SYSTEMS'!R601</f>
        <v>0</v>
      </c>
      <c r="S615" s="344">
        <f>'ALL ML SYSTEMS'!S601</f>
        <v>0</v>
      </c>
      <c r="T615" s="344">
        <f>'ALL ML SYSTEMS'!T601</f>
        <v>0</v>
      </c>
      <c r="U615" s="344">
        <f>'ALL ML SYSTEMS'!U601</f>
        <v>0</v>
      </c>
      <c r="V615" s="344">
        <f>'ALL ML SYSTEMS'!V601</f>
        <v>0</v>
      </c>
      <c r="W615" s="344">
        <f>'ALL ML SYSTEMS'!W601</f>
        <v>0</v>
      </c>
      <c r="X615" s="344">
        <f>'ALL ML SYSTEMS'!X601</f>
        <v>0</v>
      </c>
      <c r="Y615" s="344">
        <f>'ALL ML SYSTEMS'!Y601</f>
        <v>0</v>
      </c>
      <c r="Z615" s="344">
        <f>'ALL ML SYSTEMS'!Z601</f>
        <v>0</v>
      </c>
      <c r="AA615" s="344">
        <f>'ALL ML SYSTEMS'!AA601</f>
        <v>0</v>
      </c>
      <c r="AB615" s="344"/>
      <c r="AC615" s="344">
        <f>'ALL ML SYSTEMS'!AC601</f>
        <v>0</v>
      </c>
      <c r="AD615" s="344">
        <f>'ALL ML SYSTEMS'!AD601</f>
        <v>0</v>
      </c>
    </row>
    <row r="616" hidden="1" customHeight="1" spans="1:30">
      <c r="A616" s="344">
        <f>'ALL ML SYSTEMS'!A602</f>
        <v>0</v>
      </c>
      <c r="B616" s="344">
        <f>'ALL ML SYSTEMS'!B602</f>
        <v>0</v>
      </c>
      <c r="C616" s="344">
        <f>'ALL ML SYSTEMS'!C602</f>
        <v>0</v>
      </c>
      <c r="D616" s="344">
        <f>'ALL ML SYSTEMS'!D602</f>
        <v>0</v>
      </c>
      <c r="E616" s="344">
        <f>'ALL ML SYSTEMS'!E602</f>
        <v>0</v>
      </c>
      <c r="F616" s="344">
        <f>'ALL ML SYSTEMS'!F602</f>
        <v>0</v>
      </c>
      <c r="G616" s="344">
        <f>'ALL ML SYSTEMS'!G602</f>
        <v>0</v>
      </c>
      <c r="H616" s="344">
        <f>'ALL ML SYSTEMS'!H602</f>
        <v>0</v>
      </c>
      <c r="I616" s="344">
        <f>'ALL ML SYSTEMS'!I602</f>
        <v>0</v>
      </c>
      <c r="J616" s="344">
        <f>'ALL ML SYSTEMS'!J602</f>
        <v>0</v>
      </c>
      <c r="K616" s="344">
        <f>'ALL ML SYSTEMS'!K602</f>
        <v>0</v>
      </c>
      <c r="L616" s="344">
        <f>'ALL ML SYSTEMS'!L602</f>
        <v>0</v>
      </c>
      <c r="M616" s="344">
        <f>'ALL ML SYSTEMS'!M602</f>
        <v>0</v>
      </c>
      <c r="N616" s="344">
        <f>'ALL ML SYSTEMS'!N602</f>
        <v>0</v>
      </c>
      <c r="O616" s="344">
        <f>'ALL ML SYSTEMS'!O602</f>
        <v>0</v>
      </c>
      <c r="P616" s="344">
        <f>'ALL ML SYSTEMS'!P602</f>
        <v>0</v>
      </c>
      <c r="Q616" s="344">
        <f>'ALL ML SYSTEMS'!Q602</f>
        <v>0</v>
      </c>
      <c r="R616" s="344">
        <f>'ALL ML SYSTEMS'!R602</f>
        <v>0</v>
      </c>
      <c r="S616" s="344">
        <f>'ALL ML SYSTEMS'!S602</f>
        <v>0</v>
      </c>
      <c r="T616" s="344">
        <f>'ALL ML SYSTEMS'!T602</f>
        <v>0</v>
      </c>
      <c r="U616" s="344">
        <f>'ALL ML SYSTEMS'!U602</f>
        <v>0</v>
      </c>
      <c r="V616" s="344">
        <f>'ALL ML SYSTEMS'!V602</f>
        <v>0</v>
      </c>
      <c r="W616" s="344">
        <f>'ALL ML SYSTEMS'!W602</f>
        <v>0</v>
      </c>
      <c r="X616" s="344">
        <f>'ALL ML SYSTEMS'!X602</f>
        <v>0</v>
      </c>
      <c r="Y616" s="344">
        <f>'ALL ML SYSTEMS'!Y602</f>
        <v>0</v>
      </c>
      <c r="Z616" s="344">
        <f>'ALL ML SYSTEMS'!Z602</f>
        <v>0</v>
      </c>
      <c r="AA616" s="344">
        <f>'ALL ML SYSTEMS'!AA602</f>
        <v>0</v>
      </c>
      <c r="AB616" s="344"/>
      <c r="AC616" s="344">
        <f>'ALL ML SYSTEMS'!AC602</f>
        <v>0</v>
      </c>
      <c r="AD616" s="344">
        <f>'ALL ML SYSTEMS'!AD602</f>
        <v>0</v>
      </c>
    </row>
    <row r="617" hidden="1" customHeight="1" spans="1:30">
      <c r="A617" s="344">
        <f>'ALL ML SYSTEMS'!A603</f>
        <v>0</v>
      </c>
      <c r="B617" s="344">
        <f>'ALL ML SYSTEMS'!B603</f>
        <v>0</v>
      </c>
      <c r="C617" s="344">
        <f>'ALL ML SYSTEMS'!C603</f>
        <v>0</v>
      </c>
      <c r="D617" s="344">
        <f>'ALL ML SYSTEMS'!D603</f>
        <v>0</v>
      </c>
      <c r="E617" s="344">
        <f>'ALL ML SYSTEMS'!E603</f>
        <v>0</v>
      </c>
      <c r="F617" s="344">
        <f>'ALL ML SYSTEMS'!F603</f>
        <v>0</v>
      </c>
      <c r="G617" s="344">
        <f>'ALL ML SYSTEMS'!G603</f>
        <v>0</v>
      </c>
      <c r="H617" s="344">
        <f>'ALL ML SYSTEMS'!H603</f>
        <v>0</v>
      </c>
      <c r="I617" s="344">
        <f>'ALL ML SYSTEMS'!I603</f>
        <v>0</v>
      </c>
      <c r="J617" s="344">
        <f>'ALL ML SYSTEMS'!J603</f>
        <v>0</v>
      </c>
      <c r="K617" s="344">
        <f>'ALL ML SYSTEMS'!K603</f>
        <v>0</v>
      </c>
      <c r="L617" s="344">
        <f>'ALL ML SYSTEMS'!L603</f>
        <v>0</v>
      </c>
      <c r="M617" s="344">
        <f>'ALL ML SYSTEMS'!M603</f>
        <v>0</v>
      </c>
      <c r="N617" s="344">
        <f>'ALL ML SYSTEMS'!N603</f>
        <v>0</v>
      </c>
      <c r="O617" s="344">
        <f>'ALL ML SYSTEMS'!O603</f>
        <v>0</v>
      </c>
      <c r="P617" s="344">
        <f>'ALL ML SYSTEMS'!P603</f>
        <v>0</v>
      </c>
      <c r="Q617" s="344">
        <f>'ALL ML SYSTEMS'!Q603</f>
        <v>0</v>
      </c>
      <c r="R617" s="344">
        <f>'ALL ML SYSTEMS'!R603</f>
        <v>0</v>
      </c>
      <c r="S617" s="344">
        <f>'ALL ML SYSTEMS'!S603</f>
        <v>0</v>
      </c>
      <c r="T617" s="344">
        <f>'ALL ML SYSTEMS'!T603</f>
        <v>0</v>
      </c>
      <c r="U617" s="344">
        <f>'ALL ML SYSTEMS'!U603</f>
        <v>0</v>
      </c>
      <c r="V617" s="344">
        <f>'ALL ML SYSTEMS'!V603</f>
        <v>0</v>
      </c>
      <c r="W617" s="344">
        <f>'ALL ML SYSTEMS'!W603</f>
        <v>0</v>
      </c>
      <c r="X617" s="344">
        <f>'ALL ML SYSTEMS'!X603</f>
        <v>0</v>
      </c>
      <c r="Y617" s="344">
        <f>'ALL ML SYSTEMS'!Y603</f>
        <v>0</v>
      </c>
      <c r="Z617" s="344">
        <f>'ALL ML SYSTEMS'!Z603</f>
        <v>0</v>
      </c>
      <c r="AA617" s="344">
        <f>'ALL ML SYSTEMS'!AA603</f>
        <v>0</v>
      </c>
      <c r="AB617" s="344"/>
      <c r="AC617" s="344">
        <f>'ALL ML SYSTEMS'!AC603</f>
        <v>0</v>
      </c>
      <c r="AD617" s="344">
        <f>'ALL ML SYSTEMS'!AD603</f>
        <v>0</v>
      </c>
    </row>
    <row r="618" hidden="1" customHeight="1" spans="1:30">
      <c r="A618" s="344">
        <f>'ALL ML SYSTEMS'!A604</f>
        <v>0</v>
      </c>
      <c r="B618" s="344">
        <f>'ALL ML SYSTEMS'!B604</f>
        <v>0</v>
      </c>
      <c r="C618" s="344">
        <f>'ALL ML SYSTEMS'!C604</f>
        <v>0</v>
      </c>
      <c r="D618" s="344">
        <f>'ALL ML SYSTEMS'!D604</f>
        <v>0</v>
      </c>
      <c r="E618" s="344">
        <f>'ALL ML SYSTEMS'!E604</f>
        <v>0</v>
      </c>
      <c r="F618" s="344">
        <f>'ALL ML SYSTEMS'!F604</f>
        <v>0</v>
      </c>
      <c r="G618" s="344">
        <f>'ALL ML SYSTEMS'!G604</f>
        <v>0</v>
      </c>
      <c r="H618" s="344">
        <f>'ALL ML SYSTEMS'!H604</f>
        <v>0</v>
      </c>
      <c r="I618" s="344">
        <f>'ALL ML SYSTEMS'!I604</f>
        <v>0</v>
      </c>
      <c r="J618" s="344">
        <f>'ALL ML SYSTEMS'!J604</f>
        <v>0</v>
      </c>
      <c r="K618" s="344">
        <f>'ALL ML SYSTEMS'!K604</f>
        <v>0</v>
      </c>
      <c r="L618" s="344">
        <f>'ALL ML SYSTEMS'!L604</f>
        <v>0</v>
      </c>
      <c r="M618" s="344">
        <f>'ALL ML SYSTEMS'!M604</f>
        <v>0</v>
      </c>
      <c r="N618" s="344">
        <f>'ALL ML SYSTEMS'!N604</f>
        <v>0</v>
      </c>
      <c r="O618" s="344">
        <f>'ALL ML SYSTEMS'!O604</f>
        <v>0</v>
      </c>
      <c r="P618" s="344">
        <f>'ALL ML SYSTEMS'!P604</f>
        <v>0</v>
      </c>
      <c r="Q618" s="344">
        <f>'ALL ML SYSTEMS'!Q604</f>
        <v>0</v>
      </c>
      <c r="R618" s="344">
        <f>'ALL ML SYSTEMS'!R604</f>
        <v>0</v>
      </c>
      <c r="S618" s="344">
        <f>'ALL ML SYSTEMS'!S604</f>
        <v>0</v>
      </c>
      <c r="T618" s="344">
        <f>'ALL ML SYSTEMS'!T604</f>
        <v>0</v>
      </c>
      <c r="U618" s="344">
        <f>'ALL ML SYSTEMS'!U604</f>
        <v>0</v>
      </c>
      <c r="V618" s="344">
        <f>'ALL ML SYSTEMS'!V604</f>
        <v>0</v>
      </c>
      <c r="W618" s="344">
        <f>'ALL ML SYSTEMS'!W604</f>
        <v>0</v>
      </c>
      <c r="X618" s="344">
        <f>'ALL ML SYSTEMS'!X604</f>
        <v>0</v>
      </c>
      <c r="Y618" s="344">
        <f>'ALL ML SYSTEMS'!Y604</f>
        <v>0</v>
      </c>
      <c r="Z618" s="344">
        <f>'ALL ML SYSTEMS'!Z604</f>
        <v>0</v>
      </c>
      <c r="AA618" s="344">
        <f>'ALL ML SYSTEMS'!AA604</f>
        <v>0</v>
      </c>
      <c r="AB618" s="344"/>
      <c r="AC618" s="344">
        <f>'ALL ML SYSTEMS'!AC604</f>
        <v>0</v>
      </c>
      <c r="AD618" s="344">
        <f>'ALL ML SYSTEMS'!AD604</f>
        <v>0</v>
      </c>
    </row>
    <row r="619" hidden="1" customHeight="1" spans="1:30">
      <c r="A619" s="344">
        <f>'ALL ML SYSTEMS'!A605</f>
        <v>0</v>
      </c>
      <c r="B619" s="344">
        <f>'ALL ML SYSTEMS'!B605</f>
        <v>0</v>
      </c>
      <c r="C619" s="344">
        <f>'ALL ML SYSTEMS'!C605</f>
        <v>0</v>
      </c>
      <c r="D619" s="344">
        <f>'ALL ML SYSTEMS'!D605</f>
        <v>0</v>
      </c>
      <c r="E619" s="344">
        <f>'ALL ML SYSTEMS'!E605</f>
        <v>0</v>
      </c>
      <c r="F619" s="344">
        <f>'ALL ML SYSTEMS'!F605</f>
        <v>0</v>
      </c>
      <c r="G619" s="344">
        <f>'ALL ML SYSTEMS'!G605</f>
        <v>0</v>
      </c>
      <c r="H619" s="344">
        <f>'ALL ML SYSTEMS'!H605</f>
        <v>0</v>
      </c>
      <c r="I619" s="344">
        <f>'ALL ML SYSTEMS'!I605</f>
        <v>0</v>
      </c>
      <c r="J619" s="344">
        <f>'ALL ML SYSTEMS'!J605</f>
        <v>0</v>
      </c>
      <c r="K619" s="344">
        <f>'ALL ML SYSTEMS'!K605</f>
        <v>0</v>
      </c>
      <c r="L619" s="344">
        <f>'ALL ML SYSTEMS'!L605</f>
        <v>0</v>
      </c>
      <c r="M619" s="344">
        <f>'ALL ML SYSTEMS'!M605</f>
        <v>0</v>
      </c>
      <c r="N619" s="344">
        <f>'ALL ML SYSTEMS'!N605</f>
        <v>0</v>
      </c>
      <c r="O619" s="344">
        <f>'ALL ML SYSTEMS'!O605</f>
        <v>0</v>
      </c>
      <c r="P619" s="344">
        <f>'ALL ML SYSTEMS'!P605</f>
        <v>0</v>
      </c>
      <c r="Q619" s="344">
        <f>'ALL ML SYSTEMS'!Q605</f>
        <v>0</v>
      </c>
      <c r="R619" s="344">
        <f>'ALL ML SYSTEMS'!R605</f>
        <v>0</v>
      </c>
      <c r="S619" s="344">
        <f>'ALL ML SYSTEMS'!S605</f>
        <v>0</v>
      </c>
      <c r="T619" s="344">
        <f>'ALL ML SYSTEMS'!T605</f>
        <v>0</v>
      </c>
      <c r="U619" s="344">
        <f>'ALL ML SYSTEMS'!U605</f>
        <v>0</v>
      </c>
      <c r="V619" s="344">
        <f>'ALL ML SYSTEMS'!V605</f>
        <v>0</v>
      </c>
      <c r="W619" s="344">
        <f>'ALL ML SYSTEMS'!W605</f>
        <v>0</v>
      </c>
      <c r="X619" s="344">
        <f>'ALL ML SYSTEMS'!X605</f>
        <v>0</v>
      </c>
      <c r="Y619" s="344">
        <f>'ALL ML SYSTEMS'!Y605</f>
        <v>0</v>
      </c>
      <c r="Z619" s="344">
        <f>'ALL ML SYSTEMS'!Z605</f>
        <v>0</v>
      </c>
      <c r="AA619" s="344">
        <f>'ALL ML SYSTEMS'!AA605</f>
        <v>0</v>
      </c>
      <c r="AB619" s="344"/>
      <c r="AC619" s="344">
        <f>'ALL ML SYSTEMS'!AC605</f>
        <v>0</v>
      </c>
      <c r="AD619" s="344">
        <f>'ALL ML SYSTEMS'!AD605</f>
        <v>0</v>
      </c>
    </row>
    <row r="620" hidden="1" customHeight="1" spans="1:30">
      <c r="A620" s="344">
        <f>'ALL ML SYSTEMS'!A606</f>
        <v>0</v>
      </c>
      <c r="B620" s="344">
        <f>'ALL ML SYSTEMS'!B606</f>
        <v>0</v>
      </c>
      <c r="C620" s="344">
        <f>'ALL ML SYSTEMS'!C606</f>
        <v>0</v>
      </c>
      <c r="D620" s="344">
        <f>'ALL ML SYSTEMS'!D606</f>
        <v>0</v>
      </c>
      <c r="E620" s="344">
        <f>'ALL ML SYSTEMS'!E606</f>
        <v>0</v>
      </c>
      <c r="F620" s="344">
        <f>'ALL ML SYSTEMS'!F606</f>
        <v>0</v>
      </c>
      <c r="G620" s="344">
        <f>'ALL ML SYSTEMS'!G606</f>
        <v>0</v>
      </c>
      <c r="H620" s="344">
        <f>'ALL ML SYSTEMS'!H606</f>
        <v>0</v>
      </c>
      <c r="I620" s="344">
        <f>'ALL ML SYSTEMS'!I606</f>
        <v>0</v>
      </c>
      <c r="J620" s="344">
        <f>'ALL ML SYSTEMS'!J606</f>
        <v>0</v>
      </c>
      <c r="K620" s="344">
        <f>'ALL ML SYSTEMS'!K606</f>
        <v>0</v>
      </c>
      <c r="L620" s="344">
        <f>'ALL ML SYSTEMS'!L606</f>
        <v>0</v>
      </c>
      <c r="M620" s="344">
        <f>'ALL ML SYSTEMS'!M606</f>
        <v>0</v>
      </c>
      <c r="N620" s="344">
        <f>'ALL ML SYSTEMS'!N606</f>
        <v>0</v>
      </c>
      <c r="O620" s="344">
        <f>'ALL ML SYSTEMS'!O606</f>
        <v>0</v>
      </c>
      <c r="P620" s="344">
        <f>'ALL ML SYSTEMS'!P606</f>
        <v>0</v>
      </c>
      <c r="Q620" s="344">
        <f>'ALL ML SYSTEMS'!Q606</f>
        <v>0</v>
      </c>
      <c r="R620" s="344">
        <f>'ALL ML SYSTEMS'!R606</f>
        <v>0</v>
      </c>
      <c r="S620" s="344">
        <f>'ALL ML SYSTEMS'!S606</f>
        <v>0</v>
      </c>
      <c r="T620" s="344">
        <f>'ALL ML SYSTEMS'!T606</f>
        <v>0</v>
      </c>
      <c r="U620" s="344">
        <f>'ALL ML SYSTEMS'!U606</f>
        <v>0</v>
      </c>
      <c r="V620" s="344">
        <f>'ALL ML SYSTEMS'!V606</f>
        <v>0</v>
      </c>
      <c r="W620" s="344">
        <f>'ALL ML SYSTEMS'!W606</f>
        <v>0</v>
      </c>
      <c r="X620" s="344">
        <f>'ALL ML SYSTEMS'!X606</f>
        <v>0</v>
      </c>
      <c r="Y620" s="344">
        <f>'ALL ML SYSTEMS'!Y606</f>
        <v>0</v>
      </c>
      <c r="Z620" s="344">
        <f>'ALL ML SYSTEMS'!Z606</f>
        <v>0</v>
      </c>
      <c r="AA620" s="344">
        <f>'ALL ML SYSTEMS'!AA606</f>
        <v>0</v>
      </c>
      <c r="AB620" s="344"/>
      <c r="AC620" s="344">
        <f>'ALL ML SYSTEMS'!AC606</f>
        <v>0</v>
      </c>
      <c r="AD620" s="344">
        <f>'ALL ML SYSTEMS'!AD606</f>
        <v>0</v>
      </c>
    </row>
    <row r="621" hidden="1" customHeight="1" spans="1:30">
      <c r="A621" s="344">
        <f>'ALL ML SYSTEMS'!A607</f>
        <v>0</v>
      </c>
      <c r="B621" s="344">
        <f>'ALL ML SYSTEMS'!B607</f>
        <v>0</v>
      </c>
      <c r="C621" s="344">
        <f>'ALL ML SYSTEMS'!C607</f>
        <v>0</v>
      </c>
      <c r="D621" s="344">
        <f>'ALL ML SYSTEMS'!D607</f>
        <v>0</v>
      </c>
      <c r="E621" s="344">
        <f>'ALL ML SYSTEMS'!E607</f>
        <v>0</v>
      </c>
      <c r="F621" s="344">
        <f>'ALL ML SYSTEMS'!F607</f>
        <v>0</v>
      </c>
      <c r="G621" s="344">
        <f>'ALL ML SYSTEMS'!G607</f>
        <v>0</v>
      </c>
      <c r="H621" s="344">
        <f>'ALL ML SYSTEMS'!H607</f>
        <v>0</v>
      </c>
      <c r="I621" s="344">
        <f>'ALL ML SYSTEMS'!I607</f>
        <v>0</v>
      </c>
      <c r="J621" s="344">
        <f>'ALL ML SYSTEMS'!J607</f>
        <v>0</v>
      </c>
      <c r="K621" s="344">
        <f>'ALL ML SYSTEMS'!K607</f>
        <v>0</v>
      </c>
      <c r="L621" s="344">
        <f>'ALL ML SYSTEMS'!L607</f>
        <v>0</v>
      </c>
      <c r="M621" s="344">
        <f>'ALL ML SYSTEMS'!M607</f>
        <v>0</v>
      </c>
      <c r="N621" s="344">
        <f>'ALL ML SYSTEMS'!N607</f>
        <v>0</v>
      </c>
      <c r="O621" s="344">
        <f>'ALL ML SYSTEMS'!O607</f>
        <v>0</v>
      </c>
      <c r="P621" s="344">
        <f>'ALL ML SYSTEMS'!P607</f>
        <v>0</v>
      </c>
      <c r="Q621" s="344">
        <f>'ALL ML SYSTEMS'!Q607</f>
        <v>0</v>
      </c>
      <c r="R621" s="344">
        <f>'ALL ML SYSTEMS'!R607</f>
        <v>0</v>
      </c>
      <c r="S621" s="344">
        <f>'ALL ML SYSTEMS'!S607</f>
        <v>0</v>
      </c>
      <c r="T621" s="344">
        <f>'ALL ML SYSTEMS'!T607</f>
        <v>0</v>
      </c>
      <c r="U621" s="344">
        <f>'ALL ML SYSTEMS'!U607</f>
        <v>0</v>
      </c>
      <c r="V621" s="344">
        <f>'ALL ML SYSTEMS'!V607</f>
        <v>0</v>
      </c>
      <c r="W621" s="344">
        <f>'ALL ML SYSTEMS'!W607</f>
        <v>0</v>
      </c>
      <c r="X621" s="344">
        <f>'ALL ML SYSTEMS'!X607</f>
        <v>0</v>
      </c>
      <c r="Y621" s="344">
        <f>'ALL ML SYSTEMS'!Y607</f>
        <v>0</v>
      </c>
      <c r="Z621" s="344">
        <f>'ALL ML SYSTEMS'!Z607</f>
        <v>0</v>
      </c>
      <c r="AA621" s="344">
        <f>'ALL ML SYSTEMS'!AA607</f>
        <v>0</v>
      </c>
      <c r="AB621" s="344"/>
      <c r="AC621" s="344">
        <f>'ALL ML SYSTEMS'!AC607</f>
        <v>0</v>
      </c>
      <c r="AD621" s="344">
        <f>'ALL ML SYSTEMS'!AD607</f>
        <v>0</v>
      </c>
    </row>
    <row r="622" hidden="1" customHeight="1" spans="1:30">
      <c r="A622" s="344">
        <f>'ALL ML SYSTEMS'!A608</f>
        <v>0</v>
      </c>
      <c r="B622" s="344">
        <f>'ALL ML SYSTEMS'!B608</f>
        <v>0</v>
      </c>
      <c r="C622" s="344">
        <f>'ALL ML SYSTEMS'!C608</f>
        <v>0</v>
      </c>
      <c r="D622" s="344">
        <f>'ALL ML SYSTEMS'!D608</f>
        <v>0</v>
      </c>
      <c r="E622" s="344">
        <f>'ALL ML SYSTEMS'!E608</f>
        <v>0</v>
      </c>
      <c r="F622" s="344">
        <f>'ALL ML SYSTEMS'!F608</f>
        <v>0</v>
      </c>
      <c r="G622" s="344">
        <f>'ALL ML SYSTEMS'!G608</f>
        <v>0</v>
      </c>
      <c r="H622" s="344">
        <f>'ALL ML SYSTEMS'!H608</f>
        <v>0</v>
      </c>
      <c r="I622" s="344">
        <f>'ALL ML SYSTEMS'!I608</f>
        <v>0</v>
      </c>
      <c r="J622" s="344">
        <f>'ALL ML SYSTEMS'!J608</f>
        <v>0</v>
      </c>
      <c r="K622" s="344">
        <f>'ALL ML SYSTEMS'!K608</f>
        <v>0</v>
      </c>
      <c r="L622" s="344">
        <f>'ALL ML SYSTEMS'!L608</f>
        <v>0</v>
      </c>
      <c r="M622" s="344">
        <f>'ALL ML SYSTEMS'!M608</f>
        <v>0</v>
      </c>
      <c r="N622" s="344">
        <f>'ALL ML SYSTEMS'!N608</f>
        <v>0</v>
      </c>
      <c r="O622" s="344">
        <f>'ALL ML SYSTEMS'!O608</f>
        <v>0</v>
      </c>
      <c r="P622" s="344">
        <f>'ALL ML SYSTEMS'!P608</f>
        <v>0</v>
      </c>
      <c r="Q622" s="344">
        <f>'ALL ML SYSTEMS'!Q608</f>
        <v>0</v>
      </c>
      <c r="R622" s="344">
        <f>'ALL ML SYSTEMS'!R608</f>
        <v>0</v>
      </c>
      <c r="S622" s="344">
        <f>'ALL ML SYSTEMS'!S608</f>
        <v>0</v>
      </c>
      <c r="T622" s="344">
        <f>'ALL ML SYSTEMS'!T608</f>
        <v>0</v>
      </c>
      <c r="U622" s="344">
        <f>'ALL ML SYSTEMS'!U608</f>
        <v>0</v>
      </c>
      <c r="V622" s="344">
        <f>'ALL ML SYSTEMS'!V608</f>
        <v>0</v>
      </c>
      <c r="W622" s="344">
        <f>'ALL ML SYSTEMS'!W608</f>
        <v>0</v>
      </c>
      <c r="X622" s="344">
        <f>'ALL ML SYSTEMS'!X608</f>
        <v>0</v>
      </c>
      <c r="Y622" s="344">
        <f>'ALL ML SYSTEMS'!Y608</f>
        <v>0</v>
      </c>
      <c r="Z622" s="344">
        <f>'ALL ML SYSTEMS'!Z608</f>
        <v>0</v>
      </c>
      <c r="AA622" s="344">
        <f>'ALL ML SYSTEMS'!AA608</f>
        <v>0</v>
      </c>
      <c r="AB622" s="344"/>
      <c r="AC622" s="344">
        <f>'ALL ML SYSTEMS'!AC608</f>
        <v>0</v>
      </c>
      <c r="AD622" s="344">
        <f>'ALL ML SYSTEMS'!AD608</f>
        <v>0</v>
      </c>
    </row>
    <row r="623" hidden="1" customHeight="1" spans="1:30">
      <c r="A623" s="344">
        <f>'ALL ML SYSTEMS'!A609</f>
        <v>0</v>
      </c>
      <c r="B623" s="344">
        <f>'ALL ML SYSTEMS'!B609</f>
        <v>0</v>
      </c>
      <c r="C623" s="344">
        <f>'ALL ML SYSTEMS'!C609</f>
        <v>0</v>
      </c>
      <c r="D623" s="344">
        <f>'ALL ML SYSTEMS'!D609</f>
        <v>0</v>
      </c>
      <c r="E623" s="344">
        <f>'ALL ML SYSTEMS'!E609</f>
        <v>0</v>
      </c>
      <c r="F623" s="344">
        <f>'ALL ML SYSTEMS'!F609</f>
        <v>0</v>
      </c>
      <c r="G623" s="344">
        <f>'ALL ML SYSTEMS'!G609</f>
        <v>0</v>
      </c>
      <c r="H623" s="344">
        <f>'ALL ML SYSTEMS'!H609</f>
        <v>0</v>
      </c>
      <c r="I623" s="344">
        <f>'ALL ML SYSTEMS'!I609</f>
        <v>0</v>
      </c>
      <c r="J623" s="344">
        <f>'ALL ML SYSTEMS'!J609</f>
        <v>0</v>
      </c>
      <c r="K623" s="344">
        <f>'ALL ML SYSTEMS'!K609</f>
        <v>0</v>
      </c>
      <c r="L623" s="344">
        <f>'ALL ML SYSTEMS'!L609</f>
        <v>0</v>
      </c>
      <c r="M623" s="344">
        <f>'ALL ML SYSTEMS'!M609</f>
        <v>0</v>
      </c>
      <c r="N623" s="344">
        <f>'ALL ML SYSTEMS'!N609</f>
        <v>0</v>
      </c>
      <c r="O623" s="344">
        <f>'ALL ML SYSTEMS'!O609</f>
        <v>0</v>
      </c>
      <c r="P623" s="344">
        <f>'ALL ML SYSTEMS'!P609</f>
        <v>0</v>
      </c>
      <c r="Q623" s="344">
        <f>'ALL ML SYSTEMS'!Q609</f>
        <v>0</v>
      </c>
      <c r="R623" s="344">
        <f>'ALL ML SYSTEMS'!R609</f>
        <v>0</v>
      </c>
      <c r="S623" s="344">
        <f>'ALL ML SYSTEMS'!S609</f>
        <v>0</v>
      </c>
      <c r="T623" s="344">
        <f>'ALL ML SYSTEMS'!T609</f>
        <v>0</v>
      </c>
      <c r="U623" s="344">
        <f>'ALL ML SYSTEMS'!U609</f>
        <v>0</v>
      </c>
      <c r="V623" s="344">
        <f>'ALL ML SYSTEMS'!V609</f>
        <v>0</v>
      </c>
      <c r="W623" s="344">
        <f>'ALL ML SYSTEMS'!W609</f>
        <v>0</v>
      </c>
      <c r="X623" s="344">
        <f>'ALL ML SYSTEMS'!X609</f>
        <v>0</v>
      </c>
      <c r="Y623" s="344">
        <f>'ALL ML SYSTEMS'!Y609</f>
        <v>0</v>
      </c>
      <c r="Z623" s="344">
        <f>'ALL ML SYSTEMS'!Z609</f>
        <v>0</v>
      </c>
      <c r="AA623" s="344">
        <f>'ALL ML SYSTEMS'!AA609</f>
        <v>0</v>
      </c>
      <c r="AB623" s="344"/>
      <c r="AC623" s="344">
        <f>'ALL ML SYSTEMS'!AC609</f>
        <v>0</v>
      </c>
      <c r="AD623" s="344">
        <f>'ALL ML SYSTEMS'!AD609</f>
        <v>0</v>
      </c>
    </row>
    <row r="624" hidden="1" customHeight="1" spans="1:30">
      <c r="A624" s="344">
        <f>'ALL ML SYSTEMS'!A610</f>
        <v>0</v>
      </c>
      <c r="B624" s="344">
        <f>'ALL ML SYSTEMS'!B610</f>
        <v>0</v>
      </c>
      <c r="C624" s="344">
        <f>'ALL ML SYSTEMS'!C610</f>
        <v>0</v>
      </c>
      <c r="D624" s="344">
        <f>'ALL ML SYSTEMS'!D610</f>
        <v>0</v>
      </c>
      <c r="E624" s="344">
        <f>'ALL ML SYSTEMS'!E610</f>
        <v>0</v>
      </c>
      <c r="F624" s="344">
        <f>'ALL ML SYSTEMS'!F610</f>
        <v>0</v>
      </c>
      <c r="G624" s="344">
        <f>'ALL ML SYSTEMS'!G610</f>
        <v>0</v>
      </c>
      <c r="H624" s="344">
        <f>'ALL ML SYSTEMS'!H610</f>
        <v>0</v>
      </c>
      <c r="I624" s="344">
        <f>'ALL ML SYSTEMS'!I610</f>
        <v>0</v>
      </c>
      <c r="J624" s="344">
        <f>'ALL ML SYSTEMS'!J610</f>
        <v>0</v>
      </c>
      <c r="K624" s="344">
        <f>'ALL ML SYSTEMS'!K610</f>
        <v>0</v>
      </c>
      <c r="L624" s="344">
        <f>'ALL ML SYSTEMS'!L610</f>
        <v>0</v>
      </c>
      <c r="M624" s="344">
        <f>'ALL ML SYSTEMS'!M610</f>
        <v>0</v>
      </c>
      <c r="N624" s="344">
        <f>'ALL ML SYSTEMS'!N610</f>
        <v>0</v>
      </c>
      <c r="O624" s="344">
        <f>'ALL ML SYSTEMS'!O610</f>
        <v>0</v>
      </c>
      <c r="P624" s="344">
        <f>'ALL ML SYSTEMS'!P610</f>
        <v>0</v>
      </c>
      <c r="Q624" s="344">
        <f>'ALL ML SYSTEMS'!Q610</f>
        <v>0</v>
      </c>
      <c r="R624" s="344">
        <f>'ALL ML SYSTEMS'!R610</f>
        <v>0</v>
      </c>
      <c r="S624" s="344">
        <f>'ALL ML SYSTEMS'!S610</f>
        <v>0</v>
      </c>
      <c r="T624" s="344">
        <f>'ALL ML SYSTEMS'!T610</f>
        <v>0</v>
      </c>
      <c r="U624" s="344">
        <f>'ALL ML SYSTEMS'!U610</f>
        <v>0</v>
      </c>
      <c r="V624" s="344">
        <f>'ALL ML SYSTEMS'!V610</f>
        <v>0</v>
      </c>
      <c r="W624" s="344">
        <f>'ALL ML SYSTEMS'!W610</f>
        <v>0</v>
      </c>
      <c r="X624" s="344">
        <f>'ALL ML SYSTEMS'!X610</f>
        <v>0</v>
      </c>
      <c r="Y624" s="344">
        <f>'ALL ML SYSTEMS'!Y610</f>
        <v>0</v>
      </c>
      <c r="Z624" s="344">
        <f>'ALL ML SYSTEMS'!Z610</f>
        <v>0</v>
      </c>
      <c r="AA624" s="344">
        <f>'ALL ML SYSTEMS'!AA610</f>
        <v>0</v>
      </c>
      <c r="AB624" s="344"/>
      <c r="AC624" s="344">
        <f>'ALL ML SYSTEMS'!AC610</f>
        <v>0</v>
      </c>
      <c r="AD624" s="344">
        <f>'ALL ML SYSTEMS'!AD610</f>
        <v>0</v>
      </c>
    </row>
    <row r="625" hidden="1" customHeight="1" spans="1:30">
      <c r="A625" s="344">
        <f>'ALL ML SYSTEMS'!A611</f>
        <v>0</v>
      </c>
      <c r="B625" s="344">
        <f>'ALL ML SYSTEMS'!B611</f>
        <v>0</v>
      </c>
      <c r="C625" s="344">
        <f>'ALL ML SYSTEMS'!C611</f>
        <v>0</v>
      </c>
      <c r="D625" s="344">
        <f>'ALL ML SYSTEMS'!D611</f>
        <v>0</v>
      </c>
      <c r="E625" s="344">
        <f>'ALL ML SYSTEMS'!E611</f>
        <v>0</v>
      </c>
      <c r="F625" s="344">
        <f>'ALL ML SYSTEMS'!F611</f>
        <v>0</v>
      </c>
      <c r="G625" s="344">
        <f>'ALL ML SYSTEMS'!G611</f>
        <v>0</v>
      </c>
      <c r="H625" s="344">
        <f>'ALL ML SYSTEMS'!H611</f>
        <v>0</v>
      </c>
      <c r="I625" s="344">
        <f>'ALL ML SYSTEMS'!I611</f>
        <v>0</v>
      </c>
      <c r="J625" s="344">
        <f>'ALL ML SYSTEMS'!J611</f>
        <v>0</v>
      </c>
      <c r="K625" s="344">
        <f>'ALL ML SYSTEMS'!K611</f>
        <v>0</v>
      </c>
      <c r="L625" s="344">
        <f>'ALL ML SYSTEMS'!L611</f>
        <v>0</v>
      </c>
      <c r="M625" s="344">
        <f>'ALL ML SYSTEMS'!M611</f>
        <v>0</v>
      </c>
      <c r="N625" s="344">
        <f>'ALL ML SYSTEMS'!N611</f>
        <v>0</v>
      </c>
      <c r="O625" s="344">
        <f>'ALL ML SYSTEMS'!O611</f>
        <v>0</v>
      </c>
      <c r="P625" s="344">
        <f>'ALL ML SYSTEMS'!P611</f>
        <v>0</v>
      </c>
      <c r="Q625" s="344">
        <f>'ALL ML SYSTEMS'!Q611</f>
        <v>0</v>
      </c>
      <c r="R625" s="344">
        <f>'ALL ML SYSTEMS'!R611</f>
        <v>0</v>
      </c>
      <c r="S625" s="344">
        <f>'ALL ML SYSTEMS'!S611</f>
        <v>0</v>
      </c>
      <c r="T625" s="344">
        <f>'ALL ML SYSTEMS'!T611</f>
        <v>0</v>
      </c>
      <c r="U625" s="344">
        <f>'ALL ML SYSTEMS'!U611</f>
        <v>0</v>
      </c>
      <c r="V625" s="344">
        <f>'ALL ML SYSTEMS'!V611</f>
        <v>0</v>
      </c>
      <c r="W625" s="344">
        <f>'ALL ML SYSTEMS'!W611</f>
        <v>0</v>
      </c>
      <c r="X625" s="344">
        <f>'ALL ML SYSTEMS'!X611</f>
        <v>0</v>
      </c>
      <c r="Y625" s="344">
        <f>'ALL ML SYSTEMS'!Y611</f>
        <v>0</v>
      </c>
      <c r="Z625" s="344">
        <f>'ALL ML SYSTEMS'!Z611</f>
        <v>0</v>
      </c>
      <c r="AA625" s="344">
        <f>'ALL ML SYSTEMS'!AA611</f>
        <v>0</v>
      </c>
      <c r="AB625" s="344"/>
      <c r="AC625" s="344">
        <f>'ALL ML SYSTEMS'!AC611</f>
        <v>0</v>
      </c>
      <c r="AD625" s="344">
        <f>'ALL ML SYSTEMS'!AD611</f>
        <v>0</v>
      </c>
    </row>
    <row r="626" hidden="1" customHeight="1" spans="1:30">
      <c r="A626" s="344">
        <f>'ALL ML SYSTEMS'!A612</f>
        <v>0</v>
      </c>
      <c r="B626" s="344">
        <f>'ALL ML SYSTEMS'!B612</f>
        <v>0</v>
      </c>
      <c r="C626" s="344">
        <f>'ALL ML SYSTEMS'!C612</f>
        <v>0</v>
      </c>
      <c r="D626" s="344">
        <f>'ALL ML SYSTEMS'!D612</f>
        <v>0</v>
      </c>
      <c r="E626" s="344">
        <f>'ALL ML SYSTEMS'!E612</f>
        <v>0</v>
      </c>
      <c r="F626" s="344">
        <f>'ALL ML SYSTEMS'!F612</f>
        <v>0</v>
      </c>
      <c r="G626" s="344">
        <f>'ALL ML SYSTEMS'!G612</f>
        <v>0</v>
      </c>
      <c r="H626" s="344">
        <f>'ALL ML SYSTEMS'!H612</f>
        <v>0</v>
      </c>
      <c r="I626" s="344">
        <f>'ALL ML SYSTEMS'!I612</f>
        <v>0</v>
      </c>
      <c r="J626" s="344">
        <f>'ALL ML SYSTEMS'!J612</f>
        <v>0</v>
      </c>
      <c r="K626" s="344">
        <f>'ALL ML SYSTEMS'!K612</f>
        <v>0</v>
      </c>
      <c r="L626" s="344">
        <f>'ALL ML SYSTEMS'!L612</f>
        <v>0</v>
      </c>
      <c r="M626" s="344">
        <f>'ALL ML SYSTEMS'!M612</f>
        <v>0</v>
      </c>
      <c r="N626" s="344">
        <f>'ALL ML SYSTEMS'!N612</f>
        <v>0</v>
      </c>
      <c r="O626" s="344">
        <f>'ALL ML SYSTEMS'!O612</f>
        <v>0</v>
      </c>
      <c r="P626" s="344">
        <f>'ALL ML SYSTEMS'!P612</f>
        <v>0</v>
      </c>
      <c r="Q626" s="344">
        <f>'ALL ML SYSTEMS'!Q612</f>
        <v>0</v>
      </c>
      <c r="R626" s="344">
        <f>'ALL ML SYSTEMS'!R612</f>
        <v>0</v>
      </c>
      <c r="S626" s="344">
        <f>'ALL ML SYSTEMS'!S612</f>
        <v>0</v>
      </c>
      <c r="T626" s="344">
        <f>'ALL ML SYSTEMS'!T612</f>
        <v>0</v>
      </c>
      <c r="U626" s="344">
        <f>'ALL ML SYSTEMS'!U612</f>
        <v>0</v>
      </c>
      <c r="V626" s="344">
        <f>'ALL ML SYSTEMS'!V612</f>
        <v>0</v>
      </c>
      <c r="W626" s="344">
        <f>'ALL ML SYSTEMS'!W612</f>
        <v>0</v>
      </c>
      <c r="X626" s="344">
        <f>'ALL ML SYSTEMS'!X612</f>
        <v>0</v>
      </c>
      <c r="Y626" s="344">
        <f>'ALL ML SYSTEMS'!Y612</f>
        <v>0</v>
      </c>
      <c r="Z626" s="344">
        <f>'ALL ML SYSTEMS'!Z612</f>
        <v>0</v>
      </c>
      <c r="AA626" s="344">
        <f>'ALL ML SYSTEMS'!AA612</f>
        <v>0</v>
      </c>
      <c r="AB626" s="344"/>
      <c r="AC626" s="344">
        <f>'ALL ML SYSTEMS'!AC612</f>
        <v>0</v>
      </c>
      <c r="AD626" s="344">
        <f>'ALL ML SYSTEMS'!AD612</f>
        <v>0</v>
      </c>
    </row>
    <row r="627" hidden="1" customHeight="1" spans="1:30">
      <c r="A627" s="344">
        <f>'ALL ML SYSTEMS'!A613</f>
        <v>0</v>
      </c>
      <c r="B627" s="344">
        <f>'ALL ML SYSTEMS'!B613</f>
        <v>0</v>
      </c>
      <c r="C627" s="344">
        <f>'ALL ML SYSTEMS'!C613</f>
        <v>0</v>
      </c>
      <c r="D627" s="344">
        <f>'ALL ML SYSTEMS'!D613</f>
        <v>0</v>
      </c>
      <c r="E627" s="344">
        <f>'ALL ML SYSTEMS'!E613</f>
        <v>0</v>
      </c>
      <c r="F627" s="344">
        <f>'ALL ML SYSTEMS'!F613</f>
        <v>0</v>
      </c>
      <c r="G627" s="344">
        <f>'ALL ML SYSTEMS'!G613</f>
        <v>0</v>
      </c>
      <c r="H627" s="344">
        <f>'ALL ML SYSTEMS'!H613</f>
        <v>0</v>
      </c>
      <c r="I627" s="344">
        <f>'ALL ML SYSTEMS'!I613</f>
        <v>0</v>
      </c>
      <c r="J627" s="344">
        <f>'ALL ML SYSTEMS'!J613</f>
        <v>0</v>
      </c>
      <c r="K627" s="344">
        <f>'ALL ML SYSTEMS'!K613</f>
        <v>0</v>
      </c>
      <c r="L627" s="344">
        <f>'ALL ML SYSTEMS'!L613</f>
        <v>0</v>
      </c>
      <c r="M627" s="344">
        <f>'ALL ML SYSTEMS'!M613</f>
        <v>0</v>
      </c>
      <c r="N627" s="344">
        <f>'ALL ML SYSTEMS'!N613</f>
        <v>0</v>
      </c>
      <c r="O627" s="344">
        <f>'ALL ML SYSTEMS'!O613</f>
        <v>0</v>
      </c>
      <c r="P627" s="344">
        <f>'ALL ML SYSTEMS'!P613</f>
        <v>0</v>
      </c>
      <c r="Q627" s="344">
        <f>'ALL ML SYSTEMS'!Q613</f>
        <v>0</v>
      </c>
      <c r="R627" s="344">
        <f>'ALL ML SYSTEMS'!R613</f>
        <v>0</v>
      </c>
      <c r="S627" s="344">
        <f>'ALL ML SYSTEMS'!S613</f>
        <v>0</v>
      </c>
      <c r="T627" s="344">
        <f>'ALL ML SYSTEMS'!T613</f>
        <v>0</v>
      </c>
      <c r="U627" s="344">
        <f>'ALL ML SYSTEMS'!U613</f>
        <v>0</v>
      </c>
      <c r="V627" s="344">
        <f>'ALL ML SYSTEMS'!V613</f>
        <v>0</v>
      </c>
      <c r="W627" s="344">
        <f>'ALL ML SYSTEMS'!W613</f>
        <v>0</v>
      </c>
      <c r="X627" s="344">
        <f>'ALL ML SYSTEMS'!X613</f>
        <v>0</v>
      </c>
      <c r="Y627" s="344">
        <f>'ALL ML SYSTEMS'!Y613</f>
        <v>0</v>
      </c>
      <c r="Z627" s="344">
        <f>'ALL ML SYSTEMS'!Z613</f>
        <v>0</v>
      </c>
      <c r="AA627" s="344">
        <f>'ALL ML SYSTEMS'!AA613</f>
        <v>0</v>
      </c>
      <c r="AB627" s="344"/>
      <c r="AC627" s="344">
        <f>'ALL ML SYSTEMS'!AC613</f>
        <v>0</v>
      </c>
      <c r="AD627" s="344">
        <f>'ALL ML SYSTEMS'!AD613</f>
        <v>0</v>
      </c>
    </row>
    <row r="628" hidden="1" customHeight="1" spans="1:30">
      <c r="A628" s="344">
        <f>'ALL ML SYSTEMS'!A614</f>
        <v>0</v>
      </c>
      <c r="B628" s="344">
        <f>'ALL ML SYSTEMS'!B614</f>
        <v>0</v>
      </c>
      <c r="C628" s="344">
        <f>'ALL ML SYSTEMS'!C614</f>
        <v>0</v>
      </c>
      <c r="D628" s="344">
        <f>'ALL ML SYSTEMS'!D614</f>
        <v>0</v>
      </c>
      <c r="E628" s="344">
        <f>'ALL ML SYSTEMS'!E614</f>
        <v>0</v>
      </c>
      <c r="F628" s="344">
        <f>'ALL ML SYSTEMS'!F614</f>
        <v>0</v>
      </c>
      <c r="G628" s="344">
        <f>'ALL ML SYSTEMS'!G614</f>
        <v>0</v>
      </c>
      <c r="H628" s="344">
        <f>'ALL ML SYSTEMS'!H614</f>
        <v>0</v>
      </c>
      <c r="I628" s="344">
        <f>'ALL ML SYSTEMS'!I614</f>
        <v>0</v>
      </c>
      <c r="J628" s="344">
        <f>'ALL ML SYSTEMS'!J614</f>
        <v>0</v>
      </c>
      <c r="K628" s="344">
        <f>'ALL ML SYSTEMS'!K614</f>
        <v>0</v>
      </c>
      <c r="L628" s="344">
        <f>'ALL ML SYSTEMS'!L614</f>
        <v>0</v>
      </c>
      <c r="M628" s="344">
        <f>'ALL ML SYSTEMS'!M614</f>
        <v>0</v>
      </c>
      <c r="N628" s="344">
        <f>'ALL ML SYSTEMS'!N614</f>
        <v>0</v>
      </c>
      <c r="O628" s="344">
        <f>'ALL ML SYSTEMS'!O614</f>
        <v>0</v>
      </c>
      <c r="P628" s="344">
        <f>'ALL ML SYSTEMS'!P614</f>
        <v>0</v>
      </c>
      <c r="Q628" s="344">
        <f>'ALL ML SYSTEMS'!Q614</f>
        <v>0</v>
      </c>
      <c r="R628" s="344">
        <f>'ALL ML SYSTEMS'!R614</f>
        <v>0</v>
      </c>
      <c r="S628" s="344">
        <f>'ALL ML SYSTEMS'!S614</f>
        <v>0</v>
      </c>
      <c r="T628" s="344">
        <f>'ALL ML SYSTEMS'!T614</f>
        <v>0</v>
      </c>
      <c r="U628" s="344">
        <f>'ALL ML SYSTEMS'!U614</f>
        <v>0</v>
      </c>
      <c r="V628" s="344">
        <f>'ALL ML SYSTEMS'!V614</f>
        <v>0</v>
      </c>
      <c r="W628" s="344">
        <f>'ALL ML SYSTEMS'!W614</f>
        <v>0</v>
      </c>
      <c r="X628" s="344">
        <f>'ALL ML SYSTEMS'!X614</f>
        <v>0</v>
      </c>
      <c r="Y628" s="344">
        <f>'ALL ML SYSTEMS'!Y614</f>
        <v>0</v>
      </c>
      <c r="Z628" s="344">
        <f>'ALL ML SYSTEMS'!Z614</f>
        <v>0</v>
      </c>
      <c r="AA628" s="344">
        <f>'ALL ML SYSTEMS'!AA614</f>
        <v>0</v>
      </c>
      <c r="AB628" s="344"/>
      <c r="AC628" s="344">
        <f>'ALL ML SYSTEMS'!AC614</f>
        <v>0</v>
      </c>
      <c r="AD628" s="344">
        <f>'ALL ML SYSTEMS'!AD614</f>
        <v>0</v>
      </c>
    </row>
    <row r="629" hidden="1" customHeight="1" spans="1:30">
      <c r="A629" s="344">
        <f>'ALL ML SYSTEMS'!A615</f>
        <v>0</v>
      </c>
      <c r="B629" s="344">
        <f>'ALL ML SYSTEMS'!B615</f>
        <v>0</v>
      </c>
      <c r="C629" s="344">
        <f>'ALL ML SYSTEMS'!C615</f>
        <v>0</v>
      </c>
      <c r="D629" s="344">
        <f>'ALL ML SYSTEMS'!D615</f>
        <v>0</v>
      </c>
      <c r="E629" s="344">
        <f>'ALL ML SYSTEMS'!E615</f>
        <v>0</v>
      </c>
      <c r="F629" s="344">
        <f>'ALL ML SYSTEMS'!F615</f>
        <v>0</v>
      </c>
      <c r="G629" s="344">
        <f>'ALL ML SYSTEMS'!G615</f>
        <v>0</v>
      </c>
      <c r="H629" s="344">
        <f>'ALL ML SYSTEMS'!H615</f>
        <v>0</v>
      </c>
      <c r="I629" s="344">
        <f>'ALL ML SYSTEMS'!I615</f>
        <v>0</v>
      </c>
      <c r="J629" s="344">
        <f>'ALL ML SYSTEMS'!J615</f>
        <v>0</v>
      </c>
      <c r="K629" s="344">
        <f>'ALL ML SYSTEMS'!K615</f>
        <v>0</v>
      </c>
      <c r="L629" s="344">
        <f>'ALL ML SYSTEMS'!L615</f>
        <v>0</v>
      </c>
      <c r="M629" s="344">
        <f>'ALL ML SYSTEMS'!M615</f>
        <v>0</v>
      </c>
      <c r="N629" s="344">
        <f>'ALL ML SYSTEMS'!N615</f>
        <v>0</v>
      </c>
      <c r="O629" s="344">
        <f>'ALL ML SYSTEMS'!O615</f>
        <v>0</v>
      </c>
      <c r="P629" s="344">
        <f>'ALL ML SYSTEMS'!P615</f>
        <v>0</v>
      </c>
      <c r="Q629" s="344">
        <f>'ALL ML SYSTEMS'!Q615</f>
        <v>0</v>
      </c>
      <c r="R629" s="344">
        <f>'ALL ML SYSTEMS'!R615</f>
        <v>0</v>
      </c>
      <c r="S629" s="344">
        <f>'ALL ML SYSTEMS'!S615</f>
        <v>0</v>
      </c>
      <c r="T629" s="344">
        <f>'ALL ML SYSTEMS'!T615</f>
        <v>0</v>
      </c>
      <c r="U629" s="344">
        <f>'ALL ML SYSTEMS'!U615</f>
        <v>0</v>
      </c>
      <c r="V629" s="344">
        <f>'ALL ML SYSTEMS'!V615</f>
        <v>0</v>
      </c>
      <c r="W629" s="344">
        <f>'ALL ML SYSTEMS'!W615</f>
        <v>0</v>
      </c>
      <c r="X629" s="344">
        <f>'ALL ML SYSTEMS'!X615</f>
        <v>0</v>
      </c>
      <c r="Y629" s="344">
        <f>'ALL ML SYSTEMS'!Y615</f>
        <v>0</v>
      </c>
      <c r="Z629" s="344">
        <f>'ALL ML SYSTEMS'!Z615</f>
        <v>0</v>
      </c>
      <c r="AA629" s="344">
        <f>'ALL ML SYSTEMS'!AA615</f>
        <v>0</v>
      </c>
      <c r="AB629" s="344"/>
      <c r="AC629" s="344">
        <f>'ALL ML SYSTEMS'!AC615</f>
        <v>0</v>
      </c>
      <c r="AD629" s="344">
        <f>'ALL ML SYSTEMS'!AD615</f>
        <v>0</v>
      </c>
    </row>
    <row r="630" hidden="1" customHeight="1" spans="1:30">
      <c r="A630" s="344">
        <f>'ALL ML SYSTEMS'!A616</f>
        <v>0</v>
      </c>
      <c r="B630" s="344">
        <f>'ALL ML SYSTEMS'!B616</f>
        <v>0</v>
      </c>
      <c r="C630" s="344">
        <f>'ALL ML SYSTEMS'!C616</f>
        <v>0</v>
      </c>
      <c r="D630" s="344">
        <f>'ALL ML SYSTEMS'!D616</f>
        <v>0</v>
      </c>
      <c r="E630" s="344">
        <f>'ALL ML SYSTEMS'!E616</f>
        <v>0</v>
      </c>
      <c r="F630" s="344">
        <f>'ALL ML SYSTEMS'!F616</f>
        <v>0</v>
      </c>
      <c r="G630" s="344">
        <f>'ALL ML SYSTEMS'!G616</f>
        <v>0</v>
      </c>
      <c r="H630" s="344">
        <f>'ALL ML SYSTEMS'!H616</f>
        <v>0</v>
      </c>
      <c r="I630" s="344">
        <f>'ALL ML SYSTEMS'!I616</f>
        <v>0</v>
      </c>
      <c r="J630" s="344">
        <f>'ALL ML SYSTEMS'!J616</f>
        <v>0</v>
      </c>
      <c r="K630" s="344">
        <f>'ALL ML SYSTEMS'!K616</f>
        <v>0</v>
      </c>
      <c r="L630" s="344">
        <f>'ALL ML SYSTEMS'!L616</f>
        <v>0</v>
      </c>
      <c r="M630" s="344">
        <f>'ALL ML SYSTEMS'!M616</f>
        <v>0</v>
      </c>
      <c r="N630" s="344">
        <f>'ALL ML SYSTEMS'!N616</f>
        <v>0</v>
      </c>
      <c r="O630" s="344">
        <f>'ALL ML SYSTEMS'!O616</f>
        <v>0</v>
      </c>
      <c r="P630" s="344">
        <f>'ALL ML SYSTEMS'!P616</f>
        <v>0</v>
      </c>
      <c r="Q630" s="344">
        <f>'ALL ML SYSTEMS'!Q616</f>
        <v>0</v>
      </c>
      <c r="R630" s="344">
        <f>'ALL ML SYSTEMS'!R616</f>
        <v>0</v>
      </c>
      <c r="S630" s="344">
        <f>'ALL ML SYSTEMS'!S616</f>
        <v>0</v>
      </c>
      <c r="T630" s="344">
        <f>'ALL ML SYSTEMS'!T616</f>
        <v>0</v>
      </c>
      <c r="U630" s="344">
        <f>'ALL ML SYSTEMS'!U616</f>
        <v>0</v>
      </c>
      <c r="V630" s="344">
        <f>'ALL ML SYSTEMS'!V616</f>
        <v>0</v>
      </c>
      <c r="W630" s="344">
        <f>'ALL ML SYSTEMS'!W616</f>
        <v>0</v>
      </c>
      <c r="X630" s="344">
        <f>'ALL ML SYSTEMS'!X616</f>
        <v>0</v>
      </c>
      <c r="Y630" s="344">
        <f>'ALL ML SYSTEMS'!Y616</f>
        <v>0</v>
      </c>
      <c r="Z630" s="344">
        <f>'ALL ML SYSTEMS'!Z616</f>
        <v>0</v>
      </c>
      <c r="AA630" s="344">
        <f>'ALL ML SYSTEMS'!AA616</f>
        <v>0</v>
      </c>
      <c r="AB630" s="344"/>
      <c r="AC630" s="344">
        <f>'ALL ML SYSTEMS'!AC616</f>
        <v>0</v>
      </c>
      <c r="AD630" s="344">
        <f>'ALL ML SYSTEMS'!AD616</f>
        <v>0</v>
      </c>
    </row>
    <row r="631" hidden="1" customHeight="1" spans="1:30">
      <c r="A631" s="344">
        <f>'ALL ML SYSTEMS'!A617</f>
        <v>0</v>
      </c>
      <c r="B631" s="344">
        <f>'ALL ML SYSTEMS'!B617</f>
        <v>0</v>
      </c>
      <c r="C631" s="344">
        <f>'ALL ML SYSTEMS'!C617</f>
        <v>0</v>
      </c>
      <c r="D631" s="344">
        <f>'ALL ML SYSTEMS'!D617</f>
        <v>0</v>
      </c>
      <c r="E631" s="344">
        <f>'ALL ML SYSTEMS'!E617</f>
        <v>0</v>
      </c>
      <c r="F631" s="344">
        <f>'ALL ML SYSTEMS'!F617</f>
        <v>0</v>
      </c>
      <c r="G631" s="344">
        <f>'ALL ML SYSTEMS'!G617</f>
        <v>0</v>
      </c>
      <c r="H631" s="344">
        <f>'ALL ML SYSTEMS'!H617</f>
        <v>0</v>
      </c>
      <c r="I631" s="344">
        <f>'ALL ML SYSTEMS'!I617</f>
        <v>0</v>
      </c>
      <c r="J631" s="344">
        <f>'ALL ML SYSTEMS'!J617</f>
        <v>0</v>
      </c>
      <c r="K631" s="344">
        <f>'ALL ML SYSTEMS'!K617</f>
        <v>0</v>
      </c>
      <c r="L631" s="344">
        <f>'ALL ML SYSTEMS'!L617</f>
        <v>0</v>
      </c>
      <c r="M631" s="344">
        <f>'ALL ML SYSTEMS'!M617</f>
        <v>0</v>
      </c>
      <c r="N631" s="344">
        <f>'ALL ML SYSTEMS'!N617</f>
        <v>0</v>
      </c>
      <c r="O631" s="344">
        <f>'ALL ML SYSTEMS'!O617</f>
        <v>0</v>
      </c>
      <c r="P631" s="344">
        <f>'ALL ML SYSTEMS'!P617</f>
        <v>0</v>
      </c>
      <c r="Q631" s="344">
        <f>'ALL ML SYSTEMS'!Q617</f>
        <v>0</v>
      </c>
      <c r="R631" s="344">
        <f>'ALL ML SYSTEMS'!R617</f>
        <v>0</v>
      </c>
      <c r="S631" s="344">
        <f>'ALL ML SYSTEMS'!S617</f>
        <v>0</v>
      </c>
      <c r="T631" s="344">
        <f>'ALL ML SYSTEMS'!T617</f>
        <v>0</v>
      </c>
      <c r="U631" s="344">
        <f>'ALL ML SYSTEMS'!U617</f>
        <v>0</v>
      </c>
      <c r="V631" s="344">
        <f>'ALL ML SYSTEMS'!V617</f>
        <v>0</v>
      </c>
      <c r="W631" s="344">
        <f>'ALL ML SYSTEMS'!W617</f>
        <v>0</v>
      </c>
      <c r="X631" s="344">
        <f>'ALL ML SYSTEMS'!X617</f>
        <v>0</v>
      </c>
      <c r="Y631" s="344">
        <f>'ALL ML SYSTEMS'!Y617</f>
        <v>0</v>
      </c>
      <c r="Z631" s="344">
        <f>'ALL ML SYSTEMS'!Z617</f>
        <v>0</v>
      </c>
      <c r="AA631" s="344">
        <f>'ALL ML SYSTEMS'!AA617</f>
        <v>0</v>
      </c>
      <c r="AB631" s="344"/>
      <c r="AC631" s="344">
        <f>'ALL ML SYSTEMS'!AC617</f>
        <v>0</v>
      </c>
      <c r="AD631" s="344">
        <f>'ALL ML SYSTEMS'!AD617</f>
        <v>0</v>
      </c>
    </row>
    <row r="632" hidden="1" customHeight="1" spans="1:30">
      <c r="A632" s="344">
        <f>'ALL ML SYSTEMS'!A618</f>
        <v>0</v>
      </c>
      <c r="B632" s="344">
        <f>'ALL ML SYSTEMS'!B618</f>
        <v>0</v>
      </c>
      <c r="C632" s="344">
        <f>'ALL ML SYSTEMS'!C618</f>
        <v>0</v>
      </c>
      <c r="D632" s="344">
        <f>'ALL ML SYSTEMS'!D618</f>
        <v>0</v>
      </c>
      <c r="E632" s="344">
        <f>'ALL ML SYSTEMS'!E618</f>
        <v>0</v>
      </c>
      <c r="F632" s="344">
        <f>'ALL ML SYSTEMS'!F618</f>
        <v>0</v>
      </c>
      <c r="G632" s="344">
        <f>'ALL ML SYSTEMS'!G618</f>
        <v>0</v>
      </c>
      <c r="H632" s="344">
        <f>'ALL ML SYSTEMS'!H618</f>
        <v>0</v>
      </c>
      <c r="I632" s="344">
        <f>'ALL ML SYSTEMS'!I618</f>
        <v>0</v>
      </c>
      <c r="J632" s="344">
        <f>'ALL ML SYSTEMS'!J618</f>
        <v>0</v>
      </c>
      <c r="K632" s="344">
        <f>'ALL ML SYSTEMS'!K618</f>
        <v>0</v>
      </c>
      <c r="L632" s="344">
        <f>'ALL ML SYSTEMS'!L618</f>
        <v>0</v>
      </c>
      <c r="M632" s="344">
        <f>'ALL ML SYSTEMS'!M618</f>
        <v>0</v>
      </c>
      <c r="N632" s="344">
        <f>'ALL ML SYSTEMS'!N618</f>
        <v>0</v>
      </c>
      <c r="O632" s="344">
        <f>'ALL ML SYSTEMS'!O618</f>
        <v>0</v>
      </c>
      <c r="P632" s="344">
        <f>'ALL ML SYSTEMS'!P618</f>
        <v>0</v>
      </c>
      <c r="Q632" s="344">
        <f>'ALL ML SYSTEMS'!Q618</f>
        <v>0</v>
      </c>
      <c r="R632" s="344">
        <f>'ALL ML SYSTEMS'!R618</f>
        <v>0</v>
      </c>
      <c r="S632" s="344">
        <f>'ALL ML SYSTEMS'!S618</f>
        <v>0</v>
      </c>
      <c r="T632" s="344">
        <f>'ALL ML SYSTEMS'!T618</f>
        <v>0</v>
      </c>
      <c r="U632" s="344">
        <f>'ALL ML SYSTEMS'!U618</f>
        <v>0</v>
      </c>
      <c r="V632" s="344">
        <f>'ALL ML SYSTEMS'!V618</f>
        <v>0</v>
      </c>
      <c r="W632" s="344">
        <f>'ALL ML SYSTEMS'!W618</f>
        <v>0</v>
      </c>
      <c r="X632" s="344">
        <f>'ALL ML SYSTEMS'!X618</f>
        <v>0</v>
      </c>
      <c r="Y632" s="344">
        <f>'ALL ML SYSTEMS'!Y618</f>
        <v>0</v>
      </c>
      <c r="Z632" s="344">
        <f>'ALL ML SYSTEMS'!Z618</f>
        <v>0</v>
      </c>
      <c r="AA632" s="344">
        <f>'ALL ML SYSTEMS'!AA618</f>
        <v>0</v>
      </c>
      <c r="AB632" s="344"/>
      <c r="AC632" s="344">
        <f>'ALL ML SYSTEMS'!AC618</f>
        <v>0</v>
      </c>
      <c r="AD632" s="344">
        <f>'ALL ML SYSTEMS'!AD618</f>
        <v>0</v>
      </c>
    </row>
    <row r="633" hidden="1" customHeight="1" spans="1:30">
      <c r="A633" s="344">
        <f>'ALL ML SYSTEMS'!A619</f>
        <v>0</v>
      </c>
      <c r="B633" s="344">
        <f>'ALL ML SYSTEMS'!B619</f>
        <v>0</v>
      </c>
      <c r="C633" s="344">
        <f>'ALL ML SYSTEMS'!C619</f>
        <v>0</v>
      </c>
      <c r="D633" s="344">
        <f>'ALL ML SYSTEMS'!D619</f>
        <v>0</v>
      </c>
      <c r="E633" s="344">
        <f>'ALL ML SYSTEMS'!E619</f>
        <v>0</v>
      </c>
      <c r="F633" s="344">
        <f>'ALL ML SYSTEMS'!F619</f>
        <v>0</v>
      </c>
      <c r="G633" s="344">
        <f>'ALL ML SYSTEMS'!G619</f>
        <v>0</v>
      </c>
      <c r="H633" s="344">
        <f>'ALL ML SYSTEMS'!H619</f>
        <v>0</v>
      </c>
      <c r="I633" s="344">
        <f>'ALL ML SYSTEMS'!I619</f>
        <v>0</v>
      </c>
      <c r="J633" s="344">
        <f>'ALL ML SYSTEMS'!J619</f>
        <v>0</v>
      </c>
      <c r="K633" s="344">
        <f>'ALL ML SYSTEMS'!K619</f>
        <v>0</v>
      </c>
      <c r="L633" s="344">
        <f>'ALL ML SYSTEMS'!L619</f>
        <v>0</v>
      </c>
      <c r="M633" s="344">
        <f>'ALL ML SYSTEMS'!M619</f>
        <v>0</v>
      </c>
      <c r="N633" s="344">
        <f>'ALL ML SYSTEMS'!N619</f>
        <v>0</v>
      </c>
      <c r="O633" s="344">
        <f>'ALL ML SYSTEMS'!O619</f>
        <v>0</v>
      </c>
      <c r="P633" s="344">
        <f>'ALL ML SYSTEMS'!P619</f>
        <v>0</v>
      </c>
      <c r="Q633" s="344">
        <f>'ALL ML SYSTEMS'!Q619</f>
        <v>0</v>
      </c>
      <c r="R633" s="344">
        <f>'ALL ML SYSTEMS'!R619</f>
        <v>0</v>
      </c>
      <c r="S633" s="344">
        <f>'ALL ML SYSTEMS'!S619</f>
        <v>0</v>
      </c>
      <c r="T633" s="344">
        <f>'ALL ML SYSTEMS'!T619</f>
        <v>0</v>
      </c>
      <c r="U633" s="344">
        <f>'ALL ML SYSTEMS'!U619</f>
        <v>0</v>
      </c>
      <c r="V633" s="344">
        <f>'ALL ML SYSTEMS'!V619</f>
        <v>0</v>
      </c>
      <c r="W633" s="344">
        <f>'ALL ML SYSTEMS'!W619</f>
        <v>0</v>
      </c>
      <c r="X633" s="344">
        <f>'ALL ML SYSTEMS'!X619</f>
        <v>0</v>
      </c>
      <c r="Y633" s="344">
        <f>'ALL ML SYSTEMS'!Y619</f>
        <v>0</v>
      </c>
      <c r="Z633" s="344">
        <f>'ALL ML SYSTEMS'!Z619</f>
        <v>0</v>
      </c>
      <c r="AA633" s="344">
        <f>'ALL ML SYSTEMS'!AA619</f>
        <v>0</v>
      </c>
      <c r="AB633" s="344"/>
      <c r="AC633" s="344">
        <f>'ALL ML SYSTEMS'!AC619</f>
        <v>0</v>
      </c>
      <c r="AD633" s="344">
        <f>'ALL ML SYSTEMS'!AD619</f>
        <v>0</v>
      </c>
    </row>
    <row r="634" hidden="1" customHeight="1" spans="1:30">
      <c r="A634" s="344">
        <f>'ALL ML SYSTEMS'!A620</f>
        <v>0</v>
      </c>
      <c r="B634" s="344">
        <f>'ALL ML SYSTEMS'!B620</f>
        <v>0</v>
      </c>
      <c r="C634" s="344">
        <f>'ALL ML SYSTEMS'!C620</f>
        <v>0</v>
      </c>
      <c r="D634" s="344">
        <f>'ALL ML SYSTEMS'!D620</f>
        <v>0</v>
      </c>
      <c r="E634" s="344">
        <f>'ALL ML SYSTEMS'!E620</f>
        <v>0</v>
      </c>
      <c r="F634" s="344">
        <f>'ALL ML SYSTEMS'!F620</f>
        <v>0</v>
      </c>
      <c r="G634" s="344">
        <f>'ALL ML SYSTEMS'!G620</f>
        <v>0</v>
      </c>
      <c r="H634" s="344">
        <f>'ALL ML SYSTEMS'!H620</f>
        <v>0</v>
      </c>
      <c r="I634" s="344">
        <f>'ALL ML SYSTEMS'!I620</f>
        <v>0</v>
      </c>
      <c r="J634" s="344">
        <f>'ALL ML SYSTEMS'!J620</f>
        <v>0</v>
      </c>
      <c r="K634" s="344">
        <f>'ALL ML SYSTEMS'!K620</f>
        <v>0</v>
      </c>
      <c r="L634" s="344">
        <f>'ALL ML SYSTEMS'!L620</f>
        <v>0</v>
      </c>
      <c r="M634" s="344">
        <f>'ALL ML SYSTEMS'!M620</f>
        <v>0</v>
      </c>
      <c r="N634" s="344">
        <f>'ALL ML SYSTEMS'!N620</f>
        <v>0</v>
      </c>
      <c r="O634" s="344">
        <f>'ALL ML SYSTEMS'!O620</f>
        <v>0</v>
      </c>
      <c r="P634" s="344">
        <f>'ALL ML SYSTEMS'!P620</f>
        <v>0</v>
      </c>
      <c r="Q634" s="344">
        <f>'ALL ML SYSTEMS'!Q620</f>
        <v>0</v>
      </c>
      <c r="R634" s="344">
        <f>'ALL ML SYSTEMS'!R620</f>
        <v>0</v>
      </c>
      <c r="S634" s="344">
        <f>'ALL ML SYSTEMS'!S620</f>
        <v>0</v>
      </c>
      <c r="T634" s="344">
        <f>'ALL ML SYSTEMS'!T620</f>
        <v>0</v>
      </c>
      <c r="U634" s="344">
        <f>'ALL ML SYSTEMS'!U620</f>
        <v>0</v>
      </c>
      <c r="V634" s="344">
        <f>'ALL ML SYSTEMS'!V620</f>
        <v>0</v>
      </c>
      <c r="W634" s="344">
        <f>'ALL ML SYSTEMS'!W620</f>
        <v>0</v>
      </c>
      <c r="X634" s="344">
        <f>'ALL ML SYSTEMS'!X620</f>
        <v>0</v>
      </c>
      <c r="Y634" s="344">
        <f>'ALL ML SYSTEMS'!Y620</f>
        <v>0</v>
      </c>
      <c r="Z634" s="344">
        <f>'ALL ML SYSTEMS'!Z620</f>
        <v>0</v>
      </c>
      <c r="AA634" s="344">
        <f>'ALL ML SYSTEMS'!AA620</f>
        <v>0</v>
      </c>
      <c r="AB634" s="344"/>
      <c r="AC634" s="344">
        <f>'ALL ML SYSTEMS'!AC620</f>
        <v>0</v>
      </c>
      <c r="AD634" s="344">
        <f>'ALL ML SYSTEMS'!AD620</f>
        <v>0</v>
      </c>
    </row>
    <row r="635" hidden="1" customHeight="1" spans="1:30">
      <c r="A635" s="344">
        <f>'ALL ML SYSTEMS'!A621</f>
        <v>0</v>
      </c>
      <c r="B635" s="344">
        <f>'ALL ML SYSTEMS'!B621</f>
        <v>0</v>
      </c>
      <c r="C635" s="344">
        <f>'ALL ML SYSTEMS'!C621</f>
        <v>0</v>
      </c>
      <c r="D635" s="344">
        <f>'ALL ML SYSTEMS'!D621</f>
        <v>0</v>
      </c>
      <c r="E635" s="344">
        <f>'ALL ML SYSTEMS'!E621</f>
        <v>0</v>
      </c>
      <c r="F635" s="344">
        <f>'ALL ML SYSTEMS'!F621</f>
        <v>0</v>
      </c>
      <c r="G635" s="344">
        <f>'ALL ML SYSTEMS'!G621</f>
        <v>0</v>
      </c>
      <c r="H635" s="344">
        <f>'ALL ML SYSTEMS'!H621</f>
        <v>0</v>
      </c>
      <c r="I635" s="344">
        <f>'ALL ML SYSTEMS'!I621</f>
        <v>0</v>
      </c>
      <c r="J635" s="344">
        <f>'ALL ML SYSTEMS'!J621</f>
        <v>0</v>
      </c>
      <c r="K635" s="344">
        <f>'ALL ML SYSTEMS'!K621</f>
        <v>0</v>
      </c>
      <c r="L635" s="344">
        <f>'ALL ML SYSTEMS'!L621</f>
        <v>0</v>
      </c>
      <c r="M635" s="344">
        <f>'ALL ML SYSTEMS'!M621</f>
        <v>0</v>
      </c>
      <c r="N635" s="344">
        <f>'ALL ML SYSTEMS'!N621</f>
        <v>0</v>
      </c>
      <c r="O635" s="344">
        <f>'ALL ML SYSTEMS'!O621</f>
        <v>0</v>
      </c>
      <c r="P635" s="344">
        <f>'ALL ML SYSTEMS'!P621</f>
        <v>0</v>
      </c>
      <c r="Q635" s="344">
        <f>'ALL ML SYSTEMS'!Q621</f>
        <v>0</v>
      </c>
      <c r="R635" s="344">
        <f>'ALL ML SYSTEMS'!R621</f>
        <v>0</v>
      </c>
      <c r="S635" s="344">
        <f>'ALL ML SYSTEMS'!S621</f>
        <v>0</v>
      </c>
      <c r="T635" s="344">
        <f>'ALL ML SYSTEMS'!T621</f>
        <v>0</v>
      </c>
      <c r="U635" s="344">
        <f>'ALL ML SYSTEMS'!U621</f>
        <v>0</v>
      </c>
      <c r="V635" s="344">
        <f>'ALL ML SYSTEMS'!V621</f>
        <v>0</v>
      </c>
      <c r="W635" s="344">
        <f>'ALL ML SYSTEMS'!W621</f>
        <v>0</v>
      </c>
      <c r="X635" s="344">
        <f>'ALL ML SYSTEMS'!X621</f>
        <v>0</v>
      </c>
      <c r="Y635" s="344">
        <f>'ALL ML SYSTEMS'!Y621</f>
        <v>0</v>
      </c>
      <c r="Z635" s="344">
        <f>'ALL ML SYSTEMS'!Z621</f>
        <v>0</v>
      </c>
      <c r="AA635" s="344">
        <f>'ALL ML SYSTEMS'!AA621</f>
        <v>0</v>
      </c>
      <c r="AB635" s="344"/>
      <c r="AC635" s="344">
        <f>'ALL ML SYSTEMS'!AC621</f>
        <v>0</v>
      </c>
      <c r="AD635" s="344">
        <f>'ALL ML SYSTEMS'!AD621</f>
        <v>0</v>
      </c>
    </row>
    <row r="636" hidden="1" customHeight="1" spans="1:30">
      <c r="A636" s="344">
        <f>'ALL ML SYSTEMS'!A622</f>
        <v>0</v>
      </c>
      <c r="B636" s="344">
        <f>'ALL ML SYSTEMS'!B622</f>
        <v>0</v>
      </c>
      <c r="C636" s="344">
        <f>'ALL ML SYSTEMS'!C622</f>
        <v>0</v>
      </c>
      <c r="D636" s="344">
        <f>'ALL ML SYSTEMS'!D622</f>
        <v>0</v>
      </c>
      <c r="E636" s="344">
        <f>'ALL ML SYSTEMS'!E622</f>
        <v>0</v>
      </c>
      <c r="F636" s="344">
        <f>'ALL ML SYSTEMS'!F622</f>
        <v>0</v>
      </c>
      <c r="G636" s="344">
        <f>'ALL ML SYSTEMS'!G622</f>
        <v>0</v>
      </c>
      <c r="H636" s="344">
        <f>'ALL ML SYSTEMS'!H622</f>
        <v>0</v>
      </c>
      <c r="I636" s="344">
        <f>'ALL ML SYSTEMS'!I622</f>
        <v>0</v>
      </c>
      <c r="J636" s="344">
        <f>'ALL ML SYSTEMS'!J622</f>
        <v>0</v>
      </c>
      <c r="K636" s="344">
        <f>'ALL ML SYSTEMS'!K622</f>
        <v>0</v>
      </c>
      <c r="L636" s="344">
        <f>'ALL ML SYSTEMS'!L622</f>
        <v>0</v>
      </c>
      <c r="M636" s="344">
        <f>'ALL ML SYSTEMS'!M622</f>
        <v>0</v>
      </c>
      <c r="N636" s="344">
        <f>'ALL ML SYSTEMS'!N622</f>
        <v>0</v>
      </c>
      <c r="O636" s="344">
        <f>'ALL ML SYSTEMS'!O622</f>
        <v>0</v>
      </c>
      <c r="P636" s="344">
        <f>'ALL ML SYSTEMS'!P622</f>
        <v>0</v>
      </c>
      <c r="Q636" s="344">
        <f>'ALL ML SYSTEMS'!Q622</f>
        <v>0</v>
      </c>
      <c r="R636" s="344">
        <f>'ALL ML SYSTEMS'!R622</f>
        <v>0</v>
      </c>
      <c r="S636" s="344">
        <f>'ALL ML SYSTEMS'!S622</f>
        <v>0</v>
      </c>
      <c r="T636" s="344">
        <f>'ALL ML SYSTEMS'!T622</f>
        <v>0</v>
      </c>
      <c r="U636" s="344">
        <f>'ALL ML SYSTEMS'!U622</f>
        <v>0</v>
      </c>
      <c r="V636" s="344">
        <f>'ALL ML SYSTEMS'!V622</f>
        <v>0</v>
      </c>
      <c r="W636" s="344">
        <f>'ALL ML SYSTEMS'!W622</f>
        <v>0</v>
      </c>
      <c r="X636" s="344">
        <f>'ALL ML SYSTEMS'!X622</f>
        <v>0</v>
      </c>
      <c r="Y636" s="344">
        <f>'ALL ML SYSTEMS'!Y622</f>
        <v>0</v>
      </c>
      <c r="Z636" s="344">
        <f>'ALL ML SYSTEMS'!Z622</f>
        <v>0</v>
      </c>
      <c r="AA636" s="344">
        <f>'ALL ML SYSTEMS'!AA622</f>
        <v>0</v>
      </c>
      <c r="AB636" s="344"/>
      <c r="AC636" s="344">
        <f>'ALL ML SYSTEMS'!AC622</f>
        <v>0</v>
      </c>
      <c r="AD636" s="344">
        <f>'ALL ML SYSTEMS'!AD622</f>
        <v>0</v>
      </c>
    </row>
    <row r="637" hidden="1" customHeight="1" spans="1:30">
      <c r="A637" s="344">
        <f>'ALL ML SYSTEMS'!A623</f>
        <v>0</v>
      </c>
      <c r="B637" s="344">
        <f>'ALL ML SYSTEMS'!B623</f>
        <v>0</v>
      </c>
      <c r="C637" s="344">
        <f>'ALL ML SYSTEMS'!C623</f>
        <v>0</v>
      </c>
      <c r="D637" s="344">
        <f>'ALL ML SYSTEMS'!D623</f>
        <v>0</v>
      </c>
      <c r="E637" s="344">
        <f>'ALL ML SYSTEMS'!E623</f>
        <v>0</v>
      </c>
      <c r="F637" s="344">
        <f>'ALL ML SYSTEMS'!F623</f>
        <v>0</v>
      </c>
      <c r="G637" s="344">
        <f>'ALL ML SYSTEMS'!G623</f>
        <v>0</v>
      </c>
      <c r="H637" s="344">
        <f>'ALL ML SYSTEMS'!H623</f>
        <v>0</v>
      </c>
      <c r="I637" s="344">
        <f>'ALL ML SYSTEMS'!I623</f>
        <v>0</v>
      </c>
      <c r="J637" s="344">
        <f>'ALL ML SYSTEMS'!J623</f>
        <v>0</v>
      </c>
      <c r="K637" s="344">
        <f>'ALL ML SYSTEMS'!K623</f>
        <v>0</v>
      </c>
      <c r="L637" s="344">
        <f>'ALL ML SYSTEMS'!L623</f>
        <v>0</v>
      </c>
      <c r="M637" s="344">
        <f>'ALL ML SYSTEMS'!M623</f>
        <v>0</v>
      </c>
      <c r="N637" s="344">
        <f>'ALL ML SYSTEMS'!N623</f>
        <v>0</v>
      </c>
      <c r="O637" s="344">
        <f>'ALL ML SYSTEMS'!O623</f>
        <v>0</v>
      </c>
      <c r="P637" s="344">
        <f>'ALL ML SYSTEMS'!P623</f>
        <v>0</v>
      </c>
      <c r="Q637" s="344">
        <f>'ALL ML SYSTEMS'!Q623</f>
        <v>0</v>
      </c>
      <c r="R637" s="344">
        <f>'ALL ML SYSTEMS'!R623</f>
        <v>0</v>
      </c>
      <c r="S637" s="344">
        <f>'ALL ML SYSTEMS'!S623</f>
        <v>0</v>
      </c>
      <c r="T637" s="344">
        <f>'ALL ML SYSTEMS'!T623</f>
        <v>0</v>
      </c>
      <c r="U637" s="344">
        <f>'ALL ML SYSTEMS'!U623</f>
        <v>0</v>
      </c>
      <c r="V637" s="344">
        <f>'ALL ML SYSTEMS'!V623</f>
        <v>0</v>
      </c>
      <c r="W637" s="344">
        <f>'ALL ML SYSTEMS'!W623</f>
        <v>0</v>
      </c>
      <c r="X637" s="344">
        <f>'ALL ML SYSTEMS'!X623</f>
        <v>0</v>
      </c>
      <c r="Y637" s="344">
        <f>'ALL ML SYSTEMS'!Y623</f>
        <v>0</v>
      </c>
      <c r="Z637" s="344">
        <f>'ALL ML SYSTEMS'!Z623</f>
        <v>0</v>
      </c>
      <c r="AA637" s="344">
        <f>'ALL ML SYSTEMS'!AA623</f>
        <v>0</v>
      </c>
      <c r="AB637" s="344"/>
      <c r="AC637" s="344">
        <f>'ALL ML SYSTEMS'!AC623</f>
        <v>0</v>
      </c>
      <c r="AD637" s="344">
        <f>'ALL ML SYSTEMS'!AD623</f>
        <v>0</v>
      </c>
    </row>
    <row r="638" hidden="1" customHeight="1" spans="1:30">
      <c r="A638" s="344">
        <f>'ALL ML SYSTEMS'!A624</f>
        <v>0</v>
      </c>
      <c r="B638" s="344">
        <f>'ALL ML SYSTEMS'!B624</f>
        <v>0</v>
      </c>
      <c r="C638" s="344">
        <f>'ALL ML SYSTEMS'!C624</f>
        <v>0</v>
      </c>
      <c r="D638" s="344">
        <f>'ALL ML SYSTEMS'!D624</f>
        <v>0</v>
      </c>
      <c r="E638" s="344">
        <f>'ALL ML SYSTEMS'!E624</f>
        <v>0</v>
      </c>
      <c r="F638" s="344">
        <f>'ALL ML SYSTEMS'!F624</f>
        <v>0</v>
      </c>
      <c r="G638" s="344">
        <f>'ALL ML SYSTEMS'!G624</f>
        <v>0</v>
      </c>
      <c r="H638" s="344">
        <f>'ALL ML SYSTEMS'!H624</f>
        <v>0</v>
      </c>
      <c r="I638" s="344">
        <f>'ALL ML SYSTEMS'!I624</f>
        <v>0</v>
      </c>
      <c r="J638" s="344">
        <f>'ALL ML SYSTEMS'!J624</f>
        <v>0</v>
      </c>
      <c r="K638" s="344">
        <f>'ALL ML SYSTEMS'!K624</f>
        <v>0</v>
      </c>
      <c r="L638" s="344">
        <f>'ALL ML SYSTEMS'!L624</f>
        <v>0</v>
      </c>
      <c r="M638" s="344">
        <f>'ALL ML SYSTEMS'!M624</f>
        <v>0</v>
      </c>
      <c r="N638" s="344">
        <f>'ALL ML SYSTEMS'!N624</f>
        <v>0</v>
      </c>
      <c r="O638" s="344">
        <f>'ALL ML SYSTEMS'!O624</f>
        <v>0</v>
      </c>
      <c r="P638" s="344">
        <f>'ALL ML SYSTEMS'!P624</f>
        <v>0</v>
      </c>
      <c r="Q638" s="344">
        <f>'ALL ML SYSTEMS'!Q624</f>
        <v>0</v>
      </c>
      <c r="R638" s="344">
        <f>'ALL ML SYSTEMS'!R624</f>
        <v>0</v>
      </c>
      <c r="S638" s="344">
        <f>'ALL ML SYSTEMS'!S624</f>
        <v>0</v>
      </c>
      <c r="T638" s="344">
        <f>'ALL ML SYSTEMS'!T624</f>
        <v>0</v>
      </c>
      <c r="U638" s="344">
        <f>'ALL ML SYSTEMS'!U624</f>
        <v>0</v>
      </c>
      <c r="V638" s="344">
        <f>'ALL ML SYSTEMS'!V624</f>
        <v>0</v>
      </c>
      <c r="W638" s="344">
        <f>'ALL ML SYSTEMS'!W624</f>
        <v>0</v>
      </c>
      <c r="X638" s="344">
        <f>'ALL ML SYSTEMS'!X624</f>
        <v>0</v>
      </c>
      <c r="Y638" s="344">
        <f>'ALL ML SYSTEMS'!Y624</f>
        <v>0</v>
      </c>
      <c r="Z638" s="344">
        <f>'ALL ML SYSTEMS'!Z624</f>
        <v>0</v>
      </c>
      <c r="AA638" s="344">
        <f>'ALL ML SYSTEMS'!AA624</f>
        <v>0</v>
      </c>
      <c r="AB638" s="344"/>
      <c r="AC638" s="344">
        <f>'ALL ML SYSTEMS'!AC624</f>
        <v>0</v>
      </c>
      <c r="AD638" s="344">
        <f>'ALL ML SYSTEMS'!AD624</f>
        <v>0</v>
      </c>
    </row>
    <row r="639" hidden="1" customHeight="1" spans="1:30">
      <c r="A639" s="344">
        <f>'ALL ML SYSTEMS'!A625</f>
        <v>0</v>
      </c>
      <c r="B639" s="344">
        <f>'ALL ML SYSTEMS'!B625</f>
        <v>0</v>
      </c>
      <c r="C639" s="344">
        <f>'ALL ML SYSTEMS'!C625</f>
        <v>0</v>
      </c>
      <c r="D639" s="344">
        <f>'ALL ML SYSTEMS'!D625</f>
        <v>0</v>
      </c>
      <c r="E639" s="344">
        <f>'ALL ML SYSTEMS'!E625</f>
        <v>0</v>
      </c>
      <c r="F639" s="344">
        <f>'ALL ML SYSTEMS'!F625</f>
        <v>0</v>
      </c>
      <c r="G639" s="344">
        <f>'ALL ML SYSTEMS'!G625</f>
        <v>0</v>
      </c>
      <c r="H639" s="344">
        <f>'ALL ML SYSTEMS'!H625</f>
        <v>0</v>
      </c>
      <c r="I639" s="344">
        <f>'ALL ML SYSTEMS'!I625</f>
        <v>0</v>
      </c>
      <c r="J639" s="344">
        <f>'ALL ML SYSTEMS'!J625</f>
        <v>0</v>
      </c>
      <c r="K639" s="344">
        <f>'ALL ML SYSTEMS'!K625</f>
        <v>0</v>
      </c>
      <c r="L639" s="344">
        <f>'ALL ML SYSTEMS'!L625</f>
        <v>0</v>
      </c>
      <c r="M639" s="344">
        <f>'ALL ML SYSTEMS'!M625</f>
        <v>0</v>
      </c>
      <c r="N639" s="344">
        <f>'ALL ML SYSTEMS'!N625</f>
        <v>0</v>
      </c>
      <c r="O639" s="344">
        <f>'ALL ML SYSTEMS'!O625</f>
        <v>0</v>
      </c>
      <c r="P639" s="344">
        <f>'ALL ML SYSTEMS'!P625</f>
        <v>0</v>
      </c>
      <c r="Q639" s="344">
        <f>'ALL ML SYSTEMS'!Q625</f>
        <v>0</v>
      </c>
      <c r="R639" s="344">
        <f>'ALL ML SYSTEMS'!R625</f>
        <v>0</v>
      </c>
      <c r="S639" s="344">
        <f>'ALL ML SYSTEMS'!S625</f>
        <v>0</v>
      </c>
      <c r="T639" s="344">
        <f>'ALL ML SYSTEMS'!T625</f>
        <v>0</v>
      </c>
      <c r="U639" s="344">
        <f>'ALL ML SYSTEMS'!U625</f>
        <v>0</v>
      </c>
      <c r="V639" s="344">
        <f>'ALL ML SYSTEMS'!V625</f>
        <v>0</v>
      </c>
      <c r="W639" s="344">
        <f>'ALL ML SYSTEMS'!W625</f>
        <v>0</v>
      </c>
      <c r="X639" s="344">
        <f>'ALL ML SYSTEMS'!X625</f>
        <v>0</v>
      </c>
      <c r="Y639" s="344">
        <f>'ALL ML SYSTEMS'!Y625</f>
        <v>0</v>
      </c>
      <c r="Z639" s="344">
        <f>'ALL ML SYSTEMS'!Z625</f>
        <v>0</v>
      </c>
      <c r="AA639" s="344">
        <f>'ALL ML SYSTEMS'!AA625</f>
        <v>0</v>
      </c>
      <c r="AB639" s="344"/>
      <c r="AC639" s="344">
        <f>'ALL ML SYSTEMS'!AC625</f>
        <v>0</v>
      </c>
      <c r="AD639" s="344">
        <f>'ALL ML SYSTEMS'!AD625</f>
        <v>0</v>
      </c>
    </row>
    <row r="640" hidden="1" customHeight="1" spans="1:30">
      <c r="A640" s="344">
        <f>'ALL ML SYSTEMS'!A626</f>
        <v>0</v>
      </c>
      <c r="B640" s="344">
        <f>'ALL ML SYSTEMS'!B626</f>
        <v>0</v>
      </c>
      <c r="C640" s="344">
        <f>'ALL ML SYSTEMS'!C626</f>
        <v>0</v>
      </c>
      <c r="D640" s="344">
        <f>'ALL ML SYSTEMS'!D626</f>
        <v>0</v>
      </c>
      <c r="E640" s="344">
        <f>'ALL ML SYSTEMS'!E626</f>
        <v>0</v>
      </c>
      <c r="F640" s="344">
        <f>'ALL ML SYSTEMS'!F626</f>
        <v>0</v>
      </c>
      <c r="G640" s="344">
        <f>'ALL ML SYSTEMS'!G626</f>
        <v>0</v>
      </c>
      <c r="H640" s="344">
        <f>'ALL ML SYSTEMS'!H626</f>
        <v>0</v>
      </c>
      <c r="I640" s="344">
        <f>'ALL ML SYSTEMS'!I626</f>
        <v>0</v>
      </c>
      <c r="J640" s="344">
        <f>'ALL ML SYSTEMS'!J626</f>
        <v>0</v>
      </c>
      <c r="K640" s="344">
        <f>'ALL ML SYSTEMS'!K626</f>
        <v>0</v>
      </c>
      <c r="L640" s="344">
        <f>'ALL ML SYSTEMS'!L626</f>
        <v>0</v>
      </c>
      <c r="M640" s="344">
        <f>'ALL ML SYSTEMS'!M626</f>
        <v>0</v>
      </c>
      <c r="N640" s="344">
        <f>'ALL ML SYSTEMS'!N626</f>
        <v>0</v>
      </c>
      <c r="O640" s="344">
        <f>'ALL ML SYSTEMS'!O626</f>
        <v>0</v>
      </c>
      <c r="P640" s="344">
        <f>'ALL ML SYSTEMS'!P626</f>
        <v>0</v>
      </c>
      <c r="Q640" s="344">
        <f>'ALL ML SYSTEMS'!Q626</f>
        <v>0</v>
      </c>
      <c r="R640" s="344">
        <f>'ALL ML SYSTEMS'!R626</f>
        <v>0</v>
      </c>
      <c r="S640" s="344">
        <f>'ALL ML SYSTEMS'!S626</f>
        <v>0</v>
      </c>
      <c r="T640" s="344">
        <f>'ALL ML SYSTEMS'!T626</f>
        <v>0</v>
      </c>
      <c r="U640" s="344">
        <f>'ALL ML SYSTEMS'!U626</f>
        <v>0</v>
      </c>
      <c r="V640" s="344">
        <f>'ALL ML SYSTEMS'!V626</f>
        <v>0</v>
      </c>
      <c r="W640" s="344">
        <f>'ALL ML SYSTEMS'!W626</f>
        <v>0</v>
      </c>
      <c r="X640" s="344">
        <f>'ALL ML SYSTEMS'!X626</f>
        <v>0</v>
      </c>
      <c r="Y640" s="344">
        <f>'ALL ML SYSTEMS'!Y626</f>
        <v>0</v>
      </c>
      <c r="Z640" s="344">
        <f>'ALL ML SYSTEMS'!Z626</f>
        <v>0</v>
      </c>
      <c r="AA640" s="344">
        <f>'ALL ML SYSTEMS'!AA626</f>
        <v>0</v>
      </c>
      <c r="AB640" s="344"/>
      <c r="AC640" s="344">
        <f>'ALL ML SYSTEMS'!AC626</f>
        <v>0</v>
      </c>
      <c r="AD640" s="344">
        <f>'ALL ML SYSTEMS'!AD626</f>
        <v>0</v>
      </c>
    </row>
    <row r="641" hidden="1" customHeight="1" spans="1:30">
      <c r="A641" s="344">
        <f>'ALL ML SYSTEMS'!A627</f>
        <v>0</v>
      </c>
      <c r="B641" s="344">
        <f>'ALL ML SYSTEMS'!B627</f>
        <v>0</v>
      </c>
      <c r="C641" s="344">
        <f>'ALL ML SYSTEMS'!C627</f>
        <v>0</v>
      </c>
      <c r="D641" s="344">
        <f>'ALL ML SYSTEMS'!D627</f>
        <v>0</v>
      </c>
      <c r="E641" s="344">
        <f>'ALL ML SYSTEMS'!E627</f>
        <v>0</v>
      </c>
      <c r="F641" s="344">
        <f>'ALL ML SYSTEMS'!F627</f>
        <v>0</v>
      </c>
      <c r="G641" s="344">
        <f>'ALL ML SYSTEMS'!G627</f>
        <v>0</v>
      </c>
      <c r="H641" s="344">
        <f>'ALL ML SYSTEMS'!H627</f>
        <v>0</v>
      </c>
      <c r="I641" s="344">
        <f>'ALL ML SYSTEMS'!I627</f>
        <v>0</v>
      </c>
      <c r="J641" s="344">
        <f>'ALL ML SYSTEMS'!J627</f>
        <v>0</v>
      </c>
      <c r="K641" s="344">
        <f>'ALL ML SYSTEMS'!K627</f>
        <v>0</v>
      </c>
      <c r="L641" s="344">
        <f>'ALL ML SYSTEMS'!L627</f>
        <v>0</v>
      </c>
      <c r="M641" s="344">
        <f>'ALL ML SYSTEMS'!M627</f>
        <v>0</v>
      </c>
      <c r="N641" s="344">
        <f>'ALL ML SYSTEMS'!N627</f>
        <v>0</v>
      </c>
      <c r="O641" s="344">
        <f>'ALL ML SYSTEMS'!O627</f>
        <v>0</v>
      </c>
      <c r="P641" s="344">
        <f>'ALL ML SYSTEMS'!P627</f>
        <v>0</v>
      </c>
      <c r="Q641" s="344">
        <f>'ALL ML SYSTEMS'!Q627</f>
        <v>0</v>
      </c>
      <c r="R641" s="344">
        <f>'ALL ML SYSTEMS'!R627</f>
        <v>0</v>
      </c>
      <c r="S641" s="344">
        <f>'ALL ML SYSTEMS'!S627</f>
        <v>0</v>
      </c>
      <c r="T641" s="344">
        <f>'ALL ML SYSTEMS'!T627</f>
        <v>0</v>
      </c>
      <c r="U641" s="344">
        <f>'ALL ML SYSTEMS'!U627</f>
        <v>0</v>
      </c>
      <c r="V641" s="344">
        <f>'ALL ML SYSTEMS'!V627</f>
        <v>0</v>
      </c>
      <c r="W641" s="344">
        <f>'ALL ML SYSTEMS'!W627</f>
        <v>0</v>
      </c>
      <c r="X641" s="344">
        <f>'ALL ML SYSTEMS'!X627</f>
        <v>0</v>
      </c>
      <c r="Y641" s="344">
        <f>'ALL ML SYSTEMS'!Y627</f>
        <v>0</v>
      </c>
      <c r="Z641" s="344">
        <f>'ALL ML SYSTEMS'!Z627</f>
        <v>0</v>
      </c>
      <c r="AA641" s="344">
        <f>'ALL ML SYSTEMS'!AA627</f>
        <v>0</v>
      </c>
      <c r="AB641" s="344"/>
      <c r="AC641" s="344">
        <f>'ALL ML SYSTEMS'!AC627</f>
        <v>0</v>
      </c>
      <c r="AD641" s="344">
        <f>'ALL ML SYSTEMS'!AD627</f>
        <v>0</v>
      </c>
    </row>
    <row r="642" hidden="1" customHeight="1" spans="1:30">
      <c r="A642" s="344">
        <f>'ALL ML SYSTEMS'!A628</f>
        <v>0</v>
      </c>
      <c r="B642" s="344">
        <f>'ALL ML SYSTEMS'!B628</f>
        <v>0</v>
      </c>
      <c r="C642" s="344">
        <f>'ALL ML SYSTEMS'!C628</f>
        <v>0</v>
      </c>
      <c r="D642" s="344">
        <f>'ALL ML SYSTEMS'!D628</f>
        <v>0</v>
      </c>
      <c r="E642" s="344">
        <f>'ALL ML SYSTEMS'!E628</f>
        <v>0</v>
      </c>
      <c r="F642" s="344">
        <f>'ALL ML SYSTEMS'!F628</f>
        <v>0</v>
      </c>
      <c r="G642" s="344">
        <f>'ALL ML SYSTEMS'!G628</f>
        <v>0</v>
      </c>
      <c r="H642" s="344">
        <f>'ALL ML SYSTEMS'!H628</f>
        <v>0</v>
      </c>
      <c r="I642" s="344">
        <f>'ALL ML SYSTEMS'!I628</f>
        <v>0</v>
      </c>
      <c r="J642" s="344">
        <f>'ALL ML SYSTEMS'!J628</f>
        <v>0</v>
      </c>
      <c r="K642" s="344">
        <f>'ALL ML SYSTEMS'!K628</f>
        <v>0</v>
      </c>
      <c r="L642" s="344">
        <f>'ALL ML SYSTEMS'!L628</f>
        <v>0</v>
      </c>
      <c r="M642" s="344">
        <f>'ALL ML SYSTEMS'!M628</f>
        <v>0</v>
      </c>
      <c r="N642" s="344">
        <f>'ALL ML SYSTEMS'!N628</f>
        <v>0</v>
      </c>
      <c r="O642" s="344">
        <f>'ALL ML SYSTEMS'!O628</f>
        <v>0</v>
      </c>
      <c r="P642" s="344">
        <f>'ALL ML SYSTEMS'!P628</f>
        <v>0</v>
      </c>
      <c r="Q642" s="344">
        <f>'ALL ML SYSTEMS'!Q628</f>
        <v>0</v>
      </c>
      <c r="R642" s="344">
        <f>'ALL ML SYSTEMS'!R628</f>
        <v>0</v>
      </c>
      <c r="S642" s="344">
        <f>'ALL ML SYSTEMS'!S628</f>
        <v>0</v>
      </c>
      <c r="T642" s="344">
        <f>'ALL ML SYSTEMS'!T628</f>
        <v>0</v>
      </c>
      <c r="U642" s="344">
        <f>'ALL ML SYSTEMS'!U628</f>
        <v>0</v>
      </c>
      <c r="V642" s="344">
        <f>'ALL ML SYSTEMS'!V628</f>
        <v>0</v>
      </c>
      <c r="W642" s="344">
        <f>'ALL ML SYSTEMS'!W628</f>
        <v>0</v>
      </c>
      <c r="X642" s="344">
        <f>'ALL ML SYSTEMS'!X628</f>
        <v>0</v>
      </c>
      <c r="Y642" s="344">
        <f>'ALL ML SYSTEMS'!Y628</f>
        <v>0</v>
      </c>
      <c r="Z642" s="344">
        <f>'ALL ML SYSTEMS'!Z628</f>
        <v>0</v>
      </c>
      <c r="AA642" s="344">
        <f>'ALL ML SYSTEMS'!AA628</f>
        <v>0</v>
      </c>
      <c r="AB642" s="344"/>
      <c r="AC642" s="344">
        <f>'ALL ML SYSTEMS'!AC628</f>
        <v>0</v>
      </c>
      <c r="AD642" s="344">
        <f>'ALL ML SYSTEMS'!AD628</f>
        <v>0</v>
      </c>
    </row>
    <row r="643" hidden="1" customHeight="1" spans="1:30">
      <c r="A643" s="344">
        <f>'ALL ML SYSTEMS'!A629</f>
        <v>0</v>
      </c>
      <c r="B643" s="344">
        <f>'ALL ML SYSTEMS'!B629</f>
        <v>0</v>
      </c>
      <c r="C643" s="344">
        <f>'ALL ML SYSTEMS'!C629</f>
        <v>0</v>
      </c>
      <c r="D643" s="344">
        <f>'ALL ML SYSTEMS'!D629</f>
        <v>0</v>
      </c>
      <c r="E643" s="344">
        <f>'ALL ML SYSTEMS'!E629</f>
        <v>0</v>
      </c>
      <c r="F643" s="344">
        <f>'ALL ML SYSTEMS'!F629</f>
        <v>0</v>
      </c>
      <c r="G643" s="344">
        <f>'ALL ML SYSTEMS'!G629</f>
        <v>0</v>
      </c>
      <c r="H643" s="344">
        <f>'ALL ML SYSTEMS'!H629</f>
        <v>0</v>
      </c>
      <c r="I643" s="344">
        <f>'ALL ML SYSTEMS'!I629</f>
        <v>0</v>
      </c>
      <c r="J643" s="344">
        <f>'ALL ML SYSTEMS'!J629</f>
        <v>0</v>
      </c>
      <c r="K643" s="344">
        <f>'ALL ML SYSTEMS'!K629</f>
        <v>0</v>
      </c>
      <c r="L643" s="344">
        <f>'ALL ML SYSTEMS'!L629</f>
        <v>0</v>
      </c>
      <c r="M643" s="344">
        <f>'ALL ML SYSTEMS'!M629</f>
        <v>0</v>
      </c>
      <c r="N643" s="344">
        <f>'ALL ML SYSTEMS'!N629</f>
        <v>0</v>
      </c>
      <c r="O643" s="344">
        <f>'ALL ML SYSTEMS'!O629</f>
        <v>0</v>
      </c>
      <c r="P643" s="344">
        <f>'ALL ML SYSTEMS'!P629</f>
        <v>0</v>
      </c>
      <c r="Q643" s="344">
        <f>'ALL ML SYSTEMS'!Q629</f>
        <v>0</v>
      </c>
      <c r="R643" s="344">
        <f>'ALL ML SYSTEMS'!R629</f>
        <v>0</v>
      </c>
      <c r="S643" s="344">
        <f>'ALL ML SYSTEMS'!S629</f>
        <v>0</v>
      </c>
      <c r="T643" s="344">
        <f>'ALL ML SYSTEMS'!T629</f>
        <v>0</v>
      </c>
      <c r="U643" s="344">
        <f>'ALL ML SYSTEMS'!U629</f>
        <v>0</v>
      </c>
      <c r="V643" s="344">
        <f>'ALL ML SYSTEMS'!V629</f>
        <v>0</v>
      </c>
      <c r="W643" s="344">
        <f>'ALL ML SYSTEMS'!W629</f>
        <v>0</v>
      </c>
      <c r="X643" s="344">
        <f>'ALL ML SYSTEMS'!X629</f>
        <v>0</v>
      </c>
      <c r="Y643" s="344">
        <f>'ALL ML SYSTEMS'!Y629</f>
        <v>0</v>
      </c>
      <c r="Z643" s="344">
        <f>'ALL ML SYSTEMS'!Z629</f>
        <v>0</v>
      </c>
      <c r="AA643" s="344">
        <f>'ALL ML SYSTEMS'!AA629</f>
        <v>0</v>
      </c>
      <c r="AB643" s="344"/>
      <c r="AC643" s="344">
        <f>'ALL ML SYSTEMS'!AC629</f>
        <v>0</v>
      </c>
      <c r="AD643" s="344">
        <f>'ALL ML SYSTEMS'!AD629</f>
        <v>0</v>
      </c>
    </row>
    <row r="644" hidden="1" customHeight="1" spans="1:30">
      <c r="A644" s="344">
        <f>'ALL ML SYSTEMS'!A630</f>
        <v>0</v>
      </c>
      <c r="B644" s="344">
        <f>'ALL ML SYSTEMS'!B630</f>
        <v>0</v>
      </c>
      <c r="C644" s="344">
        <f>'ALL ML SYSTEMS'!C630</f>
        <v>0</v>
      </c>
      <c r="D644" s="344">
        <f>'ALL ML SYSTEMS'!D630</f>
        <v>0</v>
      </c>
      <c r="E644" s="344">
        <f>'ALL ML SYSTEMS'!E630</f>
        <v>0</v>
      </c>
      <c r="F644" s="344">
        <f>'ALL ML SYSTEMS'!F630</f>
        <v>0</v>
      </c>
      <c r="G644" s="344">
        <f>'ALL ML SYSTEMS'!G630</f>
        <v>0</v>
      </c>
      <c r="H644" s="344">
        <f>'ALL ML SYSTEMS'!H630</f>
        <v>0</v>
      </c>
      <c r="I644" s="344">
        <f>'ALL ML SYSTEMS'!I630</f>
        <v>0</v>
      </c>
      <c r="J644" s="344">
        <f>'ALL ML SYSTEMS'!J630</f>
        <v>0</v>
      </c>
      <c r="K644" s="344">
        <f>'ALL ML SYSTEMS'!K630</f>
        <v>0</v>
      </c>
      <c r="L644" s="344">
        <f>'ALL ML SYSTEMS'!L630</f>
        <v>0</v>
      </c>
      <c r="M644" s="344">
        <f>'ALL ML SYSTEMS'!M630</f>
        <v>0</v>
      </c>
      <c r="N644" s="344">
        <f>'ALL ML SYSTEMS'!N630</f>
        <v>0</v>
      </c>
      <c r="O644" s="344">
        <f>'ALL ML SYSTEMS'!O630</f>
        <v>0</v>
      </c>
      <c r="P644" s="344">
        <f>'ALL ML SYSTEMS'!P630</f>
        <v>0</v>
      </c>
      <c r="Q644" s="344">
        <f>'ALL ML SYSTEMS'!Q630</f>
        <v>0</v>
      </c>
      <c r="R644" s="344">
        <f>'ALL ML SYSTEMS'!R630</f>
        <v>0</v>
      </c>
      <c r="S644" s="344">
        <f>'ALL ML SYSTEMS'!S630</f>
        <v>0</v>
      </c>
      <c r="T644" s="344">
        <f>'ALL ML SYSTEMS'!T630</f>
        <v>0</v>
      </c>
      <c r="U644" s="344">
        <f>'ALL ML SYSTEMS'!U630</f>
        <v>0</v>
      </c>
      <c r="V644" s="344">
        <f>'ALL ML SYSTEMS'!V630</f>
        <v>0</v>
      </c>
      <c r="W644" s="344">
        <f>'ALL ML SYSTEMS'!W630</f>
        <v>0</v>
      </c>
      <c r="X644" s="344">
        <f>'ALL ML SYSTEMS'!X630</f>
        <v>0</v>
      </c>
      <c r="Y644" s="344">
        <f>'ALL ML SYSTEMS'!Y630</f>
        <v>0</v>
      </c>
      <c r="Z644" s="344">
        <f>'ALL ML SYSTEMS'!Z630</f>
        <v>0</v>
      </c>
      <c r="AA644" s="344">
        <f>'ALL ML SYSTEMS'!AA630</f>
        <v>0</v>
      </c>
      <c r="AB644" s="344"/>
      <c r="AC644" s="344">
        <f>'ALL ML SYSTEMS'!AC630</f>
        <v>0</v>
      </c>
      <c r="AD644" s="344">
        <f>'ALL ML SYSTEMS'!AD630</f>
        <v>0</v>
      </c>
    </row>
    <row r="645" hidden="1" customHeight="1" spans="1:30">
      <c r="A645" s="344">
        <f>'ALL ML SYSTEMS'!A631</f>
        <v>0</v>
      </c>
      <c r="B645" s="344">
        <f>'ALL ML SYSTEMS'!B631</f>
        <v>0</v>
      </c>
      <c r="C645" s="344">
        <f>'ALL ML SYSTEMS'!C631</f>
        <v>0</v>
      </c>
      <c r="D645" s="344">
        <f>'ALL ML SYSTEMS'!D631</f>
        <v>0</v>
      </c>
      <c r="E645" s="344">
        <f>'ALL ML SYSTEMS'!E631</f>
        <v>0</v>
      </c>
      <c r="F645" s="344">
        <f>'ALL ML SYSTEMS'!F631</f>
        <v>0</v>
      </c>
      <c r="G645" s="344">
        <f>'ALL ML SYSTEMS'!G631</f>
        <v>0</v>
      </c>
      <c r="H645" s="344">
        <f>'ALL ML SYSTEMS'!H631</f>
        <v>0</v>
      </c>
      <c r="I645" s="344">
        <f>'ALL ML SYSTEMS'!I631</f>
        <v>0</v>
      </c>
      <c r="J645" s="344">
        <f>'ALL ML SYSTEMS'!J631</f>
        <v>0</v>
      </c>
      <c r="K645" s="344">
        <f>'ALL ML SYSTEMS'!K631</f>
        <v>0</v>
      </c>
      <c r="L645" s="344">
        <f>'ALL ML SYSTEMS'!L631</f>
        <v>0</v>
      </c>
      <c r="M645" s="344">
        <f>'ALL ML SYSTEMS'!M631</f>
        <v>0</v>
      </c>
      <c r="N645" s="344">
        <f>'ALL ML SYSTEMS'!N631</f>
        <v>0</v>
      </c>
      <c r="O645" s="344">
        <f>'ALL ML SYSTEMS'!O631</f>
        <v>0</v>
      </c>
      <c r="P645" s="344">
        <f>'ALL ML SYSTEMS'!P631</f>
        <v>0</v>
      </c>
      <c r="Q645" s="344">
        <f>'ALL ML SYSTEMS'!Q631</f>
        <v>0</v>
      </c>
      <c r="R645" s="344">
        <f>'ALL ML SYSTEMS'!R631</f>
        <v>0</v>
      </c>
      <c r="S645" s="344">
        <f>'ALL ML SYSTEMS'!S631</f>
        <v>0</v>
      </c>
      <c r="T645" s="344">
        <f>'ALL ML SYSTEMS'!T631</f>
        <v>0</v>
      </c>
      <c r="U645" s="344">
        <f>'ALL ML SYSTEMS'!U631</f>
        <v>0</v>
      </c>
      <c r="V645" s="344">
        <f>'ALL ML SYSTEMS'!V631</f>
        <v>0</v>
      </c>
      <c r="W645" s="344">
        <f>'ALL ML SYSTEMS'!W631</f>
        <v>0</v>
      </c>
      <c r="X645" s="344">
        <f>'ALL ML SYSTEMS'!X631</f>
        <v>0</v>
      </c>
      <c r="Y645" s="344">
        <f>'ALL ML SYSTEMS'!Y631</f>
        <v>0</v>
      </c>
      <c r="Z645" s="344">
        <f>'ALL ML SYSTEMS'!Z631</f>
        <v>0</v>
      </c>
      <c r="AA645" s="344">
        <f>'ALL ML SYSTEMS'!AA631</f>
        <v>0</v>
      </c>
      <c r="AB645" s="344"/>
      <c r="AC645" s="344">
        <f>'ALL ML SYSTEMS'!AC631</f>
        <v>0</v>
      </c>
      <c r="AD645" s="344">
        <f>'ALL ML SYSTEMS'!AD631</f>
        <v>0</v>
      </c>
    </row>
    <row r="646" hidden="1" customHeight="1" spans="1:30">
      <c r="A646" s="344">
        <f>'ALL ML SYSTEMS'!A632</f>
        <v>0</v>
      </c>
      <c r="B646" s="344">
        <f>'ALL ML SYSTEMS'!B632</f>
        <v>0</v>
      </c>
      <c r="C646" s="344">
        <f>'ALL ML SYSTEMS'!C632</f>
        <v>0</v>
      </c>
      <c r="D646" s="344">
        <f>'ALL ML SYSTEMS'!D632</f>
        <v>0</v>
      </c>
      <c r="E646" s="344">
        <f>'ALL ML SYSTEMS'!E632</f>
        <v>0</v>
      </c>
      <c r="F646" s="344">
        <f>'ALL ML SYSTEMS'!F632</f>
        <v>0</v>
      </c>
      <c r="G646" s="344">
        <f>'ALL ML SYSTEMS'!G632</f>
        <v>0</v>
      </c>
      <c r="H646" s="344">
        <f>'ALL ML SYSTEMS'!H632</f>
        <v>0</v>
      </c>
      <c r="I646" s="344">
        <f>'ALL ML SYSTEMS'!I632</f>
        <v>0</v>
      </c>
      <c r="J646" s="344">
        <f>'ALL ML SYSTEMS'!J632</f>
        <v>0</v>
      </c>
      <c r="K646" s="344">
        <f>'ALL ML SYSTEMS'!K632</f>
        <v>0</v>
      </c>
      <c r="L646" s="344">
        <f>'ALL ML SYSTEMS'!L632</f>
        <v>0</v>
      </c>
      <c r="M646" s="344">
        <f>'ALL ML SYSTEMS'!M632</f>
        <v>0</v>
      </c>
      <c r="N646" s="344">
        <f>'ALL ML SYSTEMS'!N632</f>
        <v>0</v>
      </c>
      <c r="O646" s="344">
        <f>'ALL ML SYSTEMS'!O632</f>
        <v>0</v>
      </c>
      <c r="P646" s="344">
        <f>'ALL ML SYSTEMS'!P632</f>
        <v>0</v>
      </c>
      <c r="Q646" s="344">
        <f>'ALL ML SYSTEMS'!Q632</f>
        <v>0</v>
      </c>
      <c r="R646" s="344">
        <f>'ALL ML SYSTEMS'!R632</f>
        <v>0</v>
      </c>
      <c r="S646" s="344">
        <f>'ALL ML SYSTEMS'!S632</f>
        <v>0</v>
      </c>
      <c r="T646" s="344">
        <f>'ALL ML SYSTEMS'!T632</f>
        <v>0</v>
      </c>
      <c r="U646" s="344">
        <f>'ALL ML SYSTEMS'!U632</f>
        <v>0</v>
      </c>
      <c r="V646" s="344">
        <f>'ALL ML SYSTEMS'!V632</f>
        <v>0</v>
      </c>
      <c r="W646" s="344">
        <f>'ALL ML SYSTEMS'!W632</f>
        <v>0</v>
      </c>
      <c r="X646" s="344">
        <f>'ALL ML SYSTEMS'!X632</f>
        <v>0</v>
      </c>
      <c r="Y646" s="344">
        <f>'ALL ML SYSTEMS'!Y632</f>
        <v>0</v>
      </c>
      <c r="Z646" s="344">
        <f>'ALL ML SYSTEMS'!Z632</f>
        <v>0</v>
      </c>
      <c r="AA646" s="344">
        <f>'ALL ML SYSTEMS'!AA632</f>
        <v>0</v>
      </c>
      <c r="AB646" s="344"/>
      <c r="AC646" s="344">
        <f>'ALL ML SYSTEMS'!AC632</f>
        <v>0</v>
      </c>
      <c r="AD646" s="344">
        <f>'ALL ML SYSTEMS'!AD632</f>
        <v>0</v>
      </c>
    </row>
    <row r="647" hidden="1" customHeight="1" spans="1:30">
      <c r="A647" s="344">
        <f>'ALL ML SYSTEMS'!A633</f>
        <v>0</v>
      </c>
      <c r="B647" s="344">
        <f>'ALL ML SYSTEMS'!B633</f>
        <v>0</v>
      </c>
      <c r="C647" s="344">
        <f>'ALL ML SYSTEMS'!C633</f>
        <v>0</v>
      </c>
      <c r="D647" s="344">
        <f>'ALL ML SYSTEMS'!D633</f>
        <v>0</v>
      </c>
      <c r="E647" s="344">
        <f>'ALL ML SYSTEMS'!E633</f>
        <v>0</v>
      </c>
      <c r="F647" s="344">
        <f>'ALL ML SYSTEMS'!F633</f>
        <v>0</v>
      </c>
      <c r="G647" s="344">
        <f>'ALL ML SYSTEMS'!G633</f>
        <v>0</v>
      </c>
      <c r="H647" s="344">
        <f>'ALL ML SYSTEMS'!H633</f>
        <v>0</v>
      </c>
      <c r="I647" s="344">
        <f>'ALL ML SYSTEMS'!I633</f>
        <v>0</v>
      </c>
      <c r="J647" s="344">
        <f>'ALL ML SYSTEMS'!J633</f>
        <v>0</v>
      </c>
      <c r="K647" s="344">
        <f>'ALL ML SYSTEMS'!K633</f>
        <v>0</v>
      </c>
      <c r="L647" s="344">
        <f>'ALL ML SYSTEMS'!L633</f>
        <v>0</v>
      </c>
      <c r="M647" s="344">
        <f>'ALL ML SYSTEMS'!M633</f>
        <v>0</v>
      </c>
      <c r="N647" s="344">
        <f>'ALL ML SYSTEMS'!N633</f>
        <v>0</v>
      </c>
      <c r="O647" s="344">
        <f>'ALL ML SYSTEMS'!O633</f>
        <v>0</v>
      </c>
      <c r="P647" s="344">
        <f>'ALL ML SYSTEMS'!P633</f>
        <v>0</v>
      </c>
      <c r="Q647" s="344">
        <f>'ALL ML SYSTEMS'!Q633</f>
        <v>0</v>
      </c>
      <c r="R647" s="344">
        <f>'ALL ML SYSTEMS'!R633</f>
        <v>0</v>
      </c>
      <c r="S647" s="344">
        <f>'ALL ML SYSTEMS'!S633</f>
        <v>0</v>
      </c>
      <c r="T647" s="344">
        <f>'ALL ML SYSTEMS'!T633</f>
        <v>0</v>
      </c>
      <c r="U647" s="344">
        <f>'ALL ML SYSTEMS'!U633</f>
        <v>0</v>
      </c>
      <c r="V647" s="344">
        <f>'ALL ML SYSTEMS'!V633</f>
        <v>0</v>
      </c>
      <c r="W647" s="344">
        <f>'ALL ML SYSTEMS'!W633</f>
        <v>0</v>
      </c>
      <c r="X647" s="344">
        <f>'ALL ML SYSTEMS'!X633</f>
        <v>0</v>
      </c>
      <c r="Y647" s="344">
        <f>'ALL ML SYSTEMS'!Y633</f>
        <v>0</v>
      </c>
      <c r="Z647" s="344">
        <f>'ALL ML SYSTEMS'!Z633</f>
        <v>0</v>
      </c>
      <c r="AA647" s="344">
        <f>'ALL ML SYSTEMS'!AA633</f>
        <v>0</v>
      </c>
      <c r="AB647" s="344"/>
      <c r="AC647" s="344">
        <f>'ALL ML SYSTEMS'!AC633</f>
        <v>0</v>
      </c>
      <c r="AD647" s="344">
        <f>'ALL ML SYSTEMS'!AD633</f>
        <v>0</v>
      </c>
    </row>
    <row r="648" hidden="1" customHeight="1" spans="1:30">
      <c r="A648" s="344">
        <f>'ALL ML SYSTEMS'!A634</f>
        <v>0</v>
      </c>
      <c r="B648" s="344">
        <f>'ALL ML SYSTEMS'!B634</f>
        <v>0</v>
      </c>
      <c r="C648" s="344">
        <f>'ALL ML SYSTEMS'!C634</f>
        <v>0</v>
      </c>
      <c r="D648" s="344">
        <f>'ALL ML SYSTEMS'!D634</f>
        <v>0</v>
      </c>
      <c r="E648" s="344">
        <f>'ALL ML SYSTEMS'!E634</f>
        <v>0</v>
      </c>
      <c r="F648" s="344">
        <f>'ALL ML SYSTEMS'!F634</f>
        <v>0</v>
      </c>
      <c r="G648" s="344">
        <f>'ALL ML SYSTEMS'!G634</f>
        <v>0</v>
      </c>
      <c r="H648" s="344">
        <f>'ALL ML SYSTEMS'!H634</f>
        <v>0</v>
      </c>
      <c r="I648" s="344">
        <f>'ALL ML SYSTEMS'!I634</f>
        <v>0</v>
      </c>
      <c r="J648" s="344">
        <f>'ALL ML SYSTEMS'!J634</f>
        <v>0</v>
      </c>
      <c r="K648" s="344">
        <f>'ALL ML SYSTEMS'!K634</f>
        <v>0</v>
      </c>
      <c r="L648" s="344">
        <f>'ALL ML SYSTEMS'!L634</f>
        <v>0</v>
      </c>
      <c r="M648" s="344">
        <f>'ALL ML SYSTEMS'!M634</f>
        <v>0</v>
      </c>
      <c r="N648" s="344">
        <f>'ALL ML SYSTEMS'!N634</f>
        <v>0</v>
      </c>
      <c r="O648" s="344">
        <f>'ALL ML SYSTEMS'!O634</f>
        <v>0</v>
      </c>
      <c r="P648" s="344">
        <f>'ALL ML SYSTEMS'!P634</f>
        <v>0</v>
      </c>
      <c r="Q648" s="344">
        <f>'ALL ML SYSTEMS'!Q634</f>
        <v>0</v>
      </c>
      <c r="R648" s="344">
        <f>'ALL ML SYSTEMS'!R634</f>
        <v>0</v>
      </c>
      <c r="S648" s="344">
        <f>'ALL ML SYSTEMS'!S634</f>
        <v>0</v>
      </c>
      <c r="T648" s="344">
        <f>'ALL ML SYSTEMS'!T634</f>
        <v>0</v>
      </c>
      <c r="U648" s="344">
        <f>'ALL ML SYSTEMS'!U634</f>
        <v>0</v>
      </c>
      <c r="V648" s="344">
        <f>'ALL ML SYSTEMS'!V634</f>
        <v>0</v>
      </c>
      <c r="W648" s="344">
        <f>'ALL ML SYSTEMS'!W634</f>
        <v>0</v>
      </c>
      <c r="X648" s="344">
        <f>'ALL ML SYSTEMS'!X634</f>
        <v>0</v>
      </c>
      <c r="Y648" s="344">
        <f>'ALL ML SYSTEMS'!Y634</f>
        <v>0</v>
      </c>
      <c r="Z648" s="344">
        <f>'ALL ML SYSTEMS'!Z634</f>
        <v>0</v>
      </c>
      <c r="AA648" s="344">
        <f>'ALL ML SYSTEMS'!AA634</f>
        <v>0</v>
      </c>
      <c r="AB648" s="344"/>
      <c r="AC648" s="344">
        <f>'ALL ML SYSTEMS'!AC634</f>
        <v>0</v>
      </c>
      <c r="AD648" s="344">
        <f>'ALL ML SYSTEMS'!AD634</f>
        <v>0</v>
      </c>
    </row>
    <row r="649" hidden="1" customHeight="1" spans="1:30">
      <c r="A649" s="344">
        <f>'ALL ML SYSTEMS'!A635</f>
        <v>0</v>
      </c>
      <c r="B649" s="344">
        <f>'ALL ML SYSTEMS'!B635</f>
        <v>0</v>
      </c>
      <c r="C649" s="344">
        <f>'ALL ML SYSTEMS'!C635</f>
        <v>0</v>
      </c>
      <c r="D649" s="344">
        <f>'ALL ML SYSTEMS'!D635</f>
        <v>0</v>
      </c>
      <c r="E649" s="344">
        <f>'ALL ML SYSTEMS'!E635</f>
        <v>0</v>
      </c>
      <c r="F649" s="344">
        <f>'ALL ML SYSTEMS'!F635</f>
        <v>0</v>
      </c>
      <c r="G649" s="344">
        <f>'ALL ML SYSTEMS'!G635</f>
        <v>0</v>
      </c>
      <c r="H649" s="344">
        <f>'ALL ML SYSTEMS'!H635</f>
        <v>0</v>
      </c>
      <c r="I649" s="344">
        <f>'ALL ML SYSTEMS'!I635</f>
        <v>0</v>
      </c>
      <c r="J649" s="344">
        <f>'ALL ML SYSTEMS'!J635</f>
        <v>0</v>
      </c>
      <c r="K649" s="344">
        <f>'ALL ML SYSTEMS'!K635</f>
        <v>0</v>
      </c>
      <c r="L649" s="344">
        <f>'ALL ML SYSTEMS'!L635</f>
        <v>0</v>
      </c>
      <c r="M649" s="344">
        <f>'ALL ML SYSTEMS'!M635</f>
        <v>0</v>
      </c>
      <c r="N649" s="344">
        <f>'ALL ML SYSTEMS'!N635</f>
        <v>0</v>
      </c>
      <c r="O649" s="344">
        <f>'ALL ML SYSTEMS'!O635</f>
        <v>0</v>
      </c>
      <c r="P649" s="344">
        <f>'ALL ML SYSTEMS'!P635</f>
        <v>0</v>
      </c>
      <c r="Q649" s="344">
        <f>'ALL ML SYSTEMS'!Q635</f>
        <v>0</v>
      </c>
      <c r="R649" s="344">
        <f>'ALL ML SYSTEMS'!R635</f>
        <v>0</v>
      </c>
      <c r="S649" s="344">
        <f>'ALL ML SYSTEMS'!S635</f>
        <v>0</v>
      </c>
      <c r="T649" s="344">
        <f>'ALL ML SYSTEMS'!T635</f>
        <v>0</v>
      </c>
      <c r="U649" s="344">
        <f>'ALL ML SYSTEMS'!U635</f>
        <v>0</v>
      </c>
      <c r="V649" s="344">
        <f>'ALL ML SYSTEMS'!V635</f>
        <v>0</v>
      </c>
      <c r="W649" s="344">
        <f>'ALL ML SYSTEMS'!W635</f>
        <v>0</v>
      </c>
      <c r="X649" s="344">
        <f>'ALL ML SYSTEMS'!X635</f>
        <v>0</v>
      </c>
      <c r="Y649" s="344">
        <f>'ALL ML SYSTEMS'!Y635</f>
        <v>0</v>
      </c>
      <c r="Z649" s="344">
        <f>'ALL ML SYSTEMS'!Z635</f>
        <v>0</v>
      </c>
      <c r="AA649" s="344">
        <f>'ALL ML SYSTEMS'!AA635</f>
        <v>0</v>
      </c>
      <c r="AB649" s="344"/>
      <c r="AC649" s="344">
        <f>'ALL ML SYSTEMS'!AC635</f>
        <v>0</v>
      </c>
      <c r="AD649" s="344">
        <f>'ALL ML SYSTEMS'!AD635</f>
        <v>0</v>
      </c>
    </row>
    <row r="650" hidden="1" customHeight="1" spans="1:30">
      <c r="A650" s="344">
        <f>'ALL ML SYSTEMS'!A636</f>
        <v>0</v>
      </c>
      <c r="B650" s="344">
        <f>'ALL ML SYSTEMS'!B636</f>
        <v>0</v>
      </c>
      <c r="C650" s="344">
        <f>'ALL ML SYSTEMS'!C636</f>
        <v>0</v>
      </c>
      <c r="D650" s="344">
        <f>'ALL ML SYSTEMS'!D636</f>
        <v>0</v>
      </c>
      <c r="E650" s="344">
        <f>'ALL ML SYSTEMS'!E636</f>
        <v>0</v>
      </c>
      <c r="F650" s="344">
        <f>'ALL ML SYSTEMS'!F636</f>
        <v>0</v>
      </c>
      <c r="G650" s="344">
        <f>'ALL ML SYSTEMS'!G636</f>
        <v>0</v>
      </c>
      <c r="H650" s="344">
        <f>'ALL ML SYSTEMS'!H636</f>
        <v>0</v>
      </c>
      <c r="I650" s="344">
        <f>'ALL ML SYSTEMS'!I636</f>
        <v>0</v>
      </c>
      <c r="J650" s="344">
        <f>'ALL ML SYSTEMS'!J636</f>
        <v>0</v>
      </c>
      <c r="K650" s="344">
        <f>'ALL ML SYSTEMS'!K636</f>
        <v>0</v>
      </c>
      <c r="L650" s="344">
        <f>'ALL ML SYSTEMS'!L636</f>
        <v>0</v>
      </c>
      <c r="M650" s="344">
        <f>'ALL ML SYSTEMS'!M636</f>
        <v>0</v>
      </c>
      <c r="N650" s="344">
        <f>'ALL ML SYSTEMS'!N636</f>
        <v>0</v>
      </c>
      <c r="O650" s="344">
        <f>'ALL ML SYSTEMS'!O636</f>
        <v>0</v>
      </c>
      <c r="P650" s="344">
        <f>'ALL ML SYSTEMS'!P636</f>
        <v>0</v>
      </c>
      <c r="Q650" s="344">
        <f>'ALL ML SYSTEMS'!Q636</f>
        <v>0</v>
      </c>
      <c r="R650" s="344">
        <f>'ALL ML SYSTEMS'!R636</f>
        <v>0</v>
      </c>
      <c r="S650" s="344">
        <f>'ALL ML SYSTEMS'!S636</f>
        <v>0</v>
      </c>
      <c r="T650" s="344">
        <f>'ALL ML SYSTEMS'!T636</f>
        <v>0</v>
      </c>
      <c r="U650" s="344">
        <f>'ALL ML SYSTEMS'!U636</f>
        <v>0</v>
      </c>
      <c r="V650" s="344">
        <f>'ALL ML SYSTEMS'!V636</f>
        <v>0</v>
      </c>
      <c r="W650" s="344">
        <f>'ALL ML SYSTEMS'!W636</f>
        <v>0</v>
      </c>
      <c r="X650" s="344">
        <f>'ALL ML SYSTEMS'!X636</f>
        <v>0</v>
      </c>
      <c r="Y650" s="344">
        <f>'ALL ML SYSTEMS'!Y636</f>
        <v>0</v>
      </c>
      <c r="Z650" s="344">
        <f>'ALL ML SYSTEMS'!Z636</f>
        <v>0</v>
      </c>
      <c r="AA650" s="344">
        <f>'ALL ML SYSTEMS'!AA636</f>
        <v>0</v>
      </c>
      <c r="AB650" s="344"/>
      <c r="AC650" s="344">
        <f>'ALL ML SYSTEMS'!AC636</f>
        <v>0</v>
      </c>
      <c r="AD650" s="344">
        <f>'ALL ML SYSTEMS'!AD636</f>
        <v>0</v>
      </c>
    </row>
    <row r="651" hidden="1" customHeight="1" spans="1:30">
      <c r="A651" s="344">
        <f>'ALL ML SYSTEMS'!A637</f>
        <v>0</v>
      </c>
      <c r="B651" s="344">
        <f>'ALL ML SYSTEMS'!B637</f>
        <v>0</v>
      </c>
      <c r="C651" s="344">
        <f>'ALL ML SYSTEMS'!C637</f>
        <v>0</v>
      </c>
      <c r="D651" s="344">
        <f>'ALL ML SYSTEMS'!D637</f>
        <v>0</v>
      </c>
      <c r="E651" s="344">
        <f>'ALL ML SYSTEMS'!E637</f>
        <v>0</v>
      </c>
      <c r="F651" s="344">
        <f>'ALL ML SYSTEMS'!F637</f>
        <v>0</v>
      </c>
      <c r="G651" s="344">
        <f>'ALL ML SYSTEMS'!G637</f>
        <v>0</v>
      </c>
      <c r="H651" s="344">
        <f>'ALL ML SYSTEMS'!H637</f>
        <v>0</v>
      </c>
      <c r="I651" s="344">
        <f>'ALL ML SYSTEMS'!I637</f>
        <v>0</v>
      </c>
      <c r="J651" s="344">
        <f>'ALL ML SYSTEMS'!J637</f>
        <v>0</v>
      </c>
      <c r="K651" s="344">
        <f>'ALL ML SYSTEMS'!K637</f>
        <v>0</v>
      </c>
      <c r="L651" s="344">
        <f>'ALL ML SYSTEMS'!L637</f>
        <v>0</v>
      </c>
      <c r="M651" s="344">
        <f>'ALL ML SYSTEMS'!M637</f>
        <v>0</v>
      </c>
      <c r="N651" s="344">
        <f>'ALL ML SYSTEMS'!N637</f>
        <v>0</v>
      </c>
      <c r="O651" s="344">
        <f>'ALL ML SYSTEMS'!O637</f>
        <v>0</v>
      </c>
      <c r="P651" s="344">
        <f>'ALL ML SYSTEMS'!P637</f>
        <v>0</v>
      </c>
      <c r="Q651" s="344">
        <f>'ALL ML SYSTEMS'!Q637</f>
        <v>0</v>
      </c>
      <c r="R651" s="344">
        <f>'ALL ML SYSTEMS'!R637</f>
        <v>0</v>
      </c>
      <c r="S651" s="344">
        <f>'ALL ML SYSTEMS'!S637</f>
        <v>0</v>
      </c>
      <c r="T651" s="344">
        <f>'ALL ML SYSTEMS'!T637</f>
        <v>0</v>
      </c>
      <c r="U651" s="344">
        <f>'ALL ML SYSTEMS'!U637</f>
        <v>0</v>
      </c>
      <c r="V651" s="344">
        <f>'ALL ML SYSTEMS'!V637</f>
        <v>0</v>
      </c>
      <c r="W651" s="344">
        <f>'ALL ML SYSTEMS'!W637</f>
        <v>0</v>
      </c>
      <c r="X651" s="344">
        <f>'ALL ML SYSTEMS'!X637</f>
        <v>0</v>
      </c>
      <c r="Y651" s="344">
        <f>'ALL ML SYSTEMS'!Y637</f>
        <v>0</v>
      </c>
      <c r="Z651" s="344">
        <f>'ALL ML SYSTEMS'!Z637</f>
        <v>0</v>
      </c>
      <c r="AA651" s="344">
        <f>'ALL ML SYSTEMS'!AA637</f>
        <v>0</v>
      </c>
      <c r="AB651" s="344"/>
      <c r="AC651" s="344">
        <f>'ALL ML SYSTEMS'!AC637</f>
        <v>0</v>
      </c>
      <c r="AD651" s="344">
        <f>'ALL ML SYSTEMS'!AD637</f>
        <v>0</v>
      </c>
    </row>
    <row r="652" hidden="1" customHeight="1" spans="1:30">
      <c r="A652" s="344">
        <f>'ALL ML SYSTEMS'!A638</f>
        <v>0</v>
      </c>
      <c r="B652" s="344">
        <f>'ALL ML SYSTEMS'!B638</f>
        <v>0</v>
      </c>
      <c r="C652" s="344">
        <f>'ALL ML SYSTEMS'!C638</f>
        <v>0</v>
      </c>
      <c r="D652" s="344">
        <f>'ALL ML SYSTEMS'!D638</f>
        <v>0</v>
      </c>
      <c r="E652" s="344">
        <f>'ALL ML SYSTEMS'!E638</f>
        <v>0</v>
      </c>
      <c r="F652" s="344">
        <f>'ALL ML SYSTEMS'!F638</f>
        <v>0</v>
      </c>
      <c r="G652" s="344">
        <f>'ALL ML SYSTEMS'!G638</f>
        <v>0</v>
      </c>
      <c r="H652" s="344">
        <f>'ALL ML SYSTEMS'!H638</f>
        <v>0</v>
      </c>
      <c r="I652" s="344">
        <f>'ALL ML SYSTEMS'!I638</f>
        <v>0</v>
      </c>
      <c r="J652" s="344">
        <f>'ALL ML SYSTEMS'!J638</f>
        <v>0</v>
      </c>
      <c r="K652" s="344">
        <f>'ALL ML SYSTEMS'!K638</f>
        <v>0</v>
      </c>
      <c r="L652" s="344">
        <f>'ALL ML SYSTEMS'!L638</f>
        <v>0</v>
      </c>
      <c r="M652" s="344">
        <f>'ALL ML SYSTEMS'!M638</f>
        <v>0</v>
      </c>
      <c r="N652" s="344">
        <f>'ALL ML SYSTEMS'!N638</f>
        <v>0</v>
      </c>
      <c r="O652" s="344">
        <f>'ALL ML SYSTEMS'!O638</f>
        <v>0</v>
      </c>
      <c r="P652" s="344">
        <f>'ALL ML SYSTEMS'!P638</f>
        <v>0</v>
      </c>
      <c r="Q652" s="344">
        <f>'ALL ML SYSTEMS'!Q638</f>
        <v>0</v>
      </c>
      <c r="R652" s="344">
        <f>'ALL ML SYSTEMS'!R638</f>
        <v>0</v>
      </c>
      <c r="S652" s="344">
        <f>'ALL ML SYSTEMS'!S638</f>
        <v>0</v>
      </c>
      <c r="T652" s="344">
        <f>'ALL ML SYSTEMS'!T638</f>
        <v>0</v>
      </c>
      <c r="U652" s="344">
        <f>'ALL ML SYSTEMS'!U638</f>
        <v>0</v>
      </c>
      <c r="V652" s="344">
        <f>'ALL ML SYSTEMS'!V638</f>
        <v>0</v>
      </c>
      <c r="W652" s="344">
        <f>'ALL ML SYSTEMS'!W638</f>
        <v>0</v>
      </c>
      <c r="X652" s="344">
        <f>'ALL ML SYSTEMS'!X638</f>
        <v>0</v>
      </c>
      <c r="Y652" s="344">
        <f>'ALL ML SYSTEMS'!Y638</f>
        <v>0</v>
      </c>
      <c r="Z652" s="344">
        <f>'ALL ML SYSTEMS'!Z638</f>
        <v>0</v>
      </c>
      <c r="AA652" s="344">
        <f>'ALL ML SYSTEMS'!AA638</f>
        <v>0</v>
      </c>
      <c r="AB652" s="344"/>
      <c r="AC652" s="344">
        <f>'ALL ML SYSTEMS'!AC638</f>
        <v>0</v>
      </c>
      <c r="AD652" s="344">
        <f>'ALL ML SYSTEMS'!AD638</f>
        <v>0</v>
      </c>
    </row>
    <row r="653" hidden="1" customHeight="1" spans="1:30">
      <c r="A653" s="344">
        <f>'ALL ML SYSTEMS'!A639</f>
        <v>0</v>
      </c>
      <c r="B653" s="344">
        <f>'ALL ML SYSTEMS'!B639</f>
        <v>0</v>
      </c>
      <c r="C653" s="344">
        <f>'ALL ML SYSTEMS'!C639</f>
        <v>0</v>
      </c>
      <c r="D653" s="344">
        <f>'ALL ML SYSTEMS'!D639</f>
        <v>0</v>
      </c>
      <c r="E653" s="344">
        <f>'ALL ML SYSTEMS'!E639</f>
        <v>0</v>
      </c>
      <c r="F653" s="344">
        <f>'ALL ML SYSTEMS'!F639</f>
        <v>0</v>
      </c>
      <c r="G653" s="344">
        <f>'ALL ML SYSTEMS'!G639</f>
        <v>0</v>
      </c>
      <c r="H653" s="344">
        <f>'ALL ML SYSTEMS'!H639</f>
        <v>0</v>
      </c>
      <c r="I653" s="344">
        <f>'ALL ML SYSTEMS'!I639</f>
        <v>0</v>
      </c>
      <c r="J653" s="344">
        <f>'ALL ML SYSTEMS'!J639</f>
        <v>0</v>
      </c>
      <c r="K653" s="344">
        <f>'ALL ML SYSTEMS'!K639</f>
        <v>0</v>
      </c>
      <c r="L653" s="344">
        <f>'ALL ML SYSTEMS'!L639</f>
        <v>0</v>
      </c>
      <c r="M653" s="344">
        <f>'ALL ML SYSTEMS'!M639</f>
        <v>0</v>
      </c>
      <c r="N653" s="344">
        <f>'ALL ML SYSTEMS'!N639</f>
        <v>0</v>
      </c>
      <c r="O653" s="344">
        <f>'ALL ML SYSTEMS'!O639</f>
        <v>0</v>
      </c>
      <c r="P653" s="344">
        <f>'ALL ML SYSTEMS'!P639</f>
        <v>0</v>
      </c>
      <c r="Q653" s="344">
        <f>'ALL ML SYSTEMS'!Q639</f>
        <v>0</v>
      </c>
      <c r="R653" s="344">
        <f>'ALL ML SYSTEMS'!R639</f>
        <v>0</v>
      </c>
      <c r="S653" s="344">
        <f>'ALL ML SYSTEMS'!S639</f>
        <v>0</v>
      </c>
      <c r="T653" s="344">
        <f>'ALL ML SYSTEMS'!T639</f>
        <v>0</v>
      </c>
      <c r="U653" s="344">
        <f>'ALL ML SYSTEMS'!U639</f>
        <v>0</v>
      </c>
      <c r="V653" s="344">
        <f>'ALL ML SYSTEMS'!V639</f>
        <v>0</v>
      </c>
      <c r="W653" s="344">
        <f>'ALL ML SYSTEMS'!W639</f>
        <v>0</v>
      </c>
      <c r="X653" s="344">
        <f>'ALL ML SYSTEMS'!X639</f>
        <v>0</v>
      </c>
      <c r="Y653" s="344">
        <f>'ALL ML SYSTEMS'!Y639</f>
        <v>0</v>
      </c>
      <c r="Z653" s="344">
        <f>'ALL ML SYSTEMS'!Z639</f>
        <v>0</v>
      </c>
      <c r="AA653" s="344">
        <f>'ALL ML SYSTEMS'!AA639</f>
        <v>0</v>
      </c>
      <c r="AB653" s="344"/>
      <c r="AC653" s="344">
        <f>'ALL ML SYSTEMS'!AC639</f>
        <v>0</v>
      </c>
      <c r="AD653" s="344">
        <f>'ALL ML SYSTEMS'!AD639</f>
        <v>0</v>
      </c>
    </row>
    <row r="654" hidden="1" customHeight="1" spans="1:30">
      <c r="A654" s="344">
        <f>'ALL ML SYSTEMS'!A640</f>
        <v>0</v>
      </c>
      <c r="B654" s="344">
        <f>'ALL ML SYSTEMS'!B640</f>
        <v>0</v>
      </c>
      <c r="C654" s="344">
        <f>'ALL ML SYSTEMS'!C640</f>
        <v>0</v>
      </c>
      <c r="D654" s="344">
        <f>'ALL ML SYSTEMS'!D640</f>
        <v>0</v>
      </c>
      <c r="E654" s="344">
        <f>'ALL ML SYSTEMS'!E640</f>
        <v>0</v>
      </c>
      <c r="F654" s="344">
        <f>'ALL ML SYSTEMS'!F640</f>
        <v>0</v>
      </c>
      <c r="G654" s="344">
        <f>'ALL ML SYSTEMS'!G640</f>
        <v>0</v>
      </c>
      <c r="H654" s="344">
        <f>'ALL ML SYSTEMS'!H640</f>
        <v>0</v>
      </c>
      <c r="I654" s="344">
        <f>'ALL ML SYSTEMS'!I640</f>
        <v>0</v>
      </c>
      <c r="J654" s="344">
        <f>'ALL ML SYSTEMS'!J640</f>
        <v>0</v>
      </c>
      <c r="K654" s="344">
        <f>'ALL ML SYSTEMS'!K640</f>
        <v>0</v>
      </c>
      <c r="L654" s="344">
        <f>'ALL ML SYSTEMS'!L640</f>
        <v>0</v>
      </c>
      <c r="M654" s="344">
        <f>'ALL ML SYSTEMS'!M640</f>
        <v>0</v>
      </c>
      <c r="N654" s="344">
        <f>'ALL ML SYSTEMS'!N640</f>
        <v>0</v>
      </c>
      <c r="O654" s="344">
        <f>'ALL ML SYSTEMS'!O640</f>
        <v>0</v>
      </c>
      <c r="P654" s="344">
        <f>'ALL ML SYSTEMS'!P640</f>
        <v>0</v>
      </c>
      <c r="Q654" s="344">
        <f>'ALL ML SYSTEMS'!Q640</f>
        <v>0</v>
      </c>
      <c r="R654" s="344">
        <f>'ALL ML SYSTEMS'!R640</f>
        <v>0</v>
      </c>
      <c r="S654" s="344">
        <f>'ALL ML SYSTEMS'!S640</f>
        <v>0</v>
      </c>
      <c r="T654" s="344">
        <f>'ALL ML SYSTEMS'!T640</f>
        <v>0</v>
      </c>
      <c r="U654" s="344">
        <f>'ALL ML SYSTEMS'!U640</f>
        <v>0</v>
      </c>
      <c r="V654" s="344">
        <f>'ALL ML SYSTEMS'!V640</f>
        <v>0</v>
      </c>
      <c r="W654" s="344">
        <f>'ALL ML SYSTEMS'!W640</f>
        <v>0</v>
      </c>
      <c r="X654" s="344">
        <f>'ALL ML SYSTEMS'!X640</f>
        <v>0</v>
      </c>
      <c r="Y654" s="344">
        <f>'ALL ML SYSTEMS'!Y640</f>
        <v>0</v>
      </c>
      <c r="Z654" s="344">
        <f>'ALL ML SYSTEMS'!Z640</f>
        <v>0</v>
      </c>
      <c r="AA654" s="344">
        <f>'ALL ML SYSTEMS'!AA640</f>
        <v>0</v>
      </c>
      <c r="AB654" s="344"/>
      <c r="AC654" s="344">
        <f>'ALL ML SYSTEMS'!AC640</f>
        <v>0</v>
      </c>
      <c r="AD654" s="344">
        <f>'ALL ML SYSTEMS'!AD640</f>
        <v>0</v>
      </c>
    </row>
    <row r="655" hidden="1" customHeight="1" spans="1:30">
      <c r="A655" s="344">
        <f>'ALL ML SYSTEMS'!A641</f>
        <v>0</v>
      </c>
      <c r="B655" s="344">
        <f>'ALL ML SYSTEMS'!B641</f>
        <v>0</v>
      </c>
      <c r="C655" s="344">
        <f>'ALL ML SYSTEMS'!C641</f>
        <v>0</v>
      </c>
      <c r="D655" s="344">
        <f>'ALL ML SYSTEMS'!D641</f>
        <v>0</v>
      </c>
      <c r="E655" s="344">
        <f>'ALL ML SYSTEMS'!E641</f>
        <v>0</v>
      </c>
      <c r="F655" s="344">
        <f>'ALL ML SYSTEMS'!F641</f>
        <v>0</v>
      </c>
      <c r="G655" s="344">
        <f>'ALL ML SYSTEMS'!G641</f>
        <v>0</v>
      </c>
      <c r="H655" s="344">
        <f>'ALL ML SYSTEMS'!H641</f>
        <v>0</v>
      </c>
      <c r="I655" s="344">
        <f>'ALL ML SYSTEMS'!I641</f>
        <v>0</v>
      </c>
      <c r="J655" s="344">
        <f>'ALL ML SYSTEMS'!J641</f>
        <v>0</v>
      </c>
      <c r="K655" s="344">
        <f>'ALL ML SYSTEMS'!K641</f>
        <v>0</v>
      </c>
      <c r="L655" s="344">
        <f>'ALL ML SYSTEMS'!L641</f>
        <v>0</v>
      </c>
      <c r="M655" s="344">
        <f>'ALL ML SYSTEMS'!M641</f>
        <v>0</v>
      </c>
      <c r="N655" s="344">
        <f>'ALL ML SYSTEMS'!N641</f>
        <v>0</v>
      </c>
      <c r="O655" s="344">
        <f>'ALL ML SYSTEMS'!O641</f>
        <v>0</v>
      </c>
      <c r="P655" s="344">
        <f>'ALL ML SYSTEMS'!P641</f>
        <v>0</v>
      </c>
      <c r="Q655" s="344">
        <f>'ALL ML SYSTEMS'!Q641</f>
        <v>0</v>
      </c>
      <c r="R655" s="344">
        <f>'ALL ML SYSTEMS'!R641</f>
        <v>0</v>
      </c>
      <c r="S655" s="344">
        <f>'ALL ML SYSTEMS'!S641</f>
        <v>0</v>
      </c>
      <c r="T655" s="344">
        <f>'ALL ML SYSTEMS'!T641</f>
        <v>0</v>
      </c>
      <c r="U655" s="344">
        <f>'ALL ML SYSTEMS'!U641</f>
        <v>0</v>
      </c>
      <c r="V655" s="344">
        <f>'ALL ML SYSTEMS'!V641</f>
        <v>0</v>
      </c>
      <c r="W655" s="344">
        <f>'ALL ML SYSTEMS'!W641</f>
        <v>0</v>
      </c>
      <c r="X655" s="344">
        <f>'ALL ML SYSTEMS'!X641</f>
        <v>0</v>
      </c>
      <c r="Y655" s="344">
        <f>'ALL ML SYSTEMS'!Y641</f>
        <v>0</v>
      </c>
      <c r="Z655" s="344">
        <f>'ALL ML SYSTEMS'!Z641</f>
        <v>0</v>
      </c>
      <c r="AA655" s="344">
        <f>'ALL ML SYSTEMS'!AA641</f>
        <v>0</v>
      </c>
      <c r="AB655" s="344"/>
      <c r="AC655" s="344">
        <f>'ALL ML SYSTEMS'!AC641</f>
        <v>0</v>
      </c>
      <c r="AD655" s="344">
        <f>'ALL ML SYSTEMS'!AD641</f>
        <v>0</v>
      </c>
    </row>
    <row r="656" hidden="1" customHeight="1" spans="1:30">
      <c r="A656" s="344">
        <f>'ALL ML SYSTEMS'!A642</f>
        <v>0</v>
      </c>
      <c r="B656" s="344">
        <f>'ALL ML SYSTEMS'!B642</f>
        <v>0</v>
      </c>
      <c r="C656" s="344">
        <f>'ALL ML SYSTEMS'!C642</f>
        <v>0</v>
      </c>
      <c r="D656" s="344">
        <f>'ALL ML SYSTEMS'!D642</f>
        <v>0</v>
      </c>
      <c r="E656" s="344">
        <f>'ALL ML SYSTEMS'!E642</f>
        <v>0</v>
      </c>
      <c r="F656" s="344">
        <f>'ALL ML SYSTEMS'!F642</f>
        <v>0</v>
      </c>
      <c r="G656" s="344">
        <f>'ALL ML SYSTEMS'!G642</f>
        <v>0</v>
      </c>
      <c r="H656" s="344">
        <f>'ALL ML SYSTEMS'!H642</f>
        <v>0</v>
      </c>
      <c r="I656" s="344">
        <f>'ALL ML SYSTEMS'!I642</f>
        <v>0</v>
      </c>
      <c r="J656" s="344">
        <f>'ALL ML SYSTEMS'!J642</f>
        <v>0</v>
      </c>
      <c r="K656" s="344">
        <f>'ALL ML SYSTEMS'!K642</f>
        <v>0</v>
      </c>
      <c r="L656" s="344">
        <f>'ALL ML SYSTEMS'!L642</f>
        <v>0</v>
      </c>
      <c r="M656" s="344">
        <f>'ALL ML SYSTEMS'!M642</f>
        <v>0</v>
      </c>
      <c r="N656" s="344">
        <f>'ALL ML SYSTEMS'!N642</f>
        <v>0</v>
      </c>
      <c r="O656" s="344">
        <f>'ALL ML SYSTEMS'!O642</f>
        <v>0</v>
      </c>
      <c r="P656" s="344">
        <f>'ALL ML SYSTEMS'!P642</f>
        <v>0</v>
      </c>
      <c r="Q656" s="344">
        <f>'ALL ML SYSTEMS'!Q642</f>
        <v>0</v>
      </c>
      <c r="R656" s="344">
        <f>'ALL ML SYSTEMS'!R642</f>
        <v>0</v>
      </c>
      <c r="S656" s="344">
        <f>'ALL ML SYSTEMS'!S642</f>
        <v>0</v>
      </c>
      <c r="T656" s="344">
        <f>'ALL ML SYSTEMS'!T642</f>
        <v>0</v>
      </c>
      <c r="U656" s="344">
        <f>'ALL ML SYSTEMS'!U642</f>
        <v>0</v>
      </c>
      <c r="V656" s="344">
        <f>'ALL ML SYSTEMS'!V642</f>
        <v>0</v>
      </c>
      <c r="W656" s="344">
        <f>'ALL ML SYSTEMS'!W642</f>
        <v>0</v>
      </c>
      <c r="X656" s="344">
        <f>'ALL ML SYSTEMS'!X642</f>
        <v>0</v>
      </c>
      <c r="Y656" s="344">
        <f>'ALL ML SYSTEMS'!Y642</f>
        <v>0</v>
      </c>
      <c r="Z656" s="344">
        <f>'ALL ML SYSTEMS'!Z642</f>
        <v>0</v>
      </c>
      <c r="AA656" s="344">
        <f>'ALL ML SYSTEMS'!AA642</f>
        <v>0</v>
      </c>
      <c r="AB656" s="344"/>
      <c r="AC656" s="344">
        <f>'ALL ML SYSTEMS'!AC642</f>
        <v>0</v>
      </c>
      <c r="AD656" s="344">
        <f>'ALL ML SYSTEMS'!AD642</f>
        <v>0</v>
      </c>
    </row>
    <row r="657" hidden="1" customHeight="1" spans="1:30">
      <c r="A657" s="344">
        <f>'ALL ML SYSTEMS'!A643</f>
        <v>0</v>
      </c>
      <c r="B657" s="344">
        <f>'ALL ML SYSTEMS'!B643</f>
        <v>0</v>
      </c>
      <c r="C657" s="344">
        <f>'ALL ML SYSTEMS'!C643</f>
        <v>0</v>
      </c>
      <c r="D657" s="344">
        <f>'ALL ML SYSTEMS'!D643</f>
        <v>0</v>
      </c>
      <c r="E657" s="344">
        <f>'ALL ML SYSTEMS'!E643</f>
        <v>0</v>
      </c>
      <c r="F657" s="344">
        <f>'ALL ML SYSTEMS'!F643</f>
        <v>0</v>
      </c>
      <c r="G657" s="344">
        <f>'ALL ML SYSTEMS'!G643</f>
        <v>0</v>
      </c>
      <c r="H657" s="344">
        <f>'ALL ML SYSTEMS'!H643</f>
        <v>0</v>
      </c>
      <c r="I657" s="344">
        <f>'ALL ML SYSTEMS'!I643</f>
        <v>0</v>
      </c>
      <c r="J657" s="344">
        <f>'ALL ML SYSTEMS'!J643</f>
        <v>0</v>
      </c>
      <c r="K657" s="344">
        <f>'ALL ML SYSTEMS'!K643</f>
        <v>0</v>
      </c>
      <c r="L657" s="344">
        <f>'ALL ML SYSTEMS'!L643</f>
        <v>0</v>
      </c>
      <c r="M657" s="344">
        <f>'ALL ML SYSTEMS'!M643</f>
        <v>0</v>
      </c>
      <c r="N657" s="344">
        <f>'ALL ML SYSTEMS'!N643</f>
        <v>0</v>
      </c>
      <c r="O657" s="344">
        <f>'ALL ML SYSTEMS'!O643</f>
        <v>0</v>
      </c>
      <c r="P657" s="344">
        <f>'ALL ML SYSTEMS'!P643</f>
        <v>0</v>
      </c>
      <c r="Q657" s="344">
        <f>'ALL ML SYSTEMS'!Q643</f>
        <v>0</v>
      </c>
      <c r="R657" s="344">
        <f>'ALL ML SYSTEMS'!R643</f>
        <v>0</v>
      </c>
      <c r="S657" s="344">
        <f>'ALL ML SYSTEMS'!S643</f>
        <v>0</v>
      </c>
      <c r="T657" s="344">
        <f>'ALL ML SYSTEMS'!T643</f>
        <v>0</v>
      </c>
      <c r="U657" s="344">
        <f>'ALL ML SYSTEMS'!U643</f>
        <v>0</v>
      </c>
      <c r="V657" s="344">
        <f>'ALL ML SYSTEMS'!V643</f>
        <v>0</v>
      </c>
      <c r="W657" s="344">
        <f>'ALL ML SYSTEMS'!W643</f>
        <v>0</v>
      </c>
      <c r="X657" s="344">
        <f>'ALL ML SYSTEMS'!X643</f>
        <v>0</v>
      </c>
      <c r="Y657" s="344">
        <f>'ALL ML SYSTEMS'!Y643</f>
        <v>0</v>
      </c>
      <c r="Z657" s="344">
        <f>'ALL ML SYSTEMS'!Z643</f>
        <v>0</v>
      </c>
      <c r="AA657" s="344">
        <f>'ALL ML SYSTEMS'!AA643</f>
        <v>0</v>
      </c>
      <c r="AB657" s="344"/>
      <c r="AC657" s="344">
        <f>'ALL ML SYSTEMS'!AC643</f>
        <v>0</v>
      </c>
      <c r="AD657" s="344">
        <f>'ALL ML SYSTEMS'!AD643</f>
        <v>0</v>
      </c>
    </row>
    <row r="658" hidden="1" customHeight="1" spans="1:30">
      <c r="A658" s="344">
        <f>'ALL ML SYSTEMS'!A644</f>
        <v>0</v>
      </c>
      <c r="B658" s="344">
        <f>'ALL ML SYSTEMS'!B644</f>
        <v>0</v>
      </c>
      <c r="C658" s="344">
        <f>'ALL ML SYSTEMS'!C644</f>
        <v>0</v>
      </c>
      <c r="D658" s="344">
        <f>'ALL ML SYSTEMS'!D644</f>
        <v>0</v>
      </c>
      <c r="E658" s="344">
        <f>'ALL ML SYSTEMS'!E644</f>
        <v>0</v>
      </c>
      <c r="F658" s="344">
        <f>'ALL ML SYSTEMS'!F644</f>
        <v>0</v>
      </c>
      <c r="G658" s="344">
        <f>'ALL ML SYSTEMS'!G644</f>
        <v>0</v>
      </c>
      <c r="H658" s="344">
        <f>'ALL ML SYSTEMS'!H644</f>
        <v>0</v>
      </c>
      <c r="I658" s="344">
        <f>'ALL ML SYSTEMS'!I644</f>
        <v>0</v>
      </c>
      <c r="J658" s="344">
        <f>'ALL ML SYSTEMS'!J644</f>
        <v>0</v>
      </c>
      <c r="K658" s="344">
        <f>'ALL ML SYSTEMS'!K644</f>
        <v>0</v>
      </c>
      <c r="L658" s="344">
        <f>'ALL ML SYSTEMS'!L644</f>
        <v>0</v>
      </c>
      <c r="M658" s="344">
        <f>'ALL ML SYSTEMS'!M644</f>
        <v>0</v>
      </c>
      <c r="N658" s="344">
        <f>'ALL ML SYSTEMS'!N644</f>
        <v>0</v>
      </c>
      <c r="O658" s="344">
        <f>'ALL ML SYSTEMS'!O644</f>
        <v>0</v>
      </c>
      <c r="P658" s="344">
        <f>'ALL ML SYSTEMS'!P644</f>
        <v>0</v>
      </c>
      <c r="Q658" s="344">
        <f>'ALL ML SYSTEMS'!Q644</f>
        <v>0</v>
      </c>
      <c r="R658" s="344">
        <f>'ALL ML SYSTEMS'!R644</f>
        <v>0</v>
      </c>
      <c r="S658" s="344">
        <f>'ALL ML SYSTEMS'!S644</f>
        <v>0</v>
      </c>
      <c r="T658" s="344">
        <f>'ALL ML SYSTEMS'!T644</f>
        <v>0</v>
      </c>
      <c r="U658" s="344">
        <f>'ALL ML SYSTEMS'!U644</f>
        <v>0</v>
      </c>
      <c r="V658" s="344">
        <f>'ALL ML SYSTEMS'!V644</f>
        <v>0</v>
      </c>
      <c r="W658" s="344">
        <f>'ALL ML SYSTEMS'!W644</f>
        <v>0</v>
      </c>
      <c r="X658" s="344">
        <f>'ALL ML SYSTEMS'!X644</f>
        <v>0</v>
      </c>
      <c r="Y658" s="344">
        <f>'ALL ML SYSTEMS'!Y644</f>
        <v>0</v>
      </c>
      <c r="Z658" s="344">
        <f>'ALL ML SYSTEMS'!Z644</f>
        <v>0</v>
      </c>
      <c r="AA658" s="344">
        <f>'ALL ML SYSTEMS'!AA644</f>
        <v>0</v>
      </c>
      <c r="AB658" s="344"/>
      <c r="AC658" s="344">
        <f>'ALL ML SYSTEMS'!AC644</f>
        <v>0</v>
      </c>
      <c r="AD658" s="344">
        <f>'ALL ML SYSTEMS'!AD644</f>
        <v>0</v>
      </c>
    </row>
    <row r="659" hidden="1" customHeight="1" spans="1:30">
      <c r="A659" s="344">
        <f>'ALL ML SYSTEMS'!A645</f>
        <v>0</v>
      </c>
      <c r="B659" s="344">
        <f>'ALL ML SYSTEMS'!B645</f>
        <v>0</v>
      </c>
      <c r="C659" s="344">
        <f>'ALL ML SYSTEMS'!C645</f>
        <v>0</v>
      </c>
      <c r="D659" s="344">
        <f>'ALL ML SYSTEMS'!D645</f>
        <v>0</v>
      </c>
      <c r="E659" s="344">
        <f>'ALL ML SYSTEMS'!E645</f>
        <v>0</v>
      </c>
      <c r="F659" s="344">
        <f>'ALL ML SYSTEMS'!F645</f>
        <v>0</v>
      </c>
      <c r="G659" s="344">
        <f>'ALL ML SYSTEMS'!G645</f>
        <v>0</v>
      </c>
      <c r="H659" s="344">
        <f>'ALL ML SYSTEMS'!H645</f>
        <v>0</v>
      </c>
      <c r="I659" s="344">
        <f>'ALL ML SYSTEMS'!I645</f>
        <v>0</v>
      </c>
      <c r="J659" s="344">
        <f>'ALL ML SYSTEMS'!J645</f>
        <v>0</v>
      </c>
      <c r="K659" s="344">
        <f>'ALL ML SYSTEMS'!K645</f>
        <v>0</v>
      </c>
      <c r="L659" s="344">
        <f>'ALL ML SYSTEMS'!L645</f>
        <v>0</v>
      </c>
      <c r="M659" s="344">
        <f>'ALL ML SYSTEMS'!M645</f>
        <v>0</v>
      </c>
      <c r="N659" s="344">
        <f>'ALL ML SYSTEMS'!N645</f>
        <v>0</v>
      </c>
      <c r="O659" s="344">
        <f>'ALL ML SYSTEMS'!O645</f>
        <v>0</v>
      </c>
      <c r="P659" s="344">
        <f>'ALL ML SYSTEMS'!P645</f>
        <v>0</v>
      </c>
      <c r="Q659" s="344">
        <f>'ALL ML SYSTEMS'!Q645</f>
        <v>0</v>
      </c>
      <c r="R659" s="344">
        <f>'ALL ML SYSTEMS'!R645</f>
        <v>0</v>
      </c>
      <c r="S659" s="344">
        <f>'ALL ML SYSTEMS'!S645</f>
        <v>0</v>
      </c>
      <c r="T659" s="344">
        <f>'ALL ML SYSTEMS'!T645</f>
        <v>0</v>
      </c>
      <c r="U659" s="344">
        <f>'ALL ML SYSTEMS'!U645</f>
        <v>0</v>
      </c>
      <c r="V659" s="344">
        <f>'ALL ML SYSTEMS'!V645</f>
        <v>0</v>
      </c>
      <c r="W659" s="344">
        <f>'ALL ML SYSTEMS'!W645</f>
        <v>0</v>
      </c>
      <c r="X659" s="344">
        <f>'ALL ML SYSTEMS'!X645</f>
        <v>0</v>
      </c>
      <c r="Y659" s="344">
        <f>'ALL ML SYSTEMS'!Y645</f>
        <v>0</v>
      </c>
      <c r="Z659" s="344">
        <f>'ALL ML SYSTEMS'!Z645</f>
        <v>0</v>
      </c>
      <c r="AA659" s="344">
        <f>'ALL ML SYSTEMS'!AA645</f>
        <v>0</v>
      </c>
      <c r="AB659" s="344"/>
      <c r="AC659" s="344">
        <f>'ALL ML SYSTEMS'!AC645</f>
        <v>0</v>
      </c>
      <c r="AD659" s="344">
        <f>'ALL ML SYSTEMS'!AD645</f>
        <v>0</v>
      </c>
    </row>
    <row r="660" hidden="1" customHeight="1" spans="1:30">
      <c r="A660" s="344">
        <f>'ALL ML SYSTEMS'!A646</f>
        <v>0</v>
      </c>
      <c r="B660" s="344">
        <f>'ALL ML SYSTEMS'!B646</f>
        <v>0</v>
      </c>
      <c r="C660" s="344">
        <f>'ALL ML SYSTEMS'!C646</f>
        <v>0</v>
      </c>
      <c r="D660" s="344">
        <f>'ALL ML SYSTEMS'!D646</f>
        <v>0</v>
      </c>
      <c r="E660" s="344">
        <f>'ALL ML SYSTEMS'!E646</f>
        <v>0</v>
      </c>
      <c r="F660" s="344">
        <f>'ALL ML SYSTEMS'!F646</f>
        <v>0</v>
      </c>
      <c r="G660" s="344">
        <f>'ALL ML SYSTEMS'!G646</f>
        <v>0</v>
      </c>
      <c r="H660" s="344">
        <f>'ALL ML SYSTEMS'!H646</f>
        <v>0</v>
      </c>
      <c r="I660" s="344">
        <f>'ALL ML SYSTEMS'!I646</f>
        <v>0</v>
      </c>
      <c r="J660" s="344">
        <f>'ALL ML SYSTEMS'!J646</f>
        <v>0</v>
      </c>
      <c r="K660" s="344">
        <f>'ALL ML SYSTEMS'!K646</f>
        <v>0</v>
      </c>
      <c r="L660" s="344">
        <f>'ALL ML SYSTEMS'!L646</f>
        <v>0</v>
      </c>
      <c r="M660" s="344">
        <f>'ALL ML SYSTEMS'!M646</f>
        <v>0</v>
      </c>
      <c r="N660" s="344">
        <f>'ALL ML SYSTEMS'!N646</f>
        <v>0</v>
      </c>
      <c r="O660" s="344">
        <f>'ALL ML SYSTEMS'!O646</f>
        <v>0</v>
      </c>
      <c r="P660" s="344">
        <f>'ALL ML SYSTEMS'!P646</f>
        <v>0</v>
      </c>
      <c r="Q660" s="344">
        <f>'ALL ML SYSTEMS'!Q646</f>
        <v>0</v>
      </c>
      <c r="R660" s="344">
        <f>'ALL ML SYSTEMS'!R646</f>
        <v>0</v>
      </c>
      <c r="S660" s="344">
        <f>'ALL ML SYSTEMS'!S646</f>
        <v>0</v>
      </c>
      <c r="T660" s="344">
        <f>'ALL ML SYSTEMS'!T646</f>
        <v>0</v>
      </c>
      <c r="U660" s="344">
        <f>'ALL ML SYSTEMS'!U646</f>
        <v>0</v>
      </c>
      <c r="V660" s="344">
        <f>'ALL ML SYSTEMS'!V646</f>
        <v>0</v>
      </c>
      <c r="W660" s="344">
        <f>'ALL ML SYSTEMS'!W646</f>
        <v>0</v>
      </c>
      <c r="X660" s="344">
        <f>'ALL ML SYSTEMS'!X646</f>
        <v>0</v>
      </c>
      <c r="Y660" s="344">
        <f>'ALL ML SYSTEMS'!Y646</f>
        <v>0</v>
      </c>
      <c r="Z660" s="344">
        <f>'ALL ML SYSTEMS'!Z646</f>
        <v>0</v>
      </c>
      <c r="AA660" s="344">
        <f>'ALL ML SYSTEMS'!AA646</f>
        <v>0</v>
      </c>
      <c r="AB660" s="344"/>
      <c r="AC660" s="344">
        <f>'ALL ML SYSTEMS'!AC646</f>
        <v>0</v>
      </c>
      <c r="AD660" s="344">
        <f>'ALL ML SYSTEMS'!AD646</f>
        <v>0</v>
      </c>
    </row>
    <row r="661" hidden="1" customHeight="1" spans="1:30">
      <c r="A661" s="344">
        <f>'ALL ML SYSTEMS'!A647</f>
        <v>0</v>
      </c>
      <c r="B661" s="344">
        <f>'ALL ML SYSTEMS'!B647</f>
        <v>0</v>
      </c>
      <c r="C661" s="344">
        <f>'ALL ML SYSTEMS'!C647</f>
        <v>0</v>
      </c>
      <c r="D661" s="344">
        <f>'ALL ML SYSTEMS'!D647</f>
        <v>0</v>
      </c>
      <c r="E661" s="344">
        <f>'ALL ML SYSTEMS'!E647</f>
        <v>0</v>
      </c>
      <c r="F661" s="344">
        <f>'ALL ML SYSTEMS'!F647</f>
        <v>0</v>
      </c>
      <c r="G661" s="344">
        <f>'ALL ML SYSTEMS'!G647</f>
        <v>0</v>
      </c>
      <c r="H661" s="344">
        <f>'ALL ML SYSTEMS'!H647</f>
        <v>0</v>
      </c>
      <c r="I661" s="344">
        <f>'ALL ML SYSTEMS'!I647</f>
        <v>0</v>
      </c>
      <c r="J661" s="344">
        <f>'ALL ML SYSTEMS'!J647</f>
        <v>0</v>
      </c>
      <c r="K661" s="344">
        <f>'ALL ML SYSTEMS'!K647</f>
        <v>0</v>
      </c>
      <c r="L661" s="344">
        <f>'ALL ML SYSTEMS'!L647</f>
        <v>0</v>
      </c>
      <c r="M661" s="344">
        <f>'ALL ML SYSTEMS'!M647</f>
        <v>0</v>
      </c>
      <c r="N661" s="344">
        <f>'ALL ML SYSTEMS'!N647</f>
        <v>0</v>
      </c>
      <c r="O661" s="344">
        <f>'ALL ML SYSTEMS'!O647</f>
        <v>0</v>
      </c>
      <c r="P661" s="344">
        <f>'ALL ML SYSTEMS'!P647</f>
        <v>0</v>
      </c>
      <c r="Q661" s="344">
        <f>'ALL ML SYSTEMS'!Q647</f>
        <v>0</v>
      </c>
      <c r="R661" s="344">
        <f>'ALL ML SYSTEMS'!R647</f>
        <v>0</v>
      </c>
      <c r="S661" s="344">
        <f>'ALL ML SYSTEMS'!S647</f>
        <v>0</v>
      </c>
      <c r="T661" s="344">
        <f>'ALL ML SYSTEMS'!T647</f>
        <v>0</v>
      </c>
      <c r="U661" s="344">
        <f>'ALL ML SYSTEMS'!U647</f>
        <v>0</v>
      </c>
      <c r="V661" s="344">
        <f>'ALL ML SYSTEMS'!V647</f>
        <v>0</v>
      </c>
      <c r="W661" s="344">
        <f>'ALL ML SYSTEMS'!W647</f>
        <v>0</v>
      </c>
      <c r="X661" s="344">
        <f>'ALL ML SYSTEMS'!X647</f>
        <v>0</v>
      </c>
      <c r="Y661" s="344">
        <f>'ALL ML SYSTEMS'!Y647</f>
        <v>0</v>
      </c>
      <c r="Z661" s="344">
        <f>'ALL ML SYSTEMS'!Z647</f>
        <v>0</v>
      </c>
      <c r="AA661" s="344">
        <f>'ALL ML SYSTEMS'!AA647</f>
        <v>0</v>
      </c>
      <c r="AB661" s="344"/>
      <c r="AC661" s="344">
        <f>'ALL ML SYSTEMS'!AC647</f>
        <v>0</v>
      </c>
      <c r="AD661" s="344">
        <f>'ALL ML SYSTEMS'!AD647</f>
        <v>0</v>
      </c>
    </row>
    <row r="662" hidden="1" customHeight="1" spans="1:30">
      <c r="A662" s="344">
        <f>'ALL ML SYSTEMS'!A648</f>
        <v>0</v>
      </c>
      <c r="B662" s="344">
        <f>'ALL ML SYSTEMS'!B648</f>
        <v>0</v>
      </c>
      <c r="C662" s="344">
        <f>'ALL ML SYSTEMS'!C648</f>
        <v>0</v>
      </c>
      <c r="D662" s="344">
        <f>'ALL ML SYSTEMS'!D648</f>
        <v>0</v>
      </c>
      <c r="E662" s="344">
        <f>'ALL ML SYSTEMS'!E648</f>
        <v>0</v>
      </c>
      <c r="F662" s="344">
        <f>'ALL ML SYSTEMS'!F648</f>
        <v>0</v>
      </c>
      <c r="G662" s="344">
        <f>'ALL ML SYSTEMS'!G648</f>
        <v>0</v>
      </c>
      <c r="H662" s="344">
        <f>'ALL ML SYSTEMS'!H648</f>
        <v>0</v>
      </c>
      <c r="I662" s="344">
        <f>'ALL ML SYSTEMS'!I648</f>
        <v>0</v>
      </c>
      <c r="J662" s="344">
        <f>'ALL ML SYSTEMS'!J648</f>
        <v>0</v>
      </c>
      <c r="K662" s="344">
        <f>'ALL ML SYSTEMS'!K648</f>
        <v>0</v>
      </c>
      <c r="L662" s="344">
        <f>'ALL ML SYSTEMS'!L648</f>
        <v>0</v>
      </c>
      <c r="M662" s="344">
        <f>'ALL ML SYSTEMS'!M648</f>
        <v>0</v>
      </c>
      <c r="N662" s="344">
        <f>'ALL ML SYSTEMS'!N648</f>
        <v>0</v>
      </c>
      <c r="O662" s="344">
        <f>'ALL ML SYSTEMS'!O648</f>
        <v>0</v>
      </c>
      <c r="P662" s="344">
        <f>'ALL ML SYSTEMS'!P648</f>
        <v>0</v>
      </c>
      <c r="Q662" s="344">
        <f>'ALL ML SYSTEMS'!Q648</f>
        <v>0</v>
      </c>
      <c r="R662" s="344">
        <f>'ALL ML SYSTEMS'!R648</f>
        <v>0</v>
      </c>
      <c r="S662" s="344">
        <f>'ALL ML SYSTEMS'!S648</f>
        <v>0</v>
      </c>
      <c r="T662" s="344">
        <f>'ALL ML SYSTEMS'!T648</f>
        <v>0</v>
      </c>
      <c r="U662" s="344">
        <f>'ALL ML SYSTEMS'!U648</f>
        <v>0</v>
      </c>
      <c r="V662" s="344">
        <f>'ALL ML SYSTEMS'!V648</f>
        <v>0</v>
      </c>
      <c r="W662" s="344">
        <f>'ALL ML SYSTEMS'!W648</f>
        <v>0</v>
      </c>
      <c r="X662" s="344">
        <f>'ALL ML SYSTEMS'!X648</f>
        <v>0</v>
      </c>
      <c r="Y662" s="344">
        <f>'ALL ML SYSTEMS'!Y648</f>
        <v>0</v>
      </c>
      <c r="Z662" s="344">
        <f>'ALL ML SYSTEMS'!Z648</f>
        <v>0</v>
      </c>
      <c r="AA662" s="344">
        <f>'ALL ML SYSTEMS'!AA648</f>
        <v>0</v>
      </c>
      <c r="AB662" s="344"/>
      <c r="AC662" s="344">
        <f>'ALL ML SYSTEMS'!AC648</f>
        <v>0</v>
      </c>
      <c r="AD662" s="344">
        <f>'ALL ML SYSTEMS'!AD648</f>
        <v>0</v>
      </c>
    </row>
    <row r="663" hidden="1" customHeight="1" spans="1:30">
      <c r="A663" s="344">
        <f>'ALL ML SYSTEMS'!A649</f>
        <v>0</v>
      </c>
      <c r="B663" s="344">
        <f>'ALL ML SYSTEMS'!B649</f>
        <v>0</v>
      </c>
      <c r="C663" s="344">
        <f>'ALL ML SYSTEMS'!C649</f>
        <v>0</v>
      </c>
      <c r="D663" s="344">
        <f>'ALL ML SYSTEMS'!D649</f>
        <v>0</v>
      </c>
      <c r="E663" s="344">
        <f>'ALL ML SYSTEMS'!E649</f>
        <v>0</v>
      </c>
      <c r="F663" s="344">
        <f>'ALL ML SYSTEMS'!F649</f>
        <v>0</v>
      </c>
      <c r="G663" s="344">
        <f>'ALL ML SYSTEMS'!G649</f>
        <v>0</v>
      </c>
      <c r="H663" s="344">
        <f>'ALL ML SYSTEMS'!H649</f>
        <v>0</v>
      </c>
      <c r="I663" s="344">
        <f>'ALL ML SYSTEMS'!I649</f>
        <v>0</v>
      </c>
      <c r="J663" s="344">
        <f>'ALL ML SYSTEMS'!J649</f>
        <v>0</v>
      </c>
      <c r="K663" s="344">
        <f>'ALL ML SYSTEMS'!K649</f>
        <v>0</v>
      </c>
      <c r="L663" s="344">
        <f>'ALL ML SYSTEMS'!L649</f>
        <v>0</v>
      </c>
      <c r="M663" s="344">
        <f>'ALL ML SYSTEMS'!M649</f>
        <v>0</v>
      </c>
      <c r="N663" s="344">
        <f>'ALL ML SYSTEMS'!N649</f>
        <v>0</v>
      </c>
      <c r="O663" s="344">
        <f>'ALL ML SYSTEMS'!O649</f>
        <v>0</v>
      </c>
      <c r="P663" s="344">
        <f>'ALL ML SYSTEMS'!P649</f>
        <v>0</v>
      </c>
      <c r="Q663" s="344">
        <f>'ALL ML SYSTEMS'!Q649</f>
        <v>0</v>
      </c>
      <c r="R663" s="344">
        <f>'ALL ML SYSTEMS'!R649</f>
        <v>0</v>
      </c>
      <c r="S663" s="344">
        <f>'ALL ML SYSTEMS'!S649</f>
        <v>0</v>
      </c>
      <c r="T663" s="344">
        <f>'ALL ML SYSTEMS'!T649</f>
        <v>0</v>
      </c>
      <c r="U663" s="344">
        <f>'ALL ML SYSTEMS'!U649</f>
        <v>0</v>
      </c>
      <c r="V663" s="344">
        <f>'ALL ML SYSTEMS'!V649</f>
        <v>0</v>
      </c>
      <c r="W663" s="344">
        <f>'ALL ML SYSTEMS'!W649</f>
        <v>0</v>
      </c>
      <c r="X663" s="344">
        <f>'ALL ML SYSTEMS'!X649</f>
        <v>0</v>
      </c>
      <c r="Y663" s="344">
        <f>'ALL ML SYSTEMS'!Y649</f>
        <v>0</v>
      </c>
      <c r="Z663" s="344">
        <f>'ALL ML SYSTEMS'!Z649</f>
        <v>0</v>
      </c>
      <c r="AA663" s="344">
        <f>'ALL ML SYSTEMS'!AA649</f>
        <v>0</v>
      </c>
      <c r="AB663" s="344"/>
      <c r="AC663" s="344">
        <f>'ALL ML SYSTEMS'!AC649</f>
        <v>0</v>
      </c>
      <c r="AD663" s="344">
        <f>'ALL ML SYSTEMS'!AD649</f>
        <v>0</v>
      </c>
    </row>
    <row r="664" hidden="1" customHeight="1" spans="1:30">
      <c r="A664" s="344">
        <f>'ALL ML SYSTEMS'!A650</f>
        <v>0</v>
      </c>
      <c r="B664" s="344">
        <f>'ALL ML SYSTEMS'!B650</f>
        <v>0</v>
      </c>
      <c r="C664" s="344">
        <f>'ALL ML SYSTEMS'!C650</f>
        <v>0</v>
      </c>
      <c r="D664" s="344">
        <f>'ALL ML SYSTEMS'!D650</f>
        <v>0</v>
      </c>
      <c r="E664" s="344">
        <f>'ALL ML SYSTEMS'!E650</f>
        <v>0</v>
      </c>
      <c r="F664" s="344">
        <f>'ALL ML SYSTEMS'!F650</f>
        <v>0</v>
      </c>
      <c r="G664" s="344">
        <f>'ALL ML SYSTEMS'!G650</f>
        <v>0</v>
      </c>
      <c r="H664" s="344">
        <f>'ALL ML SYSTEMS'!H650</f>
        <v>0</v>
      </c>
      <c r="I664" s="344">
        <f>'ALL ML SYSTEMS'!I650</f>
        <v>0</v>
      </c>
      <c r="J664" s="344">
        <f>'ALL ML SYSTEMS'!J650</f>
        <v>0</v>
      </c>
      <c r="K664" s="344">
        <f>'ALL ML SYSTEMS'!K650</f>
        <v>0</v>
      </c>
      <c r="L664" s="344">
        <f>'ALL ML SYSTEMS'!L650</f>
        <v>0</v>
      </c>
      <c r="M664" s="344">
        <f>'ALL ML SYSTEMS'!M650</f>
        <v>0</v>
      </c>
      <c r="N664" s="344">
        <f>'ALL ML SYSTEMS'!N650</f>
        <v>0</v>
      </c>
      <c r="O664" s="344">
        <f>'ALL ML SYSTEMS'!O650</f>
        <v>0</v>
      </c>
      <c r="P664" s="344">
        <f>'ALL ML SYSTEMS'!P650</f>
        <v>0</v>
      </c>
      <c r="Q664" s="344">
        <f>'ALL ML SYSTEMS'!Q650</f>
        <v>0</v>
      </c>
      <c r="R664" s="344">
        <f>'ALL ML SYSTEMS'!R650</f>
        <v>0</v>
      </c>
      <c r="S664" s="344">
        <f>'ALL ML SYSTEMS'!S650</f>
        <v>0</v>
      </c>
      <c r="T664" s="344">
        <f>'ALL ML SYSTEMS'!T650</f>
        <v>0</v>
      </c>
      <c r="U664" s="344">
        <f>'ALL ML SYSTEMS'!U650</f>
        <v>0</v>
      </c>
      <c r="V664" s="344">
        <f>'ALL ML SYSTEMS'!V650</f>
        <v>0</v>
      </c>
      <c r="W664" s="344">
        <f>'ALL ML SYSTEMS'!W650</f>
        <v>0</v>
      </c>
      <c r="X664" s="344">
        <f>'ALL ML SYSTEMS'!X650</f>
        <v>0</v>
      </c>
      <c r="Y664" s="344">
        <f>'ALL ML SYSTEMS'!Y650</f>
        <v>0</v>
      </c>
      <c r="Z664" s="344">
        <f>'ALL ML SYSTEMS'!Z650</f>
        <v>0</v>
      </c>
      <c r="AA664" s="344">
        <f>'ALL ML SYSTEMS'!AA650</f>
        <v>0</v>
      </c>
      <c r="AB664" s="344"/>
      <c r="AC664" s="344">
        <f>'ALL ML SYSTEMS'!AC650</f>
        <v>0</v>
      </c>
      <c r="AD664" s="344">
        <f>'ALL ML SYSTEMS'!AD650</f>
        <v>0</v>
      </c>
    </row>
    <row r="665" hidden="1" customHeight="1" spans="1:30">
      <c r="A665" s="344">
        <f>'ALL ML SYSTEMS'!A651</f>
        <v>0</v>
      </c>
      <c r="B665" s="344">
        <f>'ALL ML SYSTEMS'!B651</f>
        <v>0</v>
      </c>
      <c r="C665" s="344">
        <f>'ALL ML SYSTEMS'!C651</f>
        <v>0</v>
      </c>
      <c r="D665" s="344">
        <f>'ALL ML SYSTEMS'!D651</f>
        <v>0</v>
      </c>
      <c r="E665" s="344">
        <f>'ALL ML SYSTEMS'!E651</f>
        <v>0</v>
      </c>
      <c r="F665" s="344">
        <f>'ALL ML SYSTEMS'!F651</f>
        <v>0</v>
      </c>
      <c r="G665" s="344">
        <f>'ALL ML SYSTEMS'!G651</f>
        <v>0</v>
      </c>
      <c r="H665" s="344">
        <f>'ALL ML SYSTEMS'!H651</f>
        <v>0</v>
      </c>
      <c r="I665" s="344">
        <f>'ALL ML SYSTEMS'!I651</f>
        <v>0</v>
      </c>
      <c r="J665" s="344">
        <f>'ALL ML SYSTEMS'!J651</f>
        <v>0</v>
      </c>
      <c r="K665" s="344">
        <f>'ALL ML SYSTEMS'!K651</f>
        <v>0</v>
      </c>
      <c r="L665" s="344">
        <f>'ALL ML SYSTEMS'!L651</f>
        <v>0</v>
      </c>
      <c r="M665" s="344">
        <f>'ALL ML SYSTEMS'!M651</f>
        <v>0</v>
      </c>
      <c r="N665" s="344">
        <f>'ALL ML SYSTEMS'!N651</f>
        <v>0</v>
      </c>
      <c r="O665" s="344">
        <f>'ALL ML SYSTEMS'!O651</f>
        <v>0</v>
      </c>
      <c r="P665" s="344">
        <f>'ALL ML SYSTEMS'!P651</f>
        <v>0</v>
      </c>
      <c r="Q665" s="344">
        <f>'ALL ML SYSTEMS'!Q651</f>
        <v>0</v>
      </c>
      <c r="R665" s="344">
        <f>'ALL ML SYSTEMS'!R651</f>
        <v>0</v>
      </c>
      <c r="S665" s="344">
        <f>'ALL ML SYSTEMS'!S651</f>
        <v>0</v>
      </c>
      <c r="T665" s="344">
        <f>'ALL ML SYSTEMS'!T651</f>
        <v>0</v>
      </c>
      <c r="U665" s="344">
        <f>'ALL ML SYSTEMS'!U651</f>
        <v>0</v>
      </c>
      <c r="V665" s="344">
        <f>'ALL ML SYSTEMS'!V651</f>
        <v>0</v>
      </c>
      <c r="W665" s="344">
        <f>'ALL ML SYSTEMS'!W651</f>
        <v>0</v>
      </c>
      <c r="X665" s="344">
        <f>'ALL ML SYSTEMS'!X651</f>
        <v>0</v>
      </c>
      <c r="Y665" s="344">
        <f>'ALL ML SYSTEMS'!Y651</f>
        <v>0</v>
      </c>
      <c r="Z665" s="344">
        <f>'ALL ML SYSTEMS'!Z651</f>
        <v>0</v>
      </c>
      <c r="AA665" s="344">
        <f>'ALL ML SYSTEMS'!AA651</f>
        <v>0</v>
      </c>
      <c r="AB665" s="344"/>
      <c r="AC665" s="344">
        <f>'ALL ML SYSTEMS'!AC651</f>
        <v>0</v>
      </c>
      <c r="AD665" s="344">
        <f>'ALL ML SYSTEMS'!AD651</f>
        <v>0</v>
      </c>
    </row>
    <row r="666" hidden="1" customHeight="1" spans="1:30">
      <c r="A666" s="344">
        <f>'ALL ML SYSTEMS'!A652</f>
        <v>0</v>
      </c>
      <c r="B666" s="344">
        <f>'ALL ML SYSTEMS'!B652</f>
        <v>0</v>
      </c>
      <c r="C666" s="344">
        <f>'ALL ML SYSTEMS'!C652</f>
        <v>0</v>
      </c>
      <c r="D666" s="344">
        <f>'ALL ML SYSTEMS'!D652</f>
        <v>0</v>
      </c>
      <c r="E666" s="344">
        <f>'ALL ML SYSTEMS'!E652</f>
        <v>0</v>
      </c>
      <c r="F666" s="344">
        <f>'ALL ML SYSTEMS'!F652</f>
        <v>0</v>
      </c>
      <c r="G666" s="344">
        <f>'ALL ML SYSTEMS'!G652</f>
        <v>0</v>
      </c>
      <c r="H666" s="344">
        <f>'ALL ML SYSTEMS'!H652</f>
        <v>0</v>
      </c>
      <c r="I666" s="344">
        <f>'ALL ML SYSTEMS'!I652</f>
        <v>0</v>
      </c>
      <c r="J666" s="344">
        <f>'ALL ML SYSTEMS'!J652</f>
        <v>0</v>
      </c>
      <c r="K666" s="344">
        <f>'ALL ML SYSTEMS'!K652</f>
        <v>0</v>
      </c>
      <c r="L666" s="344">
        <f>'ALL ML SYSTEMS'!L652</f>
        <v>0</v>
      </c>
      <c r="M666" s="344">
        <f>'ALL ML SYSTEMS'!M652</f>
        <v>0</v>
      </c>
      <c r="N666" s="344">
        <f>'ALL ML SYSTEMS'!N652</f>
        <v>0</v>
      </c>
      <c r="O666" s="344">
        <f>'ALL ML SYSTEMS'!O652</f>
        <v>0</v>
      </c>
      <c r="P666" s="344">
        <f>'ALL ML SYSTEMS'!P652</f>
        <v>0</v>
      </c>
      <c r="Q666" s="344">
        <f>'ALL ML SYSTEMS'!Q652</f>
        <v>0</v>
      </c>
      <c r="R666" s="344">
        <f>'ALL ML SYSTEMS'!R652</f>
        <v>0</v>
      </c>
      <c r="S666" s="344">
        <f>'ALL ML SYSTEMS'!S652</f>
        <v>0</v>
      </c>
      <c r="T666" s="344">
        <f>'ALL ML SYSTEMS'!T652</f>
        <v>0</v>
      </c>
      <c r="U666" s="344">
        <f>'ALL ML SYSTEMS'!U652</f>
        <v>0</v>
      </c>
      <c r="V666" s="344">
        <f>'ALL ML SYSTEMS'!V652</f>
        <v>0</v>
      </c>
      <c r="W666" s="344">
        <f>'ALL ML SYSTEMS'!W652</f>
        <v>0</v>
      </c>
      <c r="X666" s="344">
        <f>'ALL ML SYSTEMS'!X652</f>
        <v>0</v>
      </c>
      <c r="Y666" s="344">
        <f>'ALL ML SYSTEMS'!Y652</f>
        <v>0</v>
      </c>
      <c r="Z666" s="344">
        <f>'ALL ML SYSTEMS'!Z652</f>
        <v>0</v>
      </c>
      <c r="AA666" s="344">
        <f>'ALL ML SYSTEMS'!AA652</f>
        <v>0</v>
      </c>
      <c r="AB666" s="344"/>
      <c r="AC666" s="344">
        <f>'ALL ML SYSTEMS'!AC652</f>
        <v>0</v>
      </c>
      <c r="AD666" s="344">
        <f>'ALL ML SYSTEMS'!AD652</f>
        <v>0</v>
      </c>
    </row>
    <row r="667" hidden="1" customHeight="1" spans="1:30">
      <c r="A667" s="344">
        <f>'ALL ML SYSTEMS'!A653</f>
        <v>0</v>
      </c>
      <c r="B667" s="344">
        <f>'ALL ML SYSTEMS'!B653</f>
        <v>0</v>
      </c>
      <c r="C667" s="344">
        <f>'ALL ML SYSTEMS'!C653</f>
        <v>0</v>
      </c>
      <c r="D667" s="344">
        <f>'ALL ML SYSTEMS'!D653</f>
        <v>0</v>
      </c>
      <c r="E667" s="344">
        <f>'ALL ML SYSTEMS'!E653</f>
        <v>0</v>
      </c>
      <c r="F667" s="344">
        <f>'ALL ML SYSTEMS'!F653</f>
        <v>0</v>
      </c>
      <c r="G667" s="344">
        <f>'ALL ML SYSTEMS'!G653</f>
        <v>0</v>
      </c>
      <c r="H667" s="344">
        <f>'ALL ML SYSTEMS'!H653</f>
        <v>0</v>
      </c>
      <c r="I667" s="344">
        <f>'ALL ML SYSTEMS'!I653</f>
        <v>0</v>
      </c>
      <c r="J667" s="344">
        <f>'ALL ML SYSTEMS'!J653</f>
        <v>0</v>
      </c>
      <c r="K667" s="344">
        <f>'ALL ML SYSTEMS'!K653</f>
        <v>0</v>
      </c>
      <c r="L667" s="344">
        <f>'ALL ML SYSTEMS'!L653</f>
        <v>0</v>
      </c>
      <c r="M667" s="344">
        <f>'ALL ML SYSTEMS'!M653</f>
        <v>0</v>
      </c>
      <c r="N667" s="344">
        <f>'ALL ML SYSTEMS'!N653</f>
        <v>0</v>
      </c>
      <c r="O667" s="344">
        <f>'ALL ML SYSTEMS'!O653</f>
        <v>0</v>
      </c>
      <c r="P667" s="344">
        <f>'ALL ML SYSTEMS'!P653</f>
        <v>0</v>
      </c>
      <c r="Q667" s="344">
        <f>'ALL ML SYSTEMS'!Q653</f>
        <v>0</v>
      </c>
      <c r="R667" s="344">
        <f>'ALL ML SYSTEMS'!R653</f>
        <v>0</v>
      </c>
      <c r="S667" s="344">
        <f>'ALL ML SYSTEMS'!S653</f>
        <v>0</v>
      </c>
      <c r="T667" s="344">
        <f>'ALL ML SYSTEMS'!T653</f>
        <v>0</v>
      </c>
      <c r="U667" s="344">
        <f>'ALL ML SYSTEMS'!U653</f>
        <v>0</v>
      </c>
      <c r="V667" s="344">
        <f>'ALL ML SYSTEMS'!V653</f>
        <v>0</v>
      </c>
      <c r="W667" s="344">
        <f>'ALL ML SYSTEMS'!W653</f>
        <v>0</v>
      </c>
      <c r="X667" s="344">
        <f>'ALL ML SYSTEMS'!X653</f>
        <v>0</v>
      </c>
      <c r="Y667" s="344">
        <f>'ALL ML SYSTEMS'!Y653</f>
        <v>0</v>
      </c>
      <c r="Z667" s="344">
        <f>'ALL ML SYSTEMS'!Z653</f>
        <v>0</v>
      </c>
      <c r="AA667" s="344">
        <f>'ALL ML SYSTEMS'!AA653</f>
        <v>0</v>
      </c>
      <c r="AB667" s="344"/>
      <c r="AC667" s="344">
        <f>'ALL ML SYSTEMS'!AC653</f>
        <v>0</v>
      </c>
      <c r="AD667" s="344">
        <f>'ALL ML SYSTEMS'!AD653</f>
        <v>0</v>
      </c>
    </row>
    <row r="668" hidden="1" customHeight="1" spans="1:30">
      <c r="A668" s="344">
        <f>'ALL ML SYSTEMS'!A654</f>
        <v>0</v>
      </c>
      <c r="B668" s="344">
        <f>'ALL ML SYSTEMS'!B654</f>
        <v>0</v>
      </c>
      <c r="C668" s="344">
        <f>'ALL ML SYSTEMS'!C654</f>
        <v>0</v>
      </c>
      <c r="D668" s="344">
        <f>'ALL ML SYSTEMS'!D654</f>
        <v>0</v>
      </c>
      <c r="E668" s="344">
        <f>'ALL ML SYSTEMS'!E654</f>
        <v>0</v>
      </c>
      <c r="F668" s="344">
        <f>'ALL ML SYSTEMS'!F654</f>
        <v>0</v>
      </c>
      <c r="G668" s="344">
        <f>'ALL ML SYSTEMS'!G654</f>
        <v>0</v>
      </c>
      <c r="H668" s="344">
        <f>'ALL ML SYSTEMS'!H654</f>
        <v>0</v>
      </c>
      <c r="I668" s="344">
        <f>'ALL ML SYSTEMS'!I654</f>
        <v>0</v>
      </c>
      <c r="J668" s="344">
        <f>'ALL ML SYSTEMS'!J654</f>
        <v>0</v>
      </c>
      <c r="K668" s="344">
        <f>'ALL ML SYSTEMS'!K654</f>
        <v>0</v>
      </c>
      <c r="L668" s="344">
        <f>'ALL ML SYSTEMS'!L654</f>
        <v>0</v>
      </c>
      <c r="M668" s="344">
        <f>'ALL ML SYSTEMS'!M654</f>
        <v>0</v>
      </c>
      <c r="N668" s="344">
        <f>'ALL ML SYSTEMS'!N654</f>
        <v>0</v>
      </c>
      <c r="O668" s="344">
        <f>'ALL ML SYSTEMS'!O654</f>
        <v>0</v>
      </c>
      <c r="P668" s="344">
        <f>'ALL ML SYSTEMS'!P654</f>
        <v>0</v>
      </c>
      <c r="Q668" s="344">
        <f>'ALL ML SYSTEMS'!Q654</f>
        <v>0</v>
      </c>
      <c r="R668" s="344">
        <f>'ALL ML SYSTEMS'!R654</f>
        <v>0</v>
      </c>
      <c r="S668" s="344">
        <f>'ALL ML SYSTEMS'!S654</f>
        <v>0</v>
      </c>
      <c r="T668" s="344">
        <f>'ALL ML SYSTEMS'!T654</f>
        <v>0</v>
      </c>
      <c r="U668" s="344">
        <f>'ALL ML SYSTEMS'!U654</f>
        <v>0</v>
      </c>
      <c r="V668" s="344">
        <f>'ALL ML SYSTEMS'!V654</f>
        <v>0</v>
      </c>
      <c r="W668" s="344">
        <f>'ALL ML SYSTEMS'!W654</f>
        <v>0</v>
      </c>
      <c r="X668" s="344">
        <f>'ALL ML SYSTEMS'!X654</f>
        <v>0</v>
      </c>
      <c r="Y668" s="344">
        <f>'ALL ML SYSTEMS'!Y654</f>
        <v>0</v>
      </c>
      <c r="Z668" s="344">
        <f>'ALL ML SYSTEMS'!Z654</f>
        <v>0</v>
      </c>
      <c r="AA668" s="344">
        <f>'ALL ML SYSTEMS'!AA654</f>
        <v>0</v>
      </c>
      <c r="AB668" s="344"/>
      <c r="AC668" s="344">
        <f>'ALL ML SYSTEMS'!AC654</f>
        <v>0</v>
      </c>
      <c r="AD668" s="344">
        <f>'ALL ML SYSTEMS'!AD654</f>
        <v>0</v>
      </c>
    </row>
    <row r="669" hidden="1" customHeight="1" spans="1:30">
      <c r="A669" s="344">
        <f>'ALL ML SYSTEMS'!A655</f>
        <v>0</v>
      </c>
      <c r="B669" s="344">
        <f>'ALL ML SYSTEMS'!B655</f>
        <v>0</v>
      </c>
      <c r="C669" s="344">
        <f>'ALL ML SYSTEMS'!C655</f>
        <v>0</v>
      </c>
      <c r="D669" s="344">
        <f>'ALL ML SYSTEMS'!D655</f>
        <v>0</v>
      </c>
      <c r="E669" s="344">
        <f>'ALL ML SYSTEMS'!E655</f>
        <v>0</v>
      </c>
      <c r="F669" s="344">
        <f>'ALL ML SYSTEMS'!F655</f>
        <v>0</v>
      </c>
      <c r="G669" s="344">
        <f>'ALL ML SYSTEMS'!G655</f>
        <v>0</v>
      </c>
      <c r="H669" s="344">
        <f>'ALL ML SYSTEMS'!H655</f>
        <v>0</v>
      </c>
      <c r="I669" s="344">
        <f>'ALL ML SYSTEMS'!I655</f>
        <v>0</v>
      </c>
      <c r="J669" s="344">
        <f>'ALL ML SYSTEMS'!J655</f>
        <v>0</v>
      </c>
      <c r="K669" s="344">
        <f>'ALL ML SYSTEMS'!K655</f>
        <v>0</v>
      </c>
      <c r="L669" s="344">
        <f>'ALL ML SYSTEMS'!L655</f>
        <v>0</v>
      </c>
      <c r="M669" s="344">
        <f>'ALL ML SYSTEMS'!M655</f>
        <v>0</v>
      </c>
      <c r="N669" s="344">
        <f>'ALL ML SYSTEMS'!N655</f>
        <v>0</v>
      </c>
      <c r="O669" s="344">
        <f>'ALL ML SYSTEMS'!O655</f>
        <v>0</v>
      </c>
      <c r="P669" s="344">
        <f>'ALL ML SYSTEMS'!P655</f>
        <v>0</v>
      </c>
      <c r="Q669" s="344">
        <f>'ALL ML SYSTEMS'!Q655</f>
        <v>0</v>
      </c>
      <c r="R669" s="344">
        <f>'ALL ML SYSTEMS'!R655</f>
        <v>0</v>
      </c>
      <c r="S669" s="344">
        <f>'ALL ML SYSTEMS'!S655</f>
        <v>0</v>
      </c>
      <c r="T669" s="344">
        <f>'ALL ML SYSTEMS'!T655</f>
        <v>0</v>
      </c>
      <c r="U669" s="344">
        <f>'ALL ML SYSTEMS'!U655</f>
        <v>0</v>
      </c>
      <c r="V669" s="344">
        <f>'ALL ML SYSTEMS'!V655</f>
        <v>0</v>
      </c>
      <c r="W669" s="344">
        <f>'ALL ML SYSTEMS'!W655</f>
        <v>0</v>
      </c>
      <c r="X669" s="344">
        <f>'ALL ML SYSTEMS'!X655</f>
        <v>0</v>
      </c>
      <c r="Y669" s="344">
        <f>'ALL ML SYSTEMS'!Y655</f>
        <v>0</v>
      </c>
      <c r="Z669" s="344">
        <f>'ALL ML SYSTEMS'!Z655</f>
        <v>0</v>
      </c>
      <c r="AA669" s="344">
        <f>'ALL ML SYSTEMS'!AA655</f>
        <v>0</v>
      </c>
      <c r="AB669" s="344"/>
      <c r="AC669" s="344">
        <f>'ALL ML SYSTEMS'!AC655</f>
        <v>0</v>
      </c>
      <c r="AD669" s="344">
        <f>'ALL ML SYSTEMS'!AD655</f>
        <v>0</v>
      </c>
    </row>
    <row r="670" hidden="1" customHeight="1" spans="1:30">
      <c r="A670" s="344">
        <f>'ALL ML SYSTEMS'!A656</f>
        <v>0</v>
      </c>
      <c r="B670" s="344">
        <f>'ALL ML SYSTEMS'!B656</f>
        <v>0</v>
      </c>
      <c r="C670" s="344">
        <f>'ALL ML SYSTEMS'!C656</f>
        <v>0</v>
      </c>
      <c r="D670" s="344">
        <f>'ALL ML SYSTEMS'!D656</f>
        <v>0</v>
      </c>
      <c r="E670" s="344">
        <f>'ALL ML SYSTEMS'!E656</f>
        <v>0</v>
      </c>
      <c r="F670" s="344">
        <f>'ALL ML SYSTEMS'!F656</f>
        <v>0</v>
      </c>
      <c r="G670" s="344">
        <f>'ALL ML SYSTEMS'!G656</f>
        <v>0</v>
      </c>
      <c r="H670" s="344">
        <f>'ALL ML SYSTEMS'!H656</f>
        <v>0</v>
      </c>
      <c r="I670" s="344">
        <f>'ALL ML SYSTEMS'!I656</f>
        <v>0</v>
      </c>
      <c r="J670" s="344">
        <f>'ALL ML SYSTEMS'!J656</f>
        <v>0</v>
      </c>
      <c r="K670" s="344">
        <f>'ALL ML SYSTEMS'!K656</f>
        <v>0</v>
      </c>
      <c r="L670" s="344">
        <f>'ALL ML SYSTEMS'!L656</f>
        <v>0</v>
      </c>
      <c r="M670" s="344">
        <f>'ALL ML SYSTEMS'!M656</f>
        <v>0</v>
      </c>
      <c r="N670" s="344">
        <f>'ALL ML SYSTEMS'!N656</f>
        <v>0</v>
      </c>
      <c r="O670" s="344">
        <f>'ALL ML SYSTEMS'!O656</f>
        <v>0</v>
      </c>
      <c r="P670" s="344">
        <f>'ALL ML SYSTEMS'!P656</f>
        <v>0</v>
      </c>
      <c r="Q670" s="344">
        <f>'ALL ML SYSTEMS'!Q656</f>
        <v>0</v>
      </c>
      <c r="R670" s="344">
        <f>'ALL ML SYSTEMS'!R656</f>
        <v>0</v>
      </c>
      <c r="S670" s="344">
        <f>'ALL ML SYSTEMS'!S656</f>
        <v>0</v>
      </c>
      <c r="T670" s="344">
        <f>'ALL ML SYSTEMS'!T656</f>
        <v>0</v>
      </c>
      <c r="U670" s="344">
        <f>'ALL ML SYSTEMS'!U656</f>
        <v>0</v>
      </c>
      <c r="V670" s="344">
        <f>'ALL ML SYSTEMS'!V656</f>
        <v>0</v>
      </c>
      <c r="W670" s="344">
        <f>'ALL ML SYSTEMS'!W656</f>
        <v>0</v>
      </c>
      <c r="X670" s="344">
        <f>'ALL ML SYSTEMS'!X656</f>
        <v>0</v>
      </c>
      <c r="Y670" s="344">
        <f>'ALL ML SYSTEMS'!Y656</f>
        <v>0</v>
      </c>
      <c r="Z670" s="344">
        <f>'ALL ML SYSTEMS'!Z656</f>
        <v>0</v>
      </c>
      <c r="AA670" s="344">
        <f>'ALL ML SYSTEMS'!AA656</f>
        <v>0</v>
      </c>
      <c r="AB670" s="344"/>
      <c r="AC670" s="344">
        <f>'ALL ML SYSTEMS'!AC656</f>
        <v>0</v>
      </c>
      <c r="AD670" s="344">
        <f>'ALL ML SYSTEMS'!AD656</f>
        <v>0</v>
      </c>
    </row>
    <row r="671" hidden="1" customHeight="1" spans="1:30">
      <c r="A671" s="344">
        <f>'ALL ML SYSTEMS'!A657</f>
        <v>0</v>
      </c>
      <c r="B671" s="344">
        <f>'ALL ML SYSTEMS'!B657</f>
        <v>0</v>
      </c>
      <c r="C671" s="344">
        <f>'ALL ML SYSTEMS'!C657</f>
        <v>0</v>
      </c>
      <c r="D671" s="344">
        <f>'ALL ML SYSTEMS'!D657</f>
        <v>0</v>
      </c>
      <c r="E671" s="344">
        <f>'ALL ML SYSTEMS'!E657</f>
        <v>0</v>
      </c>
      <c r="F671" s="344">
        <f>'ALL ML SYSTEMS'!F657</f>
        <v>0</v>
      </c>
      <c r="G671" s="344">
        <f>'ALL ML SYSTEMS'!G657</f>
        <v>0</v>
      </c>
      <c r="H671" s="344">
        <f>'ALL ML SYSTEMS'!H657</f>
        <v>0</v>
      </c>
      <c r="I671" s="344">
        <f>'ALL ML SYSTEMS'!I657</f>
        <v>0</v>
      </c>
      <c r="J671" s="344">
        <f>'ALL ML SYSTEMS'!J657</f>
        <v>0</v>
      </c>
      <c r="K671" s="344">
        <f>'ALL ML SYSTEMS'!K657</f>
        <v>0</v>
      </c>
      <c r="L671" s="344">
        <f>'ALL ML SYSTEMS'!L657</f>
        <v>0</v>
      </c>
      <c r="M671" s="344">
        <f>'ALL ML SYSTEMS'!M657</f>
        <v>0</v>
      </c>
      <c r="N671" s="344">
        <f>'ALL ML SYSTEMS'!N657</f>
        <v>0</v>
      </c>
      <c r="O671" s="344">
        <f>'ALL ML SYSTEMS'!O657</f>
        <v>0</v>
      </c>
      <c r="P671" s="344">
        <f>'ALL ML SYSTEMS'!P657</f>
        <v>0</v>
      </c>
      <c r="Q671" s="344">
        <f>'ALL ML SYSTEMS'!Q657</f>
        <v>0</v>
      </c>
      <c r="R671" s="344">
        <f>'ALL ML SYSTEMS'!R657</f>
        <v>0</v>
      </c>
      <c r="S671" s="344">
        <f>'ALL ML SYSTEMS'!S657</f>
        <v>0</v>
      </c>
      <c r="T671" s="344">
        <f>'ALL ML SYSTEMS'!T657</f>
        <v>0</v>
      </c>
      <c r="U671" s="344">
        <f>'ALL ML SYSTEMS'!U657</f>
        <v>0</v>
      </c>
      <c r="V671" s="344">
        <f>'ALL ML SYSTEMS'!V657</f>
        <v>0</v>
      </c>
      <c r="W671" s="344">
        <f>'ALL ML SYSTEMS'!W657</f>
        <v>0</v>
      </c>
      <c r="X671" s="344">
        <f>'ALL ML SYSTEMS'!X657</f>
        <v>0</v>
      </c>
      <c r="Y671" s="344">
        <f>'ALL ML SYSTEMS'!Y657</f>
        <v>0</v>
      </c>
      <c r="Z671" s="344">
        <f>'ALL ML SYSTEMS'!Z657</f>
        <v>0</v>
      </c>
      <c r="AA671" s="344">
        <f>'ALL ML SYSTEMS'!AA657</f>
        <v>0</v>
      </c>
      <c r="AB671" s="344"/>
      <c r="AC671" s="344">
        <f>'ALL ML SYSTEMS'!AC657</f>
        <v>0</v>
      </c>
      <c r="AD671" s="344">
        <f>'ALL ML SYSTEMS'!AD657</f>
        <v>0</v>
      </c>
    </row>
    <row r="672" hidden="1" customHeight="1" spans="1:30">
      <c r="A672" s="344">
        <f>'ALL ML SYSTEMS'!A658</f>
        <v>0</v>
      </c>
      <c r="B672" s="344">
        <f>'ALL ML SYSTEMS'!B658</f>
        <v>0</v>
      </c>
      <c r="C672" s="344">
        <f>'ALL ML SYSTEMS'!C658</f>
        <v>0</v>
      </c>
      <c r="D672" s="344">
        <f>'ALL ML SYSTEMS'!D658</f>
        <v>0</v>
      </c>
      <c r="E672" s="344">
        <f>'ALL ML SYSTEMS'!E658</f>
        <v>0</v>
      </c>
      <c r="F672" s="344">
        <f>'ALL ML SYSTEMS'!F658</f>
        <v>0</v>
      </c>
      <c r="G672" s="344">
        <f>'ALL ML SYSTEMS'!G658</f>
        <v>0</v>
      </c>
      <c r="H672" s="344">
        <f>'ALL ML SYSTEMS'!H658</f>
        <v>0</v>
      </c>
      <c r="I672" s="344">
        <f>'ALL ML SYSTEMS'!I658</f>
        <v>0</v>
      </c>
      <c r="J672" s="344">
        <f>'ALL ML SYSTEMS'!J658</f>
        <v>0</v>
      </c>
      <c r="K672" s="344">
        <f>'ALL ML SYSTEMS'!K658</f>
        <v>0</v>
      </c>
      <c r="L672" s="344">
        <f>'ALL ML SYSTEMS'!L658</f>
        <v>0</v>
      </c>
      <c r="M672" s="344">
        <f>'ALL ML SYSTEMS'!M658</f>
        <v>0</v>
      </c>
      <c r="N672" s="344">
        <f>'ALL ML SYSTEMS'!N658</f>
        <v>0</v>
      </c>
      <c r="O672" s="344">
        <f>'ALL ML SYSTEMS'!O658</f>
        <v>0</v>
      </c>
      <c r="P672" s="344">
        <f>'ALL ML SYSTEMS'!P658</f>
        <v>0</v>
      </c>
      <c r="Q672" s="344">
        <f>'ALL ML SYSTEMS'!Q658</f>
        <v>0</v>
      </c>
      <c r="R672" s="344">
        <f>'ALL ML SYSTEMS'!R658</f>
        <v>0</v>
      </c>
      <c r="S672" s="344">
        <f>'ALL ML SYSTEMS'!S658</f>
        <v>0</v>
      </c>
      <c r="T672" s="344">
        <f>'ALL ML SYSTEMS'!T658</f>
        <v>0</v>
      </c>
      <c r="U672" s="344">
        <f>'ALL ML SYSTEMS'!U658</f>
        <v>0</v>
      </c>
      <c r="V672" s="344">
        <f>'ALL ML SYSTEMS'!V658</f>
        <v>0</v>
      </c>
      <c r="W672" s="344">
        <f>'ALL ML SYSTEMS'!W658</f>
        <v>0</v>
      </c>
      <c r="X672" s="344">
        <f>'ALL ML SYSTEMS'!X658</f>
        <v>0</v>
      </c>
      <c r="Y672" s="344">
        <f>'ALL ML SYSTEMS'!Y658</f>
        <v>0</v>
      </c>
      <c r="Z672" s="344">
        <f>'ALL ML SYSTEMS'!Z658</f>
        <v>0</v>
      </c>
      <c r="AA672" s="344">
        <f>'ALL ML SYSTEMS'!AA658</f>
        <v>0</v>
      </c>
      <c r="AB672" s="344"/>
      <c r="AC672" s="344">
        <f>'ALL ML SYSTEMS'!AC658</f>
        <v>0</v>
      </c>
      <c r="AD672" s="344">
        <f>'ALL ML SYSTEMS'!AD658</f>
        <v>0</v>
      </c>
    </row>
    <row r="673" hidden="1" customHeight="1" spans="1:30">
      <c r="A673" s="344">
        <f>'ALL ML SYSTEMS'!A659</f>
        <v>0</v>
      </c>
      <c r="B673" s="344">
        <f>'ALL ML SYSTEMS'!B659</f>
        <v>0</v>
      </c>
      <c r="C673" s="344">
        <f>'ALL ML SYSTEMS'!C659</f>
        <v>0</v>
      </c>
      <c r="D673" s="344">
        <f>'ALL ML SYSTEMS'!D659</f>
        <v>0</v>
      </c>
      <c r="E673" s="344">
        <f>'ALL ML SYSTEMS'!E659</f>
        <v>0</v>
      </c>
      <c r="F673" s="344">
        <f>'ALL ML SYSTEMS'!F659</f>
        <v>0</v>
      </c>
      <c r="G673" s="344">
        <f>'ALL ML SYSTEMS'!G659</f>
        <v>0</v>
      </c>
      <c r="H673" s="344">
        <f>'ALL ML SYSTEMS'!H659</f>
        <v>0</v>
      </c>
      <c r="I673" s="344">
        <f>'ALL ML SYSTEMS'!I659</f>
        <v>0</v>
      </c>
      <c r="J673" s="344">
        <f>'ALL ML SYSTEMS'!J659</f>
        <v>0</v>
      </c>
      <c r="K673" s="344">
        <f>'ALL ML SYSTEMS'!K659</f>
        <v>0</v>
      </c>
      <c r="L673" s="344">
        <f>'ALL ML SYSTEMS'!L659</f>
        <v>0</v>
      </c>
      <c r="M673" s="344">
        <f>'ALL ML SYSTEMS'!M659</f>
        <v>0</v>
      </c>
      <c r="N673" s="344">
        <f>'ALL ML SYSTEMS'!N659</f>
        <v>0</v>
      </c>
      <c r="O673" s="344">
        <f>'ALL ML SYSTEMS'!O659</f>
        <v>0</v>
      </c>
      <c r="P673" s="344">
        <f>'ALL ML SYSTEMS'!P659</f>
        <v>0</v>
      </c>
      <c r="Q673" s="344">
        <f>'ALL ML SYSTEMS'!Q659</f>
        <v>0</v>
      </c>
      <c r="R673" s="344">
        <f>'ALL ML SYSTEMS'!R659</f>
        <v>0</v>
      </c>
      <c r="S673" s="344">
        <f>'ALL ML SYSTEMS'!S659</f>
        <v>0</v>
      </c>
      <c r="T673" s="344">
        <f>'ALL ML SYSTEMS'!T659</f>
        <v>0</v>
      </c>
      <c r="U673" s="344">
        <f>'ALL ML SYSTEMS'!U659</f>
        <v>0</v>
      </c>
      <c r="V673" s="344">
        <f>'ALL ML SYSTEMS'!V659</f>
        <v>0</v>
      </c>
      <c r="W673" s="344">
        <f>'ALL ML SYSTEMS'!W659</f>
        <v>0</v>
      </c>
      <c r="X673" s="344">
        <f>'ALL ML SYSTEMS'!X659</f>
        <v>0</v>
      </c>
      <c r="Y673" s="344">
        <f>'ALL ML SYSTEMS'!Y659</f>
        <v>0</v>
      </c>
      <c r="Z673" s="344">
        <f>'ALL ML SYSTEMS'!Z659</f>
        <v>0</v>
      </c>
      <c r="AA673" s="344">
        <f>'ALL ML SYSTEMS'!AA659</f>
        <v>0</v>
      </c>
      <c r="AB673" s="344"/>
      <c r="AC673" s="344">
        <f>'ALL ML SYSTEMS'!AC659</f>
        <v>0</v>
      </c>
      <c r="AD673" s="344">
        <f>'ALL ML SYSTEMS'!AD659</f>
        <v>0</v>
      </c>
    </row>
    <row r="674" hidden="1" customHeight="1" spans="1:30">
      <c r="A674" s="344">
        <f>'ALL ML SYSTEMS'!A660</f>
        <v>0</v>
      </c>
      <c r="B674" s="344">
        <f>'ALL ML SYSTEMS'!B660</f>
        <v>0</v>
      </c>
      <c r="C674" s="344">
        <f>'ALL ML SYSTEMS'!C660</f>
        <v>0</v>
      </c>
      <c r="D674" s="344">
        <f>'ALL ML SYSTEMS'!D660</f>
        <v>0</v>
      </c>
      <c r="E674" s="344">
        <f>'ALL ML SYSTEMS'!E660</f>
        <v>0</v>
      </c>
      <c r="F674" s="344">
        <f>'ALL ML SYSTEMS'!F660</f>
        <v>0</v>
      </c>
      <c r="G674" s="344">
        <f>'ALL ML SYSTEMS'!G660</f>
        <v>0</v>
      </c>
      <c r="H674" s="344">
        <f>'ALL ML SYSTEMS'!H660</f>
        <v>0</v>
      </c>
      <c r="I674" s="344">
        <f>'ALL ML SYSTEMS'!I660</f>
        <v>0</v>
      </c>
      <c r="J674" s="344">
        <f>'ALL ML SYSTEMS'!J660</f>
        <v>0</v>
      </c>
      <c r="K674" s="344">
        <f>'ALL ML SYSTEMS'!K660</f>
        <v>0</v>
      </c>
      <c r="L674" s="344">
        <f>'ALL ML SYSTEMS'!L660</f>
        <v>0</v>
      </c>
      <c r="M674" s="344">
        <f>'ALL ML SYSTEMS'!M660</f>
        <v>0</v>
      </c>
      <c r="N674" s="344">
        <f>'ALL ML SYSTEMS'!N660</f>
        <v>0</v>
      </c>
      <c r="O674" s="344">
        <f>'ALL ML SYSTEMS'!O660</f>
        <v>0</v>
      </c>
      <c r="P674" s="344">
        <f>'ALL ML SYSTEMS'!P660</f>
        <v>0</v>
      </c>
      <c r="Q674" s="344">
        <f>'ALL ML SYSTEMS'!Q660</f>
        <v>0</v>
      </c>
      <c r="R674" s="344">
        <f>'ALL ML SYSTEMS'!R660</f>
        <v>0</v>
      </c>
      <c r="S674" s="344">
        <f>'ALL ML SYSTEMS'!S660</f>
        <v>0</v>
      </c>
      <c r="T674" s="344">
        <f>'ALL ML SYSTEMS'!T660</f>
        <v>0</v>
      </c>
      <c r="U674" s="344">
        <f>'ALL ML SYSTEMS'!U660</f>
        <v>0</v>
      </c>
      <c r="V674" s="344">
        <f>'ALL ML SYSTEMS'!V660</f>
        <v>0</v>
      </c>
      <c r="W674" s="344">
        <f>'ALL ML SYSTEMS'!W660</f>
        <v>0</v>
      </c>
      <c r="X674" s="344">
        <f>'ALL ML SYSTEMS'!X660</f>
        <v>0</v>
      </c>
      <c r="Y674" s="344">
        <f>'ALL ML SYSTEMS'!Y660</f>
        <v>0</v>
      </c>
      <c r="Z674" s="344">
        <f>'ALL ML SYSTEMS'!Z660</f>
        <v>0</v>
      </c>
      <c r="AA674" s="344">
        <f>'ALL ML SYSTEMS'!AA660</f>
        <v>0</v>
      </c>
      <c r="AB674" s="344"/>
      <c r="AC674" s="344">
        <f>'ALL ML SYSTEMS'!AC660</f>
        <v>0</v>
      </c>
      <c r="AD674" s="344">
        <f>'ALL ML SYSTEMS'!AD660</f>
        <v>0</v>
      </c>
    </row>
    <row r="675" hidden="1" customHeight="1" spans="1:30">
      <c r="A675" s="344">
        <f>'ALL ML SYSTEMS'!A661</f>
        <v>0</v>
      </c>
      <c r="B675" s="344">
        <f>'ALL ML SYSTEMS'!B661</f>
        <v>0</v>
      </c>
      <c r="C675" s="344">
        <f>'ALL ML SYSTEMS'!C661</f>
        <v>0</v>
      </c>
      <c r="D675" s="344">
        <f>'ALL ML SYSTEMS'!D661</f>
        <v>0</v>
      </c>
      <c r="E675" s="344">
        <f>'ALL ML SYSTEMS'!E661</f>
        <v>0</v>
      </c>
      <c r="F675" s="344">
        <f>'ALL ML SYSTEMS'!F661</f>
        <v>0</v>
      </c>
      <c r="G675" s="344">
        <f>'ALL ML SYSTEMS'!G661</f>
        <v>0</v>
      </c>
      <c r="H675" s="344">
        <f>'ALL ML SYSTEMS'!H661</f>
        <v>0</v>
      </c>
      <c r="I675" s="344">
        <f>'ALL ML SYSTEMS'!I661</f>
        <v>0</v>
      </c>
      <c r="J675" s="344">
        <f>'ALL ML SYSTEMS'!J661</f>
        <v>0</v>
      </c>
      <c r="K675" s="344">
        <f>'ALL ML SYSTEMS'!K661</f>
        <v>0</v>
      </c>
      <c r="L675" s="344">
        <f>'ALL ML SYSTEMS'!L661</f>
        <v>0</v>
      </c>
      <c r="M675" s="344">
        <f>'ALL ML SYSTEMS'!M661</f>
        <v>0</v>
      </c>
      <c r="N675" s="344">
        <f>'ALL ML SYSTEMS'!N661</f>
        <v>0</v>
      </c>
      <c r="O675" s="344">
        <f>'ALL ML SYSTEMS'!O661</f>
        <v>0</v>
      </c>
      <c r="P675" s="344">
        <f>'ALL ML SYSTEMS'!P661</f>
        <v>0</v>
      </c>
      <c r="Q675" s="344">
        <f>'ALL ML SYSTEMS'!Q661</f>
        <v>0</v>
      </c>
      <c r="R675" s="344">
        <f>'ALL ML SYSTEMS'!R661</f>
        <v>0</v>
      </c>
      <c r="S675" s="344">
        <f>'ALL ML SYSTEMS'!S661</f>
        <v>0</v>
      </c>
      <c r="T675" s="344">
        <f>'ALL ML SYSTEMS'!T661</f>
        <v>0</v>
      </c>
      <c r="U675" s="344">
        <f>'ALL ML SYSTEMS'!U661</f>
        <v>0</v>
      </c>
      <c r="V675" s="344">
        <f>'ALL ML SYSTEMS'!V661</f>
        <v>0</v>
      </c>
      <c r="W675" s="344">
        <f>'ALL ML SYSTEMS'!W661</f>
        <v>0</v>
      </c>
      <c r="X675" s="344">
        <f>'ALL ML SYSTEMS'!X661</f>
        <v>0</v>
      </c>
      <c r="Y675" s="344">
        <f>'ALL ML SYSTEMS'!Y661</f>
        <v>0</v>
      </c>
      <c r="Z675" s="344">
        <f>'ALL ML SYSTEMS'!Z661</f>
        <v>0</v>
      </c>
      <c r="AA675" s="344">
        <f>'ALL ML SYSTEMS'!AA661</f>
        <v>0</v>
      </c>
      <c r="AB675" s="344"/>
      <c r="AC675" s="344">
        <f>'ALL ML SYSTEMS'!AC661</f>
        <v>0</v>
      </c>
      <c r="AD675" s="344">
        <f>'ALL ML SYSTEMS'!AD661</f>
        <v>0</v>
      </c>
    </row>
    <row r="676" hidden="1" customHeight="1" spans="1:30">
      <c r="A676" s="344">
        <f>'ALL ML SYSTEMS'!A662</f>
        <v>0</v>
      </c>
      <c r="B676" s="344">
        <f>'ALL ML SYSTEMS'!B662</f>
        <v>0</v>
      </c>
      <c r="C676" s="344">
        <f>'ALL ML SYSTEMS'!C662</f>
        <v>0</v>
      </c>
      <c r="D676" s="344">
        <f>'ALL ML SYSTEMS'!D662</f>
        <v>0</v>
      </c>
      <c r="E676" s="344">
        <f>'ALL ML SYSTEMS'!E662</f>
        <v>0</v>
      </c>
      <c r="F676" s="344">
        <f>'ALL ML SYSTEMS'!F662</f>
        <v>0</v>
      </c>
      <c r="G676" s="344">
        <f>'ALL ML SYSTEMS'!G662</f>
        <v>0</v>
      </c>
      <c r="H676" s="344">
        <f>'ALL ML SYSTEMS'!H662</f>
        <v>0</v>
      </c>
      <c r="I676" s="344">
        <f>'ALL ML SYSTEMS'!I662</f>
        <v>0</v>
      </c>
      <c r="J676" s="344">
        <f>'ALL ML SYSTEMS'!J662</f>
        <v>0</v>
      </c>
      <c r="K676" s="344">
        <f>'ALL ML SYSTEMS'!K662</f>
        <v>0</v>
      </c>
      <c r="L676" s="344">
        <f>'ALL ML SYSTEMS'!L662</f>
        <v>0</v>
      </c>
      <c r="M676" s="344">
        <f>'ALL ML SYSTEMS'!M662</f>
        <v>0</v>
      </c>
      <c r="N676" s="344">
        <f>'ALL ML SYSTEMS'!N662</f>
        <v>0</v>
      </c>
      <c r="O676" s="344">
        <f>'ALL ML SYSTEMS'!O662</f>
        <v>0</v>
      </c>
      <c r="P676" s="344">
        <f>'ALL ML SYSTEMS'!P662</f>
        <v>0</v>
      </c>
      <c r="Q676" s="344">
        <f>'ALL ML SYSTEMS'!Q662</f>
        <v>0</v>
      </c>
      <c r="R676" s="344">
        <f>'ALL ML SYSTEMS'!R662</f>
        <v>0</v>
      </c>
      <c r="S676" s="344">
        <f>'ALL ML SYSTEMS'!S662</f>
        <v>0</v>
      </c>
      <c r="T676" s="344">
        <f>'ALL ML SYSTEMS'!T662</f>
        <v>0</v>
      </c>
      <c r="U676" s="344">
        <f>'ALL ML SYSTEMS'!U662</f>
        <v>0</v>
      </c>
      <c r="V676" s="344">
        <f>'ALL ML SYSTEMS'!V662</f>
        <v>0</v>
      </c>
      <c r="W676" s="344">
        <f>'ALL ML SYSTEMS'!W662</f>
        <v>0</v>
      </c>
      <c r="X676" s="344">
        <f>'ALL ML SYSTEMS'!X662</f>
        <v>0</v>
      </c>
      <c r="Y676" s="344">
        <f>'ALL ML SYSTEMS'!Y662</f>
        <v>0</v>
      </c>
      <c r="Z676" s="344">
        <f>'ALL ML SYSTEMS'!Z662</f>
        <v>0</v>
      </c>
      <c r="AA676" s="344">
        <f>'ALL ML SYSTEMS'!AA662</f>
        <v>0</v>
      </c>
      <c r="AB676" s="344"/>
      <c r="AC676" s="344">
        <f>'ALL ML SYSTEMS'!AC662</f>
        <v>0</v>
      </c>
      <c r="AD676" s="344">
        <f>'ALL ML SYSTEMS'!AD662</f>
        <v>0</v>
      </c>
    </row>
    <row r="677" hidden="1" customHeight="1" spans="1:30">
      <c r="A677" s="344">
        <f>'ALL ML SYSTEMS'!A663</f>
        <v>0</v>
      </c>
      <c r="B677" s="344">
        <f>'ALL ML SYSTEMS'!B663</f>
        <v>0</v>
      </c>
      <c r="C677" s="344">
        <f>'ALL ML SYSTEMS'!C663</f>
        <v>0</v>
      </c>
      <c r="D677" s="344">
        <f>'ALL ML SYSTEMS'!D663</f>
        <v>0</v>
      </c>
      <c r="E677" s="344">
        <f>'ALL ML SYSTEMS'!E663</f>
        <v>0</v>
      </c>
      <c r="F677" s="344">
        <f>'ALL ML SYSTEMS'!F663</f>
        <v>0</v>
      </c>
      <c r="G677" s="344">
        <f>'ALL ML SYSTEMS'!G663</f>
        <v>0</v>
      </c>
      <c r="H677" s="344">
        <f>'ALL ML SYSTEMS'!H663</f>
        <v>0</v>
      </c>
      <c r="I677" s="344">
        <f>'ALL ML SYSTEMS'!I663</f>
        <v>0</v>
      </c>
      <c r="J677" s="344">
        <f>'ALL ML SYSTEMS'!J663</f>
        <v>0</v>
      </c>
      <c r="K677" s="344">
        <f>'ALL ML SYSTEMS'!K663</f>
        <v>0</v>
      </c>
      <c r="L677" s="344">
        <f>'ALL ML SYSTEMS'!L663</f>
        <v>0</v>
      </c>
      <c r="M677" s="344">
        <f>'ALL ML SYSTEMS'!M663</f>
        <v>0</v>
      </c>
      <c r="N677" s="344">
        <f>'ALL ML SYSTEMS'!N663</f>
        <v>0</v>
      </c>
      <c r="O677" s="344">
        <f>'ALL ML SYSTEMS'!O663</f>
        <v>0</v>
      </c>
      <c r="P677" s="344">
        <f>'ALL ML SYSTEMS'!P663</f>
        <v>0</v>
      </c>
      <c r="Q677" s="344">
        <f>'ALL ML SYSTEMS'!Q663</f>
        <v>0</v>
      </c>
      <c r="R677" s="344">
        <f>'ALL ML SYSTEMS'!R663</f>
        <v>0</v>
      </c>
      <c r="S677" s="344">
        <f>'ALL ML SYSTEMS'!S663</f>
        <v>0</v>
      </c>
      <c r="T677" s="344">
        <f>'ALL ML SYSTEMS'!T663</f>
        <v>0</v>
      </c>
      <c r="U677" s="344">
        <f>'ALL ML SYSTEMS'!U663</f>
        <v>0</v>
      </c>
      <c r="V677" s="344">
        <f>'ALL ML SYSTEMS'!V663</f>
        <v>0</v>
      </c>
      <c r="W677" s="344">
        <f>'ALL ML SYSTEMS'!W663</f>
        <v>0</v>
      </c>
      <c r="X677" s="344">
        <f>'ALL ML SYSTEMS'!X663</f>
        <v>0</v>
      </c>
      <c r="Y677" s="344">
        <f>'ALL ML SYSTEMS'!Y663</f>
        <v>0</v>
      </c>
      <c r="Z677" s="344">
        <f>'ALL ML SYSTEMS'!Z663</f>
        <v>0</v>
      </c>
      <c r="AA677" s="344">
        <f>'ALL ML SYSTEMS'!AA663</f>
        <v>0</v>
      </c>
      <c r="AB677" s="344"/>
      <c r="AC677" s="344">
        <f>'ALL ML SYSTEMS'!AC663</f>
        <v>0</v>
      </c>
      <c r="AD677" s="344">
        <f>'ALL ML SYSTEMS'!AD663</f>
        <v>0</v>
      </c>
    </row>
    <row r="678" hidden="1" customHeight="1" spans="1:30">
      <c r="A678" s="344">
        <f>'ALL ML SYSTEMS'!A664</f>
        <v>0</v>
      </c>
      <c r="B678" s="344">
        <f>'ALL ML SYSTEMS'!B664</f>
        <v>0</v>
      </c>
      <c r="C678" s="344">
        <f>'ALL ML SYSTEMS'!C664</f>
        <v>0</v>
      </c>
      <c r="D678" s="344">
        <f>'ALL ML SYSTEMS'!D664</f>
        <v>0</v>
      </c>
      <c r="E678" s="344">
        <f>'ALL ML SYSTEMS'!E664</f>
        <v>0</v>
      </c>
      <c r="F678" s="344">
        <f>'ALL ML SYSTEMS'!F664</f>
        <v>0</v>
      </c>
      <c r="G678" s="344">
        <f>'ALL ML SYSTEMS'!G664</f>
        <v>0</v>
      </c>
      <c r="H678" s="344">
        <f>'ALL ML SYSTEMS'!H664</f>
        <v>0</v>
      </c>
      <c r="I678" s="344">
        <f>'ALL ML SYSTEMS'!I664</f>
        <v>0</v>
      </c>
      <c r="J678" s="344">
        <f>'ALL ML SYSTEMS'!J664</f>
        <v>0</v>
      </c>
      <c r="K678" s="344">
        <f>'ALL ML SYSTEMS'!K664</f>
        <v>0</v>
      </c>
      <c r="L678" s="344">
        <f>'ALL ML SYSTEMS'!L664</f>
        <v>0</v>
      </c>
      <c r="M678" s="344">
        <f>'ALL ML SYSTEMS'!M664</f>
        <v>0</v>
      </c>
      <c r="N678" s="344">
        <f>'ALL ML SYSTEMS'!N664</f>
        <v>0</v>
      </c>
      <c r="O678" s="344">
        <f>'ALL ML SYSTEMS'!O664</f>
        <v>0</v>
      </c>
      <c r="P678" s="344">
        <f>'ALL ML SYSTEMS'!P664</f>
        <v>0</v>
      </c>
      <c r="Q678" s="344">
        <f>'ALL ML SYSTEMS'!Q664</f>
        <v>0</v>
      </c>
      <c r="R678" s="344">
        <f>'ALL ML SYSTEMS'!R664</f>
        <v>0</v>
      </c>
      <c r="S678" s="344">
        <f>'ALL ML SYSTEMS'!S664</f>
        <v>0</v>
      </c>
      <c r="T678" s="344">
        <f>'ALL ML SYSTEMS'!T664</f>
        <v>0</v>
      </c>
      <c r="U678" s="344">
        <f>'ALL ML SYSTEMS'!U664</f>
        <v>0</v>
      </c>
      <c r="V678" s="344">
        <f>'ALL ML SYSTEMS'!V664</f>
        <v>0</v>
      </c>
      <c r="W678" s="344">
        <f>'ALL ML SYSTEMS'!W664</f>
        <v>0</v>
      </c>
      <c r="X678" s="344">
        <f>'ALL ML SYSTEMS'!X664</f>
        <v>0</v>
      </c>
      <c r="Y678" s="344">
        <f>'ALL ML SYSTEMS'!Y664</f>
        <v>0</v>
      </c>
      <c r="Z678" s="344">
        <f>'ALL ML SYSTEMS'!Z664</f>
        <v>0</v>
      </c>
      <c r="AA678" s="344">
        <f>'ALL ML SYSTEMS'!AA664</f>
        <v>0</v>
      </c>
      <c r="AB678" s="344"/>
      <c r="AC678" s="344">
        <f>'ALL ML SYSTEMS'!AC664</f>
        <v>0</v>
      </c>
      <c r="AD678" s="344">
        <f>'ALL ML SYSTEMS'!AD664</f>
        <v>0</v>
      </c>
    </row>
    <row r="679" hidden="1" customHeight="1" spans="1:30">
      <c r="A679" s="344">
        <f>'ALL ML SYSTEMS'!A665</f>
        <v>0</v>
      </c>
      <c r="B679" s="344">
        <f>'ALL ML SYSTEMS'!B665</f>
        <v>0</v>
      </c>
      <c r="C679" s="344">
        <f>'ALL ML SYSTEMS'!C665</f>
        <v>0</v>
      </c>
      <c r="D679" s="344">
        <f>'ALL ML SYSTEMS'!D665</f>
        <v>0</v>
      </c>
      <c r="E679" s="344">
        <f>'ALL ML SYSTEMS'!E665</f>
        <v>0</v>
      </c>
      <c r="F679" s="344">
        <f>'ALL ML SYSTEMS'!F665</f>
        <v>0</v>
      </c>
      <c r="G679" s="344">
        <f>'ALL ML SYSTEMS'!G665</f>
        <v>0</v>
      </c>
      <c r="H679" s="344">
        <f>'ALL ML SYSTEMS'!H665</f>
        <v>0</v>
      </c>
      <c r="I679" s="344">
        <f>'ALL ML SYSTEMS'!I665</f>
        <v>0</v>
      </c>
      <c r="J679" s="344">
        <f>'ALL ML SYSTEMS'!J665</f>
        <v>0</v>
      </c>
      <c r="K679" s="344">
        <f>'ALL ML SYSTEMS'!K665</f>
        <v>0</v>
      </c>
      <c r="L679" s="344">
        <f>'ALL ML SYSTEMS'!L665</f>
        <v>0</v>
      </c>
      <c r="M679" s="344">
        <f>'ALL ML SYSTEMS'!M665</f>
        <v>0</v>
      </c>
      <c r="N679" s="344">
        <f>'ALL ML SYSTEMS'!N665</f>
        <v>0</v>
      </c>
      <c r="O679" s="344">
        <f>'ALL ML SYSTEMS'!O665</f>
        <v>0</v>
      </c>
      <c r="P679" s="344">
        <f>'ALL ML SYSTEMS'!P665</f>
        <v>0</v>
      </c>
      <c r="Q679" s="344">
        <f>'ALL ML SYSTEMS'!Q665</f>
        <v>0</v>
      </c>
      <c r="R679" s="344">
        <f>'ALL ML SYSTEMS'!R665</f>
        <v>0</v>
      </c>
      <c r="S679" s="344">
        <f>'ALL ML SYSTEMS'!S665</f>
        <v>0</v>
      </c>
      <c r="T679" s="344">
        <f>'ALL ML SYSTEMS'!T665</f>
        <v>0</v>
      </c>
      <c r="U679" s="344">
        <f>'ALL ML SYSTEMS'!U665</f>
        <v>0</v>
      </c>
      <c r="V679" s="344">
        <f>'ALL ML SYSTEMS'!V665</f>
        <v>0</v>
      </c>
      <c r="W679" s="344">
        <f>'ALL ML SYSTEMS'!W665</f>
        <v>0</v>
      </c>
      <c r="X679" s="344">
        <f>'ALL ML SYSTEMS'!X665</f>
        <v>0</v>
      </c>
      <c r="Y679" s="344">
        <f>'ALL ML SYSTEMS'!Y665</f>
        <v>0</v>
      </c>
      <c r="Z679" s="344">
        <f>'ALL ML SYSTEMS'!Z665</f>
        <v>0</v>
      </c>
      <c r="AA679" s="344">
        <f>'ALL ML SYSTEMS'!AA665</f>
        <v>0</v>
      </c>
      <c r="AB679" s="344"/>
      <c r="AC679" s="344">
        <f>'ALL ML SYSTEMS'!AC665</f>
        <v>0</v>
      </c>
      <c r="AD679" s="344">
        <f>'ALL ML SYSTEMS'!AD665</f>
        <v>0</v>
      </c>
    </row>
    <row r="680" hidden="1" customHeight="1" spans="1:30">
      <c r="A680" s="344">
        <f>'ALL ML SYSTEMS'!A666</f>
        <v>0</v>
      </c>
      <c r="B680" s="344">
        <f>'ALL ML SYSTEMS'!B666</f>
        <v>0</v>
      </c>
      <c r="C680" s="344">
        <f>'ALL ML SYSTEMS'!C666</f>
        <v>0</v>
      </c>
      <c r="D680" s="344">
        <f>'ALL ML SYSTEMS'!D666</f>
        <v>0</v>
      </c>
      <c r="E680" s="344">
        <f>'ALL ML SYSTEMS'!E666</f>
        <v>0</v>
      </c>
      <c r="F680" s="344">
        <f>'ALL ML SYSTEMS'!F666</f>
        <v>0</v>
      </c>
      <c r="G680" s="344">
        <f>'ALL ML SYSTEMS'!G666</f>
        <v>0</v>
      </c>
      <c r="H680" s="344">
        <f>'ALL ML SYSTEMS'!H666</f>
        <v>0</v>
      </c>
      <c r="I680" s="344">
        <f>'ALL ML SYSTEMS'!I666</f>
        <v>0</v>
      </c>
      <c r="J680" s="344">
        <f>'ALL ML SYSTEMS'!J666</f>
        <v>0</v>
      </c>
      <c r="K680" s="344">
        <f>'ALL ML SYSTEMS'!K666</f>
        <v>0</v>
      </c>
      <c r="L680" s="344">
        <f>'ALL ML SYSTEMS'!L666</f>
        <v>0</v>
      </c>
      <c r="M680" s="344">
        <f>'ALL ML SYSTEMS'!M666</f>
        <v>0</v>
      </c>
      <c r="N680" s="344">
        <f>'ALL ML SYSTEMS'!N666</f>
        <v>0</v>
      </c>
      <c r="O680" s="344">
        <f>'ALL ML SYSTEMS'!O666</f>
        <v>0</v>
      </c>
      <c r="P680" s="344">
        <f>'ALL ML SYSTEMS'!P666</f>
        <v>0</v>
      </c>
      <c r="Q680" s="344">
        <f>'ALL ML SYSTEMS'!Q666</f>
        <v>0</v>
      </c>
      <c r="R680" s="344">
        <f>'ALL ML SYSTEMS'!R666</f>
        <v>0</v>
      </c>
      <c r="S680" s="344">
        <f>'ALL ML SYSTEMS'!S666</f>
        <v>0</v>
      </c>
      <c r="T680" s="344">
        <f>'ALL ML SYSTEMS'!T666</f>
        <v>0</v>
      </c>
      <c r="U680" s="344">
        <f>'ALL ML SYSTEMS'!U666</f>
        <v>0</v>
      </c>
      <c r="V680" s="344">
        <f>'ALL ML SYSTEMS'!V666</f>
        <v>0</v>
      </c>
      <c r="W680" s="344">
        <f>'ALL ML SYSTEMS'!W666</f>
        <v>0</v>
      </c>
      <c r="X680" s="344">
        <f>'ALL ML SYSTEMS'!X666</f>
        <v>0</v>
      </c>
      <c r="Y680" s="344">
        <f>'ALL ML SYSTEMS'!Y666</f>
        <v>0</v>
      </c>
      <c r="Z680" s="344">
        <f>'ALL ML SYSTEMS'!Z666</f>
        <v>0</v>
      </c>
      <c r="AA680" s="344">
        <f>'ALL ML SYSTEMS'!AA666</f>
        <v>0</v>
      </c>
      <c r="AB680" s="344"/>
      <c r="AC680" s="344">
        <f>'ALL ML SYSTEMS'!AC666</f>
        <v>0</v>
      </c>
      <c r="AD680" s="344">
        <f>'ALL ML SYSTEMS'!AD666</f>
        <v>0</v>
      </c>
    </row>
    <row r="681" hidden="1" customHeight="1" spans="1:30">
      <c r="A681" s="344">
        <f>'ALL ML SYSTEMS'!A667</f>
        <v>0</v>
      </c>
      <c r="B681" s="344">
        <f>'ALL ML SYSTEMS'!B667</f>
        <v>0</v>
      </c>
      <c r="C681" s="344">
        <f>'ALL ML SYSTEMS'!C667</f>
        <v>0</v>
      </c>
      <c r="D681" s="344">
        <f>'ALL ML SYSTEMS'!D667</f>
        <v>0</v>
      </c>
      <c r="E681" s="344">
        <f>'ALL ML SYSTEMS'!E667</f>
        <v>0</v>
      </c>
      <c r="F681" s="344">
        <f>'ALL ML SYSTEMS'!F667</f>
        <v>0</v>
      </c>
      <c r="G681" s="344">
        <f>'ALL ML SYSTEMS'!G667</f>
        <v>0</v>
      </c>
      <c r="H681" s="344">
        <f>'ALL ML SYSTEMS'!H667</f>
        <v>0</v>
      </c>
      <c r="I681" s="344">
        <f>'ALL ML SYSTEMS'!I667</f>
        <v>0</v>
      </c>
      <c r="J681" s="344">
        <f>'ALL ML SYSTEMS'!J667</f>
        <v>0</v>
      </c>
      <c r="K681" s="344">
        <f>'ALL ML SYSTEMS'!K667</f>
        <v>0</v>
      </c>
      <c r="L681" s="344">
        <f>'ALL ML SYSTEMS'!L667</f>
        <v>0</v>
      </c>
      <c r="M681" s="344">
        <f>'ALL ML SYSTEMS'!M667</f>
        <v>0</v>
      </c>
      <c r="N681" s="344">
        <f>'ALL ML SYSTEMS'!N667</f>
        <v>0</v>
      </c>
      <c r="O681" s="344">
        <f>'ALL ML SYSTEMS'!O667</f>
        <v>0</v>
      </c>
      <c r="P681" s="344">
        <f>'ALL ML SYSTEMS'!P667</f>
        <v>0</v>
      </c>
      <c r="Q681" s="344">
        <f>'ALL ML SYSTEMS'!Q667</f>
        <v>0</v>
      </c>
      <c r="R681" s="344">
        <f>'ALL ML SYSTEMS'!R667</f>
        <v>0</v>
      </c>
      <c r="S681" s="344">
        <f>'ALL ML SYSTEMS'!S667</f>
        <v>0</v>
      </c>
      <c r="T681" s="344">
        <f>'ALL ML SYSTEMS'!T667</f>
        <v>0</v>
      </c>
      <c r="U681" s="344">
        <f>'ALL ML SYSTEMS'!U667</f>
        <v>0</v>
      </c>
      <c r="V681" s="344">
        <f>'ALL ML SYSTEMS'!V667</f>
        <v>0</v>
      </c>
      <c r="W681" s="344">
        <f>'ALL ML SYSTEMS'!W667</f>
        <v>0</v>
      </c>
      <c r="X681" s="344">
        <f>'ALL ML SYSTEMS'!X667</f>
        <v>0</v>
      </c>
      <c r="Y681" s="344">
        <f>'ALL ML SYSTEMS'!Y667</f>
        <v>0</v>
      </c>
      <c r="Z681" s="344">
        <f>'ALL ML SYSTEMS'!Z667</f>
        <v>0</v>
      </c>
      <c r="AA681" s="344">
        <f>'ALL ML SYSTEMS'!AA667</f>
        <v>0</v>
      </c>
      <c r="AB681" s="344"/>
      <c r="AC681" s="344">
        <f>'ALL ML SYSTEMS'!AC667</f>
        <v>0</v>
      </c>
      <c r="AD681" s="344">
        <f>'ALL ML SYSTEMS'!AD667</f>
        <v>0</v>
      </c>
    </row>
    <row r="682" hidden="1" customHeight="1" spans="1:30">
      <c r="A682" s="344">
        <f>'ALL ML SYSTEMS'!A668</f>
        <v>0</v>
      </c>
      <c r="B682" s="344">
        <f>'ALL ML SYSTEMS'!B668</f>
        <v>0</v>
      </c>
      <c r="C682" s="344">
        <f>'ALL ML SYSTEMS'!C668</f>
        <v>0</v>
      </c>
      <c r="D682" s="344">
        <f>'ALL ML SYSTEMS'!D668</f>
        <v>0</v>
      </c>
      <c r="E682" s="344">
        <f>'ALL ML SYSTEMS'!E668</f>
        <v>0</v>
      </c>
      <c r="F682" s="344">
        <f>'ALL ML SYSTEMS'!F668</f>
        <v>0</v>
      </c>
      <c r="G682" s="344">
        <f>'ALL ML SYSTEMS'!G668</f>
        <v>0</v>
      </c>
      <c r="H682" s="344">
        <f>'ALL ML SYSTEMS'!H668</f>
        <v>0</v>
      </c>
      <c r="I682" s="344">
        <f>'ALL ML SYSTEMS'!I668</f>
        <v>0</v>
      </c>
      <c r="J682" s="344">
        <f>'ALL ML SYSTEMS'!J668</f>
        <v>0</v>
      </c>
      <c r="K682" s="344">
        <f>'ALL ML SYSTEMS'!K668</f>
        <v>0</v>
      </c>
      <c r="L682" s="344">
        <f>'ALL ML SYSTEMS'!L668</f>
        <v>0</v>
      </c>
      <c r="M682" s="344">
        <f>'ALL ML SYSTEMS'!M668</f>
        <v>0</v>
      </c>
      <c r="N682" s="344">
        <f>'ALL ML SYSTEMS'!N668</f>
        <v>0</v>
      </c>
      <c r="O682" s="344">
        <f>'ALL ML SYSTEMS'!O668</f>
        <v>0</v>
      </c>
      <c r="P682" s="344">
        <f>'ALL ML SYSTEMS'!P668</f>
        <v>0</v>
      </c>
      <c r="Q682" s="344">
        <f>'ALL ML SYSTEMS'!Q668</f>
        <v>0</v>
      </c>
      <c r="R682" s="344">
        <f>'ALL ML SYSTEMS'!R668</f>
        <v>0</v>
      </c>
      <c r="S682" s="344">
        <f>'ALL ML SYSTEMS'!S668</f>
        <v>0</v>
      </c>
      <c r="T682" s="344">
        <f>'ALL ML SYSTEMS'!T668</f>
        <v>0</v>
      </c>
      <c r="U682" s="344">
        <f>'ALL ML SYSTEMS'!U668</f>
        <v>0</v>
      </c>
      <c r="V682" s="344">
        <f>'ALL ML SYSTEMS'!V668</f>
        <v>0</v>
      </c>
      <c r="W682" s="344">
        <f>'ALL ML SYSTEMS'!W668</f>
        <v>0</v>
      </c>
      <c r="X682" s="344">
        <f>'ALL ML SYSTEMS'!X668</f>
        <v>0</v>
      </c>
      <c r="Y682" s="344">
        <f>'ALL ML SYSTEMS'!Y668</f>
        <v>0</v>
      </c>
      <c r="Z682" s="344">
        <f>'ALL ML SYSTEMS'!Z668</f>
        <v>0</v>
      </c>
      <c r="AA682" s="344">
        <f>'ALL ML SYSTEMS'!AA668</f>
        <v>0</v>
      </c>
      <c r="AB682" s="344"/>
      <c r="AC682" s="344">
        <f>'ALL ML SYSTEMS'!AC668</f>
        <v>0</v>
      </c>
      <c r="AD682" s="344">
        <f>'ALL ML SYSTEMS'!AD668</f>
        <v>0</v>
      </c>
    </row>
    <row r="683" hidden="1" customHeight="1" spans="1:30">
      <c r="A683" s="344">
        <f>'ALL ML SYSTEMS'!A669</f>
        <v>0</v>
      </c>
      <c r="B683" s="344">
        <f>'ALL ML SYSTEMS'!B669</f>
        <v>0</v>
      </c>
      <c r="C683" s="344">
        <f>'ALL ML SYSTEMS'!C669</f>
        <v>0</v>
      </c>
      <c r="D683" s="344">
        <f>'ALL ML SYSTEMS'!D669</f>
        <v>0</v>
      </c>
      <c r="E683" s="344">
        <f>'ALL ML SYSTEMS'!E669</f>
        <v>0</v>
      </c>
      <c r="F683" s="344">
        <f>'ALL ML SYSTEMS'!F669</f>
        <v>0</v>
      </c>
      <c r="G683" s="344">
        <f>'ALL ML SYSTEMS'!G669</f>
        <v>0</v>
      </c>
      <c r="H683" s="344">
        <f>'ALL ML SYSTEMS'!H669</f>
        <v>0</v>
      </c>
      <c r="I683" s="344">
        <f>'ALL ML SYSTEMS'!I669</f>
        <v>0</v>
      </c>
      <c r="J683" s="344">
        <f>'ALL ML SYSTEMS'!J669</f>
        <v>0</v>
      </c>
      <c r="K683" s="344">
        <f>'ALL ML SYSTEMS'!K669</f>
        <v>0</v>
      </c>
      <c r="L683" s="344">
        <f>'ALL ML SYSTEMS'!L669</f>
        <v>0</v>
      </c>
      <c r="M683" s="344">
        <f>'ALL ML SYSTEMS'!M669</f>
        <v>0</v>
      </c>
      <c r="N683" s="344">
        <f>'ALL ML SYSTEMS'!N669</f>
        <v>0</v>
      </c>
      <c r="O683" s="344">
        <f>'ALL ML SYSTEMS'!O669</f>
        <v>0</v>
      </c>
      <c r="P683" s="344">
        <f>'ALL ML SYSTEMS'!P669</f>
        <v>0</v>
      </c>
      <c r="Q683" s="344">
        <f>'ALL ML SYSTEMS'!Q669</f>
        <v>0</v>
      </c>
      <c r="R683" s="344">
        <f>'ALL ML SYSTEMS'!R669</f>
        <v>0</v>
      </c>
      <c r="S683" s="344">
        <f>'ALL ML SYSTEMS'!S669</f>
        <v>0</v>
      </c>
      <c r="T683" s="344">
        <f>'ALL ML SYSTEMS'!T669</f>
        <v>0</v>
      </c>
      <c r="U683" s="344">
        <f>'ALL ML SYSTEMS'!U669</f>
        <v>0</v>
      </c>
      <c r="V683" s="344">
        <f>'ALL ML SYSTEMS'!V669</f>
        <v>0</v>
      </c>
      <c r="W683" s="344">
        <f>'ALL ML SYSTEMS'!W669</f>
        <v>0</v>
      </c>
      <c r="X683" s="344">
        <f>'ALL ML SYSTEMS'!X669</f>
        <v>0</v>
      </c>
      <c r="Y683" s="344">
        <f>'ALL ML SYSTEMS'!Y669</f>
        <v>0</v>
      </c>
      <c r="Z683" s="344">
        <f>'ALL ML SYSTEMS'!Z669</f>
        <v>0</v>
      </c>
      <c r="AA683" s="344">
        <f>'ALL ML SYSTEMS'!AA669</f>
        <v>0</v>
      </c>
      <c r="AB683" s="344"/>
      <c r="AC683" s="344">
        <f>'ALL ML SYSTEMS'!AC669</f>
        <v>0</v>
      </c>
      <c r="AD683" s="344">
        <f>'ALL ML SYSTEMS'!AD669</f>
        <v>0</v>
      </c>
    </row>
    <row r="684" hidden="1" customHeight="1" spans="1:30">
      <c r="A684" s="344">
        <f>'ALL ML SYSTEMS'!A670</f>
        <v>0</v>
      </c>
      <c r="B684" s="344">
        <f>'ALL ML SYSTEMS'!B670</f>
        <v>0</v>
      </c>
      <c r="C684" s="344">
        <f>'ALL ML SYSTEMS'!C670</f>
        <v>0</v>
      </c>
      <c r="D684" s="344">
        <f>'ALL ML SYSTEMS'!D670</f>
        <v>0</v>
      </c>
      <c r="E684" s="344">
        <f>'ALL ML SYSTEMS'!E670</f>
        <v>0</v>
      </c>
      <c r="F684" s="344">
        <f>'ALL ML SYSTEMS'!F670</f>
        <v>0</v>
      </c>
      <c r="G684" s="344">
        <f>'ALL ML SYSTEMS'!G670</f>
        <v>0</v>
      </c>
      <c r="H684" s="344">
        <f>'ALL ML SYSTEMS'!H670</f>
        <v>0</v>
      </c>
      <c r="I684" s="344">
        <f>'ALL ML SYSTEMS'!I670</f>
        <v>0</v>
      </c>
      <c r="J684" s="344">
        <f>'ALL ML SYSTEMS'!J670</f>
        <v>0</v>
      </c>
      <c r="K684" s="344">
        <f>'ALL ML SYSTEMS'!K670</f>
        <v>0</v>
      </c>
      <c r="L684" s="344">
        <f>'ALL ML SYSTEMS'!L670</f>
        <v>0</v>
      </c>
      <c r="M684" s="344">
        <f>'ALL ML SYSTEMS'!M670</f>
        <v>0</v>
      </c>
      <c r="N684" s="344">
        <f>'ALL ML SYSTEMS'!N670</f>
        <v>0</v>
      </c>
      <c r="O684" s="344">
        <f>'ALL ML SYSTEMS'!O670</f>
        <v>0</v>
      </c>
      <c r="P684" s="344">
        <f>'ALL ML SYSTEMS'!P670</f>
        <v>0</v>
      </c>
      <c r="Q684" s="344">
        <f>'ALL ML SYSTEMS'!Q670</f>
        <v>0</v>
      </c>
      <c r="R684" s="344">
        <f>'ALL ML SYSTEMS'!R670</f>
        <v>0</v>
      </c>
      <c r="S684" s="344">
        <f>'ALL ML SYSTEMS'!S670</f>
        <v>0</v>
      </c>
      <c r="T684" s="344">
        <f>'ALL ML SYSTEMS'!T670</f>
        <v>0</v>
      </c>
      <c r="U684" s="344">
        <f>'ALL ML SYSTEMS'!U670</f>
        <v>0</v>
      </c>
      <c r="V684" s="344">
        <f>'ALL ML SYSTEMS'!V670</f>
        <v>0</v>
      </c>
      <c r="W684" s="344">
        <f>'ALL ML SYSTEMS'!W670</f>
        <v>0</v>
      </c>
      <c r="X684" s="344">
        <f>'ALL ML SYSTEMS'!X670</f>
        <v>0</v>
      </c>
      <c r="Y684" s="344">
        <f>'ALL ML SYSTEMS'!Y670</f>
        <v>0</v>
      </c>
      <c r="Z684" s="344">
        <f>'ALL ML SYSTEMS'!Z670</f>
        <v>0</v>
      </c>
      <c r="AA684" s="344">
        <f>'ALL ML SYSTEMS'!AA670</f>
        <v>0</v>
      </c>
      <c r="AB684" s="344"/>
      <c r="AC684" s="344">
        <f>'ALL ML SYSTEMS'!AC670</f>
        <v>0</v>
      </c>
      <c r="AD684" s="344">
        <f>'ALL ML SYSTEMS'!AD670</f>
        <v>0</v>
      </c>
    </row>
    <row r="685" hidden="1" customHeight="1" spans="1:30">
      <c r="A685" s="344">
        <f>'ALL ML SYSTEMS'!A671</f>
        <v>0</v>
      </c>
      <c r="B685" s="344">
        <f>'ALL ML SYSTEMS'!B671</f>
        <v>0</v>
      </c>
      <c r="C685" s="344">
        <f>'ALL ML SYSTEMS'!C671</f>
        <v>0</v>
      </c>
      <c r="D685" s="344">
        <f>'ALL ML SYSTEMS'!D671</f>
        <v>0</v>
      </c>
      <c r="E685" s="344">
        <f>'ALL ML SYSTEMS'!E671</f>
        <v>0</v>
      </c>
      <c r="F685" s="344">
        <f>'ALL ML SYSTEMS'!F671</f>
        <v>0</v>
      </c>
      <c r="G685" s="344">
        <f>'ALL ML SYSTEMS'!G671</f>
        <v>0</v>
      </c>
      <c r="H685" s="344">
        <f>'ALL ML SYSTEMS'!H671</f>
        <v>0</v>
      </c>
      <c r="I685" s="344">
        <f>'ALL ML SYSTEMS'!I671</f>
        <v>0</v>
      </c>
      <c r="J685" s="344">
        <f>'ALL ML SYSTEMS'!J671</f>
        <v>0</v>
      </c>
      <c r="K685" s="344">
        <f>'ALL ML SYSTEMS'!K671</f>
        <v>0</v>
      </c>
      <c r="L685" s="344">
        <f>'ALL ML SYSTEMS'!L671</f>
        <v>0</v>
      </c>
      <c r="M685" s="344">
        <f>'ALL ML SYSTEMS'!M671</f>
        <v>0</v>
      </c>
      <c r="N685" s="344">
        <f>'ALL ML SYSTEMS'!N671</f>
        <v>0</v>
      </c>
      <c r="O685" s="344">
        <f>'ALL ML SYSTEMS'!O671</f>
        <v>0</v>
      </c>
      <c r="P685" s="344">
        <f>'ALL ML SYSTEMS'!P671</f>
        <v>0</v>
      </c>
      <c r="Q685" s="344">
        <f>'ALL ML SYSTEMS'!Q671</f>
        <v>0</v>
      </c>
      <c r="R685" s="344">
        <f>'ALL ML SYSTEMS'!R671</f>
        <v>0</v>
      </c>
      <c r="S685" s="344">
        <f>'ALL ML SYSTEMS'!S671</f>
        <v>0</v>
      </c>
      <c r="T685" s="344">
        <f>'ALL ML SYSTEMS'!T671</f>
        <v>0</v>
      </c>
      <c r="U685" s="344">
        <f>'ALL ML SYSTEMS'!U671</f>
        <v>0</v>
      </c>
      <c r="V685" s="344">
        <f>'ALL ML SYSTEMS'!V671</f>
        <v>0</v>
      </c>
      <c r="W685" s="344">
        <f>'ALL ML SYSTEMS'!W671</f>
        <v>0</v>
      </c>
      <c r="X685" s="344">
        <f>'ALL ML SYSTEMS'!X671</f>
        <v>0</v>
      </c>
      <c r="Y685" s="344">
        <f>'ALL ML SYSTEMS'!Y671</f>
        <v>0</v>
      </c>
      <c r="Z685" s="344">
        <f>'ALL ML SYSTEMS'!Z671</f>
        <v>0</v>
      </c>
      <c r="AA685" s="344">
        <f>'ALL ML SYSTEMS'!AA671</f>
        <v>0</v>
      </c>
      <c r="AB685" s="344"/>
      <c r="AC685" s="344">
        <f>'ALL ML SYSTEMS'!AC671</f>
        <v>0</v>
      </c>
      <c r="AD685" s="344">
        <f>'ALL ML SYSTEMS'!AD671</f>
        <v>0</v>
      </c>
    </row>
    <row r="686" hidden="1" customHeight="1" spans="1:30">
      <c r="A686" s="344">
        <f>'ALL ML SYSTEMS'!A672</f>
        <v>0</v>
      </c>
      <c r="B686" s="344">
        <f>'ALL ML SYSTEMS'!B672</f>
        <v>0</v>
      </c>
      <c r="C686" s="344">
        <f>'ALL ML SYSTEMS'!C672</f>
        <v>0</v>
      </c>
      <c r="D686" s="344">
        <f>'ALL ML SYSTEMS'!D672</f>
        <v>0</v>
      </c>
      <c r="E686" s="344">
        <f>'ALL ML SYSTEMS'!E672</f>
        <v>0</v>
      </c>
      <c r="F686" s="344">
        <f>'ALL ML SYSTEMS'!F672</f>
        <v>0</v>
      </c>
      <c r="G686" s="344">
        <f>'ALL ML SYSTEMS'!G672</f>
        <v>0</v>
      </c>
      <c r="H686" s="344">
        <f>'ALL ML SYSTEMS'!H672</f>
        <v>0</v>
      </c>
      <c r="I686" s="344">
        <f>'ALL ML SYSTEMS'!I672</f>
        <v>0</v>
      </c>
      <c r="J686" s="344">
        <f>'ALL ML SYSTEMS'!J672</f>
        <v>0</v>
      </c>
      <c r="K686" s="344">
        <f>'ALL ML SYSTEMS'!K672</f>
        <v>0</v>
      </c>
      <c r="L686" s="344">
        <f>'ALL ML SYSTEMS'!L672</f>
        <v>0</v>
      </c>
      <c r="M686" s="344">
        <f>'ALL ML SYSTEMS'!M672</f>
        <v>0</v>
      </c>
      <c r="N686" s="344">
        <f>'ALL ML SYSTEMS'!N672</f>
        <v>0</v>
      </c>
      <c r="O686" s="344">
        <f>'ALL ML SYSTEMS'!O672</f>
        <v>0</v>
      </c>
      <c r="P686" s="344">
        <f>'ALL ML SYSTEMS'!P672</f>
        <v>0</v>
      </c>
      <c r="Q686" s="344">
        <f>'ALL ML SYSTEMS'!Q672</f>
        <v>0</v>
      </c>
      <c r="R686" s="344">
        <f>'ALL ML SYSTEMS'!R672</f>
        <v>0</v>
      </c>
      <c r="S686" s="344">
        <f>'ALL ML SYSTEMS'!S672</f>
        <v>0</v>
      </c>
      <c r="T686" s="344">
        <f>'ALL ML SYSTEMS'!T672</f>
        <v>0</v>
      </c>
      <c r="U686" s="344">
        <f>'ALL ML SYSTEMS'!U672</f>
        <v>0</v>
      </c>
      <c r="V686" s="344">
        <f>'ALL ML SYSTEMS'!V672</f>
        <v>0</v>
      </c>
      <c r="W686" s="344">
        <f>'ALL ML SYSTEMS'!W672</f>
        <v>0</v>
      </c>
      <c r="X686" s="344">
        <f>'ALL ML SYSTEMS'!X672</f>
        <v>0</v>
      </c>
      <c r="Y686" s="344">
        <f>'ALL ML SYSTEMS'!Y672</f>
        <v>0</v>
      </c>
      <c r="Z686" s="344">
        <f>'ALL ML SYSTEMS'!Z672</f>
        <v>0</v>
      </c>
      <c r="AA686" s="344">
        <f>'ALL ML SYSTEMS'!AA672</f>
        <v>0</v>
      </c>
      <c r="AB686" s="344"/>
      <c r="AC686" s="344">
        <f>'ALL ML SYSTEMS'!AC672</f>
        <v>0</v>
      </c>
      <c r="AD686" s="344">
        <f>'ALL ML SYSTEMS'!AD672</f>
        <v>0</v>
      </c>
    </row>
    <row r="687" hidden="1" customHeight="1" spans="1:30">
      <c r="A687" s="344">
        <f>'ALL ML SYSTEMS'!A673</f>
        <v>0</v>
      </c>
      <c r="B687" s="344">
        <f>'ALL ML SYSTEMS'!B673</f>
        <v>0</v>
      </c>
      <c r="C687" s="344">
        <f>'ALL ML SYSTEMS'!C673</f>
        <v>0</v>
      </c>
      <c r="D687" s="344">
        <f>'ALL ML SYSTEMS'!D673</f>
        <v>0</v>
      </c>
      <c r="E687" s="344">
        <f>'ALL ML SYSTEMS'!E673</f>
        <v>0</v>
      </c>
      <c r="F687" s="344">
        <f>'ALL ML SYSTEMS'!F673</f>
        <v>0</v>
      </c>
      <c r="G687" s="344">
        <f>'ALL ML SYSTEMS'!G673</f>
        <v>0</v>
      </c>
      <c r="H687" s="344">
        <f>'ALL ML SYSTEMS'!H673</f>
        <v>0</v>
      </c>
      <c r="I687" s="344">
        <f>'ALL ML SYSTEMS'!I673</f>
        <v>0</v>
      </c>
      <c r="J687" s="344">
        <f>'ALL ML SYSTEMS'!J673</f>
        <v>0</v>
      </c>
      <c r="K687" s="344">
        <f>'ALL ML SYSTEMS'!K673</f>
        <v>0</v>
      </c>
      <c r="L687" s="344">
        <f>'ALL ML SYSTEMS'!L673</f>
        <v>0</v>
      </c>
      <c r="M687" s="344">
        <f>'ALL ML SYSTEMS'!M673</f>
        <v>0</v>
      </c>
      <c r="N687" s="344">
        <f>'ALL ML SYSTEMS'!N673</f>
        <v>0</v>
      </c>
      <c r="O687" s="344">
        <f>'ALL ML SYSTEMS'!O673</f>
        <v>0</v>
      </c>
      <c r="P687" s="344">
        <f>'ALL ML SYSTEMS'!P673</f>
        <v>0</v>
      </c>
      <c r="Q687" s="344">
        <f>'ALL ML SYSTEMS'!Q673</f>
        <v>0</v>
      </c>
      <c r="R687" s="344">
        <f>'ALL ML SYSTEMS'!R673</f>
        <v>0</v>
      </c>
      <c r="S687" s="344">
        <f>'ALL ML SYSTEMS'!S673</f>
        <v>0</v>
      </c>
      <c r="T687" s="344">
        <f>'ALL ML SYSTEMS'!T673</f>
        <v>0</v>
      </c>
      <c r="U687" s="344">
        <f>'ALL ML SYSTEMS'!U673</f>
        <v>0</v>
      </c>
      <c r="V687" s="344">
        <f>'ALL ML SYSTEMS'!V673</f>
        <v>0</v>
      </c>
      <c r="W687" s="344">
        <f>'ALL ML SYSTEMS'!W673</f>
        <v>0</v>
      </c>
      <c r="X687" s="344">
        <f>'ALL ML SYSTEMS'!X673</f>
        <v>0</v>
      </c>
      <c r="Y687" s="344">
        <f>'ALL ML SYSTEMS'!Y673</f>
        <v>0</v>
      </c>
      <c r="Z687" s="344">
        <f>'ALL ML SYSTEMS'!Z673</f>
        <v>0</v>
      </c>
      <c r="AA687" s="344">
        <f>'ALL ML SYSTEMS'!AA673</f>
        <v>0</v>
      </c>
      <c r="AB687" s="344"/>
      <c r="AC687" s="344">
        <f>'ALL ML SYSTEMS'!AC673</f>
        <v>0</v>
      </c>
      <c r="AD687" s="344">
        <f>'ALL ML SYSTEMS'!AD673</f>
        <v>0</v>
      </c>
    </row>
    <row r="688" hidden="1" customHeight="1" spans="1:30">
      <c r="A688" s="344">
        <f>'ALL ML SYSTEMS'!A674</f>
        <v>0</v>
      </c>
      <c r="B688" s="344">
        <f>'ALL ML SYSTEMS'!B674</f>
        <v>0</v>
      </c>
      <c r="C688" s="344">
        <f>'ALL ML SYSTEMS'!C674</f>
        <v>0</v>
      </c>
      <c r="D688" s="344">
        <f>'ALL ML SYSTEMS'!D674</f>
        <v>0</v>
      </c>
      <c r="E688" s="344">
        <f>'ALL ML SYSTEMS'!E674</f>
        <v>0</v>
      </c>
      <c r="F688" s="344">
        <f>'ALL ML SYSTEMS'!F674</f>
        <v>0</v>
      </c>
      <c r="G688" s="344">
        <f>'ALL ML SYSTEMS'!G674</f>
        <v>0</v>
      </c>
      <c r="H688" s="344">
        <f>'ALL ML SYSTEMS'!H674</f>
        <v>0</v>
      </c>
      <c r="I688" s="344">
        <f>'ALL ML SYSTEMS'!I674</f>
        <v>0</v>
      </c>
      <c r="J688" s="344">
        <f>'ALL ML SYSTEMS'!J674</f>
        <v>0</v>
      </c>
      <c r="K688" s="344">
        <f>'ALL ML SYSTEMS'!K674</f>
        <v>0</v>
      </c>
      <c r="L688" s="344">
        <f>'ALL ML SYSTEMS'!L674</f>
        <v>0</v>
      </c>
      <c r="M688" s="344">
        <f>'ALL ML SYSTEMS'!M674</f>
        <v>0</v>
      </c>
      <c r="N688" s="344">
        <f>'ALL ML SYSTEMS'!N674</f>
        <v>0</v>
      </c>
      <c r="O688" s="344">
        <f>'ALL ML SYSTEMS'!O674</f>
        <v>0</v>
      </c>
      <c r="P688" s="344">
        <f>'ALL ML SYSTEMS'!P674</f>
        <v>0</v>
      </c>
      <c r="Q688" s="344">
        <f>'ALL ML SYSTEMS'!Q674</f>
        <v>0</v>
      </c>
      <c r="R688" s="344">
        <f>'ALL ML SYSTEMS'!R674</f>
        <v>0</v>
      </c>
      <c r="S688" s="344">
        <f>'ALL ML SYSTEMS'!S674</f>
        <v>0</v>
      </c>
      <c r="T688" s="344">
        <f>'ALL ML SYSTEMS'!T674</f>
        <v>0</v>
      </c>
      <c r="U688" s="344">
        <f>'ALL ML SYSTEMS'!U674</f>
        <v>0</v>
      </c>
      <c r="V688" s="344">
        <f>'ALL ML SYSTEMS'!V674</f>
        <v>0</v>
      </c>
      <c r="W688" s="344">
        <f>'ALL ML SYSTEMS'!W674</f>
        <v>0</v>
      </c>
      <c r="X688" s="344">
        <f>'ALL ML SYSTEMS'!X674</f>
        <v>0</v>
      </c>
      <c r="Y688" s="344">
        <f>'ALL ML SYSTEMS'!Y674</f>
        <v>0</v>
      </c>
      <c r="Z688" s="344">
        <f>'ALL ML SYSTEMS'!Z674</f>
        <v>0</v>
      </c>
      <c r="AA688" s="344">
        <f>'ALL ML SYSTEMS'!AA674</f>
        <v>0</v>
      </c>
      <c r="AB688" s="344"/>
      <c r="AC688" s="344">
        <f>'ALL ML SYSTEMS'!AC674</f>
        <v>0</v>
      </c>
      <c r="AD688" s="344">
        <f>'ALL ML SYSTEMS'!AD674</f>
        <v>0</v>
      </c>
    </row>
    <row r="689" hidden="1" customHeight="1" spans="1:30">
      <c r="A689" s="344">
        <f>'ALL ML SYSTEMS'!A675</f>
        <v>0</v>
      </c>
      <c r="B689" s="344">
        <f>'ALL ML SYSTEMS'!B675</f>
        <v>0</v>
      </c>
      <c r="C689" s="344">
        <f>'ALL ML SYSTEMS'!C675</f>
        <v>0</v>
      </c>
      <c r="D689" s="344">
        <f>'ALL ML SYSTEMS'!D675</f>
        <v>0</v>
      </c>
      <c r="E689" s="344">
        <f>'ALL ML SYSTEMS'!E675</f>
        <v>0</v>
      </c>
      <c r="F689" s="344">
        <f>'ALL ML SYSTEMS'!F675</f>
        <v>0</v>
      </c>
      <c r="G689" s="344">
        <f>'ALL ML SYSTEMS'!G675</f>
        <v>0</v>
      </c>
      <c r="H689" s="344">
        <f>'ALL ML SYSTEMS'!H675</f>
        <v>0</v>
      </c>
      <c r="I689" s="344">
        <f>'ALL ML SYSTEMS'!I675</f>
        <v>0</v>
      </c>
      <c r="J689" s="344">
        <f>'ALL ML SYSTEMS'!J675</f>
        <v>0</v>
      </c>
      <c r="K689" s="344">
        <f>'ALL ML SYSTEMS'!K675</f>
        <v>0</v>
      </c>
      <c r="L689" s="344">
        <f>'ALL ML SYSTEMS'!L675</f>
        <v>0</v>
      </c>
      <c r="M689" s="344">
        <f>'ALL ML SYSTEMS'!M675</f>
        <v>0</v>
      </c>
      <c r="N689" s="344">
        <f>'ALL ML SYSTEMS'!N675</f>
        <v>0</v>
      </c>
      <c r="O689" s="344">
        <f>'ALL ML SYSTEMS'!O675</f>
        <v>0</v>
      </c>
      <c r="P689" s="344">
        <f>'ALL ML SYSTEMS'!P675</f>
        <v>0</v>
      </c>
      <c r="Q689" s="344">
        <f>'ALL ML SYSTEMS'!Q675</f>
        <v>0</v>
      </c>
      <c r="R689" s="344">
        <f>'ALL ML SYSTEMS'!R675</f>
        <v>0</v>
      </c>
      <c r="S689" s="344">
        <f>'ALL ML SYSTEMS'!S675</f>
        <v>0</v>
      </c>
      <c r="T689" s="344">
        <f>'ALL ML SYSTEMS'!T675</f>
        <v>0</v>
      </c>
      <c r="U689" s="344">
        <f>'ALL ML SYSTEMS'!U675</f>
        <v>0</v>
      </c>
      <c r="V689" s="344">
        <f>'ALL ML SYSTEMS'!V675</f>
        <v>0</v>
      </c>
      <c r="W689" s="344">
        <f>'ALL ML SYSTEMS'!W675</f>
        <v>0</v>
      </c>
      <c r="X689" s="344">
        <f>'ALL ML SYSTEMS'!X675</f>
        <v>0</v>
      </c>
      <c r="Y689" s="344">
        <f>'ALL ML SYSTEMS'!Y675</f>
        <v>0</v>
      </c>
      <c r="Z689" s="344">
        <f>'ALL ML SYSTEMS'!Z675</f>
        <v>0</v>
      </c>
      <c r="AA689" s="344">
        <f>'ALL ML SYSTEMS'!AA675</f>
        <v>0</v>
      </c>
      <c r="AB689" s="344"/>
      <c r="AC689" s="344">
        <f>'ALL ML SYSTEMS'!AC675</f>
        <v>0</v>
      </c>
      <c r="AD689" s="344">
        <f>'ALL ML SYSTEMS'!AD675</f>
        <v>0</v>
      </c>
    </row>
    <row r="690" hidden="1" customHeight="1" spans="1:30">
      <c r="A690" s="344">
        <f>'ALL ML SYSTEMS'!A676</f>
        <v>0</v>
      </c>
      <c r="B690" s="344">
        <f>'ALL ML SYSTEMS'!B676</f>
        <v>0</v>
      </c>
      <c r="C690" s="344">
        <f>'ALL ML SYSTEMS'!C676</f>
        <v>0</v>
      </c>
      <c r="D690" s="344">
        <f>'ALL ML SYSTEMS'!D676</f>
        <v>0</v>
      </c>
      <c r="E690" s="344">
        <f>'ALL ML SYSTEMS'!E676</f>
        <v>0</v>
      </c>
      <c r="F690" s="344">
        <f>'ALL ML SYSTEMS'!F676</f>
        <v>0</v>
      </c>
      <c r="G690" s="344">
        <f>'ALL ML SYSTEMS'!G676</f>
        <v>0</v>
      </c>
      <c r="H690" s="344">
        <f>'ALL ML SYSTEMS'!H676</f>
        <v>0</v>
      </c>
      <c r="I690" s="344">
        <f>'ALL ML SYSTEMS'!I676</f>
        <v>0</v>
      </c>
      <c r="J690" s="344">
        <f>'ALL ML SYSTEMS'!J676</f>
        <v>0</v>
      </c>
      <c r="K690" s="344">
        <f>'ALL ML SYSTEMS'!K676</f>
        <v>0</v>
      </c>
      <c r="L690" s="344">
        <f>'ALL ML SYSTEMS'!L676</f>
        <v>0</v>
      </c>
      <c r="M690" s="344">
        <f>'ALL ML SYSTEMS'!M676</f>
        <v>0</v>
      </c>
      <c r="N690" s="344">
        <f>'ALL ML SYSTEMS'!N676</f>
        <v>0</v>
      </c>
      <c r="O690" s="344">
        <f>'ALL ML SYSTEMS'!O676</f>
        <v>0</v>
      </c>
      <c r="P690" s="344">
        <f>'ALL ML SYSTEMS'!P676</f>
        <v>0</v>
      </c>
      <c r="Q690" s="344">
        <f>'ALL ML SYSTEMS'!Q676</f>
        <v>0</v>
      </c>
      <c r="R690" s="344">
        <f>'ALL ML SYSTEMS'!R676</f>
        <v>0</v>
      </c>
      <c r="S690" s="344">
        <f>'ALL ML SYSTEMS'!S676</f>
        <v>0</v>
      </c>
      <c r="T690" s="344">
        <f>'ALL ML SYSTEMS'!T676</f>
        <v>0</v>
      </c>
      <c r="U690" s="344">
        <f>'ALL ML SYSTEMS'!U676</f>
        <v>0</v>
      </c>
      <c r="V690" s="344">
        <f>'ALL ML SYSTEMS'!V676</f>
        <v>0</v>
      </c>
      <c r="W690" s="344">
        <f>'ALL ML SYSTEMS'!W676</f>
        <v>0</v>
      </c>
      <c r="X690" s="344">
        <f>'ALL ML SYSTEMS'!X676</f>
        <v>0</v>
      </c>
      <c r="Y690" s="344">
        <f>'ALL ML SYSTEMS'!Y676</f>
        <v>0</v>
      </c>
      <c r="Z690" s="344">
        <f>'ALL ML SYSTEMS'!Z676</f>
        <v>0</v>
      </c>
      <c r="AA690" s="344">
        <f>'ALL ML SYSTEMS'!AA676</f>
        <v>0</v>
      </c>
      <c r="AB690" s="344"/>
      <c r="AC690" s="344">
        <f>'ALL ML SYSTEMS'!AC676</f>
        <v>0</v>
      </c>
      <c r="AD690" s="344">
        <f>'ALL ML SYSTEMS'!AD676</f>
        <v>0</v>
      </c>
    </row>
    <row r="691" hidden="1" customHeight="1" spans="1:30">
      <c r="A691" s="344">
        <f>'ALL ML SYSTEMS'!A677</f>
        <v>0</v>
      </c>
      <c r="B691" s="344">
        <f>'ALL ML SYSTEMS'!B677</f>
        <v>0</v>
      </c>
      <c r="C691" s="344">
        <f>'ALL ML SYSTEMS'!C677</f>
        <v>0</v>
      </c>
      <c r="D691" s="344">
        <f>'ALL ML SYSTEMS'!D677</f>
        <v>0</v>
      </c>
      <c r="E691" s="344">
        <f>'ALL ML SYSTEMS'!E677</f>
        <v>0</v>
      </c>
      <c r="F691" s="344">
        <f>'ALL ML SYSTEMS'!F677</f>
        <v>0</v>
      </c>
      <c r="G691" s="344">
        <f>'ALL ML SYSTEMS'!G677</f>
        <v>0</v>
      </c>
      <c r="H691" s="344">
        <f>'ALL ML SYSTEMS'!H677</f>
        <v>0</v>
      </c>
      <c r="I691" s="344">
        <f>'ALL ML SYSTEMS'!I677</f>
        <v>0</v>
      </c>
      <c r="J691" s="344">
        <f>'ALL ML SYSTEMS'!J677</f>
        <v>0</v>
      </c>
      <c r="K691" s="344">
        <f>'ALL ML SYSTEMS'!K677</f>
        <v>0</v>
      </c>
      <c r="L691" s="344">
        <f>'ALL ML SYSTEMS'!L677</f>
        <v>0</v>
      </c>
      <c r="M691" s="344">
        <f>'ALL ML SYSTEMS'!M677</f>
        <v>0</v>
      </c>
      <c r="N691" s="344">
        <f>'ALL ML SYSTEMS'!N677</f>
        <v>0</v>
      </c>
      <c r="O691" s="344">
        <f>'ALL ML SYSTEMS'!O677</f>
        <v>0</v>
      </c>
      <c r="P691" s="344">
        <f>'ALL ML SYSTEMS'!P677</f>
        <v>0</v>
      </c>
      <c r="Q691" s="344">
        <f>'ALL ML SYSTEMS'!Q677</f>
        <v>0</v>
      </c>
      <c r="R691" s="344">
        <f>'ALL ML SYSTEMS'!R677</f>
        <v>0</v>
      </c>
      <c r="S691" s="344">
        <f>'ALL ML SYSTEMS'!S677</f>
        <v>0</v>
      </c>
      <c r="T691" s="344">
        <f>'ALL ML SYSTEMS'!T677</f>
        <v>0</v>
      </c>
      <c r="U691" s="344">
        <f>'ALL ML SYSTEMS'!U677</f>
        <v>0</v>
      </c>
      <c r="V691" s="344">
        <f>'ALL ML SYSTEMS'!V677</f>
        <v>0</v>
      </c>
      <c r="W691" s="344">
        <f>'ALL ML SYSTEMS'!W677</f>
        <v>0</v>
      </c>
      <c r="X691" s="344">
        <f>'ALL ML SYSTEMS'!X677</f>
        <v>0</v>
      </c>
      <c r="Y691" s="344">
        <f>'ALL ML SYSTEMS'!Y677</f>
        <v>0</v>
      </c>
      <c r="Z691" s="344">
        <f>'ALL ML SYSTEMS'!Z677</f>
        <v>0</v>
      </c>
      <c r="AA691" s="344">
        <f>'ALL ML SYSTEMS'!AA677</f>
        <v>0</v>
      </c>
      <c r="AB691" s="344"/>
      <c r="AC691" s="344">
        <f>'ALL ML SYSTEMS'!AC677</f>
        <v>0</v>
      </c>
      <c r="AD691" s="344">
        <f>'ALL ML SYSTEMS'!AD677</f>
        <v>0</v>
      </c>
    </row>
    <row r="692" hidden="1" customHeight="1" spans="1:30">
      <c r="A692" s="344">
        <f>'ALL ML SYSTEMS'!A678</f>
        <v>0</v>
      </c>
      <c r="B692" s="344">
        <f>'ALL ML SYSTEMS'!B678</f>
        <v>0</v>
      </c>
      <c r="C692" s="344">
        <f>'ALL ML SYSTEMS'!C678</f>
        <v>0</v>
      </c>
      <c r="D692" s="344">
        <f>'ALL ML SYSTEMS'!D678</f>
        <v>0</v>
      </c>
      <c r="E692" s="344">
        <f>'ALL ML SYSTEMS'!E678</f>
        <v>0</v>
      </c>
      <c r="F692" s="344">
        <f>'ALL ML SYSTEMS'!F678</f>
        <v>0</v>
      </c>
      <c r="G692" s="344">
        <f>'ALL ML SYSTEMS'!G678</f>
        <v>0</v>
      </c>
      <c r="H692" s="344">
        <f>'ALL ML SYSTEMS'!H678</f>
        <v>0</v>
      </c>
      <c r="I692" s="344">
        <f>'ALL ML SYSTEMS'!I678</f>
        <v>0</v>
      </c>
      <c r="J692" s="344">
        <f>'ALL ML SYSTEMS'!J678</f>
        <v>0</v>
      </c>
      <c r="K692" s="344">
        <f>'ALL ML SYSTEMS'!K678</f>
        <v>0</v>
      </c>
      <c r="L692" s="344">
        <f>'ALL ML SYSTEMS'!L678</f>
        <v>0</v>
      </c>
      <c r="M692" s="344">
        <f>'ALL ML SYSTEMS'!M678</f>
        <v>0</v>
      </c>
      <c r="N692" s="344">
        <f>'ALL ML SYSTEMS'!N678</f>
        <v>0</v>
      </c>
      <c r="O692" s="344">
        <f>'ALL ML SYSTEMS'!O678</f>
        <v>0</v>
      </c>
      <c r="P692" s="344">
        <f>'ALL ML SYSTEMS'!P678</f>
        <v>0</v>
      </c>
      <c r="Q692" s="344">
        <f>'ALL ML SYSTEMS'!Q678</f>
        <v>0</v>
      </c>
      <c r="R692" s="344">
        <f>'ALL ML SYSTEMS'!R678</f>
        <v>0</v>
      </c>
      <c r="S692" s="344">
        <f>'ALL ML SYSTEMS'!S678</f>
        <v>0</v>
      </c>
      <c r="T692" s="344">
        <f>'ALL ML SYSTEMS'!T678</f>
        <v>0</v>
      </c>
      <c r="U692" s="344">
        <f>'ALL ML SYSTEMS'!U678</f>
        <v>0</v>
      </c>
      <c r="V692" s="344">
        <f>'ALL ML SYSTEMS'!V678</f>
        <v>0</v>
      </c>
      <c r="W692" s="344">
        <f>'ALL ML SYSTEMS'!W678</f>
        <v>0</v>
      </c>
      <c r="X692" s="344">
        <f>'ALL ML SYSTEMS'!X678</f>
        <v>0</v>
      </c>
      <c r="Y692" s="344">
        <f>'ALL ML SYSTEMS'!Y678</f>
        <v>0</v>
      </c>
      <c r="Z692" s="344">
        <f>'ALL ML SYSTEMS'!Z678</f>
        <v>0</v>
      </c>
      <c r="AA692" s="344">
        <f>'ALL ML SYSTEMS'!AA678</f>
        <v>0</v>
      </c>
      <c r="AB692" s="344"/>
      <c r="AC692" s="344">
        <f>'ALL ML SYSTEMS'!AC678</f>
        <v>0</v>
      </c>
      <c r="AD692" s="344">
        <f>'ALL ML SYSTEMS'!AD678</f>
        <v>0</v>
      </c>
    </row>
    <row r="693" hidden="1" customHeight="1" spans="1:30">
      <c r="A693" s="344">
        <f>'ALL ML SYSTEMS'!A679</f>
        <v>0</v>
      </c>
      <c r="B693" s="344">
        <f>'ALL ML SYSTEMS'!B679</f>
        <v>0</v>
      </c>
      <c r="C693" s="344">
        <f>'ALL ML SYSTEMS'!C679</f>
        <v>0</v>
      </c>
      <c r="D693" s="344">
        <f>'ALL ML SYSTEMS'!D679</f>
        <v>0</v>
      </c>
      <c r="E693" s="344">
        <f>'ALL ML SYSTEMS'!E679</f>
        <v>0</v>
      </c>
      <c r="F693" s="344">
        <f>'ALL ML SYSTEMS'!F679</f>
        <v>0</v>
      </c>
      <c r="G693" s="344">
        <f>'ALL ML SYSTEMS'!G679</f>
        <v>0</v>
      </c>
      <c r="H693" s="344">
        <f>'ALL ML SYSTEMS'!H679</f>
        <v>0</v>
      </c>
      <c r="I693" s="344">
        <f>'ALL ML SYSTEMS'!I679</f>
        <v>0</v>
      </c>
      <c r="J693" s="344">
        <f>'ALL ML SYSTEMS'!J679</f>
        <v>0</v>
      </c>
      <c r="K693" s="344">
        <f>'ALL ML SYSTEMS'!K679</f>
        <v>0</v>
      </c>
      <c r="L693" s="344">
        <f>'ALL ML SYSTEMS'!L679</f>
        <v>0</v>
      </c>
      <c r="M693" s="344">
        <f>'ALL ML SYSTEMS'!M679</f>
        <v>0</v>
      </c>
      <c r="N693" s="344">
        <f>'ALL ML SYSTEMS'!N679</f>
        <v>0</v>
      </c>
      <c r="O693" s="344">
        <f>'ALL ML SYSTEMS'!O679</f>
        <v>0</v>
      </c>
      <c r="P693" s="344">
        <f>'ALL ML SYSTEMS'!P679</f>
        <v>0</v>
      </c>
      <c r="Q693" s="344">
        <f>'ALL ML SYSTEMS'!Q679</f>
        <v>0</v>
      </c>
      <c r="R693" s="344">
        <f>'ALL ML SYSTEMS'!R679</f>
        <v>0</v>
      </c>
      <c r="S693" s="344">
        <f>'ALL ML SYSTEMS'!S679</f>
        <v>0</v>
      </c>
      <c r="T693" s="344">
        <f>'ALL ML SYSTEMS'!T679</f>
        <v>0</v>
      </c>
      <c r="U693" s="344">
        <f>'ALL ML SYSTEMS'!U679</f>
        <v>0</v>
      </c>
      <c r="V693" s="344">
        <f>'ALL ML SYSTEMS'!V679</f>
        <v>0</v>
      </c>
      <c r="W693" s="344">
        <f>'ALL ML SYSTEMS'!W679</f>
        <v>0</v>
      </c>
      <c r="X693" s="344">
        <f>'ALL ML SYSTEMS'!X679</f>
        <v>0</v>
      </c>
      <c r="Y693" s="344">
        <f>'ALL ML SYSTEMS'!Y679</f>
        <v>0</v>
      </c>
      <c r="Z693" s="344">
        <f>'ALL ML SYSTEMS'!Z679</f>
        <v>0</v>
      </c>
      <c r="AA693" s="344">
        <f>'ALL ML SYSTEMS'!AA679</f>
        <v>0</v>
      </c>
      <c r="AB693" s="344"/>
      <c r="AC693" s="344">
        <f>'ALL ML SYSTEMS'!AC679</f>
        <v>0</v>
      </c>
      <c r="AD693" s="344">
        <f>'ALL ML SYSTEMS'!AD679</f>
        <v>0</v>
      </c>
    </row>
    <row r="694" hidden="1" customHeight="1" spans="1:30">
      <c r="A694" s="344">
        <f>'ALL ML SYSTEMS'!A680</f>
        <v>0</v>
      </c>
      <c r="B694" s="344">
        <f>'ALL ML SYSTEMS'!B680</f>
        <v>0</v>
      </c>
      <c r="C694" s="344">
        <f>'ALL ML SYSTEMS'!C680</f>
        <v>0</v>
      </c>
      <c r="D694" s="344">
        <f>'ALL ML SYSTEMS'!D680</f>
        <v>0</v>
      </c>
      <c r="E694" s="344">
        <f>'ALL ML SYSTEMS'!E680</f>
        <v>0</v>
      </c>
      <c r="F694" s="344">
        <f>'ALL ML SYSTEMS'!F680</f>
        <v>0</v>
      </c>
      <c r="G694" s="344">
        <f>'ALL ML SYSTEMS'!G680</f>
        <v>0</v>
      </c>
      <c r="H694" s="344">
        <f>'ALL ML SYSTEMS'!H680</f>
        <v>0</v>
      </c>
      <c r="I694" s="344">
        <f>'ALL ML SYSTEMS'!I680</f>
        <v>0</v>
      </c>
      <c r="J694" s="344">
        <f>'ALL ML SYSTEMS'!J680</f>
        <v>0</v>
      </c>
      <c r="K694" s="344">
        <f>'ALL ML SYSTEMS'!K680</f>
        <v>0</v>
      </c>
      <c r="L694" s="344">
        <f>'ALL ML SYSTEMS'!L680</f>
        <v>0</v>
      </c>
      <c r="M694" s="344">
        <f>'ALL ML SYSTEMS'!M680</f>
        <v>0</v>
      </c>
      <c r="N694" s="344">
        <f>'ALL ML SYSTEMS'!N680</f>
        <v>0</v>
      </c>
      <c r="O694" s="344">
        <f>'ALL ML SYSTEMS'!O680</f>
        <v>0</v>
      </c>
      <c r="P694" s="344">
        <f>'ALL ML SYSTEMS'!P680</f>
        <v>0</v>
      </c>
      <c r="Q694" s="344">
        <f>'ALL ML SYSTEMS'!Q680</f>
        <v>0</v>
      </c>
      <c r="R694" s="344">
        <f>'ALL ML SYSTEMS'!R680</f>
        <v>0</v>
      </c>
      <c r="S694" s="344">
        <f>'ALL ML SYSTEMS'!S680</f>
        <v>0</v>
      </c>
      <c r="T694" s="344">
        <f>'ALL ML SYSTEMS'!T680</f>
        <v>0</v>
      </c>
      <c r="U694" s="344">
        <f>'ALL ML SYSTEMS'!U680</f>
        <v>0</v>
      </c>
      <c r="V694" s="344">
        <f>'ALL ML SYSTEMS'!V680</f>
        <v>0</v>
      </c>
      <c r="W694" s="344">
        <f>'ALL ML SYSTEMS'!W680</f>
        <v>0</v>
      </c>
      <c r="X694" s="344">
        <f>'ALL ML SYSTEMS'!X680</f>
        <v>0</v>
      </c>
      <c r="Y694" s="344">
        <f>'ALL ML SYSTEMS'!Y680</f>
        <v>0</v>
      </c>
      <c r="Z694" s="344">
        <f>'ALL ML SYSTEMS'!Z680</f>
        <v>0</v>
      </c>
      <c r="AA694" s="344">
        <f>'ALL ML SYSTEMS'!AA680</f>
        <v>0</v>
      </c>
      <c r="AB694" s="344"/>
      <c r="AC694" s="344">
        <f>'ALL ML SYSTEMS'!AC680</f>
        <v>0</v>
      </c>
      <c r="AD694" s="344">
        <f>'ALL ML SYSTEMS'!AD680</f>
        <v>0</v>
      </c>
    </row>
    <row r="695" hidden="1" customHeight="1" spans="1:30">
      <c r="A695" s="344">
        <f>'ALL ML SYSTEMS'!A681</f>
        <v>0</v>
      </c>
      <c r="B695" s="344">
        <f>'ALL ML SYSTEMS'!B681</f>
        <v>0</v>
      </c>
      <c r="C695" s="344">
        <f>'ALL ML SYSTEMS'!C681</f>
        <v>0</v>
      </c>
      <c r="D695" s="344">
        <f>'ALL ML SYSTEMS'!D681</f>
        <v>0</v>
      </c>
      <c r="E695" s="344">
        <f>'ALL ML SYSTEMS'!E681</f>
        <v>0</v>
      </c>
      <c r="F695" s="344">
        <f>'ALL ML SYSTEMS'!F681</f>
        <v>0</v>
      </c>
      <c r="G695" s="344">
        <f>'ALL ML SYSTEMS'!G681</f>
        <v>0</v>
      </c>
      <c r="H695" s="344">
        <f>'ALL ML SYSTEMS'!H681</f>
        <v>0</v>
      </c>
      <c r="I695" s="344">
        <f>'ALL ML SYSTEMS'!I681</f>
        <v>0</v>
      </c>
      <c r="J695" s="344">
        <f>'ALL ML SYSTEMS'!J681</f>
        <v>0</v>
      </c>
      <c r="K695" s="344">
        <f>'ALL ML SYSTEMS'!K681</f>
        <v>0</v>
      </c>
      <c r="L695" s="344">
        <f>'ALL ML SYSTEMS'!L681</f>
        <v>0</v>
      </c>
      <c r="M695" s="344">
        <f>'ALL ML SYSTEMS'!M681</f>
        <v>0</v>
      </c>
      <c r="N695" s="344">
        <f>'ALL ML SYSTEMS'!N681</f>
        <v>0</v>
      </c>
      <c r="O695" s="344">
        <f>'ALL ML SYSTEMS'!O681</f>
        <v>0</v>
      </c>
      <c r="P695" s="344">
        <f>'ALL ML SYSTEMS'!P681</f>
        <v>0</v>
      </c>
      <c r="Q695" s="344">
        <f>'ALL ML SYSTEMS'!Q681</f>
        <v>0</v>
      </c>
      <c r="R695" s="344">
        <f>'ALL ML SYSTEMS'!R681</f>
        <v>0</v>
      </c>
      <c r="S695" s="344">
        <f>'ALL ML SYSTEMS'!S681</f>
        <v>0</v>
      </c>
      <c r="T695" s="344">
        <f>'ALL ML SYSTEMS'!T681</f>
        <v>0</v>
      </c>
      <c r="U695" s="344">
        <f>'ALL ML SYSTEMS'!U681</f>
        <v>0</v>
      </c>
      <c r="V695" s="344">
        <f>'ALL ML SYSTEMS'!V681</f>
        <v>0</v>
      </c>
      <c r="W695" s="344">
        <f>'ALL ML SYSTEMS'!W681</f>
        <v>0</v>
      </c>
      <c r="X695" s="344">
        <f>'ALL ML SYSTEMS'!X681</f>
        <v>0</v>
      </c>
      <c r="Y695" s="344">
        <f>'ALL ML SYSTEMS'!Y681</f>
        <v>0</v>
      </c>
      <c r="Z695" s="344">
        <f>'ALL ML SYSTEMS'!Z681</f>
        <v>0</v>
      </c>
      <c r="AA695" s="344">
        <f>'ALL ML SYSTEMS'!AA681</f>
        <v>0</v>
      </c>
      <c r="AB695" s="344"/>
      <c r="AC695" s="344">
        <f>'ALL ML SYSTEMS'!AC681</f>
        <v>0</v>
      </c>
      <c r="AD695" s="344">
        <f>'ALL ML SYSTEMS'!AD681</f>
        <v>0</v>
      </c>
    </row>
    <row r="696" hidden="1" customHeight="1" spans="1:30">
      <c r="A696" s="344">
        <f>'ALL ML SYSTEMS'!A682</f>
        <v>0</v>
      </c>
      <c r="B696" s="344">
        <f>'ALL ML SYSTEMS'!B682</f>
        <v>0</v>
      </c>
      <c r="C696" s="344">
        <f>'ALL ML SYSTEMS'!C682</f>
        <v>0</v>
      </c>
      <c r="D696" s="344">
        <f>'ALL ML SYSTEMS'!D682</f>
        <v>0</v>
      </c>
      <c r="E696" s="344">
        <f>'ALL ML SYSTEMS'!E682</f>
        <v>0</v>
      </c>
      <c r="F696" s="344">
        <f>'ALL ML SYSTEMS'!F682</f>
        <v>0</v>
      </c>
      <c r="G696" s="344">
        <f>'ALL ML SYSTEMS'!G682</f>
        <v>0</v>
      </c>
      <c r="H696" s="344">
        <f>'ALL ML SYSTEMS'!H682</f>
        <v>0</v>
      </c>
      <c r="I696" s="344">
        <f>'ALL ML SYSTEMS'!I682</f>
        <v>0</v>
      </c>
      <c r="J696" s="344">
        <f>'ALL ML SYSTEMS'!J682</f>
        <v>0</v>
      </c>
      <c r="K696" s="344">
        <f>'ALL ML SYSTEMS'!K682</f>
        <v>0</v>
      </c>
      <c r="L696" s="344">
        <f>'ALL ML SYSTEMS'!L682</f>
        <v>0</v>
      </c>
      <c r="M696" s="344">
        <f>'ALL ML SYSTEMS'!M682</f>
        <v>0</v>
      </c>
      <c r="N696" s="344">
        <f>'ALL ML SYSTEMS'!N682</f>
        <v>0</v>
      </c>
      <c r="O696" s="344">
        <f>'ALL ML SYSTEMS'!O682</f>
        <v>0</v>
      </c>
      <c r="P696" s="344">
        <f>'ALL ML SYSTEMS'!P682</f>
        <v>0</v>
      </c>
      <c r="Q696" s="344">
        <f>'ALL ML SYSTEMS'!Q682</f>
        <v>0</v>
      </c>
      <c r="R696" s="344">
        <f>'ALL ML SYSTEMS'!R682</f>
        <v>0</v>
      </c>
      <c r="S696" s="344">
        <f>'ALL ML SYSTEMS'!S682</f>
        <v>0</v>
      </c>
      <c r="T696" s="344">
        <f>'ALL ML SYSTEMS'!T682</f>
        <v>0</v>
      </c>
      <c r="U696" s="344">
        <f>'ALL ML SYSTEMS'!U682</f>
        <v>0</v>
      </c>
      <c r="V696" s="344">
        <f>'ALL ML SYSTEMS'!V682</f>
        <v>0</v>
      </c>
      <c r="W696" s="344">
        <f>'ALL ML SYSTEMS'!W682</f>
        <v>0</v>
      </c>
      <c r="X696" s="344">
        <f>'ALL ML SYSTEMS'!X682</f>
        <v>0</v>
      </c>
      <c r="Y696" s="344">
        <f>'ALL ML SYSTEMS'!Y682</f>
        <v>0</v>
      </c>
      <c r="Z696" s="344">
        <f>'ALL ML SYSTEMS'!Z682</f>
        <v>0</v>
      </c>
      <c r="AA696" s="344">
        <f>'ALL ML SYSTEMS'!AA682</f>
        <v>0</v>
      </c>
      <c r="AB696" s="344"/>
      <c r="AC696" s="344">
        <f>'ALL ML SYSTEMS'!AC682</f>
        <v>0</v>
      </c>
      <c r="AD696" s="344">
        <f>'ALL ML SYSTEMS'!AD682</f>
        <v>0</v>
      </c>
    </row>
    <row r="697" hidden="1" customHeight="1" spans="1:30">
      <c r="A697" s="344">
        <f>'ALL ML SYSTEMS'!A683</f>
        <v>0</v>
      </c>
      <c r="B697" s="344">
        <f>'ALL ML SYSTEMS'!B683</f>
        <v>0</v>
      </c>
      <c r="C697" s="344">
        <f>'ALL ML SYSTEMS'!C683</f>
        <v>0</v>
      </c>
      <c r="D697" s="344">
        <f>'ALL ML SYSTEMS'!D683</f>
        <v>0</v>
      </c>
      <c r="E697" s="344">
        <f>'ALL ML SYSTEMS'!E683</f>
        <v>0</v>
      </c>
      <c r="F697" s="344">
        <f>'ALL ML SYSTEMS'!F683</f>
        <v>0</v>
      </c>
      <c r="G697" s="344">
        <f>'ALL ML SYSTEMS'!G683</f>
        <v>0</v>
      </c>
      <c r="H697" s="344">
        <f>'ALL ML SYSTEMS'!H683</f>
        <v>0</v>
      </c>
      <c r="I697" s="344">
        <f>'ALL ML SYSTEMS'!I683</f>
        <v>0</v>
      </c>
      <c r="J697" s="344">
        <f>'ALL ML SYSTEMS'!J683</f>
        <v>0</v>
      </c>
      <c r="K697" s="344">
        <f>'ALL ML SYSTEMS'!K683</f>
        <v>0</v>
      </c>
      <c r="L697" s="344">
        <f>'ALL ML SYSTEMS'!L683</f>
        <v>0</v>
      </c>
      <c r="M697" s="344">
        <f>'ALL ML SYSTEMS'!M683</f>
        <v>0</v>
      </c>
      <c r="N697" s="344">
        <f>'ALL ML SYSTEMS'!N683</f>
        <v>0</v>
      </c>
      <c r="O697" s="344">
        <f>'ALL ML SYSTEMS'!O683</f>
        <v>0</v>
      </c>
      <c r="P697" s="344">
        <f>'ALL ML SYSTEMS'!P683</f>
        <v>0</v>
      </c>
      <c r="Q697" s="344">
        <f>'ALL ML SYSTEMS'!Q683</f>
        <v>0</v>
      </c>
      <c r="R697" s="344">
        <f>'ALL ML SYSTEMS'!R683</f>
        <v>0</v>
      </c>
      <c r="S697" s="344">
        <f>'ALL ML SYSTEMS'!S683</f>
        <v>0</v>
      </c>
      <c r="T697" s="344">
        <f>'ALL ML SYSTEMS'!T683</f>
        <v>0</v>
      </c>
      <c r="U697" s="344">
        <f>'ALL ML SYSTEMS'!U683</f>
        <v>0</v>
      </c>
      <c r="V697" s="344">
        <f>'ALL ML SYSTEMS'!V683</f>
        <v>0</v>
      </c>
      <c r="W697" s="344">
        <f>'ALL ML SYSTEMS'!W683</f>
        <v>0</v>
      </c>
      <c r="X697" s="344">
        <f>'ALL ML SYSTEMS'!X683</f>
        <v>0</v>
      </c>
      <c r="Y697" s="344">
        <f>'ALL ML SYSTEMS'!Y683</f>
        <v>0</v>
      </c>
      <c r="Z697" s="344">
        <f>'ALL ML SYSTEMS'!Z683</f>
        <v>0</v>
      </c>
      <c r="AA697" s="344">
        <f>'ALL ML SYSTEMS'!AA683</f>
        <v>0</v>
      </c>
      <c r="AB697" s="344"/>
      <c r="AC697" s="344">
        <f>'ALL ML SYSTEMS'!AC683</f>
        <v>0</v>
      </c>
      <c r="AD697" s="344">
        <f>'ALL ML SYSTEMS'!AD683</f>
        <v>0</v>
      </c>
    </row>
    <row r="698" hidden="1" customHeight="1" spans="1:30">
      <c r="A698" s="344">
        <f>'ALL ML SYSTEMS'!A684</f>
        <v>0</v>
      </c>
      <c r="B698" s="344">
        <f>'ALL ML SYSTEMS'!B684</f>
        <v>0</v>
      </c>
      <c r="C698" s="344">
        <f>'ALL ML SYSTEMS'!C684</f>
        <v>0</v>
      </c>
      <c r="D698" s="344">
        <f>'ALL ML SYSTEMS'!D684</f>
        <v>0</v>
      </c>
      <c r="E698" s="344">
        <f>'ALL ML SYSTEMS'!E684</f>
        <v>0</v>
      </c>
      <c r="F698" s="344">
        <f>'ALL ML SYSTEMS'!F684</f>
        <v>0</v>
      </c>
      <c r="G698" s="344">
        <f>'ALL ML SYSTEMS'!G684</f>
        <v>0</v>
      </c>
      <c r="H698" s="344">
        <f>'ALL ML SYSTEMS'!H684</f>
        <v>0</v>
      </c>
      <c r="I698" s="344">
        <f>'ALL ML SYSTEMS'!I684</f>
        <v>0</v>
      </c>
      <c r="J698" s="344">
        <f>'ALL ML SYSTEMS'!J684</f>
        <v>0</v>
      </c>
      <c r="K698" s="344">
        <f>'ALL ML SYSTEMS'!K684</f>
        <v>0</v>
      </c>
      <c r="L698" s="344">
        <f>'ALL ML SYSTEMS'!L684</f>
        <v>0</v>
      </c>
      <c r="M698" s="344">
        <f>'ALL ML SYSTEMS'!M684</f>
        <v>0</v>
      </c>
      <c r="N698" s="344">
        <f>'ALL ML SYSTEMS'!N684</f>
        <v>0</v>
      </c>
      <c r="O698" s="344">
        <f>'ALL ML SYSTEMS'!O684</f>
        <v>0</v>
      </c>
      <c r="P698" s="344">
        <f>'ALL ML SYSTEMS'!P684</f>
        <v>0</v>
      </c>
      <c r="Q698" s="344">
        <f>'ALL ML SYSTEMS'!Q684</f>
        <v>0</v>
      </c>
      <c r="R698" s="344">
        <f>'ALL ML SYSTEMS'!R684</f>
        <v>0</v>
      </c>
      <c r="S698" s="344">
        <f>'ALL ML SYSTEMS'!S684</f>
        <v>0</v>
      </c>
      <c r="T698" s="344">
        <f>'ALL ML SYSTEMS'!T684</f>
        <v>0</v>
      </c>
      <c r="U698" s="344">
        <f>'ALL ML SYSTEMS'!U684</f>
        <v>0</v>
      </c>
      <c r="V698" s="344">
        <f>'ALL ML SYSTEMS'!V684</f>
        <v>0</v>
      </c>
      <c r="W698" s="344">
        <f>'ALL ML SYSTEMS'!W684</f>
        <v>0</v>
      </c>
      <c r="X698" s="344">
        <f>'ALL ML SYSTEMS'!X684</f>
        <v>0</v>
      </c>
      <c r="Y698" s="344">
        <f>'ALL ML SYSTEMS'!Y684</f>
        <v>0</v>
      </c>
      <c r="Z698" s="344">
        <f>'ALL ML SYSTEMS'!Z684</f>
        <v>0</v>
      </c>
      <c r="AA698" s="344">
        <f>'ALL ML SYSTEMS'!AA684</f>
        <v>0</v>
      </c>
      <c r="AB698" s="344"/>
      <c r="AC698" s="344">
        <f>'ALL ML SYSTEMS'!AC684</f>
        <v>0</v>
      </c>
      <c r="AD698" s="344">
        <f>'ALL ML SYSTEMS'!AD684</f>
        <v>0</v>
      </c>
    </row>
    <row r="699" hidden="1" customHeight="1" spans="1:30">
      <c r="A699" s="344">
        <f>'ALL ML SYSTEMS'!A685</f>
        <v>0</v>
      </c>
      <c r="B699" s="344">
        <f>'ALL ML SYSTEMS'!B685</f>
        <v>0</v>
      </c>
      <c r="C699" s="344">
        <f>'ALL ML SYSTEMS'!C685</f>
        <v>0</v>
      </c>
      <c r="D699" s="344">
        <f>'ALL ML SYSTEMS'!D685</f>
        <v>0</v>
      </c>
      <c r="E699" s="344">
        <f>'ALL ML SYSTEMS'!E685</f>
        <v>0</v>
      </c>
      <c r="F699" s="344">
        <f>'ALL ML SYSTEMS'!F685</f>
        <v>0</v>
      </c>
      <c r="G699" s="344">
        <f>'ALL ML SYSTEMS'!G685</f>
        <v>0</v>
      </c>
      <c r="H699" s="344">
        <f>'ALL ML SYSTEMS'!H685</f>
        <v>0</v>
      </c>
      <c r="I699" s="344">
        <f>'ALL ML SYSTEMS'!I685</f>
        <v>0</v>
      </c>
      <c r="J699" s="344">
        <f>'ALL ML SYSTEMS'!J685</f>
        <v>0</v>
      </c>
      <c r="K699" s="344">
        <f>'ALL ML SYSTEMS'!K685</f>
        <v>0</v>
      </c>
      <c r="L699" s="344">
        <f>'ALL ML SYSTEMS'!L685</f>
        <v>0</v>
      </c>
      <c r="M699" s="344">
        <f>'ALL ML SYSTEMS'!M685</f>
        <v>0</v>
      </c>
      <c r="N699" s="344">
        <f>'ALL ML SYSTEMS'!N685</f>
        <v>0</v>
      </c>
      <c r="O699" s="344">
        <f>'ALL ML SYSTEMS'!O685</f>
        <v>0</v>
      </c>
      <c r="P699" s="344">
        <f>'ALL ML SYSTEMS'!P685</f>
        <v>0</v>
      </c>
      <c r="Q699" s="344">
        <f>'ALL ML SYSTEMS'!Q685</f>
        <v>0</v>
      </c>
      <c r="R699" s="344">
        <f>'ALL ML SYSTEMS'!R685</f>
        <v>0</v>
      </c>
      <c r="S699" s="344">
        <f>'ALL ML SYSTEMS'!S685</f>
        <v>0</v>
      </c>
      <c r="T699" s="344">
        <f>'ALL ML SYSTEMS'!T685</f>
        <v>0</v>
      </c>
      <c r="U699" s="344">
        <f>'ALL ML SYSTEMS'!U685</f>
        <v>0</v>
      </c>
      <c r="V699" s="344">
        <f>'ALL ML SYSTEMS'!V685</f>
        <v>0</v>
      </c>
      <c r="W699" s="344">
        <f>'ALL ML SYSTEMS'!W685</f>
        <v>0</v>
      </c>
      <c r="X699" s="344">
        <f>'ALL ML SYSTEMS'!X685</f>
        <v>0</v>
      </c>
      <c r="Y699" s="344">
        <f>'ALL ML SYSTEMS'!Y685</f>
        <v>0</v>
      </c>
      <c r="Z699" s="344">
        <f>'ALL ML SYSTEMS'!Z685</f>
        <v>0</v>
      </c>
      <c r="AA699" s="344">
        <f>'ALL ML SYSTEMS'!AA685</f>
        <v>0</v>
      </c>
      <c r="AB699" s="344"/>
      <c r="AC699" s="344">
        <f>'ALL ML SYSTEMS'!AC685</f>
        <v>0</v>
      </c>
      <c r="AD699" s="344">
        <f>'ALL ML SYSTEMS'!AD685</f>
        <v>0</v>
      </c>
    </row>
    <row r="700" hidden="1" customHeight="1" spans="1:30">
      <c r="A700" s="344">
        <f>'ALL ML SYSTEMS'!A686</f>
        <v>0</v>
      </c>
      <c r="B700" s="344">
        <f>'ALL ML SYSTEMS'!B686</f>
        <v>0</v>
      </c>
      <c r="C700" s="344">
        <f>'ALL ML SYSTEMS'!C686</f>
        <v>0</v>
      </c>
      <c r="D700" s="344">
        <f>'ALL ML SYSTEMS'!D686</f>
        <v>0</v>
      </c>
      <c r="E700" s="344">
        <f>'ALL ML SYSTEMS'!E686</f>
        <v>0</v>
      </c>
      <c r="F700" s="344">
        <f>'ALL ML SYSTEMS'!F686</f>
        <v>0</v>
      </c>
      <c r="G700" s="344">
        <f>'ALL ML SYSTEMS'!G686</f>
        <v>0</v>
      </c>
      <c r="H700" s="344">
        <f>'ALL ML SYSTEMS'!H686</f>
        <v>0</v>
      </c>
      <c r="I700" s="344">
        <f>'ALL ML SYSTEMS'!I686</f>
        <v>0</v>
      </c>
      <c r="J700" s="344">
        <f>'ALL ML SYSTEMS'!J686</f>
        <v>0</v>
      </c>
      <c r="K700" s="344">
        <f>'ALL ML SYSTEMS'!K686</f>
        <v>0</v>
      </c>
      <c r="L700" s="344">
        <f>'ALL ML SYSTEMS'!L686</f>
        <v>0</v>
      </c>
      <c r="M700" s="344">
        <f>'ALL ML SYSTEMS'!M686</f>
        <v>0</v>
      </c>
      <c r="N700" s="344">
        <f>'ALL ML SYSTEMS'!N686</f>
        <v>0</v>
      </c>
      <c r="O700" s="344">
        <f>'ALL ML SYSTEMS'!O686</f>
        <v>0</v>
      </c>
      <c r="P700" s="344">
        <f>'ALL ML SYSTEMS'!P686</f>
        <v>0</v>
      </c>
      <c r="Q700" s="344">
        <f>'ALL ML SYSTEMS'!Q686</f>
        <v>0</v>
      </c>
      <c r="R700" s="344">
        <f>'ALL ML SYSTEMS'!R686</f>
        <v>0</v>
      </c>
      <c r="S700" s="344">
        <f>'ALL ML SYSTEMS'!S686</f>
        <v>0</v>
      </c>
      <c r="T700" s="344">
        <f>'ALL ML SYSTEMS'!T686</f>
        <v>0</v>
      </c>
      <c r="U700" s="344">
        <f>'ALL ML SYSTEMS'!U686</f>
        <v>0</v>
      </c>
      <c r="V700" s="344">
        <f>'ALL ML SYSTEMS'!V686</f>
        <v>0</v>
      </c>
      <c r="W700" s="344">
        <f>'ALL ML SYSTEMS'!W686</f>
        <v>0</v>
      </c>
      <c r="X700" s="344">
        <f>'ALL ML SYSTEMS'!X686</f>
        <v>0</v>
      </c>
      <c r="Y700" s="344">
        <f>'ALL ML SYSTEMS'!Y686</f>
        <v>0</v>
      </c>
      <c r="Z700" s="344">
        <f>'ALL ML SYSTEMS'!Z686</f>
        <v>0</v>
      </c>
      <c r="AA700" s="344">
        <f>'ALL ML SYSTEMS'!AA686</f>
        <v>0</v>
      </c>
      <c r="AB700" s="344"/>
      <c r="AC700" s="344">
        <f>'ALL ML SYSTEMS'!AC686</f>
        <v>0</v>
      </c>
      <c r="AD700" s="344">
        <f>'ALL ML SYSTEMS'!AD686</f>
        <v>0</v>
      </c>
    </row>
    <row r="701" hidden="1" customHeight="1" spans="1:30">
      <c r="A701" s="344">
        <f>'ALL ML SYSTEMS'!A687</f>
        <v>0</v>
      </c>
      <c r="B701" s="344">
        <f>'ALL ML SYSTEMS'!B687</f>
        <v>0</v>
      </c>
      <c r="C701" s="344">
        <f>'ALL ML SYSTEMS'!C687</f>
        <v>0</v>
      </c>
      <c r="D701" s="344">
        <f>'ALL ML SYSTEMS'!D687</f>
        <v>0</v>
      </c>
      <c r="E701" s="344">
        <f>'ALL ML SYSTEMS'!E687</f>
        <v>0</v>
      </c>
      <c r="F701" s="344">
        <f>'ALL ML SYSTEMS'!F687</f>
        <v>0</v>
      </c>
      <c r="G701" s="344">
        <f>'ALL ML SYSTEMS'!G687</f>
        <v>0</v>
      </c>
      <c r="H701" s="344">
        <f>'ALL ML SYSTEMS'!H687</f>
        <v>0</v>
      </c>
      <c r="I701" s="344">
        <f>'ALL ML SYSTEMS'!I687</f>
        <v>0</v>
      </c>
      <c r="J701" s="344">
        <f>'ALL ML SYSTEMS'!J687</f>
        <v>0</v>
      </c>
      <c r="K701" s="344">
        <f>'ALL ML SYSTEMS'!K687</f>
        <v>0</v>
      </c>
      <c r="L701" s="344">
        <f>'ALL ML SYSTEMS'!L687</f>
        <v>0</v>
      </c>
      <c r="M701" s="344">
        <f>'ALL ML SYSTEMS'!M687</f>
        <v>0</v>
      </c>
      <c r="N701" s="344">
        <f>'ALL ML SYSTEMS'!N687</f>
        <v>0</v>
      </c>
      <c r="O701" s="344">
        <f>'ALL ML SYSTEMS'!O687</f>
        <v>0</v>
      </c>
      <c r="P701" s="344">
        <f>'ALL ML SYSTEMS'!P687</f>
        <v>0</v>
      </c>
      <c r="Q701" s="344">
        <f>'ALL ML SYSTEMS'!Q687</f>
        <v>0</v>
      </c>
      <c r="R701" s="344">
        <f>'ALL ML SYSTEMS'!R687</f>
        <v>0</v>
      </c>
      <c r="S701" s="344">
        <f>'ALL ML SYSTEMS'!S687</f>
        <v>0</v>
      </c>
      <c r="T701" s="344">
        <f>'ALL ML SYSTEMS'!T687</f>
        <v>0</v>
      </c>
      <c r="U701" s="344">
        <f>'ALL ML SYSTEMS'!U687</f>
        <v>0</v>
      </c>
      <c r="V701" s="344">
        <f>'ALL ML SYSTEMS'!V687</f>
        <v>0</v>
      </c>
      <c r="W701" s="344">
        <f>'ALL ML SYSTEMS'!W687</f>
        <v>0</v>
      </c>
      <c r="X701" s="344">
        <f>'ALL ML SYSTEMS'!X687</f>
        <v>0</v>
      </c>
      <c r="Y701" s="344">
        <f>'ALL ML SYSTEMS'!Y687</f>
        <v>0</v>
      </c>
      <c r="Z701" s="344">
        <f>'ALL ML SYSTEMS'!Z687</f>
        <v>0</v>
      </c>
      <c r="AA701" s="344">
        <f>'ALL ML SYSTEMS'!AA687</f>
        <v>0</v>
      </c>
      <c r="AB701" s="344"/>
      <c r="AC701" s="344">
        <f>'ALL ML SYSTEMS'!AC687</f>
        <v>0</v>
      </c>
      <c r="AD701" s="344">
        <f>'ALL ML SYSTEMS'!AD687</f>
        <v>0</v>
      </c>
    </row>
    <row r="702" hidden="1" customHeight="1" spans="1:30">
      <c r="A702" s="344">
        <f>'ALL ML SYSTEMS'!A688</f>
        <v>0</v>
      </c>
      <c r="B702" s="344">
        <f>'ALL ML SYSTEMS'!B688</f>
        <v>0</v>
      </c>
      <c r="C702" s="344">
        <f>'ALL ML SYSTEMS'!C688</f>
        <v>0</v>
      </c>
      <c r="D702" s="344">
        <f>'ALL ML SYSTEMS'!D688</f>
        <v>0</v>
      </c>
      <c r="E702" s="344">
        <f>'ALL ML SYSTEMS'!E688</f>
        <v>0</v>
      </c>
      <c r="F702" s="344">
        <f>'ALL ML SYSTEMS'!F688</f>
        <v>0</v>
      </c>
      <c r="G702" s="344">
        <f>'ALL ML SYSTEMS'!G688</f>
        <v>0</v>
      </c>
      <c r="H702" s="344">
        <f>'ALL ML SYSTEMS'!H688</f>
        <v>0</v>
      </c>
      <c r="I702" s="344">
        <f>'ALL ML SYSTEMS'!I688</f>
        <v>0</v>
      </c>
      <c r="J702" s="344">
        <f>'ALL ML SYSTEMS'!J688</f>
        <v>0</v>
      </c>
      <c r="K702" s="344">
        <f>'ALL ML SYSTEMS'!K688</f>
        <v>0</v>
      </c>
      <c r="L702" s="344">
        <f>'ALL ML SYSTEMS'!L688</f>
        <v>0</v>
      </c>
      <c r="M702" s="344">
        <f>'ALL ML SYSTEMS'!M688</f>
        <v>0</v>
      </c>
      <c r="N702" s="344">
        <f>'ALL ML SYSTEMS'!N688</f>
        <v>0</v>
      </c>
      <c r="O702" s="344">
        <f>'ALL ML SYSTEMS'!O688</f>
        <v>0</v>
      </c>
      <c r="P702" s="344">
        <f>'ALL ML SYSTEMS'!P688</f>
        <v>0</v>
      </c>
      <c r="Q702" s="344">
        <f>'ALL ML SYSTEMS'!Q688</f>
        <v>0</v>
      </c>
      <c r="R702" s="344">
        <f>'ALL ML SYSTEMS'!R688</f>
        <v>0</v>
      </c>
      <c r="S702" s="344">
        <f>'ALL ML SYSTEMS'!S688</f>
        <v>0</v>
      </c>
      <c r="T702" s="344">
        <f>'ALL ML SYSTEMS'!T688</f>
        <v>0</v>
      </c>
      <c r="U702" s="344">
        <f>'ALL ML SYSTEMS'!U688</f>
        <v>0</v>
      </c>
      <c r="V702" s="344">
        <f>'ALL ML SYSTEMS'!V688</f>
        <v>0</v>
      </c>
      <c r="W702" s="344">
        <f>'ALL ML SYSTEMS'!W688</f>
        <v>0</v>
      </c>
      <c r="X702" s="344">
        <f>'ALL ML SYSTEMS'!X688</f>
        <v>0</v>
      </c>
      <c r="Y702" s="344">
        <f>'ALL ML SYSTEMS'!Y688</f>
        <v>0</v>
      </c>
      <c r="Z702" s="344">
        <f>'ALL ML SYSTEMS'!Z688</f>
        <v>0</v>
      </c>
      <c r="AA702" s="344">
        <f>'ALL ML SYSTEMS'!AA688</f>
        <v>0</v>
      </c>
      <c r="AB702" s="344"/>
      <c r="AC702" s="344">
        <f>'ALL ML SYSTEMS'!AC688</f>
        <v>0</v>
      </c>
      <c r="AD702" s="344">
        <f>'ALL ML SYSTEMS'!AD688</f>
        <v>0</v>
      </c>
    </row>
    <row r="703" hidden="1" customHeight="1" spans="1:30">
      <c r="A703" s="344">
        <f>'ALL ML SYSTEMS'!A689</f>
        <v>0</v>
      </c>
      <c r="B703" s="344">
        <f>'ALL ML SYSTEMS'!B689</f>
        <v>0</v>
      </c>
      <c r="C703" s="344">
        <f>'ALL ML SYSTEMS'!C689</f>
        <v>0</v>
      </c>
      <c r="D703" s="344">
        <f>'ALL ML SYSTEMS'!D689</f>
        <v>0</v>
      </c>
      <c r="E703" s="344">
        <f>'ALL ML SYSTEMS'!E689</f>
        <v>0</v>
      </c>
      <c r="F703" s="344">
        <f>'ALL ML SYSTEMS'!F689</f>
        <v>0</v>
      </c>
      <c r="G703" s="344">
        <f>'ALL ML SYSTEMS'!G689</f>
        <v>0</v>
      </c>
      <c r="H703" s="344">
        <f>'ALL ML SYSTEMS'!H689</f>
        <v>0</v>
      </c>
      <c r="I703" s="344">
        <f>'ALL ML SYSTEMS'!I689</f>
        <v>0</v>
      </c>
      <c r="J703" s="344">
        <f>'ALL ML SYSTEMS'!J689</f>
        <v>0</v>
      </c>
      <c r="K703" s="344">
        <f>'ALL ML SYSTEMS'!K689</f>
        <v>0</v>
      </c>
      <c r="L703" s="344">
        <f>'ALL ML SYSTEMS'!L689</f>
        <v>0</v>
      </c>
      <c r="M703" s="344">
        <f>'ALL ML SYSTEMS'!M689</f>
        <v>0</v>
      </c>
      <c r="N703" s="344">
        <f>'ALL ML SYSTEMS'!N689</f>
        <v>0</v>
      </c>
      <c r="O703" s="344">
        <f>'ALL ML SYSTEMS'!O689</f>
        <v>0</v>
      </c>
      <c r="P703" s="344">
        <f>'ALL ML SYSTEMS'!P689</f>
        <v>0</v>
      </c>
      <c r="Q703" s="344">
        <f>'ALL ML SYSTEMS'!Q689</f>
        <v>0</v>
      </c>
      <c r="R703" s="344">
        <f>'ALL ML SYSTEMS'!R689</f>
        <v>0</v>
      </c>
      <c r="S703" s="344">
        <f>'ALL ML SYSTEMS'!S689</f>
        <v>0</v>
      </c>
      <c r="T703" s="344">
        <f>'ALL ML SYSTEMS'!T689</f>
        <v>0</v>
      </c>
      <c r="U703" s="344">
        <f>'ALL ML SYSTEMS'!U689</f>
        <v>0</v>
      </c>
      <c r="V703" s="344">
        <f>'ALL ML SYSTEMS'!V689</f>
        <v>0</v>
      </c>
      <c r="W703" s="344">
        <f>'ALL ML SYSTEMS'!W689</f>
        <v>0</v>
      </c>
      <c r="X703" s="344">
        <f>'ALL ML SYSTEMS'!X689</f>
        <v>0</v>
      </c>
      <c r="Y703" s="344">
        <f>'ALL ML SYSTEMS'!Y689</f>
        <v>0</v>
      </c>
      <c r="Z703" s="344">
        <f>'ALL ML SYSTEMS'!Z689</f>
        <v>0</v>
      </c>
      <c r="AA703" s="344">
        <f>'ALL ML SYSTEMS'!AA689</f>
        <v>0</v>
      </c>
      <c r="AB703" s="344"/>
      <c r="AC703" s="344">
        <f>'ALL ML SYSTEMS'!AC689</f>
        <v>0</v>
      </c>
      <c r="AD703" s="344">
        <f>'ALL ML SYSTEMS'!AD689</f>
        <v>0</v>
      </c>
    </row>
    <row r="704" hidden="1" customHeight="1" spans="1:30">
      <c r="A704" s="344">
        <f>'ALL ML SYSTEMS'!A690</f>
        <v>0</v>
      </c>
      <c r="B704" s="344">
        <f>'ALL ML SYSTEMS'!B690</f>
        <v>0</v>
      </c>
      <c r="C704" s="344">
        <f>'ALL ML SYSTEMS'!C690</f>
        <v>0</v>
      </c>
      <c r="D704" s="344">
        <f>'ALL ML SYSTEMS'!D690</f>
        <v>0</v>
      </c>
      <c r="E704" s="344">
        <f>'ALL ML SYSTEMS'!E690</f>
        <v>0</v>
      </c>
      <c r="F704" s="344">
        <f>'ALL ML SYSTEMS'!F690</f>
        <v>0</v>
      </c>
      <c r="G704" s="344">
        <f>'ALL ML SYSTEMS'!G690</f>
        <v>0</v>
      </c>
      <c r="H704" s="344">
        <f>'ALL ML SYSTEMS'!H690</f>
        <v>0</v>
      </c>
      <c r="I704" s="344">
        <f>'ALL ML SYSTEMS'!I690</f>
        <v>0</v>
      </c>
      <c r="J704" s="344">
        <f>'ALL ML SYSTEMS'!J690</f>
        <v>0</v>
      </c>
      <c r="K704" s="344">
        <f>'ALL ML SYSTEMS'!K690</f>
        <v>0</v>
      </c>
      <c r="L704" s="344">
        <f>'ALL ML SYSTEMS'!L690</f>
        <v>0</v>
      </c>
      <c r="M704" s="344">
        <f>'ALL ML SYSTEMS'!M690</f>
        <v>0</v>
      </c>
      <c r="N704" s="344">
        <f>'ALL ML SYSTEMS'!N690</f>
        <v>0</v>
      </c>
      <c r="O704" s="344">
        <f>'ALL ML SYSTEMS'!O690</f>
        <v>0</v>
      </c>
      <c r="P704" s="344">
        <f>'ALL ML SYSTEMS'!P690</f>
        <v>0</v>
      </c>
      <c r="Q704" s="344">
        <f>'ALL ML SYSTEMS'!Q690</f>
        <v>0</v>
      </c>
      <c r="R704" s="344">
        <f>'ALL ML SYSTEMS'!R690</f>
        <v>0</v>
      </c>
      <c r="S704" s="344">
        <f>'ALL ML SYSTEMS'!S690</f>
        <v>0</v>
      </c>
      <c r="T704" s="344">
        <f>'ALL ML SYSTEMS'!T690</f>
        <v>0</v>
      </c>
      <c r="U704" s="344">
        <f>'ALL ML SYSTEMS'!U690</f>
        <v>0</v>
      </c>
      <c r="V704" s="344">
        <f>'ALL ML SYSTEMS'!V690</f>
        <v>0</v>
      </c>
      <c r="W704" s="344">
        <f>'ALL ML SYSTEMS'!W690</f>
        <v>0</v>
      </c>
      <c r="X704" s="344">
        <f>'ALL ML SYSTEMS'!X690</f>
        <v>0</v>
      </c>
      <c r="Y704" s="344">
        <f>'ALL ML SYSTEMS'!Y690</f>
        <v>0</v>
      </c>
      <c r="Z704" s="344">
        <f>'ALL ML SYSTEMS'!Z690</f>
        <v>0</v>
      </c>
      <c r="AA704" s="344">
        <f>'ALL ML SYSTEMS'!AA690</f>
        <v>0</v>
      </c>
      <c r="AB704" s="344"/>
      <c r="AC704" s="344">
        <f>'ALL ML SYSTEMS'!AC690</f>
        <v>0</v>
      </c>
      <c r="AD704" s="344">
        <f>'ALL ML SYSTEMS'!AD690</f>
        <v>0</v>
      </c>
    </row>
    <row r="705" hidden="1" customHeight="1" spans="1:30">
      <c r="A705" s="344">
        <f>'ALL ML SYSTEMS'!A691</f>
        <v>0</v>
      </c>
      <c r="B705" s="344">
        <f>'ALL ML SYSTEMS'!B691</f>
        <v>0</v>
      </c>
      <c r="C705" s="344">
        <f>'ALL ML SYSTEMS'!C691</f>
        <v>0</v>
      </c>
      <c r="D705" s="344">
        <f>'ALL ML SYSTEMS'!D691</f>
        <v>0</v>
      </c>
      <c r="E705" s="344">
        <f>'ALL ML SYSTEMS'!E691</f>
        <v>0</v>
      </c>
      <c r="F705" s="344">
        <f>'ALL ML SYSTEMS'!F691</f>
        <v>0</v>
      </c>
      <c r="G705" s="344">
        <f>'ALL ML SYSTEMS'!G691</f>
        <v>0</v>
      </c>
      <c r="H705" s="344">
        <f>'ALL ML SYSTEMS'!H691</f>
        <v>0</v>
      </c>
      <c r="I705" s="344">
        <f>'ALL ML SYSTEMS'!I691</f>
        <v>0</v>
      </c>
      <c r="J705" s="344">
        <f>'ALL ML SYSTEMS'!J691</f>
        <v>0</v>
      </c>
      <c r="K705" s="344">
        <f>'ALL ML SYSTEMS'!K691</f>
        <v>0</v>
      </c>
      <c r="L705" s="344">
        <f>'ALL ML SYSTEMS'!L691</f>
        <v>0</v>
      </c>
      <c r="M705" s="344">
        <f>'ALL ML SYSTEMS'!M691</f>
        <v>0</v>
      </c>
      <c r="N705" s="344">
        <f>'ALL ML SYSTEMS'!N691</f>
        <v>0</v>
      </c>
      <c r="O705" s="344">
        <f>'ALL ML SYSTEMS'!O691</f>
        <v>0</v>
      </c>
      <c r="P705" s="344">
        <f>'ALL ML SYSTEMS'!P691</f>
        <v>0</v>
      </c>
      <c r="Q705" s="344">
        <f>'ALL ML SYSTEMS'!Q691</f>
        <v>0</v>
      </c>
      <c r="R705" s="344">
        <f>'ALL ML SYSTEMS'!R691</f>
        <v>0</v>
      </c>
      <c r="S705" s="344">
        <f>'ALL ML SYSTEMS'!S691</f>
        <v>0</v>
      </c>
      <c r="T705" s="344">
        <f>'ALL ML SYSTEMS'!T691</f>
        <v>0</v>
      </c>
      <c r="U705" s="344">
        <f>'ALL ML SYSTEMS'!U691</f>
        <v>0</v>
      </c>
      <c r="V705" s="344">
        <f>'ALL ML SYSTEMS'!V691</f>
        <v>0</v>
      </c>
      <c r="W705" s="344">
        <f>'ALL ML SYSTEMS'!W691</f>
        <v>0</v>
      </c>
      <c r="X705" s="344">
        <f>'ALL ML SYSTEMS'!X691</f>
        <v>0</v>
      </c>
      <c r="Y705" s="344">
        <f>'ALL ML SYSTEMS'!Y691</f>
        <v>0</v>
      </c>
      <c r="Z705" s="344">
        <f>'ALL ML SYSTEMS'!Z691</f>
        <v>0</v>
      </c>
      <c r="AA705" s="344">
        <f>'ALL ML SYSTEMS'!AA691</f>
        <v>0</v>
      </c>
      <c r="AB705" s="344"/>
      <c r="AC705" s="344">
        <f>'ALL ML SYSTEMS'!AC691</f>
        <v>0</v>
      </c>
      <c r="AD705" s="344">
        <f>'ALL ML SYSTEMS'!AD691</f>
        <v>0</v>
      </c>
    </row>
    <row r="706" hidden="1" customHeight="1" spans="1:30">
      <c r="A706" s="344">
        <f>'ALL ML SYSTEMS'!A692</f>
        <v>0</v>
      </c>
      <c r="B706" s="344">
        <f>'ALL ML SYSTEMS'!B692</f>
        <v>0</v>
      </c>
      <c r="C706" s="344">
        <f>'ALL ML SYSTEMS'!C692</f>
        <v>0</v>
      </c>
      <c r="D706" s="344">
        <f>'ALL ML SYSTEMS'!D692</f>
        <v>0</v>
      </c>
      <c r="E706" s="344">
        <f>'ALL ML SYSTEMS'!E692</f>
        <v>0</v>
      </c>
      <c r="F706" s="344">
        <f>'ALL ML SYSTEMS'!F692</f>
        <v>0</v>
      </c>
      <c r="G706" s="344">
        <f>'ALL ML SYSTEMS'!G692</f>
        <v>0</v>
      </c>
      <c r="H706" s="344">
        <f>'ALL ML SYSTEMS'!H692</f>
        <v>0</v>
      </c>
      <c r="I706" s="344">
        <f>'ALL ML SYSTEMS'!I692</f>
        <v>0</v>
      </c>
      <c r="J706" s="344">
        <f>'ALL ML SYSTEMS'!J692</f>
        <v>0</v>
      </c>
      <c r="K706" s="344">
        <f>'ALL ML SYSTEMS'!K692</f>
        <v>0</v>
      </c>
      <c r="L706" s="344">
        <f>'ALL ML SYSTEMS'!L692</f>
        <v>0</v>
      </c>
      <c r="M706" s="344">
        <f>'ALL ML SYSTEMS'!M692</f>
        <v>0</v>
      </c>
      <c r="N706" s="344">
        <f>'ALL ML SYSTEMS'!N692</f>
        <v>0</v>
      </c>
      <c r="O706" s="344">
        <f>'ALL ML SYSTEMS'!O692</f>
        <v>0</v>
      </c>
      <c r="P706" s="344">
        <f>'ALL ML SYSTEMS'!P692</f>
        <v>0</v>
      </c>
      <c r="Q706" s="344">
        <f>'ALL ML SYSTEMS'!Q692</f>
        <v>0</v>
      </c>
      <c r="R706" s="344">
        <f>'ALL ML SYSTEMS'!R692</f>
        <v>0</v>
      </c>
      <c r="S706" s="344">
        <f>'ALL ML SYSTEMS'!S692</f>
        <v>0</v>
      </c>
      <c r="T706" s="344">
        <f>'ALL ML SYSTEMS'!T692</f>
        <v>0</v>
      </c>
      <c r="U706" s="344">
        <f>'ALL ML SYSTEMS'!U692</f>
        <v>0</v>
      </c>
      <c r="V706" s="344">
        <f>'ALL ML SYSTEMS'!V692</f>
        <v>0</v>
      </c>
      <c r="W706" s="344">
        <f>'ALL ML SYSTEMS'!W692</f>
        <v>0</v>
      </c>
      <c r="X706" s="344">
        <f>'ALL ML SYSTEMS'!X692</f>
        <v>0</v>
      </c>
      <c r="Y706" s="344">
        <f>'ALL ML SYSTEMS'!Y692</f>
        <v>0</v>
      </c>
      <c r="Z706" s="344">
        <f>'ALL ML SYSTEMS'!Z692</f>
        <v>0</v>
      </c>
      <c r="AA706" s="344">
        <f>'ALL ML SYSTEMS'!AA692</f>
        <v>0</v>
      </c>
      <c r="AB706" s="344"/>
      <c r="AC706" s="344">
        <f>'ALL ML SYSTEMS'!AC692</f>
        <v>0</v>
      </c>
      <c r="AD706" s="344">
        <f>'ALL ML SYSTEMS'!AD692</f>
        <v>0</v>
      </c>
    </row>
    <row r="707" hidden="1" customHeight="1" spans="1:30">
      <c r="A707" s="344">
        <f>'ALL ML SYSTEMS'!A693</f>
        <v>0</v>
      </c>
      <c r="B707" s="344">
        <f>'ALL ML SYSTEMS'!B693</f>
        <v>0</v>
      </c>
      <c r="C707" s="344">
        <f>'ALL ML SYSTEMS'!C693</f>
        <v>0</v>
      </c>
      <c r="D707" s="344">
        <f>'ALL ML SYSTEMS'!D693</f>
        <v>0</v>
      </c>
      <c r="E707" s="344">
        <f>'ALL ML SYSTEMS'!E693</f>
        <v>0</v>
      </c>
      <c r="F707" s="344">
        <f>'ALL ML SYSTEMS'!F693</f>
        <v>0</v>
      </c>
      <c r="G707" s="344">
        <f>'ALL ML SYSTEMS'!G693</f>
        <v>0</v>
      </c>
      <c r="H707" s="344">
        <f>'ALL ML SYSTEMS'!H693</f>
        <v>0</v>
      </c>
      <c r="I707" s="344">
        <f>'ALL ML SYSTEMS'!I693</f>
        <v>0</v>
      </c>
      <c r="J707" s="344">
        <f>'ALL ML SYSTEMS'!J693</f>
        <v>0</v>
      </c>
      <c r="K707" s="344">
        <f>'ALL ML SYSTEMS'!K693</f>
        <v>0</v>
      </c>
      <c r="L707" s="344">
        <f>'ALL ML SYSTEMS'!L693</f>
        <v>0</v>
      </c>
      <c r="M707" s="344">
        <f>'ALL ML SYSTEMS'!M693</f>
        <v>0</v>
      </c>
      <c r="N707" s="344">
        <f>'ALL ML SYSTEMS'!N693</f>
        <v>0</v>
      </c>
      <c r="O707" s="344">
        <f>'ALL ML SYSTEMS'!O693</f>
        <v>0</v>
      </c>
      <c r="P707" s="344">
        <f>'ALL ML SYSTEMS'!P693</f>
        <v>0</v>
      </c>
      <c r="Q707" s="344">
        <f>'ALL ML SYSTEMS'!Q693</f>
        <v>0</v>
      </c>
      <c r="R707" s="344">
        <f>'ALL ML SYSTEMS'!R693</f>
        <v>0</v>
      </c>
      <c r="S707" s="344">
        <f>'ALL ML SYSTEMS'!S693</f>
        <v>0</v>
      </c>
      <c r="T707" s="344">
        <f>'ALL ML SYSTEMS'!T693</f>
        <v>0</v>
      </c>
      <c r="U707" s="344">
        <f>'ALL ML SYSTEMS'!U693</f>
        <v>0</v>
      </c>
      <c r="V707" s="344">
        <f>'ALL ML SYSTEMS'!V693</f>
        <v>0</v>
      </c>
      <c r="W707" s="344">
        <f>'ALL ML SYSTEMS'!W693</f>
        <v>0</v>
      </c>
      <c r="X707" s="344">
        <f>'ALL ML SYSTEMS'!X693</f>
        <v>0</v>
      </c>
      <c r="Y707" s="344">
        <f>'ALL ML SYSTEMS'!Y693</f>
        <v>0</v>
      </c>
      <c r="Z707" s="344">
        <f>'ALL ML SYSTEMS'!Z693</f>
        <v>0</v>
      </c>
      <c r="AA707" s="344">
        <f>'ALL ML SYSTEMS'!AA693</f>
        <v>0</v>
      </c>
      <c r="AB707" s="344"/>
      <c r="AC707" s="344">
        <f>'ALL ML SYSTEMS'!AC693</f>
        <v>0</v>
      </c>
      <c r="AD707" s="344">
        <f>'ALL ML SYSTEMS'!AD693</f>
        <v>0</v>
      </c>
    </row>
    <row r="708" hidden="1" customHeight="1" spans="1:30">
      <c r="A708" s="344">
        <f>'ALL ML SYSTEMS'!A694</f>
        <v>0</v>
      </c>
      <c r="B708" s="344">
        <f>'ALL ML SYSTEMS'!B694</f>
        <v>0</v>
      </c>
      <c r="C708" s="344">
        <f>'ALL ML SYSTEMS'!C694</f>
        <v>0</v>
      </c>
      <c r="D708" s="344">
        <f>'ALL ML SYSTEMS'!D694</f>
        <v>0</v>
      </c>
      <c r="E708" s="344">
        <f>'ALL ML SYSTEMS'!E694</f>
        <v>0</v>
      </c>
      <c r="F708" s="344">
        <f>'ALL ML SYSTEMS'!F694</f>
        <v>0</v>
      </c>
      <c r="G708" s="344">
        <f>'ALL ML SYSTEMS'!G694</f>
        <v>0</v>
      </c>
      <c r="H708" s="344">
        <f>'ALL ML SYSTEMS'!H694</f>
        <v>0</v>
      </c>
      <c r="I708" s="344">
        <f>'ALL ML SYSTEMS'!I694</f>
        <v>0</v>
      </c>
      <c r="J708" s="344">
        <f>'ALL ML SYSTEMS'!J694</f>
        <v>0</v>
      </c>
      <c r="K708" s="344">
        <f>'ALL ML SYSTEMS'!K694</f>
        <v>0</v>
      </c>
      <c r="L708" s="344">
        <f>'ALL ML SYSTEMS'!L694</f>
        <v>0</v>
      </c>
      <c r="M708" s="344">
        <f>'ALL ML SYSTEMS'!M694</f>
        <v>0</v>
      </c>
      <c r="N708" s="344">
        <f>'ALL ML SYSTEMS'!N694</f>
        <v>0</v>
      </c>
      <c r="O708" s="344">
        <f>'ALL ML SYSTEMS'!O694</f>
        <v>0</v>
      </c>
      <c r="P708" s="344">
        <f>'ALL ML SYSTEMS'!P694</f>
        <v>0</v>
      </c>
      <c r="Q708" s="344">
        <f>'ALL ML SYSTEMS'!Q694</f>
        <v>0</v>
      </c>
      <c r="R708" s="344">
        <f>'ALL ML SYSTEMS'!R694</f>
        <v>0</v>
      </c>
      <c r="S708" s="344">
        <f>'ALL ML SYSTEMS'!S694</f>
        <v>0</v>
      </c>
      <c r="T708" s="344">
        <f>'ALL ML SYSTEMS'!T694</f>
        <v>0</v>
      </c>
      <c r="U708" s="344">
        <f>'ALL ML SYSTEMS'!U694</f>
        <v>0</v>
      </c>
      <c r="V708" s="344">
        <f>'ALL ML SYSTEMS'!V694</f>
        <v>0</v>
      </c>
      <c r="W708" s="344">
        <f>'ALL ML SYSTEMS'!W694</f>
        <v>0</v>
      </c>
      <c r="X708" s="344">
        <f>'ALL ML SYSTEMS'!X694</f>
        <v>0</v>
      </c>
      <c r="Y708" s="344">
        <f>'ALL ML SYSTEMS'!Y694</f>
        <v>0</v>
      </c>
      <c r="Z708" s="344">
        <f>'ALL ML SYSTEMS'!Z694</f>
        <v>0</v>
      </c>
      <c r="AA708" s="344">
        <f>'ALL ML SYSTEMS'!AA694</f>
        <v>0</v>
      </c>
      <c r="AB708" s="344"/>
      <c r="AC708" s="344">
        <f>'ALL ML SYSTEMS'!AC694</f>
        <v>0</v>
      </c>
      <c r="AD708" s="344">
        <f>'ALL ML SYSTEMS'!AD694</f>
        <v>0</v>
      </c>
    </row>
    <row r="709" hidden="1" customHeight="1" spans="1:30">
      <c r="A709" s="344">
        <f>'ALL ML SYSTEMS'!A695</f>
        <v>0</v>
      </c>
      <c r="B709" s="344">
        <f>'ALL ML SYSTEMS'!B695</f>
        <v>0</v>
      </c>
      <c r="C709" s="344">
        <f>'ALL ML SYSTEMS'!C695</f>
        <v>0</v>
      </c>
      <c r="D709" s="344">
        <f>'ALL ML SYSTEMS'!D695</f>
        <v>0</v>
      </c>
      <c r="E709" s="344">
        <f>'ALL ML SYSTEMS'!E695</f>
        <v>0</v>
      </c>
      <c r="F709" s="344">
        <f>'ALL ML SYSTEMS'!F695</f>
        <v>0</v>
      </c>
      <c r="G709" s="344">
        <f>'ALL ML SYSTEMS'!G695</f>
        <v>0</v>
      </c>
      <c r="H709" s="344">
        <f>'ALL ML SYSTEMS'!H695</f>
        <v>0</v>
      </c>
      <c r="I709" s="344">
        <f>'ALL ML SYSTEMS'!I695</f>
        <v>0</v>
      </c>
      <c r="J709" s="344">
        <f>'ALL ML SYSTEMS'!J695</f>
        <v>0</v>
      </c>
      <c r="K709" s="344">
        <f>'ALL ML SYSTEMS'!K695</f>
        <v>0</v>
      </c>
      <c r="L709" s="344">
        <f>'ALL ML SYSTEMS'!L695</f>
        <v>0</v>
      </c>
      <c r="M709" s="344">
        <f>'ALL ML SYSTEMS'!M695</f>
        <v>0</v>
      </c>
      <c r="N709" s="344">
        <f>'ALL ML SYSTEMS'!N695</f>
        <v>0</v>
      </c>
      <c r="O709" s="344">
        <f>'ALL ML SYSTEMS'!O695</f>
        <v>0</v>
      </c>
      <c r="P709" s="344">
        <f>'ALL ML SYSTEMS'!P695</f>
        <v>0</v>
      </c>
      <c r="Q709" s="344">
        <f>'ALL ML SYSTEMS'!Q695</f>
        <v>0</v>
      </c>
      <c r="R709" s="344">
        <f>'ALL ML SYSTEMS'!R695</f>
        <v>0</v>
      </c>
      <c r="S709" s="344">
        <f>'ALL ML SYSTEMS'!S695</f>
        <v>0</v>
      </c>
      <c r="T709" s="344">
        <f>'ALL ML SYSTEMS'!T695</f>
        <v>0</v>
      </c>
      <c r="U709" s="344">
        <f>'ALL ML SYSTEMS'!U695</f>
        <v>0</v>
      </c>
      <c r="V709" s="344">
        <f>'ALL ML SYSTEMS'!V695</f>
        <v>0</v>
      </c>
      <c r="W709" s="344">
        <f>'ALL ML SYSTEMS'!W695</f>
        <v>0</v>
      </c>
      <c r="X709" s="344">
        <f>'ALL ML SYSTEMS'!X695</f>
        <v>0</v>
      </c>
      <c r="Y709" s="344">
        <f>'ALL ML SYSTEMS'!Y695</f>
        <v>0</v>
      </c>
      <c r="Z709" s="344">
        <f>'ALL ML SYSTEMS'!Z695</f>
        <v>0</v>
      </c>
      <c r="AA709" s="344">
        <f>'ALL ML SYSTEMS'!AA695</f>
        <v>0</v>
      </c>
      <c r="AB709" s="344"/>
      <c r="AC709" s="344">
        <f>'ALL ML SYSTEMS'!AC695</f>
        <v>0</v>
      </c>
      <c r="AD709" s="344">
        <f>'ALL ML SYSTEMS'!AD695</f>
        <v>0</v>
      </c>
    </row>
    <row r="710" hidden="1" customHeight="1" spans="1:30">
      <c r="A710" s="344">
        <f>'ALL ML SYSTEMS'!A696</f>
        <v>0</v>
      </c>
      <c r="B710" s="344">
        <f>'ALL ML SYSTEMS'!B696</f>
        <v>0</v>
      </c>
      <c r="C710" s="344">
        <f>'ALL ML SYSTEMS'!C696</f>
        <v>0</v>
      </c>
      <c r="D710" s="344">
        <f>'ALL ML SYSTEMS'!D696</f>
        <v>0</v>
      </c>
      <c r="E710" s="344">
        <f>'ALL ML SYSTEMS'!E696</f>
        <v>0</v>
      </c>
      <c r="F710" s="344">
        <f>'ALL ML SYSTEMS'!F696</f>
        <v>0</v>
      </c>
      <c r="G710" s="344">
        <f>'ALL ML SYSTEMS'!G696</f>
        <v>0</v>
      </c>
      <c r="H710" s="344">
        <f>'ALL ML SYSTEMS'!H696</f>
        <v>0</v>
      </c>
      <c r="I710" s="344">
        <f>'ALL ML SYSTEMS'!I696</f>
        <v>0</v>
      </c>
      <c r="J710" s="344">
        <f>'ALL ML SYSTEMS'!J696</f>
        <v>0</v>
      </c>
      <c r="K710" s="344">
        <f>'ALL ML SYSTEMS'!K696</f>
        <v>0</v>
      </c>
      <c r="L710" s="344">
        <f>'ALL ML SYSTEMS'!L696</f>
        <v>0</v>
      </c>
      <c r="M710" s="344">
        <f>'ALL ML SYSTEMS'!M696</f>
        <v>0</v>
      </c>
      <c r="N710" s="344">
        <f>'ALL ML SYSTEMS'!N696</f>
        <v>0</v>
      </c>
      <c r="O710" s="344">
        <f>'ALL ML SYSTEMS'!O696</f>
        <v>0</v>
      </c>
      <c r="P710" s="344">
        <f>'ALL ML SYSTEMS'!P696</f>
        <v>0</v>
      </c>
      <c r="Q710" s="344">
        <f>'ALL ML SYSTEMS'!Q696</f>
        <v>0</v>
      </c>
      <c r="R710" s="344">
        <f>'ALL ML SYSTEMS'!R696</f>
        <v>0</v>
      </c>
      <c r="S710" s="344">
        <f>'ALL ML SYSTEMS'!S696</f>
        <v>0</v>
      </c>
      <c r="T710" s="344">
        <f>'ALL ML SYSTEMS'!T696</f>
        <v>0</v>
      </c>
      <c r="U710" s="344">
        <f>'ALL ML SYSTEMS'!U696</f>
        <v>0</v>
      </c>
      <c r="V710" s="344">
        <f>'ALL ML SYSTEMS'!V696</f>
        <v>0</v>
      </c>
      <c r="W710" s="344">
        <f>'ALL ML SYSTEMS'!W696</f>
        <v>0</v>
      </c>
      <c r="X710" s="344">
        <f>'ALL ML SYSTEMS'!X696</f>
        <v>0</v>
      </c>
      <c r="Y710" s="344">
        <f>'ALL ML SYSTEMS'!Y696</f>
        <v>0</v>
      </c>
      <c r="Z710" s="344">
        <f>'ALL ML SYSTEMS'!Z696</f>
        <v>0</v>
      </c>
      <c r="AA710" s="344">
        <f>'ALL ML SYSTEMS'!AA696</f>
        <v>0</v>
      </c>
      <c r="AB710" s="344"/>
      <c r="AC710" s="344">
        <f>'ALL ML SYSTEMS'!AC696</f>
        <v>0</v>
      </c>
      <c r="AD710" s="344">
        <f>'ALL ML SYSTEMS'!AD696</f>
        <v>0</v>
      </c>
    </row>
    <row r="711" hidden="1" customHeight="1" spans="1:30">
      <c r="A711" s="344">
        <f>'ALL ML SYSTEMS'!A697</f>
        <v>0</v>
      </c>
      <c r="B711" s="344">
        <f>'ALL ML SYSTEMS'!B697</f>
        <v>0</v>
      </c>
      <c r="C711" s="344">
        <f>'ALL ML SYSTEMS'!C697</f>
        <v>0</v>
      </c>
      <c r="D711" s="344">
        <f>'ALL ML SYSTEMS'!D697</f>
        <v>0</v>
      </c>
      <c r="E711" s="344">
        <f>'ALL ML SYSTEMS'!E697</f>
        <v>0</v>
      </c>
      <c r="F711" s="344">
        <f>'ALL ML SYSTEMS'!F697</f>
        <v>0</v>
      </c>
      <c r="G711" s="344">
        <f>'ALL ML SYSTEMS'!G697</f>
        <v>0</v>
      </c>
      <c r="H711" s="344">
        <f>'ALL ML SYSTEMS'!H697</f>
        <v>0</v>
      </c>
      <c r="I711" s="344">
        <f>'ALL ML SYSTEMS'!I697</f>
        <v>0</v>
      </c>
      <c r="J711" s="344">
        <f>'ALL ML SYSTEMS'!J697</f>
        <v>0</v>
      </c>
      <c r="K711" s="344">
        <f>'ALL ML SYSTEMS'!K697</f>
        <v>0</v>
      </c>
      <c r="L711" s="344">
        <f>'ALL ML SYSTEMS'!L697</f>
        <v>0</v>
      </c>
      <c r="M711" s="344">
        <f>'ALL ML SYSTEMS'!M697</f>
        <v>0</v>
      </c>
      <c r="N711" s="344">
        <f>'ALL ML SYSTEMS'!N697</f>
        <v>0</v>
      </c>
      <c r="O711" s="344">
        <f>'ALL ML SYSTEMS'!O697</f>
        <v>0</v>
      </c>
      <c r="P711" s="344">
        <f>'ALL ML SYSTEMS'!P697</f>
        <v>0</v>
      </c>
      <c r="Q711" s="344">
        <f>'ALL ML SYSTEMS'!Q697</f>
        <v>0</v>
      </c>
      <c r="R711" s="344">
        <f>'ALL ML SYSTEMS'!R697</f>
        <v>0</v>
      </c>
      <c r="S711" s="344">
        <f>'ALL ML SYSTEMS'!S697</f>
        <v>0</v>
      </c>
      <c r="T711" s="344">
        <f>'ALL ML SYSTEMS'!T697</f>
        <v>0</v>
      </c>
      <c r="U711" s="344">
        <f>'ALL ML SYSTEMS'!U697</f>
        <v>0</v>
      </c>
      <c r="V711" s="344">
        <f>'ALL ML SYSTEMS'!V697</f>
        <v>0</v>
      </c>
      <c r="W711" s="344">
        <f>'ALL ML SYSTEMS'!W697</f>
        <v>0</v>
      </c>
      <c r="X711" s="344">
        <f>'ALL ML SYSTEMS'!X697</f>
        <v>0</v>
      </c>
      <c r="Y711" s="344">
        <f>'ALL ML SYSTEMS'!Y697</f>
        <v>0</v>
      </c>
      <c r="Z711" s="344">
        <f>'ALL ML SYSTEMS'!Z697</f>
        <v>0</v>
      </c>
      <c r="AA711" s="344">
        <f>'ALL ML SYSTEMS'!AA697</f>
        <v>0</v>
      </c>
      <c r="AB711" s="344"/>
      <c r="AC711" s="344">
        <f>'ALL ML SYSTEMS'!AC697</f>
        <v>0</v>
      </c>
      <c r="AD711" s="344">
        <f>'ALL ML SYSTEMS'!AD697</f>
        <v>0</v>
      </c>
    </row>
    <row r="712" hidden="1" customHeight="1" spans="1:30">
      <c r="A712" s="344">
        <f>'ALL ML SYSTEMS'!A698</f>
        <v>0</v>
      </c>
      <c r="B712" s="344">
        <f>'ALL ML SYSTEMS'!B698</f>
        <v>0</v>
      </c>
      <c r="C712" s="344">
        <f>'ALL ML SYSTEMS'!C698</f>
        <v>0</v>
      </c>
      <c r="D712" s="344">
        <f>'ALL ML SYSTEMS'!D698</f>
        <v>0</v>
      </c>
      <c r="E712" s="344">
        <f>'ALL ML SYSTEMS'!E698</f>
        <v>0</v>
      </c>
      <c r="F712" s="344">
        <f>'ALL ML SYSTEMS'!F698</f>
        <v>0</v>
      </c>
      <c r="G712" s="344">
        <f>'ALL ML SYSTEMS'!G698</f>
        <v>0</v>
      </c>
      <c r="H712" s="344">
        <f>'ALL ML SYSTEMS'!H698</f>
        <v>0</v>
      </c>
      <c r="I712" s="344">
        <f>'ALL ML SYSTEMS'!I698</f>
        <v>0</v>
      </c>
      <c r="J712" s="344">
        <f>'ALL ML SYSTEMS'!J698</f>
        <v>0</v>
      </c>
      <c r="K712" s="344">
        <f>'ALL ML SYSTEMS'!K698</f>
        <v>0</v>
      </c>
      <c r="L712" s="344">
        <f>'ALL ML SYSTEMS'!L698</f>
        <v>0</v>
      </c>
      <c r="M712" s="344">
        <f>'ALL ML SYSTEMS'!M698</f>
        <v>0</v>
      </c>
      <c r="N712" s="344">
        <f>'ALL ML SYSTEMS'!N698</f>
        <v>0</v>
      </c>
      <c r="O712" s="344">
        <f>'ALL ML SYSTEMS'!O698</f>
        <v>0</v>
      </c>
      <c r="P712" s="344">
        <f>'ALL ML SYSTEMS'!P698</f>
        <v>0</v>
      </c>
      <c r="Q712" s="344">
        <f>'ALL ML SYSTEMS'!Q698</f>
        <v>0</v>
      </c>
      <c r="R712" s="344">
        <f>'ALL ML SYSTEMS'!R698</f>
        <v>0</v>
      </c>
      <c r="S712" s="344">
        <f>'ALL ML SYSTEMS'!S698</f>
        <v>0</v>
      </c>
      <c r="T712" s="344">
        <f>'ALL ML SYSTEMS'!T698</f>
        <v>0</v>
      </c>
      <c r="U712" s="344">
        <f>'ALL ML SYSTEMS'!U698</f>
        <v>0</v>
      </c>
      <c r="V712" s="344">
        <f>'ALL ML SYSTEMS'!V698</f>
        <v>0</v>
      </c>
      <c r="W712" s="344">
        <f>'ALL ML SYSTEMS'!W698</f>
        <v>0</v>
      </c>
      <c r="X712" s="344">
        <f>'ALL ML SYSTEMS'!X698</f>
        <v>0</v>
      </c>
      <c r="Y712" s="344">
        <f>'ALL ML SYSTEMS'!Y698</f>
        <v>0</v>
      </c>
      <c r="Z712" s="344">
        <f>'ALL ML SYSTEMS'!Z698</f>
        <v>0</v>
      </c>
      <c r="AA712" s="344">
        <f>'ALL ML SYSTEMS'!AA698</f>
        <v>0</v>
      </c>
      <c r="AB712" s="344"/>
      <c r="AC712" s="344">
        <f>'ALL ML SYSTEMS'!AC698</f>
        <v>0</v>
      </c>
      <c r="AD712" s="344">
        <f>'ALL ML SYSTEMS'!AD698</f>
        <v>0</v>
      </c>
    </row>
    <row r="713" hidden="1" customHeight="1" spans="1:30">
      <c r="A713" s="344">
        <f>'ALL ML SYSTEMS'!A699</f>
        <v>0</v>
      </c>
      <c r="B713" s="344">
        <f>'ALL ML SYSTEMS'!B699</f>
        <v>0</v>
      </c>
      <c r="C713" s="344">
        <f>'ALL ML SYSTEMS'!C699</f>
        <v>0</v>
      </c>
      <c r="D713" s="344">
        <f>'ALL ML SYSTEMS'!D699</f>
        <v>0</v>
      </c>
      <c r="E713" s="344">
        <f>'ALL ML SYSTEMS'!E699</f>
        <v>0</v>
      </c>
      <c r="F713" s="344">
        <f>'ALL ML SYSTEMS'!F699</f>
        <v>0</v>
      </c>
      <c r="G713" s="344">
        <f>'ALL ML SYSTEMS'!G699</f>
        <v>0</v>
      </c>
      <c r="H713" s="344">
        <f>'ALL ML SYSTEMS'!H699</f>
        <v>0</v>
      </c>
      <c r="I713" s="344">
        <f>'ALL ML SYSTEMS'!I699</f>
        <v>0</v>
      </c>
      <c r="J713" s="344">
        <f>'ALL ML SYSTEMS'!J699</f>
        <v>0</v>
      </c>
      <c r="K713" s="344">
        <f>'ALL ML SYSTEMS'!K699</f>
        <v>0</v>
      </c>
      <c r="L713" s="344">
        <f>'ALL ML SYSTEMS'!L699</f>
        <v>0</v>
      </c>
      <c r="M713" s="344">
        <f>'ALL ML SYSTEMS'!M699</f>
        <v>0</v>
      </c>
      <c r="N713" s="344">
        <f>'ALL ML SYSTEMS'!N699</f>
        <v>0</v>
      </c>
      <c r="O713" s="344">
        <f>'ALL ML SYSTEMS'!O699</f>
        <v>0</v>
      </c>
      <c r="P713" s="344">
        <f>'ALL ML SYSTEMS'!P699</f>
        <v>0</v>
      </c>
      <c r="Q713" s="344">
        <f>'ALL ML SYSTEMS'!Q699</f>
        <v>0</v>
      </c>
      <c r="R713" s="344">
        <f>'ALL ML SYSTEMS'!R699</f>
        <v>0</v>
      </c>
      <c r="S713" s="344">
        <f>'ALL ML SYSTEMS'!S699</f>
        <v>0</v>
      </c>
      <c r="T713" s="344">
        <f>'ALL ML SYSTEMS'!T699</f>
        <v>0</v>
      </c>
      <c r="U713" s="344">
        <f>'ALL ML SYSTEMS'!U699</f>
        <v>0</v>
      </c>
      <c r="V713" s="344">
        <f>'ALL ML SYSTEMS'!V699</f>
        <v>0</v>
      </c>
      <c r="W713" s="344">
        <f>'ALL ML SYSTEMS'!W699</f>
        <v>0</v>
      </c>
      <c r="X713" s="344">
        <f>'ALL ML SYSTEMS'!X699</f>
        <v>0</v>
      </c>
      <c r="Y713" s="344">
        <f>'ALL ML SYSTEMS'!Y699</f>
        <v>0</v>
      </c>
      <c r="Z713" s="344">
        <f>'ALL ML SYSTEMS'!Z699</f>
        <v>0</v>
      </c>
      <c r="AA713" s="344">
        <f>'ALL ML SYSTEMS'!AA699</f>
        <v>0</v>
      </c>
      <c r="AB713" s="344"/>
      <c r="AC713" s="344">
        <f>'ALL ML SYSTEMS'!AC699</f>
        <v>0</v>
      </c>
      <c r="AD713" s="344">
        <f>'ALL ML SYSTEMS'!AD699</f>
        <v>0</v>
      </c>
    </row>
    <row r="714" hidden="1" customHeight="1" spans="1:30">
      <c r="A714" s="344">
        <f>'ALL ML SYSTEMS'!A700</f>
        <v>0</v>
      </c>
      <c r="B714" s="344">
        <f>'ALL ML SYSTEMS'!B700</f>
        <v>0</v>
      </c>
      <c r="C714" s="344">
        <f>'ALL ML SYSTEMS'!C700</f>
        <v>0</v>
      </c>
      <c r="D714" s="344">
        <f>'ALL ML SYSTEMS'!D700</f>
        <v>0</v>
      </c>
      <c r="E714" s="344">
        <f>'ALL ML SYSTEMS'!E700</f>
        <v>0</v>
      </c>
      <c r="F714" s="344">
        <f>'ALL ML SYSTEMS'!F700</f>
        <v>0</v>
      </c>
      <c r="G714" s="344">
        <f>'ALL ML SYSTEMS'!G700</f>
        <v>0</v>
      </c>
      <c r="H714" s="344">
        <f>'ALL ML SYSTEMS'!H700</f>
        <v>0</v>
      </c>
      <c r="I714" s="344">
        <f>'ALL ML SYSTEMS'!I700</f>
        <v>0</v>
      </c>
      <c r="J714" s="344">
        <f>'ALL ML SYSTEMS'!J700</f>
        <v>0</v>
      </c>
      <c r="K714" s="344">
        <f>'ALL ML SYSTEMS'!K700</f>
        <v>0</v>
      </c>
      <c r="L714" s="344">
        <f>'ALL ML SYSTEMS'!L700</f>
        <v>0</v>
      </c>
      <c r="M714" s="344">
        <f>'ALL ML SYSTEMS'!M700</f>
        <v>0</v>
      </c>
      <c r="N714" s="344">
        <f>'ALL ML SYSTEMS'!N700</f>
        <v>0</v>
      </c>
      <c r="O714" s="344">
        <f>'ALL ML SYSTEMS'!O700</f>
        <v>0</v>
      </c>
      <c r="P714" s="344">
        <f>'ALL ML SYSTEMS'!P700</f>
        <v>0</v>
      </c>
      <c r="Q714" s="344">
        <f>'ALL ML SYSTEMS'!Q700</f>
        <v>0</v>
      </c>
      <c r="R714" s="344">
        <f>'ALL ML SYSTEMS'!R700</f>
        <v>0</v>
      </c>
      <c r="S714" s="344">
        <f>'ALL ML SYSTEMS'!S700</f>
        <v>0</v>
      </c>
      <c r="T714" s="344">
        <f>'ALL ML SYSTEMS'!T700</f>
        <v>0</v>
      </c>
      <c r="U714" s="344">
        <f>'ALL ML SYSTEMS'!U700</f>
        <v>0</v>
      </c>
      <c r="V714" s="344">
        <f>'ALL ML SYSTEMS'!V700</f>
        <v>0</v>
      </c>
      <c r="W714" s="344">
        <f>'ALL ML SYSTEMS'!W700</f>
        <v>0</v>
      </c>
      <c r="X714" s="344">
        <f>'ALL ML SYSTEMS'!X700</f>
        <v>0</v>
      </c>
      <c r="Y714" s="344">
        <f>'ALL ML SYSTEMS'!Y700</f>
        <v>0</v>
      </c>
      <c r="Z714" s="344">
        <f>'ALL ML SYSTEMS'!Z700</f>
        <v>0</v>
      </c>
      <c r="AA714" s="344">
        <f>'ALL ML SYSTEMS'!AA700</f>
        <v>0</v>
      </c>
      <c r="AB714" s="344"/>
      <c r="AC714" s="344">
        <f>'ALL ML SYSTEMS'!AC700</f>
        <v>0</v>
      </c>
      <c r="AD714" s="344">
        <f>'ALL ML SYSTEMS'!AD700</f>
        <v>0</v>
      </c>
    </row>
    <row r="715" hidden="1" customHeight="1" spans="1:30">
      <c r="A715" s="344">
        <f>'ALL ML SYSTEMS'!A701</f>
        <v>0</v>
      </c>
      <c r="B715" s="344">
        <f>'ALL ML SYSTEMS'!B701</f>
        <v>0</v>
      </c>
      <c r="C715" s="344">
        <f>'ALL ML SYSTEMS'!C701</f>
        <v>0</v>
      </c>
      <c r="D715" s="344">
        <f>'ALL ML SYSTEMS'!D701</f>
        <v>0</v>
      </c>
      <c r="E715" s="344">
        <f>'ALL ML SYSTEMS'!E701</f>
        <v>0</v>
      </c>
      <c r="F715" s="344">
        <f>'ALL ML SYSTEMS'!F701</f>
        <v>0</v>
      </c>
      <c r="G715" s="344">
        <f>'ALL ML SYSTEMS'!G701</f>
        <v>0</v>
      </c>
      <c r="H715" s="344">
        <f>'ALL ML SYSTEMS'!H701</f>
        <v>0</v>
      </c>
      <c r="I715" s="344">
        <f>'ALL ML SYSTEMS'!I701</f>
        <v>0</v>
      </c>
      <c r="J715" s="344">
        <f>'ALL ML SYSTEMS'!J701</f>
        <v>0</v>
      </c>
      <c r="K715" s="344">
        <f>'ALL ML SYSTEMS'!K701</f>
        <v>0</v>
      </c>
      <c r="L715" s="344">
        <f>'ALL ML SYSTEMS'!L701</f>
        <v>0</v>
      </c>
      <c r="M715" s="344">
        <f>'ALL ML SYSTEMS'!M701</f>
        <v>0</v>
      </c>
      <c r="N715" s="344">
        <f>'ALL ML SYSTEMS'!N701</f>
        <v>0</v>
      </c>
      <c r="O715" s="344">
        <f>'ALL ML SYSTEMS'!O701</f>
        <v>0</v>
      </c>
      <c r="P715" s="344">
        <f>'ALL ML SYSTEMS'!P701</f>
        <v>0</v>
      </c>
      <c r="Q715" s="344">
        <f>'ALL ML SYSTEMS'!Q701</f>
        <v>0</v>
      </c>
      <c r="R715" s="344">
        <f>'ALL ML SYSTEMS'!R701</f>
        <v>0</v>
      </c>
      <c r="S715" s="344">
        <f>'ALL ML SYSTEMS'!S701</f>
        <v>0</v>
      </c>
      <c r="T715" s="344">
        <f>'ALL ML SYSTEMS'!T701</f>
        <v>0</v>
      </c>
      <c r="U715" s="344">
        <f>'ALL ML SYSTEMS'!U701</f>
        <v>0</v>
      </c>
      <c r="V715" s="344">
        <f>'ALL ML SYSTEMS'!V701</f>
        <v>0</v>
      </c>
      <c r="W715" s="344">
        <f>'ALL ML SYSTEMS'!W701</f>
        <v>0</v>
      </c>
      <c r="X715" s="344">
        <f>'ALL ML SYSTEMS'!X701</f>
        <v>0</v>
      </c>
      <c r="Y715" s="344">
        <f>'ALL ML SYSTEMS'!Y701</f>
        <v>0</v>
      </c>
      <c r="Z715" s="344">
        <f>'ALL ML SYSTEMS'!Z701</f>
        <v>0</v>
      </c>
      <c r="AA715" s="344">
        <f>'ALL ML SYSTEMS'!AA701</f>
        <v>0</v>
      </c>
      <c r="AB715" s="344"/>
      <c r="AC715" s="344">
        <f>'ALL ML SYSTEMS'!AC701</f>
        <v>0</v>
      </c>
      <c r="AD715" s="344">
        <f>'ALL ML SYSTEMS'!AD701</f>
        <v>0</v>
      </c>
    </row>
    <row r="716" hidden="1" customHeight="1" spans="1:30">
      <c r="A716" s="344">
        <f>'ALL ML SYSTEMS'!A702</f>
        <v>0</v>
      </c>
      <c r="B716" s="344">
        <f>'ALL ML SYSTEMS'!B702</f>
        <v>0</v>
      </c>
      <c r="C716" s="344">
        <f>'ALL ML SYSTEMS'!C702</f>
        <v>0</v>
      </c>
      <c r="D716" s="344">
        <f>'ALL ML SYSTEMS'!D702</f>
        <v>0</v>
      </c>
      <c r="E716" s="344">
        <f>'ALL ML SYSTEMS'!E702</f>
        <v>0</v>
      </c>
      <c r="F716" s="344">
        <f>'ALL ML SYSTEMS'!F702</f>
        <v>0</v>
      </c>
      <c r="G716" s="344">
        <f>'ALL ML SYSTEMS'!G702</f>
        <v>0</v>
      </c>
      <c r="H716" s="344">
        <f>'ALL ML SYSTEMS'!H702</f>
        <v>0</v>
      </c>
      <c r="I716" s="344">
        <f>'ALL ML SYSTEMS'!I702</f>
        <v>0</v>
      </c>
      <c r="J716" s="344">
        <f>'ALL ML SYSTEMS'!J702</f>
        <v>0</v>
      </c>
      <c r="K716" s="344">
        <f>'ALL ML SYSTEMS'!K702</f>
        <v>0</v>
      </c>
      <c r="L716" s="344">
        <f>'ALL ML SYSTEMS'!L702</f>
        <v>0</v>
      </c>
      <c r="M716" s="344">
        <f>'ALL ML SYSTEMS'!M702</f>
        <v>0</v>
      </c>
      <c r="N716" s="344">
        <f>'ALL ML SYSTEMS'!N702</f>
        <v>0</v>
      </c>
      <c r="O716" s="344">
        <f>'ALL ML SYSTEMS'!O702</f>
        <v>0</v>
      </c>
      <c r="P716" s="344">
        <f>'ALL ML SYSTEMS'!P702</f>
        <v>0</v>
      </c>
      <c r="Q716" s="344">
        <f>'ALL ML SYSTEMS'!Q702</f>
        <v>0</v>
      </c>
      <c r="R716" s="344">
        <f>'ALL ML SYSTEMS'!R702</f>
        <v>0</v>
      </c>
      <c r="S716" s="344">
        <f>'ALL ML SYSTEMS'!S702</f>
        <v>0</v>
      </c>
      <c r="T716" s="344">
        <f>'ALL ML SYSTEMS'!T702</f>
        <v>0</v>
      </c>
      <c r="U716" s="344">
        <f>'ALL ML SYSTEMS'!U702</f>
        <v>0</v>
      </c>
      <c r="V716" s="344">
        <f>'ALL ML SYSTEMS'!V702</f>
        <v>0</v>
      </c>
      <c r="W716" s="344">
        <f>'ALL ML SYSTEMS'!W702</f>
        <v>0</v>
      </c>
      <c r="X716" s="344">
        <f>'ALL ML SYSTEMS'!X702</f>
        <v>0</v>
      </c>
      <c r="Y716" s="344">
        <f>'ALL ML SYSTEMS'!Y702</f>
        <v>0</v>
      </c>
      <c r="Z716" s="344">
        <f>'ALL ML SYSTEMS'!Z702</f>
        <v>0</v>
      </c>
      <c r="AA716" s="344">
        <f>'ALL ML SYSTEMS'!AA702</f>
        <v>0</v>
      </c>
      <c r="AB716" s="344"/>
      <c r="AC716" s="344">
        <f>'ALL ML SYSTEMS'!AC702</f>
        <v>0</v>
      </c>
      <c r="AD716" s="344">
        <f>'ALL ML SYSTEMS'!AD702</f>
        <v>0</v>
      </c>
    </row>
    <row r="717" hidden="1" customHeight="1" spans="1:30">
      <c r="A717" s="344">
        <f>'ALL ML SYSTEMS'!A703</f>
        <v>0</v>
      </c>
      <c r="B717" s="344">
        <f>'ALL ML SYSTEMS'!B703</f>
        <v>0</v>
      </c>
      <c r="C717" s="344">
        <f>'ALL ML SYSTEMS'!C703</f>
        <v>0</v>
      </c>
      <c r="D717" s="344">
        <f>'ALL ML SYSTEMS'!D703</f>
        <v>0</v>
      </c>
      <c r="E717" s="344">
        <f>'ALL ML SYSTEMS'!E703</f>
        <v>0</v>
      </c>
      <c r="F717" s="344">
        <f>'ALL ML SYSTEMS'!F703</f>
        <v>0</v>
      </c>
      <c r="G717" s="344">
        <f>'ALL ML SYSTEMS'!G703</f>
        <v>0</v>
      </c>
      <c r="H717" s="344">
        <f>'ALL ML SYSTEMS'!H703</f>
        <v>0</v>
      </c>
      <c r="I717" s="344">
        <f>'ALL ML SYSTEMS'!I703</f>
        <v>0</v>
      </c>
      <c r="J717" s="344">
        <f>'ALL ML SYSTEMS'!J703</f>
        <v>0</v>
      </c>
      <c r="K717" s="344">
        <f>'ALL ML SYSTEMS'!K703</f>
        <v>0</v>
      </c>
      <c r="L717" s="344">
        <f>'ALL ML SYSTEMS'!L703</f>
        <v>0</v>
      </c>
      <c r="M717" s="344">
        <f>'ALL ML SYSTEMS'!M703</f>
        <v>0</v>
      </c>
      <c r="N717" s="344">
        <f>'ALL ML SYSTEMS'!N703</f>
        <v>0</v>
      </c>
      <c r="O717" s="344">
        <f>'ALL ML SYSTEMS'!O703</f>
        <v>0</v>
      </c>
      <c r="P717" s="344">
        <f>'ALL ML SYSTEMS'!P703</f>
        <v>0</v>
      </c>
      <c r="Q717" s="344">
        <f>'ALL ML SYSTEMS'!Q703</f>
        <v>0</v>
      </c>
      <c r="R717" s="344">
        <f>'ALL ML SYSTEMS'!R703</f>
        <v>0</v>
      </c>
      <c r="S717" s="344">
        <f>'ALL ML SYSTEMS'!S703</f>
        <v>0</v>
      </c>
      <c r="T717" s="344">
        <f>'ALL ML SYSTEMS'!T703</f>
        <v>0</v>
      </c>
      <c r="U717" s="344">
        <f>'ALL ML SYSTEMS'!U703</f>
        <v>0</v>
      </c>
      <c r="V717" s="344">
        <f>'ALL ML SYSTEMS'!V703</f>
        <v>0</v>
      </c>
      <c r="W717" s="344">
        <f>'ALL ML SYSTEMS'!W703</f>
        <v>0</v>
      </c>
      <c r="X717" s="344">
        <f>'ALL ML SYSTEMS'!X703</f>
        <v>0</v>
      </c>
      <c r="Y717" s="344">
        <f>'ALL ML SYSTEMS'!Y703</f>
        <v>0</v>
      </c>
      <c r="Z717" s="344">
        <f>'ALL ML SYSTEMS'!Z703</f>
        <v>0</v>
      </c>
      <c r="AA717" s="344">
        <f>'ALL ML SYSTEMS'!AA703</f>
        <v>0</v>
      </c>
      <c r="AB717" s="344"/>
      <c r="AC717" s="344">
        <f>'ALL ML SYSTEMS'!AC703</f>
        <v>0</v>
      </c>
      <c r="AD717" s="344">
        <f>'ALL ML SYSTEMS'!AD703</f>
        <v>0</v>
      </c>
    </row>
    <row r="718" hidden="1" customHeight="1" spans="1:30">
      <c r="A718" s="344">
        <f>'ALL ML SYSTEMS'!A704</f>
        <v>0</v>
      </c>
      <c r="B718" s="344">
        <f>'ALL ML SYSTEMS'!B704</f>
        <v>0</v>
      </c>
      <c r="C718" s="344">
        <f>'ALL ML SYSTEMS'!C704</f>
        <v>0</v>
      </c>
      <c r="D718" s="344">
        <f>'ALL ML SYSTEMS'!D704</f>
        <v>0</v>
      </c>
      <c r="E718" s="344">
        <f>'ALL ML SYSTEMS'!E704</f>
        <v>0</v>
      </c>
      <c r="F718" s="344">
        <f>'ALL ML SYSTEMS'!F704</f>
        <v>0</v>
      </c>
      <c r="G718" s="344">
        <f>'ALL ML SYSTEMS'!G704</f>
        <v>0</v>
      </c>
      <c r="H718" s="344">
        <f>'ALL ML SYSTEMS'!H704</f>
        <v>0</v>
      </c>
      <c r="I718" s="344">
        <f>'ALL ML SYSTEMS'!I704</f>
        <v>0</v>
      </c>
      <c r="J718" s="344">
        <f>'ALL ML SYSTEMS'!J704</f>
        <v>0</v>
      </c>
      <c r="K718" s="344">
        <f>'ALL ML SYSTEMS'!K704</f>
        <v>0</v>
      </c>
      <c r="L718" s="344">
        <f>'ALL ML SYSTEMS'!L704</f>
        <v>0</v>
      </c>
      <c r="M718" s="344">
        <f>'ALL ML SYSTEMS'!M704</f>
        <v>0</v>
      </c>
      <c r="N718" s="344">
        <f>'ALL ML SYSTEMS'!N704</f>
        <v>0</v>
      </c>
      <c r="O718" s="344">
        <f>'ALL ML SYSTEMS'!O704</f>
        <v>0</v>
      </c>
      <c r="P718" s="344">
        <f>'ALL ML SYSTEMS'!P704</f>
        <v>0</v>
      </c>
      <c r="Q718" s="344">
        <f>'ALL ML SYSTEMS'!Q704</f>
        <v>0</v>
      </c>
      <c r="R718" s="344">
        <f>'ALL ML SYSTEMS'!R704</f>
        <v>0</v>
      </c>
      <c r="S718" s="344">
        <f>'ALL ML SYSTEMS'!S704</f>
        <v>0</v>
      </c>
      <c r="T718" s="344">
        <f>'ALL ML SYSTEMS'!T704</f>
        <v>0</v>
      </c>
      <c r="U718" s="344">
        <f>'ALL ML SYSTEMS'!U704</f>
        <v>0</v>
      </c>
      <c r="V718" s="344">
        <f>'ALL ML SYSTEMS'!V704</f>
        <v>0</v>
      </c>
      <c r="W718" s="344">
        <f>'ALL ML SYSTEMS'!W704</f>
        <v>0</v>
      </c>
      <c r="X718" s="344">
        <f>'ALL ML SYSTEMS'!X704</f>
        <v>0</v>
      </c>
      <c r="Y718" s="344">
        <f>'ALL ML SYSTEMS'!Y704</f>
        <v>0</v>
      </c>
      <c r="Z718" s="344">
        <f>'ALL ML SYSTEMS'!Z704</f>
        <v>0</v>
      </c>
      <c r="AA718" s="344">
        <f>'ALL ML SYSTEMS'!AA704</f>
        <v>0</v>
      </c>
      <c r="AB718" s="344"/>
      <c r="AC718" s="344">
        <f>'ALL ML SYSTEMS'!AC704</f>
        <v>0</v>
      </c>
      <c r="AD718" s="344">
        <f>'ALL ML SYSTEMS'!AD704</f>
        <v>0</v>
      </c>
    </row>
    <row r="719" hidden="1" customHeight="1" spans="1:30">
      <c r="A719" s="344">
        <f>'ALL ML SYSTEMS'!A705</f>
        <v>0</v>
      </c>
      <c r="B719" s="344">
        <f>'ALL ML SYSTEMS'!B705</f>
        <v>0</v>
      </c>
      <c r="C719" s="344">
        <f>'ALL ML SYSTEMS'!C705</f>
        <v>0</v>
      </c>
      <c r="D719" s="344">
        <f>'ALL ML SYSTEMS'!D705</f>
        <v>0</v>
      </c>
      <c r="E719" s="344">
        <f>'ALL ML SYSTEMS'!E705</f>
        <v>0</v>
      </c>
      <c r="F719" s="344">
        <f>'ALL ML SYSTEMS'!F705</f>
        <v>0</v>
      </c>
      <c r="G719" s="344">
        <f>'ALL ML SYSTEMS'!G705</f>
        <v>0</v>
      </c>
      <c r="H719" s="344">
        <f>'ALL ML SYSTEMS'!H705</f>
        <v>0</v>
      </c>
      <c r="I719" s="344">
        <f>'ALL ML SYSTEMS'!I705</f>
        <v>0</v>
      </c>
      <c r="J719" s="344">
        <f>'ALL ML SYSTEMS'!J705</f>
        <v>0</v>
      </c>
      <c r="K719" s="344">
        <f>'ALL ML SYSTEMS'!K705</f>
        <v>0</v>
      </c>
      <c r="L719" s="344">
        <f>'ALL ML SYSTEMS'!L705</f>
        <v>0</v>
      </c>
      <c r="M719" s="344">
        <f>'ALL ML SYSTEMS'!M705</f>
        <v>0</v>
      </c>
      <c r="N719" s="344">
        <f>'ALL ML SYSTEMS'!N705</f>
        <v>0</v>
      </c>
      <c r="O719" s="344">
        <f>'ALL ML SYSTEMS'!O705</f>
        <v>0</v>
      </c>
      <c r="P719" s="344">
        <f>'ALL ML SYSTEMS'!P705</f>
        <v>0</v>
      </c>
      <c r="Q719" s="344">
        <f>'ALL ML SYSTEMS'!Q705</f>
        <v>0</v>
      </c>
      <c r="R719" s="344">
        <f>'ALL ML SYSTEMS'!R705</f>
        <v>0</v>
      </c>
      <c r="S719" s="344">
        <f>'ALL ML SYSTEMS'!S705</f>
        <v>0</v>
      </c>
      <c r="T719" s="344">
        <f>'ALL ML SYSTEMS'!T705</f>
        <v>0</v>
      </c>
      <c r="U719" s="344">
        <f>'ALL ML SYSTEMS'!U705</f>
        <v>0</v>
      </c>
      <c r="V719" s="344">
        <f>'ALL ML SYSTEMS'!V705</f>
        <v>0</v>
      </c>
      <c r="W719" s="344">
        <f>'ALL ML SYSTEMS'!W705</f>
        <v>0</v>
      </c>
      <c r="X719" s="344">
        <f>'ALL ML SYSTEMS'!X705</f>
        <v>0</v>
      </c>
      <c r="Y719" s="344">
        <f>'ALL ML SYSTEMS'!Y705</f>
        <v>0</v>
      </c>
      <c r="Z719" s="344">
        <f>'ALL ML SYSTEMS'!Z705</f>
        <v>0</v>
      </c>
      <c r="AA719" s="344">
        <f>'ALL ML SYSTEMS'!AA705</f>
        <v>0</v>
      </c>
      <c r="AB719" s="344"/>
      <c r="AC719" s="344">
        <f>'ALL ML SYSTEMS'!AC705</f>
        <v>0</v>
      </c>
      <c r="AD719" s="344">
        <f>'ALL ML SYSTEMS'!AD705</f>
        <v>0</v>
      </c>
    </row>
    <row r="720" hidden="1" customHeight="1" spans="1:30">
      <c r="A720" s="344">
        <f>'ALL ML SYSTEMS'!A706</f>
        <v>0</v>
      </c>
      <c r="B720" s="344">
        <f>'ALL ML SYSTEMS'!B706</f>
        <v>0</v>
      </c>
      <c r="C720" s="344">
        <f>'ALL ML SYSTEMS'!C706</f>
        <v>0</v>
      </c>
      <c r="D720" s="344">
        <f>'ALL ML SYSTEMS'!D706</f>
        <v>0</v>
      </c>
      <c r="E720" s="344">
        <f>'ALL ML SYSTEMS'!E706</f>
        <v>0</v>
      </c>
      <c r="F720" s="344">
        <f>'ALL ML SYSTEMS'!F706</f>
        <v>0</v>
      </c>
      <c r="G720" s="344">
        <f>'ALL ML SYSTEMS'!G706</f>
        <v>0</v>
      </c>
      <c r="H720" s="344">
        <f>'ALL ML SYSTEMS'!H706</f>
        <v>0</v>
      </c>
      <c r="I720" s="344">
        <f>'ALL ML SYSTEMS'!I706</f>
        <v>0</v>
      </c>
      <c r="J720" s="344">
        <f>'ALL ML SYSTEMS'!J706</f>
        <v>0</v>
      </c>
      <c r="K720" s="344">
        <f>'ALL ML SYSTEMS'!K706</f>
        <v>0</v>
      </c>
      <c r="L720" s="344">
        <f>'ALL ML SYSTEMS'!L706</f>
        <v>0</v>
      </c>
      <c r="M720" s="344">
        <f>'ALL ML SYSTEMS'!M706</f>
        <v>0</v>
      </c>
      <c r="N720" s="344">
        <f>'ALL ML SYSTEMS'!N706</f>
        <v>0</v>
      </c>
      <c r="O720" s="344">
        <f>'ALL ML SYSTEMS'!O706</f>
        <v>0</v>
      </c>
      <c r="P720" s="344">
        <f>'ALL ML SYSTEMS'!P706</f>
        <v>0</v>
      </c>
      <c r="Q720" s="344">
        <f>'ALL ML SYSTEMS'!Q706</f>
        <v>0</v>
      </c>
      <c r="R720" s="344">
        <f>'ALL ML SYSTEMS'!R706</f>
        <v>0</v>
      </c>
      <c r="S720" s="344">
        <f>'ALL ML SYSTEMS'!S706</f>
        <v>0</v>
      </c>
      <c r="T720" s="344">
        <f>'ALL ML SYSTEMS'!T706</f>
        <v>0</v>
      </c>
      <c r="U720" s="344">
        <f>'ALL ML SYSTEMS'!U706</f>
        <v>0</v>
      </c>
      <c r="V720" s="344">
        <f>'ALL ML SYSTEMS'!V706</f>
        <v>0</v>
      </c>
      <c r="W720" s="344">
        <f>'ALL ML SYSTEMS'!W706</f>
        <v>0</v>
      </c>
      <c r="X720" s="344">
        <f>'ALL ML SYSTEMS'!X706</f>
        <v>0</v>
      </c>
      <c r="Y720" s="344">
        <f>'ALL ML SYSTEMS'!Y706</f>
        <v>0</v>
      </c>
      <c r="Z720" s="344">
        <f>'ALL ML SYSTEMS'!Z706</f>
        <v>0</v>
      </c>
      <c r="AA720" s="344">
        <f>'ALL ML SYSTEMS'!AA706</f>
        <v>0</v>
      </c>
      <c r="AB720" s="344"/>
      <c r="AC720" s="344">
        <f>'ALL ML SYSTEMS'!AC706</f>
        <v>0</v>
      </c>
      <c r="AD720" s="344">
        <f>'ALL ML SYSTEMS'!AD706</f>
        <v>0</v>
      </c>
    </row>
    <row r="721" hidden="1" customHeight="1" spans="1:30">
      <c r="A721" s="344">
        <f>'ALL ML SYSTEMS'!A707</f>
        <v>0</v>
      </c>
      <c r="B721" s="344">
        <f>'ALL ML SYSTEMS'!B707</f>
        <v>0</v>
      </c>
      <c r="C721" s="344">
        <f>'ALL ML SYSTEMS'!C707</f>
        <v>0</v>
      </c>
      <c r="D721" s="344">
        <f>'ALL ML SYSTEMS'!D707</f>
        <v>0</v>
      </c>
      <c r="E721" s="344">
        <f>'ALL ML SYSTEMS'!E707</f>
        <v>0</v>
      </c>
      <c r="F721" s="344">
        <f>'ALL ML SYSTEMS'!F707</f>
        <v>0</v>
      </c>
      <c r="G721" s="344">
        <f>'ALL ML SYSTEMS'!G707</f>
        <v>0</v>
      </c>
      <c r="H721" s="344">
        <f>'ALL ML SYSTEMS'!H707</f>
        <v>0</v>
      </c>
      <c r="I721" s="344">
        <f>'ALL ML SYSTEMS'!I707</f>
        <v>0</v>
      </c>
      <c r="J721" s="344">
        <f>'ALL ML SYSTEMS'!J707</f>
        <v>0</v>
      </c>
      <c r="K721" s="344">
        <f>'ALL ML SYSTEMS'!K707</f>
        <v>0</v>
      </c>
      <c r="L721" s="344">
        <f>'ALL ML SYSTEMS'!L707</f>
        <v>0</v>
      </c>
      <c r="M721" s="344">
        <f>'ALL ML SYSTEMS'!M707</f>
        <v>0</v>
      </c>
      <c r="N721" s="344">
        <f>'ALL ML SYSTEMS'!N707</f>
        <v>0</v>
      </c>
      <c r="O721" s="344">
        <f>'ALL ML SYSTEMS'!O707</f>
        <v>0</v>
      </c>
      <c r="P721" s="344">
        <f>'ALL ML SYSTEMS'!P707</f>
        <v>0</v>
      </c>
      <c r="Q721" s="344">
        <f>'ALL ML SYSTEMS'!Q707</f>
        <v>0</v>
      </c>
      <c r="R721" s="344">
        <f>'ALL ML SYSTEMS'!R707</f>
        <v>0</v>
      </c>
      <c r="S721" s="344">
        <f>'ALL ML SYSTEMS'!S707</f>
        <v>0</v>
      </c>
      <c r="T721" s="344">
        <f>'ALL ML SYSTEMS'!T707</f>
        <v>0</v>
      </c>
      <c r="U721" s="344">
        <f>'ALL ML SYSTEMS'!U707</f>
        <v>0</v>
      </c>
      <c r="V721" s="344">
        <f>'ALL ML SYSTEMS'!V707</f>
        <v>0</v>
      </c>
      <c r="W721" s="344">
        <f>'ALL ML SYSTEMS'!W707</f>
        <v>0</v>
      </c>
      <c r="X721" s="344">
        <f>'ALL ML SYSTEMS'!X707</f>
        <v>0</v>
      </c>
      <c r="Y721" s="344">
        <f>'ALL ML SYSTEMS'!Y707</f>
        <v>0</v>
      </c>
      <c r="Z721" s="344">
        <f>'ALL ML SYSTEMS'!Z707</f>
        <v>0</v>
      </c>
      <c r="AA721" s="344">
        <f>'ALL ML SYSTEMS'!AA707</f>
        <v>0</v>
      </c>
      <c r="AB721" s="344"/>
      <c r="AC721" s="344">
        <f>'ALL ML SYSTEMS'!AC707</f>
        <v>0</v>
      </c>
      <c r="AD721" s="344">
        <f>'ALL ML SYSTEMS'!AD707</f>
        <v>0</v>
      </c>
    </row>
    <row r="722" hidden="1" customHeight="1" spans="1:30">
      <c r="A722" s="344">
        <f>'ALL ML SYSTEMS'!A708</f>
        <v>0</v>
      </c>
      <c r="B722" s="344">
        <f>'ALL ML SYSTEMS'!B708</f>
        <v>0</v>
      </c>
      <c r="C722" s="344">
        <f>'ALL ML SYSTEMS'!C708</f>
        <v>0</v>
      </c>
      <c r="D722" s="344">
        <f>'ALL ML SYSTEMS'!D708</f>
        <v>0</v>
      </c>
      <c r="E722" s="344">
        <f>'ALL ML SYSTEMS'!E708</f>
        <v>0</v>
      </c>
      <c r="F722" s="344">
        <f>'ALL ML SYSTEMS'!F708</f>
        <v>0</v>
      </c>
      <c r="G722" s="344">
        <f>'ALL ML SYSTEMS'!G708</f>
        <v>0</v>
      </c>
      <c r="H722" s="344">
        <f>'ALL ML SYSTEMS'!H708</f>
        <v>0</v>
      </c>
      <c r="I722" s="344">
        <f>'ALL ML SYSTEMS'!I708</f>
        <v>0</v>
      </c>
      <c r="J722" s="344">
        <f>'ALL ML SYSTEMS'!J708</f>
        <v>0</v>
      </c>
      <c r="K722" s="344">
        <f>'ALL ML SYSTEMS'!K708</f>
        <v>0</v>
      </c>
      <c r="L722" s="344">
        <f>'ALL ML SYSTEMS'!L708</f>
        <v>0</v>
      </c>
      <c r="M722" s="344">
        <f>'ALL ML SYSTEMS'!M708</f>
        <v>0</v>
      </c>
      <c r="N722" s="344">
        <f>'ALL ML SYSTEMS'!N708</f>
        <v>0</v>
      </c>
      <c r="O722" s="344">
        <f>'ALL ML SYSTEMS'!O708</f>
        <v>0</v>
      </c>
      <c r="P722" s="344">
        <f>'ALL ML SYSTEMS'!P708</f>
        <v>0</v>
      </c>
      <c r="Q722" s="344">
        <f>'ALL ML SYSTEMS'!Q708</f>
        <v>0</v>
      </c>
      <c r="R722" s="344">
        <f>'ALL ML SYSTEMS'!R708</f>
        <v>0</v>
      </c>
      <c r="S722" s="344">
        <f>'ALL ML SYSTEMS'!S708</f>
        <v>0</v>
      </c>
      <c r="T722" s="344">
        <f>'ALL ML SYSTEMS'!T708</f>
        <v>0</v>
      </c>
      <c r="U722" s="344">
        <f>'ALL ML SYSTEMS'!U708</f>
        <v>0</v>
      </c>
      <c r="V722" s="344">
        <f>'ALL ML SYSTEMS'!V708</f>
        <v>0</v>
      </c>
      <c r="W722" s="344">
        <f>'ALL ML SYSTEMS'!W708</f>
        <v>0</v>
      </c>
      <c r="X722" s="344">
        <f>'ALL ML SYSTEMS'!X708</f>
        <v>0</v>
      </c>
      <c r="Y722" s="344">
        <f>'ALL ML SYSTEMS'!Y708</f>
        <v>0</v>
      </c>
      <c r="Z722" s="344">
        <f>'ALL ML SYSTEMS'!Z708</f>
        <v>0</v>
      </c>
      <c r="AA722" s="344">
        <f>'ALL ML SYSTEMS'!AA708</f>
        <v>0</v>
      </c>
      <c r="AB722" s="344"/>
      <c r="AC722" s="344">
        <f>'ALL ML SYSTEMS'!AC708</f>
        <v>0</v>
      </c>
      <c r="AD722" s="344">
        <f>'ALL ML SYSTEMS'!AD708</f>
        <v>0</v>
      </c>
    </row>
    <row r="723" hidden="1" customHeight="1" spans="1:30">
      <c r="A723" s="344">
        <f>'ALL ML SYSTEMS'!A709</f>
        <v>0</v>
      </c>
      <c r="B723" s="344">
        <f>'ALL ML SYSTEMS'!B709</f>
        <v>0</v>
      </c>
      <c r="C723" s="344">
        <f>'ALL ML SYSTEMS'!C709</f>
        <v>0</v>
      </c>
      <c r="D723" s="344">
        <f>'ALL ML SYSTEMS'!D709</f>
        <v>0</v>
      </c>
      <c r="E723" s="344">
        <f>'ALL ML SYSTEMS'!E709</f>
        <v>0</v>
      </c>
      <c r="F723" s="344">
        <f>'ALL ML SYSTEMS'!F709</f>
        <v>0</v>
      </c>
      <c r="G723" s="344">
        <f>'ALL ML SYSTEMS'!G709</f>
        <v>0</v>
      </c>
      <c r="H723" s="344">
        <f>'ALL ML SYSTEMS'!H709</f>
        <v>0</v>
      </c>
      <c r="I723" s="344">
        <f>'ALL ML SYSTEMS'!I709</f>
        <v>0</v>
      </c>
      <c r="J723" s="344">
        <f>'ALL ML SYSTEMS'!J709</f>
        <v>0</v>
      </c>
      <c r="K723" s="344">
        <f>'ALL ML SYSTEMS'!K709</f>
        <v>0</v>
      </c>
      <c r="L723" s="344">
        <f>'ALL ML SYSTEMS'!L709</f>
        <v>0</v>
      </c>
      <c r="M723" s="344">
        <f>'ALL ML SYSTEMS'!M709</f>
        <v>0</v>
      </c>
      <c r="N723" s="344">
        <f>'ALL ML SYSTEMS'!N709</f>
        <v>0</v>
      </c>
      <c r="O723" s="344">
        <f>'ALL ML SYSTEMS'!O709</f>
        <v>0</v>
      </c>
      <c r="P723" s="344">
        <f>'ALL ML SYSTEMS'!P709</f>
        <v>0</v>
      </c>
      <c r="Q723" s="344">
        <f>'ALL ML SYSTEMS'!Q709</f>
        <v>0</v>
      </c>
      <c r="R723" s="344">
        <f>'ALL ML SYSTEMS'!R709</f>
        <v>0</v>
      </c>
      <c r="S723" s="344">
        <f>'ALL ML SYSTEMS'!S709</f>
        <v>0</v>
      </c>
      <c r="T723" s="344">
        <f>'ALL ML SYSTEMS'!T709</f>
        <v>0</v>
      </c>
      <c r="U723" s="344">
        <f>'ALL ML SYSTEMS'!U709</f>
        <v>0</v>
      </c>
      <c r="V723" s="344">
        <f>'ALL ML SYSTEMS'!V709</f>
        <v>0</v>
      </c>
      <c r="W723" s="344">
        <f>'ALL ML SYSTEMS'!W709</f>
        <v>0</v>
      </c>
      <c r="X723" s="344">
        <f>'ALL ML SYSTEMS'!X709</f>
        <v>0</v>
      </c>
      <c r="Y723" s="344">
        <f>'ALL ML SYSTEMS'!Y709</f>
        <v>0</v>
      </c>
      <c r="Z723" s="344">
        <f>'ALL ML SYSTEMS'!Z709</f>
        <v>0</v>
      </c>
      <c r="AA723" s="344">
        <f>'ALL ML SYSTEMS'!AA709</f>
        <v>0</v>
      </c>
      <c r="AB723" s="344"/>
      <c r="AC723" s="344">
        <f>'ALL ML SYSTEMS'!AC709</f>
        <v>0</v>
      </c>
      <c r="AD723" s="344">
        <f>'ALL ML SYSTEMS'!AD709</f>
        <v>0</v>
      </c>
    </row>
    <row r="724" hidden="1" customHeight="1" spans="1:30">
      <c r="A724" s="344">
        <f>'ALL ML SYSTEMS'!A710</f>
        <v>0</v>
      </c>
      <c r="B724" s="344">
        <f>'ALL ML SYSTEMS'!B710</f>
        <v>0</v>
      </c>
      <c r="C724" s="344">
        <f>'ALL ML SYSTEMS'!C710</f>
        <v>0</v>
      </c>
      <c r="D724" s="344">
        <f>'ALL ML SYSTEMS'!D710</f>
        <v>0</v>
      </c>
      <c r="E724" s="344">
        <f>'ALL ML SYSTEMS'!E710</f>
        <v>0</v>
      </c>
      <c r="F724" s="344">
        <f>'ALL ML SYSTEMS'!F710</f>
        <v>0</v>
      </c>
      <c r="G724" s="344">
        <f>'ALL ML SYSTEMS'!G710</f>
        <v>0</v>
      </c>
      <c r="H724" s="344">
        <f>'ALL ML SYSTEMS'!H710</f>
        <v>0</v>
      </c>
      <c r="I724" s="344">
        <f>'ALL ML SYSTEMS'!I710</f>
        <v>0</v>
      </c>
      <c r="J724" s="344">
        <f>'ALL ML SYSTEMS'!J710</f>
        <v>0</v>
      </c>
      <c r="K724" s="344">
        <f>'ALL ML SYSTEMS'!K710</f>
        <v>0</v>
      </c>
      <c r="L724" s="344">
        <f>'ALL ML SYSTEMS'!L710</f>
        <v>0</v>
      </c>
      <c r="M724" s="344">
        <f>'ALL ML SYSTEMS'!M710</f>
        <v>0</v>
      </c>
      <c r="N724" s="344">
        <f>'ALL ML SYSTEMS'!N710</f>
        <v>0</v>
      </c>
      <c r="O724" s="344">
        <f>'ALL ML SYSTEMS'!O710</f>
        <v>0</v>
      </c>
      <c r="P724" s="344">
        <f>'ALL ML SYSTEMS'!P710</f>
        <v>0</v>
      </c>
      <c r="Q724" s="344">
        <f>'ALL ML SYSTEMS'!Q710</f>
        <v>0</v>
      </c>
      <c r="R724" s="344">
        <f>'ALL ML SYSTEMS'!R710</f>
        <v>0</v>
      </c>
      <c r="S724" s="344">
        <f>'ALL ML SYSTEMS'!S710</f>
        <v>0</v>
      </c>
      <c r="T724" s="344">
        <f>'ALL ML SYSTEMS'!T710</f>
        <v>0</v>
      </c>
      <c r="U724" s="344">
        <f>'ALL ML SYSTEMS'!U710</f>
        <v>0</v>
      </c>
      <c r="V724" s="344">
        <f>'ALL ML SYSTEMS'!V710</f>
        <v>0</v>
      </c>
      <c r="W724" s="344">
        <f>'ALL ML SYSTEMS'!W710</f>
        <v>0</v>
      </c>
      <c r="X724" s="344">
        <f>'ALL ML SYSTEMS'!X710</f>
        <v>0</v>
      </c>
      <c r="Y724" s="344">
        <f>'ALL ML SYSTEMS'!Y710</f>
        <v>0</v>
      </c>
      <c r="Z724" s="344">
        <f>'ALL ML SYSTEMS'!Z710</f>
        <v>0</v>
      </c>
      <c r="AA724" s="344">
        <f>'ALL ML SYSTEMS'!AA710</f>
        <v>0</v>
      </c>
      <c r="AB724" s="344"/>
      <c r="AC724" s="344">
        <f>'ALL ML SYSTEMS'!AC710</f>
        <v>0</v>
      </c>
      <c r="AD724" s="344">
        <f>'ALL ML SYSTEMS'!AD710</f>
        <v>0</v>
      </c>
    </row>
    <row r="725" hidden="1" customHeight="1" spans="1:30">
      <c r="A725" s="344">
        <f>'ALL ML SYSTEMS'!A711</f>
        <v>0</v>
      </c>
      <c r="B725" s="344">
        <f>'ALL ML SYSTEMS'!B711</f>
        <v>0</v>
      </c>
      <c r="C725" s="344">
        <f>'ALL ML SYSTEMS'!C711</f>
        <v>0</v>
      </c>
      <c r="D725" s="344">
        <f>'ALL ML SYSTEMS'!D711</f>
        <v>0</v>
      </c>
      <c r="E725" s="344">
        <f>'ALL ML SYSTEMS'!E711</f>
        <v>0</v>
      </c>
      <c r="F725" s="344">
        <f>'ALL ML SYSTEMS'!F711</f>
        <v>0</v>
      </c>
      <c r="G725" s="344">
        <f>'ALL ML SYSTEMS'!G711</f>
        <v>0</v>
      </c>
      <c r="H725" s="344">
        <f>'ALL ML SYSTEMS'!H711</f>
        <v>0</v>
      </c>
      <c r="I725" s="344">
        <f>'ALL ML SYSTEMS'!I711</f>
        <v>0</v>
      </c>
      <c r="J725" s="344">
        <f>'ALL ML SYSTEMS'!J711</f>
        <v>0</v>
      </c>
      <c r="K725" s="344">
        <f>'ALL ML SYSTEMS'!K711</f>
        <v>0</v>
      </c>
      <c r="L725" s="344">
        <f>'ALL ML SYSTEMS'!L711</f>
        <v>0</v>
      </c>
      <c r="M725" s="344">
        <f>'ALL ML SYSTEMS'!M711</f>
        <v>0</v>
      </c>
      <c r="N725" s="344">
        <f>'ALL ML SYSTEMS'!N711</f>
        <v>0</v>
      </c>
      <c r="O725" s="344">
        <f>'ALL ML SYSTEMS'!O711</f>
        <v>0</v>
      </c>
      <c r="P725" s="344">
        <f>'ALL ML SYSTEMS'!P711</f>
        <v>0</v>
      </c>
      <c r="Q725" s="344">
        <f>'ALL ML SYSTEMS'!Q711</f>
        <v>0</v>
      </c>
      <c r="R725" s="344">
        <f>'ALL ML SYSTEMS'!R711</f>
        <v>0</v>
      </c>
      <c r="S725" s="344">
        <f>'ALL ML SYSTEMS'!S711</f>
        <v>0</v>
      </c>
      <c r="T725" s="344">
        <f>'ALL ML SYSTEMS'!T711</f>
        <v>0</v>
      </c>
      <c r="U725" s="344">
        <f>'ALL ML SYSTEMS'!U711</f>
        <v>0</v>
      </c>
      <c r="V725" s="344">
        <f>'ALL ML SYSTEMS'!V711</f>
        <v>0</v>
      </c>
      <c r="W725" s="344">
        <f>'ALL ML SYSTEMS'!W711</f>
        <v>0</v>
      </c>
      <c r="X725" s="344">
        <f>'ALL ML SYSTEMS'!X711</f>
        <v>0</v>
      </c>
      <c r="Y725" s="344">
        <f>'ALL ML SYSTEMS'!Y711</f>
        <v>0</v>
      </c>
      <c r="Z725" s="344">
        <f>'ALL ML SYSTEMS'!Z711</f>
        <v>0</v>
      </c>
      <c r="AA725" s="344">
        <f>'ALL ML SYSTEMS'!AA711</f>
        <v>0</v>
      </c>
      <c r="AB725" s="344"/>
      <c r="AC725" s="344">
        <f>'ALL ML SYSTEMS'!AC711</f>
        <v>0</v>
      </c>
      <c r="AD725" s="344">
        <f>'ALL ML SYSTEMS'!AD711</f>
        <v>0</v>
      </c>
    </row>
    <row r="726" hidden="1" customHeight="1" spans="1:30">
      <c r="A726" s="344">
        <f>'ALL ML SYSTEMS'!A712</f>
        <v>0</v>
      </c>
      <c r="B726" s="344">
        <f>'ALL ML SYSTEMS'!B712</f>
        <v>0</v>
      </c>
      <c r="C726" s="344">
        <f>'ALL ML SYSTEMS'!C712</f>
        <v>0</v>
      </c>
      <c r="D726" s="344">
        <f>'ALL ML SYSTEMS'!D712</f>
        <v>0</v>
      </c>
      <c r="E726" s="344">
        <f>'ALL ML SYSTEMS'!E712</f>
        <v>0</v>
      </c>
      <c r="F726" s="344">
        <f>'ALL ML SYSTEMS'!F712</f>
        <v>0</v>
      </c>
      <c r="G726" s="344">
        <f>'ALL ML SYSTEMS'!G712</f>
        <v>0</v>
      </c>
      <c r="H726" s="344">
        <f>'ALL ML SYSTEMS'!H712</f>
        <v>0</v>
      </c>
      <c r="I726" s="344">
        <f>'ALL ML SYSTEMS'!I712</f>
        <v>0</v>
      </c>
      <c r="J726" s="344">
        <f>'ALL ML SYSTEMS'!J712</f>
        <v>0</v>
      </c>
      <c r="K726" s="344">
        <f>'ALL ML SYSTEMS'!K712</f>
        <v>0</v>
      </c>
      <c r="L726" s="344">
        <f>'ALL ML SYSTEMS'!L712</f>
        <v>0</v>
      </c>
      <c r="M726" s="344">
        <f>'ALL ML SYSTEMS'!M712</f>
        <v>0</v>
      </c>
      <c r="N726" s="344">
        <f>'ALL ML SYSTEMS'!N712</f>
        <v>0</v>
      </c>
      <c r="O726" s="344">
        <f>'ALL ML SYSTEMS'!O712</f>
        <v>0</v>
      </c>
      <c r="P726" s="344">
        <f>'ALL ML SYSTEMS'!P712</f>
        <v>0</v>
      </c>
      <c r="Q726" s="344">
        <f>'ALL ML SYSTEMS'!Q712</f>
        <v>0</v>
      </c>
      <c r="R726" s="344">
        <f>'ALL ML SYSTEMS'!R712</f>
        <v>0</v>
      </c>
      <c r="S726" s="344">
        <f>'ALL ML SYSTEMS'!S712</f>
        <v>0</v>
      </c>
      <c r="T726" s="344">
        <f>'ALL ML SYSTEMS'!T712</f>
        <v>0</v>
      </c>
      <c r="U726" s="344">
        <f>'ALL ML SYSTEMS'!U712</f>
        <v>0</v>
      </c>
      <c r="V726" s="344">
        <f>'ALL ML SYSTEMS'!V712</f>
        <v>0</v>
      </c>
      <c r="W726" s="344">
        <f>'ALL ML SYSTEMS'!W712</f>
        <v>0</v>
      </c>
      <c r="X726" s="344">
        <f>'ALL ML SYSTEMS'!X712</f>
        <v>0</v>
      </c>
      <c r="Y726" s="344">
        <f>'ALL ML SYSTEMS'!Y712</f>
        <v>0</v>
      </c>
      <c r="Z726" s="344">
        <f>'ALL ML SYSTEMS'!Z712</f>
        <v>0</v>
      </c>
      <c r="AA726" s="344">
        <f>'ALL ML SYSTEMS'!AA712</f>
        <v>0</v>
      </c>
      <c r="AB726" s="344"/>
      <c r="AC726" s="344">
        <f>'ALL ML SYSTEMS'!AC712</f>
        <v>0</v>
      </c>
      <c r="AD726" s="344">
        <f>'ALL ML SYSTEMS'!AD712</f>
        <v>0</v>
      </c>
    </row>
    <row r="727" hidden="1" customHeight="1" spans="1:30">
      <c r="A727" s="344">
        <f>'ALL ML SYSTEMS'!A713</f>
        <v>0</v>
      </c>
      <c r="B727" s="344">
        <f>'ALL ML SYSTEMS'!B713</f>
        <v>0</v>
      </c>
      <c r="C727" s="344">
        <f>'ALL ML SYSTEMS'!C713</f>
        <v>0</v>
      </c>
      <c r="D727" s="344">
        <f>'ALL ML SYSTEMS'!D713</f>
        <v>0</v>
      </c>
      <c r="E727" s="344">
        <f>'ALL ML SYSTEMS'!E713</f>
        <v>0</v>
      </c>
      <c r="F727" s="344">
        <f>'ALL ML SYSTEMS'!F713</f>
        <v>0</v>
      </c>
      <c r="G727" s="344">
        <f>'ALL ML SYSTEMS'!G713</f>
        <v>0</v>
      </c>
      <c r="H727" s="344">
        <f>'ALL ML SYSTEMS'!H713</f>
        <v>0</v>
      </c>
      <c r="I727" s="344">
        <f>'ALL ML SYSTEMS'!I713</f>
        <v>0</v>
      </c>
      <c r="J727" s="344">
        <f>'ALL ML SYSTEMS'!J713</f>
        <v>0</v>
      </c>
      <c r="K727" s="344">
        <f>'ALL ML SYSTEMS'!K713</f>
        <v>0</v>
      </c>
      <c r="L727" s="344">
        <f>'ALL ML SYSTEMS'!L713</f>
        <v>0</v>
      </c>
      <c r="M727" s="344">
        <f>'ALL ML SYSTEMS'!M713</f>
        <v>0</v>
      </c>
      <c r="N727" s="344">
        <f>'ALL ML SYSTEMS'!N713</f>
        <v>0</v>
      </c>
      <c r="O727" s="344">
        <f>'ALL ML SYSTEMS'!O713</f>
        <v>0</v>
      </c>
      <c r="P727" s="344">
        <f>'ALL ML SYSTEMS'!P713</f>
        <v>0</v>
      </c>
      <c r="Q727" s="344">
        <f>'ALL ML SYSTEMS'!Q713</f>
        <v>0</v>
      </c>
      <c r="R727" s="344">
        <f>'ALL ML SYSTEMS'!R713</f>
        <v>0</v>
      </c>
      <c r="S727" s="344">
        <f>'ALL ML SYSTEMS'!S713</f>
        <v>0</v>
      </c>
      <c r="T727" s="344">
        <f>'ALL ML SYSTEMS'!T713</f>
        <v>0</v>
      </c>
      <c r="U727" s="344">
        <f>'ALL ML SYSTEMS'!U713</f>
        <v>0</v>
      </c>
      <c r="V727" s="344">
        <f>'ALL ML SYSTEMS'!V713</f>
        <v>0</v>
      </c>
      <c r="W727" s="344">
        <f>'ALL ML SYSTEMS'!W713</f>
        <v>0</v>
      </c>
      <c r="X727" s="344">
        <f>'ALL ML SYSTEMS'!X713</f>
        <v>0</v>
      </c>
      <c r="Y727" s="344">
        <f>'ALL ML SYSTEMS'!Y713</f>
        <v>0</v>
      </c>
      <c r="Z727" s="344">
        <f>'ALL ML SYSTEMS'!Z713</f>
        <v>0</v>
      </c>
      <c r="AA727" s="344">
        <f>'ALL ML SYSTEMS'!AA713</f>
        <v>0</v>
      </c>
      <c r="AB727" s="344"/>
      <c r="AC727" s="344">
        <f>'ALL ML SYSTEMS'!AC713</f>
        <v>0</v>
      </c>
      <c r="AD727" s="344">
        <f>'ALL ML SYSTEMS'!AD713</f>
        <v>0</v>
      </c>
    </row>
    <row r="728" hidden="1" customHeight="1" spans="1:30">
      <c r="A728" s="344">
        <f>'ALL ML SYSTEMS'!A714</f>
        <v>0</v>
      </c>
      <c r="B728" s="344">
        <f>'ALL ML SYSTEMS'!B714</f>
        <v>0</v>
      </c>
      <c r="C728" s="344">
        <f>'ALL ML SYSTEMS'!C714</f>
        <v>0</v>
      </c>
      <c r="D728" s="344">
        <f>'ALL ML SYSTEMS'!D714</f>
        <v>0</v>
      </c>
      <c r="E728" s="344">
        <f>'ALL ML SYSTEMS'!E714</f>
        <v>0</v>
      </c>
      <c r="F728" s="344">
        <f>'ALL ML SYSTEMS'!F714</f>
        <v>0</v>
      </c>
      <c r="G728" s="344">
        <f>'ALL ML SYSTEMS'!G714</f>
        <v>0</v>
      </c>
      <c r="H728" s="344">
        <f>'ALL ML SYSTEMS'!H714</f>
        <v>0</v>
      </c>
      <c r="I728" s="344">
        <f>'ALL ML SYSTEMS'!I714</f>
        <v>0</v>
      </c>
      <c r="J728" s="344">
        <f>'ALL ML SYSTEMS'!J714</f>
        <v>0</v>
      </c>
      <c r="K728" s="344">
        <f>'ALL ML SYSTEMS'!K714</f>
        <v>0</v>
      </c>
      <c r="L728" s="344">
        <f>'ALL ML SYSTEMS'!L714</f>
        <v>0</v>
      </c>
      <c r="M728" s="344">
        <f>'ALL ML SYSTEMS'!M714</f>
        <v>0</v>
      </c>
      <c r="N728" s="344">
        <f>'ALL ML SYSTEMS'!N714</f>
        <v>0</v>
      </c>
      <c r="O728" s="344">
        <f>'ALL ML SYSTEMS'!O714</f>
        <v>0</v>
      </c>
      <c r="P728" s="344">
        <f>'ALL ML SYSTEMS'!P714</f>
        <v>0</v>
      </c>
      <c r="Q728" s="344">
        <f>'ALL ML SYSTEMS'!Q714</f>
        <v>0</v>
      </c>
      <c r="R728" s="344">
        <f>'ALL ML SYSTEMS'!R714</f>
        <v>0</v>
      </c>
      <c r="S728" s="344">
        <f>'ALL ML SYSTEMS'!S714</f>
        <v>0</v>
      </c>
      <c r="T728" s="344">
        <f>'ALL ML SYSTEMS'!T714</f>
        <v>0</v>
      </c>
      <c r="U728" s="344">
        <f>'ALL ML SYSTEMS'!U714</f>
        <v>0</v>
      </c>
      <c r="V728" s="344">
        <f>'ALL ML SYSTEMS'!V714</f>
        <v>0</v>
      </c>
      <c r="W728" s="344">
        <f>'ALL ML SYSTEMS'!W714</f>
        <v>0</v>
      </c>
      <c r="X728" s="344">
        <f>'ALL ML SYSTEMS'!X714</f>
        <v>0</v>
      </c>
      <c r="Y728" s="344">
        <f>'ALL ML SYSTEMS'!Y714</f>
        <v>0</v>
      </c>
      <c r="Z728" s="344">
        <f>'ALL ML SYSTEMS'!Z714</f>
        <v>0</v>
      </c>
      <c r="AA728" s="344">
        <f>'ALL ML SYSTEMS'!AA714</f>
        <v>0</v>
      </c>
      <c r="AB728" s="344"/>
      <c r="AC728" s="344">
        <f>'ALL ML SYSTEMS'!AC714</f>
        <v>0</v>
      </c>
      <c r="AD728" s="344">
        <f>'ALL ML SYSTEMS'!AD714</f>
        <v>0</v>
      </c>
    </row>
    <row r="729" hidden="1" customHeight="1" spans="1:30">
      <c r="A729" s="344">
        <f>'ALL ML SYSTEMS'!A715</f>
        <v>0</v>
      </c>
      <c r="B729" s="344">
        <f>'ALL ML SYSTEMS'!B715</f>
        <v>0</v>
      </c>
      <c r="C729" s="344">
        <f>'ALL ML SYSTEMS'!C715</f>
        <v>0</v>
      </c>
      <c r="D729" s="344">
        <f>'ALL ML SYSTEMS'!D715</f>
        <v>0</v>
      </c>
      <c r="E729" s="344">
        <f>'ALL ML SYSTEMS'!E715</f>
        <v>0</v>
      </c>
      <c r="F729" s="344">
        <f>'ALL ML SYSTEMS'!F715</f>
        <v>0</v>
      </c>
      <c r="G729" s="344">
        <f>'ALL ML SYSTEMS'!G715</f>
        <v>0</v>
      </c>
      <c r="H729" s="344">
        <f>'ALL ML SYSTEMS'!H715</f>
        <v>0</v>
      </c>
      <c r="I729" s="344">
        <f>'ALL ML SYSTEMS'!I715</f>
        <v>0</v>
      </c>
      <c r="J729" s="344">
        <f>'ALL ML SYSTEMS'!J715</f>
        <v>0</v>
      </c>
      <c r="K729" s="344">
        <f>'ALL ML SYSTEMS'!K715</f>
        <v>0</v>
      </c>
      <c r="L729" s="344">
        <f>'ALL ML SYSTEMS'!L715</f>
        <v>0</v>
      </c>
      <c r="M729" s="344">
        <f>'ALL ML SYSTEMS'!M715</f>
        <v>0</v>
      </c>
      <c r="N729" s="344">
        <f>'ALL ML SYSTEMS'!N715</f>
        <v>0</v>
      </c>
      <c r="O729" s="344">
        <f>'ALL ML SYSTEMS'!O715</f>
        <v>0</v>
      </c>
      <c r="P729" s="344">
        <f>'ALL ML SYSTEMS'!P715</f>
        <v>0</v>
      </c>
      <c r="Q729" s="344">
        <f>'ALL ML SYSTEMS'!Q715</f>
        <v>0</v>
      </c>
      <c r="R729" s="344">
        <f>'ALL ML SYSTEMS'!R715</f>
        <v>0</v>
      </c>
      <c r="S729" s="344">
        <f>'ALL ML SYSTEMS'!S715</f>
        <v>0</v>
      </c>
      <c r="T729" s="344">
        <f>'ALL ML SYSTEMS'!T715</f>
        <v>0</v>
      </c>
      <c r="U729" s="344">
        <f>'ALL ML SYSTEMS'!U715</f>
        <v>0</v>
      </c>
      <c r="V729" s="344">
        <f>'ALL ML SYSTEMS'!V715</f>
        <v>0</v>
      </c>
      <c r="W729" s="344">
        <f>'ALL ML SYSTEMS'!W715</f>
        <v>0</v>
      </c>
      <c r="X729" s="344">
        <f>'ALL ML SYSTEMS'!X715</f>
        <v>0</v>
      </c>
      <c r="Y729" s="344">
        <f>'ALL ML SYSTEMS'!Y715</f>
        <v>0</v>
      </c>
      <c r="Z729" s="344">
        <f>'ALL ML SYSTEMS'!Z715</f>
        <v>0</v>
      </c>
      <c r="AA729" s="344">
        <f>'ALL ML SYSTEMS'!AA715</f>
        <v>0</v>
      </c>
      <c r="AB729" s="344"/>
      <c r="AC729" s="344">
        <f>'ALL ML SYSTEMS'!AC715</f>
        <v>0</v>
      </c>
      <c r="AD729" s="344">
        <f>'ALL ML SYSTEMS'!AD715</f>
        <v>0</v>
      </c>
    </row>
    <row r="730" hidden="1" customHeight="1" spans="1:30">
      <c r="A730" s="344">
        <f>'ALL ML SYSTEMS'!A716</f>
        <v>0</v>
      </c>
      <c r="B730" s="344">
        <f>'ALL ML SYSTEMS'!B716</f>
        <v>0</v>
      </c>
      <c r="C730" s="344">
        <f>'ALL ML SYSTEMS'!C716</f>
        <v>0</v>
      </c>
      <c r="D730" s="344">
        <f>'ALL ML SYSTEMS'!D716</f>
        <v>0</v>
      </c>
      <c r="E730" s="344">
        <f>'ALL ML SYSTEMS'!E716</f>
        <v>0</v>
      </c>
      <c r="F730" s="344">
        <f>'ALL ML SYSTEMS'!F716</f>
        <v>0</v>
      </c>
      <c r="G730" s="344">
        <f>'ALL ML SYSTEMS'!G716</f>
        <v>0</v>
      </c>
      <c r="H730" s="344">
        <f>'ALL ML SYSTEMS'!H716</f>
        <v>0</v>
      </c>
      <c r="I730" s="344">
        <f>'ALL ML SYSTEMS'!I716</f>
        <v>0</v>
      </c>
      <c r="J730" s="344">
        <f>'ALL ML SYSTEMS'!J716</f>
        <v>0</v>
      </c>
      <c r="K730" s="344">
        <f>'ALL ML SYSTEMS'!K716</f>
        <v>0</v>
      </c>
      <c r="L730" s="344">
        <f>'ALL ML SYSTEMS'!L716</f>
        <v>0</v>
      </c>
      <c r="M730" s="344">
        <f>'ALL ML SYSTEMS'!M716</f>
        <v>0</v>
      </c>
      <c r="N730" s="344">
        <f>'ALL ML SYSTEMS'!N716</f>
        <v>0</v>
      </c>
      <c r="O730" s="344">
        <f>'ALL ML SYSTEMS'!O716</f>
        <v>0</v>
      </c>
      <c r="P730" s="344">
        <f>'ALL ML SYSTEMS'!P716</f>
        <v>0</v>
      </c>
      <c r="Q730" s="344">
        <f>'ALL ML SYSTEMS'!Q716</f>
        <v>0</v>
      </c>
      <c r="R730" s="344">
        <f>'ALL ML SYSTEMS'!R716</f>
        <v>0</v>
      </c>
      <c r="S730" s="344">
        <f>'ALL ML SYSTEMS'!S716</f>
        <v>0</v>
      </c>
      <c r="T730" s="344">
        <f>'ALL ML SYSTEMS'!T716</f>
        <v>0</v>
      </c>
      <c r="U730" s="344">
        <f>'ALL ML SYSTEMS'!U716</f>
        <v>0</v>
      </c>
      <c r="V730" s="344">
        <f>'ALL ML SYSTEMS'!V716</f>
        <v>0</v>
      </c>
      <c r="W730" s="344">
        <f>'ALL ML SYSTEMS'!W716</f>
        <v>0</v>
      </c>
      <c r="X730" s="344">
        <f>'ALL ML SYSTEMS'!X716</f>
        <v>0</v>
      </c>
      <c r="Y730" s="344">
        <f>'ALL ML SYSTEMS'!Y716</f>
        <v>0</v>
      </c>
      <c r="Z730" s="344">
        <f>'ALL ML SYSTEMS'!Z716</f>
        <v>0</v>
      </c>
      <c r="AA730" s="344">
        <f>'ALL ML SYSTEMS'!AA716</f>
        <v>0</v>
      </c>
      <c r="AB730" s="344"/>
      <c r="AC730" s="344">
        <f>'ALL ML SYSTEMS'!AC716</f>
        <v>0</v>
      </c>
      <c r="AD730" s="344">
        <f>'ALL ML SYSTEMS'!AD716</f>
        <v>0</v>
      </c>
    </row>
    <row r="731" hidden="1" customHeight="1" spans="1:30">
      <c r="A731" s="344">
        <f>'ALL ML SYSTEMS'!A717</f>
        <v>0</v>
      </c>
      <c r="B731" s="344">
        <f>'ALL ML SYSTEMS'!B717</f>
        <v>0</v>
      </c>
      <c r="C731" s="344">
        <f>'ALL ML SYSTEMS'!C717</f>
        <v>0</v>
      </c>
      <c r="D731" s="344">
        <f>'ALL ML SYSTEMS'!D717</f>
        <v>0</v>
      </c>
      <c r="E731" s="344">
        <f>'ALL ML SYSTEMS'!E717</f>
        <v>0</v>
      </c>
      <c r="F731" s="344">
        <f>'ALL ML SYSTEMS'!F717</f>
        <v>0</v>
      </c>
      <c r="G731" s="344">
        <f>'ALL ML SYSTEMS'!G717</f>
        <v>0</v>
      </c>
      <c r="H731" s="344">
        <f>'ALL ML SYSTEMS'!H717</f>
        <v>0</v>
      </c>
      <c r="I731" s="344">
        <f>'ALL ML SYSTEMS'!I717</f>
        <v>0</v>
      </c>
      <c r="J731" s="344">
        <f>'ALL ML SYSTEMS'!J717</f>
        <v>0</v>
      </c>
      <c r="K731" s="344">
        <f>'ALL ML SYSTEMS'!K717</f>
        <v>0</v>
      </c>
      <c r="L731" s="344">
        <f>'ALL ML SYSTEMS'!L717</f>
        <v>0</v>
      </c>
      <c r="M731" s="344">
        <f>'ALL ML SYSTEMS'!M717</f>
        <v>0</v>
      </c>
      <c r="N731" s="344">
        <f>'ALL ML SYSTEMS'!N717</f>
        <v>0</v>
      </c>
      <c r="O731" s="344">
        <f>'ALL ML SYSTEMS'!O717</f>
        <v>0</v>
      </c>
      <c r="P731" s="344">
        <f>'ALL ML SYSTEMS'!P717</f>
        <v>0</v>
      </c>
      <c r="Q731" s="344">
        <f>'ALL ML SYSTEMS'!Q717</f>
        <v>0</v>
      </c>
      <c r="R731" s="344">
        <f>'ALL ML SYSTEMS'!R717</f>
        <v>0</v>
      </c>
      <c r="S731" s="344">
        <f>'ALL ML SYSTEMS'!S717</f>
        <v>0</v>
      </c>
      <c r="T731" s="344">
        <f>'ALL ML SYSTEMS'!T717</f>
        <v>0</v>
      </c>
      <c r="U731" s="344">
        <f>'ALL ML SYSTEMS'!U717</f>
        <v>0</v>
      </c>
      <c r="V731" s="344">
        <f>'ALL ML SYSTEMS'!V717</f>
        <v>0</v>
      </c>
      <c r="W731" s="344">
        <f>'ALL ML SYSTEMS'!W717</f>
        <v>0</v>
      </c>
      <c r="X731" s="344">
        <f>'ALL ML SYSTEMS'!X717</f>
        <v>0</v>
      </c>
      <c r="Y731" s="344">
        <f>'ALL ML SYSTEMS'!Y717</f>
        <v>0</v>
      </c>
      <c r="Z731" s="344">
        <f>'ALL ML SYSTEMS'!Z717</f>
        <v>0</v>
      </c>
      <c r="AA731" s="344">
        <f>'ALL ML SYSTEMS'!AA717</f>
        <v>0</v>
      </c>
      <c r="AB731" s="344"/>
      <c r="AC731" s="344">
        <f>'ALL ML SYSTEMS'!AC717</f>
        <v>0</v>
      </c>
      <c r="AD731" s="344">
        <f>'ALL ML SYSTEMS'!AD717</f>
        <v>0</v>
      </c>
    </row>
    <row r="732" hidden="1" customHeight="1" spans="1:30">
      <c r="A732" s="344">
        <f>'ALL ML SYSTEMS'!A718</f>
        <v>0</v>
      </c>
      <c r="B732" s="344">
        <f>'ALL ML SYSTEMS'!B718</f>
        <v>0</v>
      </c>
      <c r="C732" s="344">
        <f>'ALL ML SYSTEMS'!C718</f>
        <v>0</v>
      </c>
      <c r="D732" s="344">
        <f>'ALL ML SYSTEMS'!D718</f>
        <v>0</v>
      </c>
      <c r="E732" s="344">
        <f>'ALL ML SYSTEMS'!E718</f>
        <v>0</v>
      </c>
      <c r="F732" s="344">
        <f>'ALL ML SYSTEMS'!F718</f>
        <v>0</v>
      </c>
      <c r="G732" s="344">
        <f>'ALL ML SYSTEMS'!G718</f>
        <v>0</v>
      </c>
      <c r="H732" s="344">
        <f>'ALL ML SYSTEMS'!H718</f>
        <v>0</v>
      </c>
      <c r="I732" s="344">
        <f>'ALL ML SYSTEMS'!I718</f>
        <v>0</v>
      </c>
      <c r="J732" s="344">
        <f>'ALL ML SYSTEMS'!J718</f>
        <v>0</v>
      </c>
      <c r="K732" s="344">
        <f>'ALL ML SYSTEMS'!K718</f>
        <v>0</v>
      </c>
      <c r="L732" s="344">
        <f>'ALL ML SYSTEMS'!L718</f>
        <v>0</v>
      </c>
      <c r="M732" s="344">
        <f>'ALL ML SYSTEMS'!M718</f>
        <v>0</v>
      </c>
      <c r="N732" s="344">
        <f>'ALL ML SYSTEMS'!N718</f>
        <v>0</v>
      </c>
      <c r="O732" s="344">
        <f>'ALL ML SYSTEMS'!O718</f>
        <v>0</v>
      </c>
      <c r="P732" s="344">
        <f>'ALL ML SYSTEMS'!P718</f>
        <v>0</v>
      </c>
      <c r="Q732" s="344">
        <f>'ALL ML SYSTEMS'!Q718</f>
        <v>0</v>
      </c>
      <c r="R732" s="344">
        <f>'ALL ML SYSTEMS'!R718</f>
        <v>0</v>
      </c>
      <c r="S732" s="344">
        <f>'ALL ML SYSTEMS'!S718</f>
        <v>0</v>
      </c>
      <c r="T732" s="344">
        <f>'ALL ML SYSTEMS'!T718</f>
        <v>0</v>
      </c>
      <c r="U732" s="344">
        <f>'ALL ML SYSTEMS'!U718</f>
        <v>0</v>
      </c>
      <c r="V732" s="344">
        <f>'ALL ML SYSTEMS'!V718</f>
        <v>0</v>
      </c>
      <c r="W732" s="344">
        <f>'ALL ML SYSTEMS'!W718</f>
        <v>0</v>
      </c>
      <c r="X732" s="344">
        <f>'ALL ML SYSTEMS'!X718</f>
        <v>0</v>
      </c>
      <c r="Y732" s="344">
        <f>'ALL ML SYSTEMS'!Y718</f>
        <v>0</v>
      </c>
      <c r="Z732" s="344">
        <f>'ALL ML SYSTEMS'!Z718</f>
        <v>0</v>
      </c>
      <c r="AA732" s="344">
        <f>'ALL ML SYSTEMS'!AA718</f>
        <v>0</v>
      </c>
      <c r="AB732" s="344"/>
      <c r="AC732" s="344">
        <f>'ALL ML SYSTEMS'!AC718</f>
        <v>0</v>
      </c>
      <c r="AD732" s="344">
        <f>'ALL ML SYSTEMS'!AD718</f>
        <v>0</v>
      </c>
    </row>
    <row r="733" hidden="1" customHeight="1" spans="1:30">
      <c r="A733" s="344">
        <f>'ALL ML SYSTEMS'!A719</f>
        <v>0</v>
      </c>
      <c r="B733" s="344">
        <f>'ALL ML SYSTEMS'!B719</f>
        <v>0</v>
      </c>
      <c r="C733" s="344">
        <f>'ALL ML SYSTEMS'!C719</f>
        <v>0</v>
      </c>
      <c r="D733" s="344">
        <f>'ALL ML SYSTEMS'!D719</f>
        <v>0</v>
      </c>
      <c r="E733" s="344">
        <f>'ALL ML SYSTEMS'!E719</f>
        <v>0</v>
      </c>
      <c r="F733" s="344">
        <f>'ALL ML SYSTEMS'!F719</f>
        <v>0</v>
      </c>
      <c r="G733" s="344">
        <f>'ALL ML SYSTEMS'!G719</f>
        <v>0</v>
      </c>
      <c r="H733" s="344">
        <f>'ALL ML SYSTEMS'!H719</f>
        <v>0</v>
      </c>
      <c r="I733" s="344">
        <f>'ALL ML SYSTEMS'!I719</f>
        <v>0</v>
      </c>
      <c r="J733" s="344">
        <f>'ALL ML SYSTEMS'!J719</f>
        <v>0</v>
      </c>
      <c r="K733" s="344">
        <f>'ALL ML SYSTEMS'!K719</f>
        <v>0</v>
      </c>
      <c r="L733" s="344">
        <f>'ALL ML SYSTEMS'!L719</f>
        <v>0</v>
      </c>
      <c r="M733" s="344">
        <f>'ALL ML SYSTEMS'!M719</f>
        <v>0</v>
      </c>
      <c r="N733" s="344">
        <f>'ALL ML SYSTEMS'!N719</f>
        <v>0</v>
      </c>
      <c r="O733" s="344">
        <f>'ALL ML SYSTEMS'!O719</f>
        <v>0</v>
      </c>
      <c r="P733" s="344">
        <f>'ALL ML SYSTEMS'!P719</f>
        <v>0</v>
      </c>
      <c r="Q733" s="344">
        <f>'ALL ML SYSTEMS'!Q719</f>
        <v>0</v>
      </c>
      <c r="R733" s="344">
        <f>'ALL ML SYSTEMS'!R719</f>
        <v>0</v>
      </c>
      <c r="S733" s="344">
        <f>'ALL ML SYSTEMS'!S719</f>
        <v>0</v>
      </c>
      <c r="T733" s="344">
        <f>'ALL ML SYSTEMS'!T719</f>
        <v>0</v>
      </c>
      <c r="U733" s="344">
        <f>'ALL ML SYSTEMS'!U719</f>
        <v>0</v>
      </c>
      <c r="V733" s="344">
        <f>'ALL ML SYSTEMS'!V719</f>
        <v>0</v>
      </c>
      <c r="W733" s="344">
        <f>'ALL ML SYSTEMS'!W719</f>
        <v>0</v>
      </c>
      <c r="X733" s="344">
        <f>'ALL ML SYSTEMS'!X719</f>
        <v>0</v>
      </c>
      <c r="Y733" s="344">
        <f>'ALL ML SYSTEMS'!Y719</f>
        <v>0</v>
      </c>
      <c r="Z733" s="344">
        <f>'ALL ML SYSTEMS'!Z719</f>
        <v>0</v>
      </c>
      <c r="AA733" s="344">
        <f>'ALL ML SYSTEMS'!AA719</f>
        <v>0</v>
      </c>
      <c r="AB733" s="344"/>
      <c r="AC733" s="344">
        <f>'ALL ML SYSTEMS'!AC719</f>
        <v>0</v>
      </c>
      <c r="AD733" s="344">
        <f>'ALL ML SYSTEMS'!AD719</f>
        <v>0</v>
      </c>
    </row>
    <row r="734" hidden="1" customHeight="1" spans="1:30">
      <c r="A734" s="344">
        <f>'ALL ML SYSTEMS'!A720</f>
        <v>0</v>
      </c>
      <c r="B734" s="344">
        <f>'ALL ML SYSTEMS'!B720</f>
        <v>0</v>
      </c>
      <c r="C734" s="344">
        <f>'ALL ML SYSTEMS'!C720</f>
        <v>0</v>
      </c>
      <c r="D734" s="344">
        <f>'ALL ML SYSTEMS'!D720</f>
        <v>0</v>
      </c>
      <c r="E734" s="344">
        <f>'ALL ML SYSTEMS'!E720</f>
        <v>0</v>
      </c>
      <c r="F734" s="344">
        <f>'ALL ML SYSTEMS'!F720</f>
        <v>0</v>
      </c>
      <c r="G734" s="344">
        <f>'ALL ML SYSTEMS'!G720</f>
        <v>0</v>
      </c>
      <c r="H734" s="344">
        <f>'ALL ML SYSTEMS'!H720</f>
        <v>0</v>
      </c>
      <c r="I734" s="344">
        <f>'ALL ML SYSTEMS'!I720</f>
        <v>0</v>
      </c>
      <c r="J734" s="344">
        <f>'ALL ML SYSTEMS'!J720</f>
        <v>0</v>
      </c>
      <c r="K734" s="344">
        <f>'ALL ML SYSTEMS'!K720</f>
        <v>0</v>
      </c>
      <c r="L734" s="344">
        <f>'ALL ML SYSTEMS'!L720</f>
        <v>0</v>
      </c>
      <c r="M734" s="344">
        <f>'ALL ML SYSTEMS'!M720</f>
        <v>0</v>
      </c>
      <c r="N734" s="344">
        <f>'ALL ML SYSTEMS'!N720</f>
        <v>0</v>
      </c>
      <c r="O734" s="344">
        <f>'ALL ML SYSTEMS'!O720</f>
        <v>0</v>
      </c>
      <c r="P734" s="344">
        <f>'ALL ML SYSTEMS'!P720</f>
        <v>0</v>
      </c>
      <c r="Q734" s="344">
        <f>'ALL ML SYSTEMS'!Q720</f>
        <v>0</v>
      </c>
      <c r="R734" s="344">
        <f>'ALL ML SYSTEMS'!R720</f>
        <v>0</v>
      </c>
      <c r="S734" s="344">
        <f>'ALL ML SYSTEMS'!S720</f>
        <v>0</v>
      </c>
      <c r="T734" s="344">
        <f>'ALL ML SYSTEMS'!T720</f>
        <v>0</v>
      </c>
      <c r="U734" s="344">
        <f>'ALL ML SYSTEMS'!U720</f>
        <v>0</v>
      </c>
      <c r="V734" s="344">
        <f>'ALL ML SYSTEMS'!V720</f>
        <v>0</v>
      </c>
      <c r="W734" s="344">
        <f>'ALL ML SYSTEMS'!W720</f>
        <v>0</v>
      </c>
      <c r="X734" s="344">
        <f>'ALL ML SYSTEMS'!X720</f>
        <v>0</v>
      </c>
      <c r="Y734" s="344">
        <f>'ALL ML SYSTEMS'!Y720</f>
        <v>0</v>
      </c>
      <c r="Z734" s="344">
        <f>'ALL ML SYSTEMS'!Z720</f>
        <v>0</v>
      </c>
      <c r="AA734" s="344">
        <f>'ALL ML SYSTEMS'!AA720</f>
        <v>0</v>
      </c>
      <c r="AB734" s="344"/>
      <c r="AC734" s="344">
        <f>'ALL ML SYSTEMS'!AC720</f>
        <v>0</v>
      </c>
      <c r="AD734" s="344">
        <f>'ALL ML SYSTEMS'!AD720</f>
        <v>0</v>
      </c>
    </row>
    <row r="735" hidden="1" customHeight="1" spans="1:30">
      <c r="A735" s="344">
        <f>'ALL ML SYSTEMS'!A721</f>
        <v>0</v>
      </c>
      <c r="B735" s="344">
        <f>'ALL ML SYSTEMS'!B721</f>
        <v>0</v>
      </c>
      <c r="C735" s="344">
        <f>'ALL ML SYSTEMS'!C721</f>
        <v>0</v>
      </c>
      <c r="D735" s="344">
        <f>'ALL ML SYSTEMS'!D721</f>
        <v>0</v>
      </c>
      <c r="E735" s="344">
        <f>'ALL ML SYSTEMS'!E721</f>
        <v>0</v>
      </c>
      <c r="F735" s="344">
        <f>'ALL ML SYSTEMS'!F721</f>
        <v>0</v>
      </c>
      <c r="G735" s="344">
        <f>'ALL ML SYSTEMS'!G721</f>
        <v>0</v>
      </c>
      <c r="H735" s="344">
        <f>'ALL ML SYSTEMS'!H721</f>
        <v>0</v>
      </c>
      <c r="I735" s="344">
        <f>'ALL ML SYSTEMS'!I721</f>
        <v>0</v>
      </c>
      <c r="J735" s="344">
        <f>'ALL ML SYSTEMS'!J721</f>
        <v>0</v>
      </c>
      <c r="K735" s="344">
        <f>'ALL ML SYSTEMS'!K721</f>
        <v>0</v>
      </c>
      <c r="L735" s="344">
        <f>'ALL ML SYSTEMS'!L721</f>
        <v>0</v>
      </c>
      <c r="M735" s="344">
        <f>'ALL ML SYSTEMS'!M721</f>
        <v>0</v>
      </c>
      <c r="N735" s="344">
        <f>'ALL ML SYSTEMS'!N721</f>
        <v>0</v>
      </c>
      <c r="O735" s="344">
        <f>'ALL ML SYSTEMS'!O721</f>
        <v>0</v>
      </c>
      <c r="P735" s="344">
        <f>'ALL ML SYSTEMS'!P721</f>
        <v>0</v>
      </c>
      <c r="Q735" s="344">
        <f>'ALL ML SYSTEMS'!Q721</f>
        <v>0</v>
      </c>
      <c r="R735" s="344">
        <f>'ALL ML SYSTEMS'!R721</f>
        <v>0</v>
      </c>
      <c r="S735" s="344">
        <f>'ALL ML SYSTEMS'!S721</f>
        <v>0</v>
      </c>
      <c r="T735" s="344">
        <f>'ALL ML SYSTEMS'!T721</f>
        <v>0</v>
      </c>
      <c r="U735" s="344">
        <f>'ALL ML SYSTEMS'!U721</f>
        <v>0</v>
      </c>
      <c r="V735" s="344">
        <f>'ALL ML SYSTEMS'!V721</f>
        <v>0</v>
      </c>
      <c r="W735" s="344">
        <f>'ALL ML SYSTEMS'!W721</f>
        <v>0</v>
      </c>
      <c r="X735" s="344">
        <f>'ALL ML SYSTEMS'!X721</f>
        <v>0</v>
      </c>
      <c r="Y735" s="344">
        <f>'ALL ML SYSTEMS'!Y721</f>
        <v>0</v>
      </c>
      <c r="Z735" s="344">
        <f>'ALL ML SYSTEMS'!Z721</f>
        <v>0</v>
      </c>
      <c r="AA735" s="344">
        <f>'ALL ML SYSTEMS'!AA721</f>
        <v>0</v>
      </c>
      <c r="AB735" s="344"/>
      <c r="AC735" s="344">
        <f>'ALL ML SYSTEMS'!AC721</f>
        <v>0</v>
      </c>
      <c r="AD735" s="344">
        <f>'ALL ML SYSTEMS'!AD721</f>
        <v>0</v>
      </c>
    </row>
    <row r="736" hidden="1" customHeight="1" spans="1:30">
      <c r="A736" s="344">
        <f>'ALL ML SYSTEMS'!A722</f>
        <v>0</v>
      </c>
      <c r="B736" s="344">
        <f>'ALL ML SYSTEMS'!B722</f>
        <v>0</v>
      </c>
      <c r="C736" s="344">
        <f>'ALL ML SYSTEMS'!C722</f>
        <v>0</v>
      </c>
      <c r="D736" s="344">
        <f>'ALL ML SYSTEMS'!D722</f>
        <v>0</v>
      </c>
      <c r="E736" s="344">
        <f>'ALL ML SYSTEMS'!E722</f>
        <v>0</v>
      </c>
      <c r="F736" s="344">
        <f>'ALL ML SYSTEMS'!F722</f>
        <v>0</v>
      </c>
      <c r="G736" s="344">
        <f>'ALL ML SYSTEMS'!G722</f>
        <v>0</v>
      </c>
      <c r="H736" s="344">
        <f>'ALL ML SYSTEMS'!H722</f>
        <v>0</v>
      </c>
      <c r="I736" s="344">
        <f>'ALL ML SYSTEMS'!I722</f>
        <v>0</v>
      </c>
      <c r="J736" s="344">
        <f>'ALL ML SYSTEMS'!J722</f>
        <v>0</v>
      </c>
      <c r="K736" s="344">
        <f>'ALL ML SYSTEMS'!K722</f>
        <v>0</v>
      </c>
      <c r="L736" s="344">
        <f>'ALL ML SYSTEMS'!L722</f>
        <v>0</v>
      </c>
      <c r="M736" s="344">
        <f>'ALL ML SYSTEMS'!M722</f>
        <v>0</v>
      </c>
      <c r="N736" s="344">
        <f>'ALL ML SYSTEMS'!N722</f>
        <v>0</v>
      </c>
      <c r="O736" s="344">
        <f>'ALL ML SYSTEMS'!O722</f>
        <v>0</v>
      </c>
      <c r="P736" s="344">
        <f>'ALL ML SYSTEMS'!P722</f>
        <v>0</v>
      </c>
      <c r="Q736" s="344">
        <f>'ALL ML SYSTEMS'!Q722</f>
        <v>0</v>
      </c>
      <c r="R736" s="344">
        <f>'ALL ML SYSTEMS'!R722</f>
        <v>0</v>
      </c>
      <c r="S736" s="344">
        <f>'ALL ML SYSTEMS'!S722</f>
        <v>0</v>
      </c>
      <c r="T736" s="344">
        <f>'ALL ML SYSTEMS'!T722</f>
        <v>0</v>
      </c>
      <c r="U736" s="344">
        <f>'ALL ML SYSTEMS'!U722</f>
        <v>0</v>
      </c>
      <c r="V736" s="344">
        <f>'ALL ML SYSTEMS'!V722</f>
        <v>0</v>
      </c>
      <c r="W736" s="344">
        <f>'ALL ML SYSTEMS'!W722</f>
        <v>0</v>
      </c>
      <c r="X736" s="344">
        <f>'ALL ML SYSTEMS'!X722</f>
        <v>0</v>
      </c>
      <c r="Y736" s="344">
        <f>'ALL ML SYSTEMS'!Y722</f>
        <v>0</v>
      </c>
      <c r="Z736" s="344">
        <f>'ALL ML SYSTEMS'!Z722</f>
        <v>0</v>
      </c>
      <c r="AA736" s="344">
        <f>'ALL ML SYSTEMS'!AA722</f>
        <v>0</v>
      </c>
      <c r="AB736" s="344"/>
      <c r="AC736" s="344">
        <f>'ALL ML SYSTEMS'!AC722</f>
        <v>0</v>
      </c>
      <c r="AD736" s="344">
        <f>'ALL ML SYSTEMS'!AD722</f>
        <v>0</v>
      </c>
    </row>
    <row r="737" hidden="1" customHeight="1" spans="1:30">
      <c r="A737" s="344">
        <f>'ALL ML SYSTEMS'!A723</f>
        <v>0</v>
      </c>
      <c r="B737" s="344">
        <f>'ALL ML SYSTEMS'!B723</f>
        <v>0</v>
      </c>
      <c r="C737" s="344">
        <f>'ALL ML SYSTEMS'!C723</f>
        <v>0</v>
      </c>
      <c r="D737" s="344">
        <f>'ALL ML SYSTEMS'!D723</f>
        <v>0</v>
      </c>
      <c r="E737" s="344">
        <f>'ALL ML SYSTEMS'!E723</f>
        <v>0</v>
      </c>
      <c r="F737" s="344">
        <f>'ALL ML SYSTEMS'!F723</f>
        <v>0</v>
      </c>
      <c r="G737" s="344">
        <f>'ALL ML SYSTEMS'!G723</f>
        <v>0</v>
      </c>
      <c r="H737" s="344">
        <f>'ALL ML SYSTEMS'!H723</f>
        <v>0</v>
      </c>
      <c r="I737" s="344">
        <f>'ALL ML SYSTEMS'!I723</f>
        <v>0</v>
      </c>
      <c r="J737" s="344">
        <f>'ALL ML SYSTEMS'!J723</f>
        <v>0</v>
      </c>
      <c r="K737" s="344">
        <f>'ALL ML SYSTEMS'!K723</f>
        <v>0</v>
      </c>
      <c r="L737" s="344">
        <f>'ALL ML SYSTEMS'!L723</f>
        <v>0</v>
      </c>
      <c r="M737" s="344">
        <f>'ALL ML SYSTEMS'!M723</f>
        <v>0</v>
      </c>
      <c r="N737" s="344">
        <f>'ALL ML SYSTEMS'!N723</f>
        <v>0</v>
      </c>
      <c r="O737" s="344">
        <f>'ALL ML SYSTEMS'!O723</f>
        <v>0</v>
      </c>
      <c r="P737" s="344">
        <f>'ALL ML SYSTEMS'!P723</f>
        <v>0</v>
      </c>
      <c r="Q737" s="344">
        <f>'ALL ML SYSTEMS'!Q723</f>
        <v>0</v>
      </c>
      <c r="R737" s="344">
        <f>'ALL ML SYSTEMS'!R723</f>
        <v>0</v>
      </c>
      <c r="S737" s="344">
        <f>'ALL ML SYSTEMS'!S723</f>
        <v>0</v>
      </c>
      <c r="T737" s="344">
        <f>'ALL ML SYSTEMS'!T723</f>
        <v>0</v>
      </c>
      <c r="U737" s="344">
        <f>'ALL ML SYSTEMS'!U723</f>
        <v>0</v>
      </c>
      <c r="V737" s="344">
        <f>'ALL ML SYSTEMS'!V723</f>
        <v>0</v>
      </c>
      <c r="W737" s="344">
        <f>'ALL ML SYSTEMS'!W723</f>
        <v>0</v>
      </c>
      <c r="X737" s="344">
        <f>'ALL ML SYSTEMS'!X723</f>
        <v>0</v>
      </c>
      <c r="Y737" s="344">
        <f>'ALL ML SYSTEMS'!Y723</f>
        <v>0</v>
      </c>
      <c r="Z737" s="344">
        <f>'ALL ML SYSTEMS'!Z723</f>
        <v>0</v>
      </c>
      <c r="AA737" s="344">
        <f>'ALL ML SYSTEMS'!AA723</f>
        <v>0</v>
      </c>
      <c r="AB737" s="344"/>
      <c r="AC737" s="344">
        <f>'ALL ML SYSTEMS'!AC723</f>
        <v>0</v>
      </c>
      <c r="AD737" s="344">
        <f>'ALL ML SYSTEMS'!AD723</f>
        <v>0</v>
      </c>
    </row>
    <row r="738" hidden="1" customHeight="1" spans="1:30">
      <c r="A738" s="344">
        <f>'ALL ML SYSTEMS'!A724</f>
        <v>0</v>
      </c>
      <c r="B738" s="344">
        <f>'ALL ML SYSTEMS'!B724</f>
        <v>0</v>
      </c>
      <c r="C738" s="344">
        <f>'ALL ML SYSTEMS'!C724</f>
        <v>0</v>
      </c>
      <c r="D738" s="344">
        <f>'ALL ML SYSTEMS'!D724</f>
        <v>0</v>
      </c>
      <c r="E738" s="344">
        <f>'ALL ML SYSTEMS'!E724</f>
        <v>0</v>
      </c>
      <c r="F738" s="344">
        <f>'ALL ML SYSTEMS'!F724</f>
        <v>0</v>
      </c>
      <c r="G738" s="344">
        <f>'ALL ML SYSTEMS'!G724</f>
        <v>0</v>
      </c>
      <c r="H738" s="344">
        <f>'ALL ML SYSTEMS'!H724</f>
        <v>0</v>
      </c>
      <c r="I738" s="344">
        <f>'ALL ML SYSTEMS'!I724</f>
        <v>0</v>
      </c>
      <c r="J738" s="344">
        <f>'ALL ML SYSTEMS'!J724</f>
        <v>0</v>
      </c>
      <c r="K738" s="344">
        <f>'ALL ML SYSTEMS'!K724</f>
        <v>0</v>
      </c>
      <c r="L738" s="344">
        <f>'ALL ML SYSTEMS'!L724</f>
        <v>0</v>
      </c>
      <c r="M738" s="344">
        <f>'ALL ML SYSTEMS'!M724</f>
        <v>0</v>
      </c>
      <c r="N738" s="344">
        <f>'ALL ML SYSTEMS'!N724</f>
        <v>0</v>
      </c>
      <c r="O738" s="344">
        <f>'ALL ML SYSTEMS'!O724</f>
        <v>0</v>
      </c>
      <c r="P738" s="344">
        <f>'ALL ML SYSTEMS'!P724</f>
        <v>0</v>
      </c>
      <c r="Q738" s="344">
        <f>'ALL ML SYSTEMS'!Q724</f>
        <v>0</v>
      </c>
      <c r="R738" s="344">
        <f>'ALL ML SYSTEMS'!R724</f>
        <v>0</v>
      </c>
      <c r="S738" s="344">
        <f>'ALL ML SYSTEMS'!S724</f>
        <v>0</v>
      </c>
      <c r="T738" s="344">
        <f>'ALL ML SYSTEMS'!T724</f>
        <v>0</v>
      </c>
      <c r="U738" s="344">
        <f>'ALL ML SYSTEMS'!U724</f>
        <v>0</v>
      </c>
      <c r="V738" s="344">
        <f>'ALL ML SYSTEMS'!V724</f>
        <v>0</v>
      </c>
      <c r="W738" s="344">
        <f>'ALL ML SYSTEMS'!W724</f>
        <v>0</v>
      </c>
      <c r="X738" s="344">
        <f>'ALL ML SYSTEMS'!X724</f>
        <v>0</v>
      </c>
      <c r="Y738" s="344">
        <f>'ALL ML SYSTEMS'!Y724</f>
        <v>0</v>
      </c>
      <c r="Z738" s="344">
        <f>'ALL ML SYSTEMS'!Z724</f>
        <v>0</v>
      </c>
      <c r="AA738" s="344">
        <f>'ALL ML SYSTEMS'!AA724</f>
        <v>0</v>
      </c>
      <c r="AB738" s="344"/>
      <c r="AC738" s="344">
        <f>'ALL ML SYSTEMS'!AC724</f>
        <v>0</v>
      </c>
      <c r="AD738" s="344">
        <f>'ALL ML SYSTEMS'!AD724</f>
        <v>0</v>
      </c>
    </row>
    <row r="739" hidden="1" customHeight="1" spans="1:30">
      <c r="A739" s="344">
        <f>'ALL ML SYSTEMS'!A725</f>
        <v>0</v>
      </c>
      <c r="B739" s="344">
        <f>'ALL ML SYSTEMS'!B725</f>
        <v>0</v>
      </c>
      <c r="C739" s="344">
        <f>'ALL ML SYSTEMS'!C725</f>
        <v>0</v>
      </c>
      <c r="D739" s="344">
        <f>'ALL ML SYSTEMS'!D725</f>
        <v>0</v>
      </c>
      <c r="E739" s="344">
        <f>'ALL ML SYSTEMS'!E725</f>
        <v>0</v>
      </c>
      <c r="F739" s="344">
        <f>'ALL ML SYSTEMS'!F725</f>
        <v>0</v>
      </c>
      <c r="G739" s="344">
        <f>'ALL ML SYSTEMS'!G725</f>
        <v>0</v>
      </c>
      <c r="H739" s="344">
        <f>'ALL ML SYSTEMS'!H725</f>
        <v>0</v>
      </c>
      <c r="I739" s="344">
        <f>'ALL ML SYSTEMS'!I725</f>
        <v>0</v>
      </c>
      <c r="J739" s="344">
        <f>'ALL ML SYSTEMS'!J725</f>
        <v>0</v>
      </c>
      <c r="K739" s="344">
        <f>'ALL ML SYSTEMS'!K725</f>
        <v>0</v>
      </c>
      <c r="L739" s="344">
        <f>'ALL ML SYSTEMS'!L725</f>
        <v>0</v>
      </c>
      <c r="M739" s="344">
        <f>'ALL ML SYSTEMS'!M725</f>
        <v>0</v>
      </c>
      <c r="N739" s="344">
        <f>'ALL ML SYSTEMS'!N725</f>
        <v>0</v>
      </c>
      <c r="O739" s="344">
        <f>'ALL ML SYSTEMS'!O725</f>
        <v>0</v>
      </c>
      <c r="P739" s="344">
        <f>'ALL ML SYSTEMS'!P725</f>
        <v>0</v>
      </c>
      <c r="Q739" s="344">
        <f>'ALL ML SYSTEMS'!Q725</f>
        <v>0</v>
      </c>
      <c r="R739" s="344">
        <f>'ALL ML SYSTEMS'!R725</f>
        <v>0</v>
      </c>
      <c r="S739" s="344">
        <f>'ALL ML SYSTEMS'!S725</f>
        <v>0</v>
      </c>
      <c r="T739" s="344">
        <f>'ALL ML SYSTEMS'!T725</f>
        <v>0</v>
      </c>
      <c r="U739" s="344">
        <f>'ALL ML SYSTEMS'!U725</f>
        <v>0</v>
      </c>
      <c r="V739" s="344">
        <f>'ALL ML SYSTEMS'!V725</f>
        <v>0</v>
      </c>
      <c r="W739" s="344">
        <f>'ALL ML SYSTEMS'!W725</f>
        <v>0</v>
      </c>
      <c r="X739" s="344">
        <f>'ALL ML SYSTEMS'!X725</f>
        <v>0</v>
      </c>
      <c r="Y739" s="344">
        <f>'ALL ML SYSTEMS'!Y725</f>
        <v>0</v>
      </c>
      <c r="Z739" s="344">
        <f>'ALL ML SYSTEMS'!Z725</f>
        <v>0</v>
      </c>
      <c r="AA739" s="344">
        <f>'ALL ML SYSTEMS'!AA725</f>
        <v>0</v>
      </c>
      <c r="AB739" s="344"/>
      <c r="AC739" s="344">
        <f>'ALL ML SYSTEMS'!AC725</f>
        <v>0</v>
      </c>
      <c r="AD739" s="344">
        <f>'ALL ML SYSTEMS'!AD725</f>
        <v>0</v>
      </c>
    </row>
    <row r="740" hidden="1" customHeight="1" spans="1:30">
      <c r="A740" s="344">
        <f>'ALL ML SYSTEMS'!A726</f>
        <v>0</v>
      </c>
      <c r="B740" s="344">
        <f>'ALL ML SYSTEMS'!B726</f>
        <v>0</v>
      </c>
      <c r="C740" s="344">
        <f>'ALL ML SYSTEMS'!C726</f>
        <v>0</v>
      </c>
      <c r="D740" s="344">
        <f>'ALL ML SYSTEMS'!D726</f>
        <v>0</v>
      </c>
      <c r="E740" s="344">
        <f>'ALL ML SYSTEMS'!E726</f>
        <v>0</v>
      </c>
      <c r="F740" s="344">
        <f>'ALL ML SYSTEMS'!F726</f>
        <v>0</v>
      </c>
      <c r="G740" s="344">
        <f>'ALL ML SYSTEMS'!G726</f>
        <v>0</v>
      </c>
      <c r="H740" s="344">
        <f>'ALL ML SYSTEMS'!H726</f>
        <v>0</v>
      </c>
      <c r="I740" s="344">
        <f>'ALL ML SYSTEMS'!I726</f>
        <v>0</v>
      </c>
      <c r="J740" s="344">
        <f>'ALL ML SYSTEMS'!J726</f>
        <v>0</v>
      </c>
      <c r="K740" s="344">
        <f>'ALL ML SYSTEMS'!K726</f>
        <v>0</v>
      </c>
      <c r="L740" s="344">
        <f>'ALL ML SYSTEMS'!L726</f>
        <v>0</v>
      </c>
      <c r="M740" s="344">
        <f>'ALL ML SYSTEMS'!M726</f>
        <v>0</v>
      </c>
      <c r="N740" s="344">
        <f>'ALL ML SYSTEMS'!N726</f>
        <v>0</v>
      </c>
      <c r="O740" s="344">
        <f>'ALL ML SYSTEMS'!O726</f>
        <v>0</v>
      </c>
      <c r="P740" s="344">
        <f>'ALL ML SYSTEMS'!P726</f>
        <v>0</v>
      </c>
      <c r="Q740" s="344">
        <f>'ALL ML SYSTEMS'!Q726</f>
        <v>0</v>
      </c>
      <c r="R740" s="344">
        <f>'ALL ML SYSTEMS'!R726</f>
        <v>0</v>
      </c>
      <c r="S740" s="344">
        <f>'ALL ML SYSTEMS'!S726</f>
        <v>0</v>
      </c>
      <c r="T740" s="344">
        <f>'ALL ML SYSTEMS'!T726</f>
        <v>0</v>
      </c>
      <c r="U740" s="344">
        <f>'ALL ML SYSTEMS'!U726</f>
        <v>0</v>
      </c>
      <c r="V740" s="344">
        <f>'ALL ML SYSTEMS'!V726</f>
        <v>0</v>
      </c>
      <c r="W740" s="344">
        <f>'ALL ML SYSTEMS'!W726</f>
        <v>0</v>
      </c>
      <c r="X740" s="344">
        <f>'ALL ML SYSTEMS'!X726</f>
        <v>0</v>
      </c>
      <c r="Y740" s="344">
        <f>'ALL ML SYSTEMS'!Y726</f>
        <v>0</v>
      </c>
      <c r="Z740" s="344">
        <f>'ALL ML SYSTEMS'!Z726</f>
        <v>0</v>
      </c>
      <c r="AA740" s="344">
        <f>'ALL ML SYSTEMS'!AA726</f>
        <v>0</v>
      </c>
      <c r="AB740" s="344"/>
      <c r="AC740" s="344">
        <f>'ALL ML SYSTEMS'!AC726</f>
        <v>0</v>
      </c>
      <c r="AD740" s="344">
        <f>'ALL ML SYSTEMS'!AD726</f>
        <v>0</v>
      </c>
    </row>
    <row r="741" hidden="1" customHeight="1" spans="1:30">
      <c r="A741" s="344">
        <f>'ALL ML SYSTEMS'!A727</f>
        <v>0</v>
      </c>
      <c r="B741" s="344">
        <f>'ALL ML SYSTEMS'!B727</f>
        <v>0</v>
      </c>
      <c r="C741" s="344">
        <f>'ALL ML SYSTEMS'!C727</f>
        <v>0</v>
      </c>
      <c r="D741" s="344">
        <f>'ALL ML SYSTEMS'!D727</f>
        <v>0</v>
      </c>
      <c r="E741" s="344">
        <f>'ALL ML SYSTEMS'!E727</f>
        <v>0</v>
      </c>
      <c r="F741" s="344">
        <f>'ALL ML SYSTEMS'!F727</f>
        <v>0</v>
      </c>
      <c r="G741" s="344">
        <f>'ALL ML SYSTEMS'!G727</f>
        <v>0</v>
      </c>
      <c r="H741" s="344">
        <f>'ALL ML SYSTEMS'!H727</f>
        <v>0</v>
      </c>
      <c r="I741" s="344">
        <f>'ALL ML SYSTEMS'!I727</f>
        <v>0</v>
      </c>
      <c r="J741" s="344">
        <f>'ALL ML SYSTEMS'!J727</f>
        <v>0</v>
      </c>
      <c r="K741" s="344">
        <f>'ALL ML SYSTEMS'!K727</f>
        <v>0</v>
      </c>
      <c r="L741" s="344">
        <f>'ALL ML SYSTEMS'!L727</f>
        <v>0</v>
      </c>
      <c r="M741" s="344">
        <f>'ALL ML SYSTEMS'!M727</f>
        <v>0</v>
      </c>
      <c r="N741" s="344">
        <f>'ALL ML SYSTEMS'!N727</f>
        <v>0</v>
      </c>
      <c r="O741" s="344">
        <f>'ALL ML SYSTEMS'!O727</f>
        <v>0</v>
      </c>
      <c r="P741" s="344">
        <f>'ALL ML SYSTEMS'!P727</f>
        <v>0</v>
      </c>
      <c r="Q741" s="344">
        <f>'ALL ML SYSTEMS'!Q727</f>
        <v>0</v>
      </c>
      <c r="R741" s="344">
        <f>'ALL ML SYSTEMS'!R727</f>
        <v>0</v>
      </c>
      <c r="S741" s="344">
        <f>'ALL ML SYSTEMS'!S727</f>
        <v>0</v>
      </c>
      <c r="T741" s="344">
        <f>'ALL ML SYSTEMS'!T727</f>
        <v>0</v>
      </c>
      <c r="U741" s="344">
        <f>'ALL ML SYSTEMS'!U727</f>
        <v>0</v>
      </c>
      <c r="V741" s="344">
        <f>'ALL ML SYSTEMS'!V727</f>
        <v>0</v>
      </c>
      <c r="W741" s="344">
        <f>'ALL ML SYSTEMS'!W727</f>
        <v>0</v>
      </c>
      <c r="X741" s="344">
        <f>'ALL ML SYSTEMS'!X727</f>
        <v>0</v>
      </c>
      <c r="Y741" s="344">
        <f>'ALL ML SYSTEMS'!Y727</f>
        <v>0</v>
      </c>
      <c r="Z741" s="344">
        <f>'ALL ML SYSTEMS'!Z727</f>
        <v>0</v>
      </c>
      <c r="AA741" s="344">
        <f>'ALL ML SYSTEMS'!AA727</f>
        <v>0</v>
      </c>
      <c r="AB741" s="344"/>
      <c r="AC741" s="344">
        <f>'ALL ML SYSTEMS'!AC727</f>
        <v>0</v>
      </c>
      <c r="AD741" s="344">
        <f>'ALL ML SYSTEMS'!AD727</f>
        <v>0</v>
      </c>
    </row>
    <row r="742" hidden="1" customHeight="1" spans="1:30">
      <c r="A742" s="344">
        <f>'ALL ML SYSTEMS'!A728</f>
        <v>0</v>
      </c>
      <c r="B742" s="344">
        <f>'ALL ML SYSTEMS'!B728</f>
        <v>0</v>
      </c>
      <c r="C742" s="344">
        <f>'ALL ML SYSTEMS'!C728</f>
        <v>0</v>
      </c>
      <c r="D742" s="344">
        <f>'ALL ML SYSTEMS'!D728</f>
        <v>0</v>
      </c>
      <c r="E742" s="344">
        <f>'ALL ML SYSTEMS'!E728</f>
        <v>0</v>
      </c>
      <c r="F742" s="344">
        <f>'ALL ML SYSTEMS'!F728</f>
        <v>0</v>
      </c>
      <c r="G742" s="344">
        <f>'ALL ML SYSTEMS'!G728</f>
        <v>0</v>
      </c>
      <c r="H742" s="344">
        <f>'ALL ML SYSTEMS'!H728</f>
        <v>0</v>
      </c>
      <c r="I742" s="344">
        <f>'ALL ML SYSTEMS'!I728</f>
        <v>0</v>
      </c>
      <c r="J742" s="344">
        <f>'ALL ML SYSTEMS'!J728</f>
        <v>0</v>
      </c>
      <c r="K742" s="344">
        <f>'ALL ML SYSTEMS'!K728</f>
        <v>0</v>
      </c>
      <c r="L742" s="344">
        <f>'ALL ML SYSTEMS'!L728</f>
        <v>0</v>
      </c>
      <c r="M742" s="344">
        <f>'ALL ML SYSTEMS'!M728</f>
        <v>0</v>
      </c>
      <c r="N742" s="344">
        <f>'ALL ML SYSTEMS'!N728</f>
        <v>0</v>
      </c>
      <c r="O742" s="344">
        <f>'ALL ML SYSTEMS'!O728</f>
        <v>0</v>
      </c>
      <c r="P742" s="344">
        <f>'ALL ML SYSTEMS'!P728</f>
        <v>0</v>
      </c>
      <c r="Q742" s="344">
        <f>'ALL ML SYSTEMS'!Q728</f>
        <v>0</v>
      </c>
      <c r="R742" s="344">
        <f>'ALL ML SYSTEMS'!R728</f>
        <v>0</v>
      </c>
      <c r="S742" s="344">
        <f>'ALL ML SYSTEMS'!S728</f>
        <v>0</v>
      </c>
      <c r="T742" s="344">
        <f>'ALL ML SYSTEMS'!T728</f>
        <v>0</v>
      </c>
      <c r="U742" s="344">
        <f>'ALL ML SYSTEMS'!U728</f>
        <v>0</v>
      </c>
      <c r="V742" s="344">
        <f>'ALL ML SYSTEMS'!V728</f>
        <v>0</v>
      </c>
      <c r="W742" s="344">
        <f>'ALL ML SYSTEMS'!W728</f>
        <v>0</v>
      </c>
      <c r="X742" s="344">
        <f>'ALL ML SYSTEMS'!X728</f>
        <v>0</v>
      </c>
      <c r="Y742" s="344">
        <f>'ALL ML SYSTEMS'!Y728</f>
        <v>0</v>
      </c>
      <c r="Z742" s="344">
        <f>'ALL ML SYSTEMS'!Z728</f>
        <v>0</v>
      </c>
      <c r="AA742" s="344">
        <f>'ALL ML SYSTEMS'!AA728</f>
        <v>0</v>
      </c>
      <c r="AB742" s="344"/>
      <c r="AC742" s="344">
        <f>'ALL ML SYSTEMS'!AC728</f>
        <v>0</v>
      </c>
      <c r="AD742" s="344">
        <f>'ALL ML SYSTEMS'!AD728</f>
        <v>0</v>
      </c>
    </row>
    <row r="743" hidden="1" customHeight="1" spans="1:30">
      <c r="A743" s="344">
        <f>'ALL ML SYSTEMS'!A729</f>
        <v>0</v>
      </c>
      <c r="B743" s="344">
        <f>'ALL ML SYSTEMS'!B729</f>
        <v>0</v>
      </c>
      <c r="C743" s="344">
        <f>'ALL ML SYSTEMS'!C729</f>
        <v>0</v>
      </c>
      <c r="D743" s="344">
        <f>'ALL ML SYSTEMS'!D729</f>
        <v>0</v>
      </c>
      <c r="E743" s="344">
        <f>'ALL ML SYSTEMS'!E729</f>
        <v>0</v>
      </c>
      <c r="F743" s="344">
        <f>'ALL ML SYSTEMS'!F729</f>
        <v>0</v>
      </c>
      <c r="G743" s="344">
        <f>'ALL ML SYSTEMS'!G729</f>
        <v>0</v>
      </c>
      <c r="H743" s="344">
        <f>'ALL ML SYSTEMS'!H729</f>
        <v>0</v>
      </c>
      <c r="I743" s="344">
        <f>'ALL ML SYSTEMS'!I729</f>
        <v>0</v>
      </c>
      <c r="J743" s="344">
        <f>'ALL ML SYSTEMS'!J729</f>
        <v>0</v>
      </c>
      <c r="K743" s="344">
        <f>'ALL ML SYSTEMS'!K729</f>
        <v>0</v>
      </c>
      <c r="L743" s="344">
        <f>'ALL ML SYSTEMS'!L729</f>
        <v>0</v>
      </c>
      <c r="M743" s="344">
        <f>'ALL ML SYSTEMS'!M729</f>
        <v>0</v>
      </c>
      <c r="N743" s="344">
        <f>'ALL ML SYSTEMS'!N729</f>
        <v>0</v>
      </c>
      <c r="O743" s="344">
        <f>'ALL ML SYSTEMS'!O729</f>
        <v>0</v>
      </c>
      <c r="P743" s="344">
        <f>'ALL ML SYSTEMS'!P729</f>
        <v>0</v>
      </c>
      <c r="Q743" s="344">
        <f>'ALL ML SYSTEMS'!Q729</f>
        <v>0</v>
      </c>
      <c r="R743" s="344">
        <f>'ALL ML SYSTEMS'!R729</f>
        <v>0</v>
      </c>
      <c r="S743" s="344">
        <f>'ALL ML SYSTEMS'!S729</f>
        <v>0</v>
      </c>
      <c r="T743" s="344">
        <f>'ALL ML SYSTEMS'!T729</f>
        <v>0</v>
      </c>
      <c r="U743" s="344">
        <f>'ALL ML SYSTEMS'!U729</f>
        <v>0</v>
      </c>
      <c r="V743" s="344">
        <f>'ALL ML SYSTEMS'!V729</f>
        <v>0</v>
      </c>
      <c r="W743" s="344">
        <f>'ALL ML SYSTEMS'!W729</f>
        <v>0</v>
      </c>
      <c r="X743" s="344">
        <f>'ALL ML SYSTEMS'!X729</f>
        <v>0</v>
      </c>
      <c r="Y743" s="344">
        <f>'ALL ML SYSTEMS'!Y729</f>
        <v>0</v>
      </c>
      <c r="Z743" s="344">
        <f>'ALL ML SYSTEMS'!Z729</f>
        <v>0</v>
      </c>
      <c r="AA743" s="344">
        <f>'ALL ML SYSTEMS'!AA729</f>
        <v>0</v>
      </c>
      <c r="AB743" s="344"/>
      <c r="AC743" s="344">
        <f>'ALL ML SYSTEMS'!AC729</f>
        <v>0</v>
      </c>
      <c r="AD743" s="344">
        <f>'ALL ML SYSTEMS'!AD729</f>
        <v>0</v>
      </c>
    </row>
    <row r="744" hidden="1" customHeight="1" spans="1:30">
      <c r="A744" s="344">
        <f>'ALL ML SYSTEMS'!A730</f>
        <v>0</v>
      </c>
      <c r="B744" s="344">
        <f>'ALL ML SYSTEMS'!B730</f>
        <v>0</v>
      </c>
      <c r="C744" s="344">
        <f>'ALL ML SYSTEMS'!C730</f>
        <v>0</v>
      </c>
      <c r="D744" s="344">
        <f>'ALL ML SYSTEMS'!D730</f>
        <v>0</v>
      </c>
      <c r="E744" s="344">
        <f>'ALL ML SYSTEMS'!E730</f>
        <v>0</v>
      </c>
      <c r="F744" s="344">
        <f>'ALL ML SYSTEMS'!F730</f>
        <v>0</v>
      </c>
      <c r="G744" s="344">
        <f>'ALL ML SYSTEMS'!G730</f>
        <v>0</v>
      </c>
      <c r="H744" s="344">
        <f>'ALL ML SYSTEMS'!H730</f>
        <v>0</v>
      </c>
      <c r="I744" s="344">
        <f>'ALL ML SYSTEMS'!I730</f>
        <v>0</v>
      </c>
      <c r="J744" s="344">
        <f>'ALL ML SYSTEMS'!J730</f>
        <v>0</v>
      </c>
      <c r="K744" s="344">
        <f>'ALL ML SYSTEMS'!K730</f>
        <v>0</v>
      </c>
      <c r="L744" s="344">
        <f>'ALL ML SYSTEMS'!L730</f>
        <v>0</v>
      </c>
      <c r="M744" s="344">
        <f>'ALL ML SYSTEMS'!M730</f>
        <v>0</v>
      </c>
      <c r="N744" s="344">
        <f>'ALL ML SYSTEMS'!N730</f>
        <v>0</v>
      </c>
      <c r="O744" s="344">
        <f>'ALL ML SYSTEMS'!O730</f>
        <v>0</v>
      </c>
      <c r="P744" s="344">
        <f>'ALL ML SYSTEMS'!P730</f>
        <v>0</v>
      </c>
      <c r="Q744" s="344">
        <f>'ALL ML SYSTEMS'!Q730</f>
        <v>0</v>
      </c>
      <c r="R744" s="344">
        <f>'ALL ML SYSTEMS'!R730</f>
        <v>0</v>
      </c>
      <c r="S744" s="344">
        <f>'ALL ML SYSTEMS'!S730</f>
        <v>0</v>
      </c>
      <c r="T744" s="344">
        <f>'ALL ML SYSTEMS'!T730</f>
        <v>0</v>
      </c>
      <c r="U744" s="344">
        <f>'ALL ML SYSTEMS'!U730</f>
        <v>0</v>
      </c>
      <c r="V744" s="344">
        <f>'ALL ML SYSTEMS'!V730</f>
        <v>0</v>
      </c>
      <c r="W744" s="344">
        <f>'ALL ML SYSTEMS'!W730</f>
        <v>0</v>
      </c>
      <c r="X744" s="344">
        <f>'ALL ML SYSTEMS'!X730</f>
        <v>0</v>
      </c>
      <c r="Y744" s="344">
        <f>'ALL ML SYSTEMS'!Y730</f>
        <v>0</v>
      </c>
      <c r="Z744" s="344">
        <f>'ALL ML SYSTEMS'!Z730</f>
        <v>0</v>
      </c>
      <c r="AA744" s="344">
        <f>'ALL ML SYSTEMS'!AA730</f>
        <v>0</v>
      </c>
      <c r="AB744" s="344"/>
      <c r="AC744" s="344">
        <f>'ALL ML SYSTEMS'!AC730</f>
        <v>0</v>
      </c>
      <c r="AD744" s="344">
        <f>'ALL ML SYSTEMS'!AD730</f>
        <v>0</v>
      </c>
    </row>
    <row r="745" hidden="1" customHeight="1" spans="1:30">
      <c r="A745" s="344">
        <f>'ALL ML SYSTEMS'!A731</f>
        <v>0</v>
      </c>
      <c r="B745" s="344">
        <f>'ALL ML SYSTEMS'!B731</f>
        <v>0</v>
      </c>
      <c r="C745" s="344">
        <f>'ALL ML SYSTEMS'!C731</f>
        <v>0</v>
      </c>
      <c r="D745" s="344">
        <f>'ALL ML SYSTEMS'!D731</f>
        <v>0</v>
      </c>
      <c r="E745" s="344">
        <f>'ALL ML SYSTEMS'!E731</f>
        <v>0</v>
      </c>
      <c r="F745" s="344">
        <f>'ALL ML SYSTEMS'!F731</f>
        <v>0</v>
      </c>
      <c r="G745" s="344">
        <f>'ALL ML SYSTEMS'!G731</f>
        <v>0</v>
      </c>
      <c r="H745" s="344">
        <f>'ALL ML SYSTEMS'!H731</f>
        <v>0</v>
      </c>
      <c r="I745" s="344">
        <f>'ALL ML SYSTEMS'!I731</f>
        <v>0</v>
      </c>
      <c r="J745" s="344">
        <f>'ALL ML SYSTEMS'!J731</f>
        <v>0</v>
      </c>
      <c r="K745" s="344">
        <f>'ALL ML SYSTEMS'!K731</f>
        <v>0</v>
      </c>
      <c r="L745" s="344">
        <f>'ALL ML SYSTEMS'!L731</f>
        <v>0</v>
      </c>
      <c r="M745" s="344">
        <f>'ALL ML SYSTEMS'!M731</f>
        <v>0</v>
      </c>
      <c r="N745" s="344">
        <f>'ALL ML SYSTEMS'!N731</f>
        <v>0</v>
      </c>
      <c r="O745" s="344">
        <f>'ALL ML SYSTEMS'!O731</f>
        <v>0</v>
      </c>
      <c r="P745" s="344">
        <f>'ALL ML SYSTEMS'!P731</f>
        <v>0</v>
      </c>
      <c r="Q745" s="344">
        <f>'ALL ML SYSTEMS'!Q731</f>
        <v>0</v>
      </c>
      <c r="R745" s="344">
        <f>'ALL ML SYSTEMS'!R731</f>
        <v>0</v>
      </c>
      <c r="S745" s="344">
        <f>'ALL ML SYSTEMS'!S731</f>
        <v>0</v>
      </c>
      <c r="T745" s="344">
        <f>'ALL ML SYSTEMS'!T731</f>
        <v>0</v>
      </c>
      <c r="U745" s="344">
        <f>'ALL ML SYSTEMS'!U731</f>
        <v>0</v>
      </c>
      <c r="V745" s="344">
        <f>'ALL ML SYSTEMS'!V731</f>
        <v>0</v>
      </c>
      <c r="W745" s="344">
        <f>'ALL ML SYSTEMS'!W731</f>
        <v>0</v>
      </c>
      <c r="X745" s="344">
        <f>'ALL ML SYSTEMS'!X731</f>
        <v>0</v>
      </c>
      <c r="Y745" s="344">
        <f>'ALL ML SYSTEMS'!Y731</f>
        <v>0</v>
      </c>
      <c r="Z745" s="344">
        <f>'ALL ML SYSTEMS'!Z731</f>
        <v>0</v>
      </c>
      <c r="AA745" s="344">
        <f>'ALL ML SYSTEMS'!AA731</f>
        <v>0</v>
      </c>
      <c r="AB745" s="344"/>
      <c r="AC745" s="344">
        <f>'ALL ML SYSTEMS'!AC731</f>
        <v>0</v>
      </c>
      <c r="AD745" s="344">
        <f>'ALL ML SYSTEMS'!AD731</f>
        <v>0</v>
      </c>
    </row>
    <row r="746" hidden="1" customHeight="1" spans="1:30">
      <c r="A746" s="344">
        <f>'ALL ML SYSTEMS'!A732</f>
        <v>0</v>
      </c>
      <c r="B746" s="344">
        <f>'ALL ML SYSTEMS'!B732</f>
        <v>0</v>
      </c>
      <c r="C746" s="344">
        <f>'ALL ML SYSTEMS'!C732</f>
        <v>0</v>
      </c>
      <c r="D746" s="344">
        <f>'ALL ML SYSTEMS'!D732</f>
        <v>0</v>
      </c>
      <c r="E746" s="344">
        <f>'ALL ML SYSTEMS'!E732</f>
        <v>0</v>
      </c>
      <c r="F746" s="344">
        <f>'ALL ML SYSTEMS'!F732</f>
        <v>0</v>
      </c>
      <c r="G746" s="344">
        <f>'ALL ML SYSTEMS'!G732</f>
        <v>0</v>
      </c>
      <c r="H746" s="344">
        <f>'ALL ML SYSTEMS'!H732</f>
        <v>0</v>
      </c>
      <c r="I746" s="344">
        <f>'ALL ML SYSTEMS'!I732</f>
        <v>0</v>
      </c>
      <c r="J746" s="344">
        <f>'ALL ML SYSTEMS'!J732</f>
        <v>0</v>
      </c>
      <c r="K746" s="344">
        <f>'ALL ML SYSTEMS'!K732</f>
        <v>0</v>
      </c>
      <c r="L746" s="344">
        <f>'ALL ML SYSTEMS'!L732</f>
        <v>0</v>
      </c>
      <c r="M746" s="344">
        <f>'ALL ML SYSTEMS'!M732</f>
        <v>0</v>
      </c>
      <c r="N746" s="344">
        <f>'ALL ML SYSTEMS'!N732</f>
        <v>0</v>
      </c>
      <c r="O746" s="344">
        <f>'ALL ML SYSTEMS'!O732</f>
        <v>0</v>
      </c>
      <c r="P746" s="344">
        <f>'ALL ML SYSTEMS'!P732</f>
        <v>0</v>
      </c>
      <c r="Q746" s="344">
        <f>'ALL ML SYSTEMS'!Q732</f>
        <v>0</v>
      </c>
      <c r="R746" s="344">
        <f>'ALL ML SYSTEMS'!R732</f>
        <v>0</v>
      </c>
      <c r="S746" s="344">
        <f>'ALL ML SYSTEMS'!S732</f>
        <v>0</v>
      </c>
      <c r="T746" s="344">
        <f>'ALL ML SYSTEMS'!T732</f>
        <v>0</v>
      </c>
      <c r="U746" s="344">
        <f>'ALL ML SYSTEMS'!U732</f>
        <v>0</v>
      </c>
      <c r="V746" s="344">
        <f>'ALL ML SYSTEMS'!V732</f>
        <v>0</v>
      </c>
      <c r="W746" s="344">
        <f>'ALL ML SYSTEMS'!W732</f>
        <v>0</v>
      </c>
      <c r="X746" s="344">
        <f>'ALL ML SYSTEMS'!X732</f>
        <v>0</v>
      </c>
      <c r="Y746" s="344">
        <f>'ALL ML SYSTEMS'!Y732</f>
        <v>0</v>
      </c>
      <c r="Z746" s="344">
        <f>'ALL ML SYSTEMS'!Z732</f>
        <v>0</v>
      </c>
      <c r="AA746" s="344">
        <f>'ALL ML SYSTEMS'!AA732</f>
        <v>0</v>
      </c>
      <c r="AB746" s="344"/>
      <c r="AC746" s="344">
        <f>'ALL ML SYSTEMS'!AC732</f>
        <v>0</v>
      </c>
      <c r="AD746" s="344">
        <f>'ALL ML SYSTEMS'!AD732</f>
        <v>0</v>
      </c>
    </row>
    <row r="747" hidden="1" customHeight="1" spans="1:30">
      <c r="A747" s="344">
        <f>'ALL ML SYSTEMS'!A733</f>
        <v>0</v>
      </c>
      <c r="B747" s="344">
        <f>'ALL ML SYSTEMS'!B733</f>
        <v>0</v>
      </c>
      <c r="C747" s="344">
        <f>'ALL ML SYSTEMS'!C733</f>
        <v>0</v>
      </c>
      <c r="D747" s="344">
        <f>'ALL ML SYSTEMS'!D733</f>
        <v>0</v>
      </c>
      <c r="E747" s="344">
        <f>'ALL ML SYSTEMS'!E733</f>
        <v>0</v>
      </c>
      <c r="F747" s="344">
        <f>'ALL ML SYSTEMS'!F733</f>
        <v>0</v>
      </c>
      <c r="G747" s="344">
        <f>'ALL ML SYSTEMS'!G733</f>
        <v>0</v>
      </c>
      <c r="H747" s="344">
        <f>'ALL ML SYSTEMS'!H733</f>
        <v>0</v>
      </c>
      <c r="I747" s="344">
        <f>'ALL ML SYSTEMS'!I733</f>
        <v>0</v>
      </c>
      <c r="J747" s="344">
        <f>'ALL ML SYSTEMS'!J733</f>
        <v>0</v>
      </c>
      <c r="K747" s="344">
        <f>'ALL ML SYSTEMS'!K733</f>
        <v>0</v>
      </c>
      <c r="L747" s="344">
        <f>'ALL ML SYSTEMS'!L733</f>
        <v>0</v>
      </c>
      <c r="M747" s="344">
        <f>'ALL ML SYSTEMS'!M733</f>
        <v>0</v>
      </c>
      <c r="N747" s="344">
        <f>'ALL ML SYSTEMS'!N733</f>
        <v>0</v>
      </c>
      <c r="O747" s="344">
        <f>'ALL ML SYSTEMS'!O733</f>
        <v>0</v>
      </c>
      <c r="P747" s="344">
        <f>'ALL ML SYSTEMS'!P733</f>
        <v>0</v>
      </c>
      <c r="Q747" s="344">
        <f>'ALL ML SYSTEMS'!Q733</f>
        <v>0</v>
      </c>
      <c r="R747" s="344">
        <f>'ALL ML SYSTEMS'!R733</f>
        <v>0</v>
      </c>
      <c r="S747" s="344">
        <f>'ALL ML SYSTEMS'!S733</f>
        <v>0</v>
      </c>
      <c r="T747" s="344">
        <f>'ALL ML SYSTEMS'!T733</f>
        <v>0</v>
      </c>
      <c r="U747" s="344">
        <f>'ALL ML SYSTEMS'!U733</f>
        <v>0</v>
      </c>
      <c r="V747" s="344">
        <f>'ALL ML SYSTEMS'!V733</f>
        <v>0</v>
      </c>
      <c r="W747" s="344">
        <f>'ALL ML SYSTEMS'!W733</f>
        <v>0</v>
      </c>
      <c r="X747" s="344">
        <f>'ALL ML SYSTEMS'!X733</f>
        <v>0</v>
      </c>
      <c r="Y747" s="344">
        <f>'ALL ML SYSTEMS'!Y733</f>
        <v>0</v>
      </c>
      <c r="Z747" s="344">
        <f>'ALL ML SYSTEMS'!Z733</f>
        <v>0</v>
      </c>
      <c r="AA747" s="344">
        <f>'ALL ML SYSTEMS'!AA733</f>
        <v>0</v>
      </c>
      <c r="AB747" s="344"/>
      <c r="AC747" s="344">
        <f>'ALL ML SYSTEMS'!AC733</f>
        <v>0</v>
      </c>
      <c r="AD747" s="344">
        <f>'ALL ML SYSTEMS'!AD733</f>
        <v>0</v>
      </c>
    </row>
    <row r="748" hidden="1" customHeight="1" spans="1:30">
      <c r="A748" s="344">
        <f>'ALL ML SYSTEMS'!A734</f>
        <v>0</v>
      </c>
      <c r="B748" s="344">
        <f>'ALL ML SYSTEMS'!B734</f>
        <v>0</v>
      </c>
      <c r="C748" s="344">
        <f>'ALL ML SYSTEMS'!C734</f>
        <v>0</v>
      </c>
      <c r="D748" s="344">
        <f>'ALL ML SYSTEMS'!D734</f>
        <v>0</v>
      </c>
      <c r="E748" s="344">
        <f>'ALL ML SYSTEMS'!E734</f>
        <v>0</v>
      </c>
      <c r="F748" s="344">
        <f>'ALL ML SYSTEMS'!F734</f>
        <v>0</v>
      </c>
      <c r="G748" s="344">
        <f>'ALL ML SYSTEMS'!G734</f>
        <v>0</v>
      </c>
      <c r="H748" s="344">
        <f>'ALL ML SYSTEMS'!H734</f>
        <v>0</v>
      </c>
      <c r="I748" s="344">
        <f>'ALL ML SYSTEMS'!I734</f>
        <v>0</v>
      </c>
      <c r="J748" s="344">
        <f>'ALL ML SYSTEMS'!J734</f>
        <v>0</v>
      </c>
      <c r="K748" s="344">
        <f>'ALL ML SYSTEMS'!K734</f>
        <v>0</v>
      </c>
      <c r="L748" s="344">
        <f>'ALL ML SYSTEMS'!L734</f>
        <v>0</v>
      </c>
      <c r="M748" s="344">
        <f>'ALL ML SYSTEMS'!M734</f>
        <v>0</v>
      </c>
      <c r="N748" s="344">
        <f>'ALL ML SYSTEMS'!N734</f>
        <v>0</v>
      </c>
      <c r="O748" s="344">
        <f>'ALL ML SYSTEMS'!O734</f>
        <v>0</v>
      </c>
      <c r="P748" s="344">
        <f>'ALL ML SYSTEMS'!P734</f>
        <v>0</v>
      </c>
      <c r="Q748" s="344">
        <f>'ALL ML SYSTEMS'!Q734</f>
        <v>0</v>
      </c>
      <c r="R748" s="344">
        <f>'ALL ML SYSTEMS'!R734</f>
        <v>0</v>
      </c>
      <c r="S748" s="344">
        <f>'ALL ML SYSTEMS'!S734</f>
        <v>0</v>
      </c>
      <c r="T748" s="344">
        <f>'ALL ML SYSTEMS'!T734</f>
        <v>0</v>
      </c>
      <c r="U748" s="344">
        <f>'ALL ML SYSTEMS'!U734</f>
        <v>0</v>
      </c>
      <c r="V748" s="344">
        <f>'ALL ML SYSTEMS'!V734</f>
        <v>0</v>
      </c>
      <c r="W748" s="344">
        <f>'ALL ML SYSTEMS'!W734</f>
        <v>0</v>
      </c>
      <c r="X748" s="344">
        <f>'ALL ML SYSTEMS'!X734</f>
        <v>0</v>
      </c>
      <c r="Y748" s="344">
        <f>'ALL ML SYSTEMS'!Y734</f>
        <v>0</v>
      </c>
      <c r="Z748" s="344">
        <f>'ALL ML SYSTEMS'!Z734</f>
        <v>0</v>
      </c>
      <c r="AA748" s="344">
        <f>'ALL ML SYSTEMS'!AA734</f>
        <v>0</v>
      </c>
      <c r="AB748" s="344"/>
      <c r="AC748" s="344">
        <f>'ALL ML SYSTEMS'!AC734</f>
        <v>0</v>
      </c>
      <c r="AD748" s="344">
        <f>'ALL ML SYSTEMS'!AD734</f>
        <v>0</v>
      </c>
    </row>
    <row r="749" hidden="1" customHeight="1" spans="1:30">
      <c r="A749" s="344">
        <f>'ALL ML SYSTEMS'!A735</f>
        <v>0</v>
      </c>
      <c r="B749" s="344">
        <f>'ALL ML SYSTEMS'!B735</f>
        <v>0</v>
      </c>
      <c r="C749" s="344">
        <f>'ALL ML SYSTEMS'!C735</f>
        <v>0</v>
      </c>
      <c r="D749" s="344">
        <f>'ALL ML SYSTEMS'!D735</f>
        <v>0</v>
      </c>
      <c r="E749" s="344">
        <f>'ALL ML SYSTEMS'!E735</f>
        <v>0</v>
      </c>
      <c r="F749" s="344">
        <f>'ALL ML SYSTEMS'!F735</f>
        <v>0</v>
      </c>
      <c r="G749" s="344">
        <f>'ALL ML SYSTEMS'!G735</f>
        <v>0</v>
      </c>
      <c r="H749" s="344">
        <f>'ALL ML SYSTEMS'!H735</f>
        <v>0</v>
      </c>
      <c r="I749" s="344">
        <f>'ALL ML SYSTEMS'!I735</f>
        <v>0</v>
      </c>
      <c r="J749" s="344">
        <f>'ALL ML SYSTEMS'!J735</f>
        <v>0</v>
      </c>
      <c r="K749" s="344">
        <f>'ALL ML SYSTEMS'!K735</f>
        <v>0</v>
      </c>
      <c r="L749" s="344">
        <f>'ALL ML SYSTEMS'!L735</f>
        <v>0</v>
      </c>
      <c r="M749" s="344">
        <f>'ALL ML SYSTEMS'!M735</f>
        <v>0</v>
      </c>
      <c r="N749" s="344">
        <f>'ALL ML SYSTEMS'!N735</f>
        <v>0</v>
      </c>
      <c r="O749" s="344">
        <f>'ALL ML SYSTEMS'!O735</f>
        <v>0</v>
      </c>
      <c r="P749" s="344">
        <f>'ALL ML SYSTEMS'!P735</f>
        <v>0</v>
      </c>
      <c r="Q749" s="344">
        <f>'ALL ML SYSTEMS'!Q735</f>
        <v>0</v>
      </c>
      <c r="R749" s="344">
        <f>'ALL ML SYSTEMS'!R735</f>
        <v>0</v>
      </c>
      <c r="S749" s="344">
        <f>'ALL ML SYSTEMS'!S735</f>
        <v>0</v>
      </c>
      <c r="T749" s="344">
        <f>'ALL ML SYSTEMS'!T735</f>
        <v>0</v>
      </c>
      <c r="U749" s="344">
        <f>'ALL ML SYSTEMS'!U735</f>
        <v>0</v>
      </c>
      <c r="V749" s="344">
        <f>'ALL ML SYSTEMS'!V735</f>
        <v>0</v>
      </c>
      <c r="W749" s="344">
        <f>'ALL ML SYSTEMS'!W735</f>
        <v>0</v>
      </c>
      <c r="X749" s="344">
        <f>'ALL ML SYSTEMS'!X735</f>
        <v>0</v>
      </c>
      <c r="Y749" s="344">
        <f>'ALL ML SYSTEMS'!Y735</f>
        <v>0</v>
      </c>
      <c r="Z749" s="344">
        <f>'ALL ML SYSTEMS'!Z735</f>
        <v>0</v>
      </c>
      <c r="AA749" s="344">
        <f>'ALL ML SYSTEMS'!AA735</f>
        <v>0</v>
      </c>
      <c r="AB749" s="344"/>
      <c r="AC749" s="344">
        <f>'ALL ML SYSTEMS'!AC735</f>
        <v>0</v>
      </c>
      <c r="AD749" s="344">
        <f>'ALL ML SYSTEMS'!AD735</f>
        <v>0</v>
      </c>
    </row>
    <row r="750" hidden="1" customHeight="1" spans="1:30">
      <c r="A750" s="344">
        <f>'ALL ML SYSTEMS'!A736</f>
        <v>0</v>
      </c>
      <c r="B750" s="344">
        <f>'ALL ML SYSTEMS'!B736</f>
        <v>0</v>
      </c>
      <c r="C750" s="344">
        <f>'ALL ML SYSTEMS'!C736</f>
        <v>0</v>
      </c>
      <c r="D750" s="344">
        <f>'ALL ML SYSTEMS'!D736</f>
        <v>0</v>
      </c>
      <c r="E750" s="344">
        <f>'ALL ML SYSTEMS'!E736</f>
        <v>0</v>
      </c>
      <c r="F750" s="344">
        <f>'ALL ML SYSTEMS'!F736</f>
        <v>0</v>
      </c>
      <c r="G750" s="344">
        <f>'ALL ML SYSTEMS'!G736</f>
        <v>0</v>
      </c>
      <c r="H750" s="344">
        <f>'ALL ML SYSTEMS'!H736</f>
        <v>0</v>
      </c>
      <c r="I750" s="344">
        <f>'ALL ML SYSTEMS'!I736</f>
        <v>0</v>
      </c>
      <c r="J750" s="344">
        <f>'ALL ML SYSTEMS'!J736</f>
        <v>0</v>
      </c>
      <c r="K750" s="344">
        <f>'ALL ML SYSTEMS'!K736</f>
        <v>0</v>
      </c>
      <c r="L750" s="344">
        <f>'ALL ML SYSTEMS'!L736</f>
        <v>0</v>
      </c>
      <c r="M750" s="344">
        <f>'ALL ML SYSTEMS'!M736</f>
        <v>0</v>
      </c>
      <c r="N750" s="344">
        <f>'ALL ML SYSTEMS'!N736</f>
        <v>0</v>
      </c>
      <c r="O750" s="344">
        <f>'ALL ML SYSTEMS'!O736</f>
        <v>0</v>
      </c>
      <c r="P750" s="344">
        <f>'ALL ML SYSTEMS'!P736</f>
        <v>0</v>
      </c>
      <c r="Q750" s="344">
        <f>'ALL ML SYSTEMS'!Q736</f>
        <v>0</v>
      </c>
      <c r="R750" s="344">
        <f>'ALL ML SYSTEMS'!R736</f>
        <v>0</v>
      </c>
      <c r="S750" s="344">
        <f>'ALL ML SYSTEMS'!S736</f>
        <v>0</v>
      </c>
      <c r="T750" s="344">
        <f>'ALL ML SYSTEMS'!T736</f>
        <v>0</v>
      </c>
      <c r="U750" s="344">
        <f>'ALL ML SYSTEMS'!U736</f>
        <v>0</v>
      </c>
      <c r="V750" s="344">
        <f>'ALL ML SYSTEMS'!V736</f>
        <v>0</v>
      </c>
      <c r="W750" s="344">
        <f>'ALL ML SYSTEMS'!W736</f>
        <v>0</v>
      </c>
      <c r="X750" s="344">
        <f>'ALL ML SYSTEMS'!X736</f>
        <v>0</v>
      </c>
      <c r="Y750" s="344">
        <f>'ALL ML SYSTEMS'!Y736</f>
        <v>0</v>
      </c>
      <c r="Z750" s="344">
        <f>'ALL ML SYSTEMS'!Z736</f>
        <v>0</v>
      </c>
      <c r="AA750" s="344">
        <f>'ALL ML SYSTEMS'!AA736</f>
        <v>0</v>
      </c>
      <c r="AB750" s="344"/>
      <c r="AC750" s="344">
        <f>'ALL ML SYSTEMS'!AC736</f>
        <v>0</v>
      </c>
      <c r="AD750" s="344">
        <f>'ALL ML SYSTEMS'!AD736</f>
        <v>0</v>
      </c>
    </row>
    <row r="751" hidden="1" customHeight="1" spans="1:30">
      <c r="A751" s="344">
        <f>'ALL ML SYSTEMS'!A737</f>
        <v>0</v>
      </c>
      <c r="B751" s="344">
        <f>'ALL ML SYSTEMS'!B737</f>
        <v>0</v>
      </c>
      <c r="C751" s="344">
        <f>'ALL ML SYSTEMS'!C737</f>
        <v>0</v>
      </c>
      <c r="D751" s="344">
        <f>'ALL ML SYSTEMS'!D737</f>
        <v>0</v>
      </c>
      <c r="E751" s="344">
        <f>'ALL ML SYSTEMS'!E737</f>
        <v>0</v>
      </c>
      <c r="F751" s="344">
        <f>'ALL ML SYSTEMS'!F737</f>
        <v>0</v>
      </c>
      <c r="G751" s="344">
        <f>'ALL ML SYSTEMS'!G737</f>
        <v>0</v>
      </c>
      <c r="H751" s="344">
        <f>'ALL ML SYSTEMS'!H737</f>
        <v>0</v>
      </c>
      <c r="I751" s="344">
        <f>'ALL ML SYSTEMS'!I737</f>
        <v>0</v>
      </c>
      <c r="J751" s="344">
        <f>'ALL ML SYSTEMS'!J737</f>
        <v>0</v>
      </c>
      <c r="K751" s="344">
        <f>'ALL ML SYSTEMS'!K737</f>
        <v>0</v>
      </c>
      <c r="L751" s="344">
        <f>'ALL ML SYSTEMS'!L737</f>
        <v>0</v>
      </c>
      <c r="M751" s="344">
        <f>'ALL ML SYSTEMS'!M737</f>
        <v>0</v>
      </c>
      <c r="N751" s="344">
        <f>'ALL ML SYSTEMS'!N737</f>
        <v>0</v>
      </c>
      <c r="O751" s="344">
        <f>'ALL ML SYSTEMS'!O737</f>
        <v>0</v>
      </c>
      <c r="P751" s="344">
        <f>'ALL ML SYSTEMS'!P737</f>
        <v>0</v>
      </c>
      <c r="Q751" s="344">
        <f>'ALL ML SYSTEMS'!Q737</f>
        <v>0</v>
      </c>
      <c r="R751" s="344">
        <f>'ALL ML SYSTEMS'!R737</f>
        <v>0</v>
      </c>
      <c r="S751" s="344">
        <f>'ALL ML SYSTEMS'!S737</f>
        <v>0</v>
      </c>
      <c r="T751" s="344">
        <f>'ALL ML SYSTEMS'!T737</f>
        <v>0</v>
      </c>
      <c r="U751" s="344">
        <f>'ALL ML SYSTEMS'!U737</f>
        <v>0</v>
      </c>
      <c r="V751" s="344">
        <f>'ALL ML SYSTEMS'!V737</f>
        <v>0</v>
      </c>
      <c r="W751" s="344">
        <f>'ALL ML SYSTEMS'!W737</f>
        <v>0</v>
      </c>
      <c r="X751" s="344">
        <f>'ALL ML SYSTEMS'!X737</f>
        <v>0</v>
      </c>
      <c r="Y751" s="344">
        <f>'ALL ML SYSTEMS'!Y737</f>
        <v>0</v>
      </c>
      <c r="Z751" s="344">
        <f>'ALL ML SYSTEMS'!Z737</f>
        <v>0</v>
      </c>
      <c r="AA751" s="344">
        <f>'ALL ML SYSTEMS'!AA737</f>
        <v>0</v>
      </c>
      <c r="AB751" s="344"/>
      <c r="AC751" s="344">
        <f>'ALL ML SYSTEMS'!AC737</f>
        <v>0</v>
      </c>
      <c r="AD751" s="344">
        <f>'ALL ML SYSTEMS'!AD737</f>
        <v>0</v>
      </c>
    </row>
    <row r="752" hidden="1" customHeight="1" spans="1:30">
      <c r="A752" s="344">
        <f>'ALL ML SYSTEMS'!A738</f>
        <v>0</v>
      </c>
      <c r="B752" s="344">
        <f>'ALL ML SYSTEMS'!B738</f>
        <v>0</v>
      </c>
      <c r="C752" s="344">
        <f>'ALL ML SYSTEMS'!C738</f>
        <v>0</v>
      </c>
      <c r="D752" s="344">
        <f>'ALL ML SYSTEMS'!D738</f>
        <v>0</v>
      </c>
      <c r="E752" s="344">
        <f>'ALL ML SYSTEMS'!E738</f>
        <v>0</v>
      </c>
      <c r="F752" s="344">
        <f>'ALL ML SYSTEMS'!F738</f>
        <v>0</v>
      </c>
      <c r="G752" s="344">
        <f>'ALL ML SYSTEMS'!G738</f>
        <v>0</v>
      </c>
      <c r="H752" s="344">
        <f>'ALL ML SYSTEMS'!H738</f>
        <v>0</v>
      </c>
      <c r="I752" s="344">
        <f>'ALL ML SYSTEMS'!I738</f>
        <v>0</v>
      </c>
      <c r="J752" s="344">
        <f>'ALL ML SYSTEMS'!J738</f>
        <v>0</v>
      </c>
      <c r="K752" s="344">
        <f>'ALL ML SYSTEMS'!K738</f>
        <v>0</v>
      </c>
      <c r="L752" s="344">
        <f>'ALL ML SYSTEMS'!L738</f>
        <v>0</v>
      </c>
      <c r="M752" s="344">
        <f>'ALL ML SYSTEMS'!M738</f>
        <v>0</v>
      </c>
      <c r="N752" s="344">
        <f>'ALL ML SYSTEMS'!N738</f>
        <v>0</v>
      </c>
      <c r="O752" s="344">
        <f>'ALL ML SYSTEMS'!O738</f>
        <v>0</v>
      </c>
      <c r="P752" s="344">
        <f>'ALL ML SYSTEMS'!P738</f>
        <v>0</v>
      </c>
      <c r="Q752" s="344">
        <f>'ALL ML SYSTEMS'!Q738</f>
        <v>0</v>
      </c>
      <c r="R752" s="344">
        <f>'ALL ML SYSTEMS'!R738</f>
        <v>0</v>
      </c>
      <c r="S752" s="344">
        <f>'ALL ML SYSTEMS'!S738</f>
        <v>0</v>
      </c>
      <c r="T752" s="344">
        <f>'ALL ML SYSTEMS'!T738</f>
        <v>0</v>
      </c>
      <c r="U752" s="344">
        <f>'ALL ML SYSTEMS'!U738</f>
        <v>0</v>
      </c>
      <c r="V752" s="344">
        <f>'ALL ML SYSTEMS'!V738</f>
        <v>0</v>
      </c>
      <c r="W752" s="344">
        <f>'ALL ML SYSTEMS'!W738</f>
        <v>0</v>
      </c>
      <c r="X752" s="344">
        <f>'ALL ML SYSTEMS'!X738</f>
        <v>0</v>
      </c>
      <c r="Y752" s="344">
        <f>'ALL ML SYSTEMS'!Y738</f>
        <v>0</v>
      </c>
      <c r="Z752" s="344">
        <f>'ALL ML SYSTEMS'!Z738</f>
        <v>0</v>
      </c>
      <c r="AA752" s="344">
        <f>'ALL ML SYSTEMS'!AA738</f>
        <v>0</v>
      </c>
      <c r="AB752" s="344"/>
      <c r="AC752" s="344">
        <f>'ALL ML SYSTEMS'!AC738</f>
        <v>0</v>
      </c>
      <c r="AD752" s="344">
        <f>'ALL ML SYSTEMS'!AD738</f>
        <v>0</v>
      </c>
    </row>
    <row r="753" hidden="1" customHeight="1" spans="1:30">
      <c r="A753" s="344">
        <f>'ALL ML SYSTEMS'!A739</f>
        <v>0</v>
      </c>
      <c r="B753" s="344">
        <f>'ALL ML SYSTEMS'!B739</f>
        <v>0</v>
      </c>
      <c r="C753" s="344">
        <f>'ALL ML SYSTEMS'!C739</f>
        <v>0</v>
      </c>
      <c r="D753" s="344">
        <f>'ALL ML SYSTEMS'!D739</f>
        <v>0</v>
      </c>
      <c r="E753" s="344">
        <f>'ALL ML SYSTEMS'!E739</f>
        <v>0</v>
      </c>
      <c r="F753" s="344">
        <f>'ALL ML SYSTEMS'!F739</f>
        <v>0</v>
      </c>
      <c r="G753" s="344">
        <f>'ALL ML SYSTEMS'!G739</f>
        <v>0</v>
      </c>
      <c r="H753" s="344">
        <f>'ALL ML SYSTEMS'!H739</f>
        <v>0</v>
      </c>
      <c r="I753" s="344">
        <f>'ALL ML SYSTEMS'!I739</f>
        <v>0</v>
      </c>
      <c r="J753" s="344">
        <f>'ALL ML SYSTEMS'!J739</f>
        <v>0</v>
      </c>
      <c r="K753" s="344">
        <f>'ALL ML SYSTEMS'!K739</f>
        <v>0</v>
      </c>
      <c r="L753" s="344">
        <f>'ALL ML SYSTEMS'!L739</f>
        <v>0</v>
      </c>
      <c r="M753" s="344">
        <f>'ALL ML SYSTEMS'!M739</f>
        <v>0</v>
      </c>
      <c r="N753" s="344">
        <f>'ALL ML SYSTEMS'!N739</f>
        <v>0</v>
      </c>
      <c r="O753" s="344">
        <f>'ALL ML SYSTEMS'!O739</f>
        <v>0</v>
      </c>
      <c r="P753" s="344">
        <f>'ALL ML SYSTEMS'!P739</f>
        <v>0</v>
      </c>
      <c r="Q753" s="344">
        <f>'ALL ML SYSTEMS'!Q739</f>
        <v>0</v>
      </c>
      <c r="R753" s="344">
        <f>'ALL ML SYSTEMS'!R739</f>
        <v>0</v>
      </c>
      <c r="S753" s="344">
        <f>'ALL ML SYSTEMS'!S739</f>
        <v>0</v>
      </c>
      <c r="T753" s="344">
        <f>'ALL ML SYSTEMS'!T739</f>
        <v>0</v>
      </c>
      <c r="U753" s="344">
        <f>'ALL ML SYSTEMS'!U739</f>
        <v>0</v>
      </c>
      <c r="V753" s="344">
        <f>'ALL ML SYSTEMS'!V739</f>
        <v>0</v>
      </c>
      <c r="W753" s="344">
        <f>'ALL ML SYSTEMS'!W739</f>
        <v>0</v>
      </c>
      <c r="X753" s="344">
        <f>'ALL ML SYSTEMS'!X739</f>
        <v>0</v>
      </c>
      <c r="Y753" s="344">
        <f>'ALL ML SYSTEMS'!Y739</f>
        <v>0</v>
      </c>
      <c r="Z753" s="344">
        <f>'ALL ML SYSTEMS'!Z739</f>
        <v>0</v>
      </c>
      <c r="AA753" s="344">
        <f>'ALL ML SYSTEMS'!AA739</f>
        <v>0</v>
      </c>
      <c r="AB753" s="344"/>
      <c r="AC753" s="344">
        <f>'ALL ML SYSTEMS'!AC739</f>
        <v>0</v>
      </c>
      <c r="AD753" s="344">
        <f>'ALL ML SYSTEMS'!AD739</f>
        <v>0</v>
      </c>
    </row>
    <row r="754" hidden="1" customHeight="1" spans="1:30">
      <c r="A754" s="344">
        <f>'ALL ML SYSTEMS'!A740</f>
        <v>0</v>
      </c>
      <c r="B754" s="344">
        <f>'ALL ML SYSTEMS'!B740</f>
        <v>0</v>
      </c>
      <c r="C754" s="344">
        <f>'ALL ML SYSTEMS'!C740</f>
        <v>0</v>
      </c>
      <c r="D754" s="344">
        <f>'ALL ML SYSTEMS'!D740</f>
        <v>0</v>
      </c>
      <c r="E754" s="344">
        <f>'ALL ML SYSTEMS'!E740</f>
        <v>0</v>
      </c>
      <c r="F754" s="344">
        <f>'ALL ML SYSTEMS'!F740</f>
        <v>0</v>
      </c>
      <c r="G754" s="344">
        <f>'ALL ML SYSTEMS'!G740</f>
        <v>0</v>
      </c>
      <c r="H754" s="344">
        <f>'ALL ML SYSTEMS'!H740</f>
        <v>0</v>
      </c>
      <c r="I754" s="344">
        <f>'ALL ML SYSTEMS'!I740</f>
        <v>0</v>
      </c>
      <c r="J754" s="344">
        <f>'ALL ML SYSTEMS'!J740</f>
        <v>0</v>
      </c>
      <c r="K754" s="344">
        <f>'ALL ML SYSTEMS'!K740</f>
        <v>0</v>
      </c>
      <c r="L754" s="344">
        <f>'ALL ML SYSTEMS'!L740</f>
        <v>0</v>
      </c>
      <c r="M754" s="344">
        <f>'ALL ML SYSTEMS'!M740</f>
        <v>0</v>
      </c>
      <c r="N754" s="344">
        <f>'ALL ML SYSTEMS'!N740</f>
        <v>0</v>
      </c>
      <c r="O754" s="344">
        <f>'ALL ML SYSTEMS'!O740</f>
        <v>0</v>
      </c>
      <c r="P754" s="344">
        <f>'ALL ML SYSTEMS'!P740</f>
        <v>0</v>
      </c>
      <c r="Q754" s="344">
        <f>'ALL ML SYSTEMS'!Q740</f>
        <v>0</v>
      </c>
      <c r="R754" s="344">
        <f>'ALL ML SYSTEMS'!R740</f>
        <v>0</v>
      </c>
      <c r="S754" s="344">
        <f>'ALL ML SYSTEMS'!S740</f>
        <v>0</v>
      </c>
      <c r="T754" s="344">
        <f>'ALL ML SYSTEMS'!T740</f>
        <v>0</v>
      </c>
      <c r="U754" s="344">
        <f>'ALL ML SYSTEMS'!U740</f>
        <v>0</v>
      </c>
      <c r="V754" s="344">
        <f>'ALL ML SYSTEMS'!V740</f>
        <v>0</v>
      </c>
      <c r="W754" s="344">
        <f>'ALL ML SYSTEMS'!W740</f>
        <v>0</v>
      </c>
      <c r="X754" s="344">
        <f>'ALL ML SYSTEMS'!X740</f>
        <v>0</v>
      </c>
      <c r="Y754" s="344">
        <f>'ALL ML SYSTEMS'!Y740</f>
        <v>0</v>
      </c>
      <c r="Z754" s="344">
        <f>'ALL ML SYSTEMS'!Z740</f>
        <v>0</v>
      </c>
      <c r="AA754" s="344">
        <f>'ALL ML SYSTEMS'!AA740</f>
        <v>0</v>
      </c>
      <c r="AB754" s="344"/>
      <c r="AC754" s="344">
        <f>'ALL ML SYSTEMS'!AC740</f>
        <v>0</v>
      </c>
      <c r="AD754" s="344">
        <f>'ALL ML SYSTEMS'!AD740</f>
        <v>0</v>
      </c>
    </row>
    <row r="755" hidden="1" customHeight="1" spans="1:30">
      <c r="A755" s="344">
        <f>'ALL ML SYSTEMS'!A741</f>
        <v>0</v>
      </c>
      <c r="B755" s="344">
        <f>'ALL ML SYSTEMS'!B741</f>
        <v>0</v>
      </c>
      <c r="C755" s="344">
        <f>'ALL ML SYSTEMS'!C741</f>
        <v>0</v>
      </c>
      <c r="D755" s="344">
        <f>'ALL ML SYSTEMS'!D741</f>
        <v>0</v>
      </c>
      <c r="E755" s="344">
        <f>'ALL ML SYSTEMS'!E741</f>
        <v>0</v>
      </c>
      <c r="F755" s="344">
        <f>'ALL ML SYSTEMS'!F741</f>
        <v>0</v>
      </c>
      <c r="G755" s="344">
        <f>'ALL ML SYSTEMS'!G741</f>
        <v>0</v>
      </c>
      <c r="H755" s="344">
        <f>'ALL ML SYSTEMS'!H741</f>
        <v>0</v>
      </c>
      <c r="I755" s="344">
        <f>'ALL ML SYSTEMS'!I741</f>
        <v>0</v>
      </c>
      <c r="J755" s="344">
        <f>'ALL ML SYSTEMS'!J741</f>
        <v>0</v>
      </c>
      <c r="K755" s="344">
        <f>'ALL ML SYSTEMS'!K741</f>
        <v>0</v>
      </c>
      <c r="L755" s="344">
        <f>'ALL ML SYSTEMS'!L741</f>
        <v>0</v>
      </c>
      <c r="M755" s="344">
        <f>'ALL ML SYSTEMS'!M741</f>
        <v>0</v>
      </c>
      <c r="N755" s="344">
        <f>'ALL ML SYSTEMS'!N741</f>
        <v>0</v>
      </c>
      <c r="O755" s="344">
        <f>'ALL ML SYSTEMS'!O741</f>
        <v>0</v>
      </c>
      <c r="P755" s="344">
        <f>'ALL ML SYSTEMS'!P741</f>
        <v>0</v>
      </c>
      <c r="Q755" s="344">
        <f>'ALL ML SYSTEMS'!Q741</f>
        <v>0</v>
      </c>
      <c r="R755" s="344">
        <f>'ALL ML SYSTEMS'!R741</f>
        <v>0</v>
      </c>
      <c r="S755" s="344">
        <f>'ALL ML SYSTEMS'!S741</f>
        <v>0</v>
      </c>
      <c r="T755" s="344">
        <f>'ALL ML SYSTEMS'!T741</f>
        <v>0</v>
      </c>
      <c r="U755" s="344">
        <f>'ALL ML SYSTEMS'!U741</f>
        <v>0</v>
      </c>
      <c r="V755" s="344">
        <f>'ALL ML SYSTEMS'!V741</f>
        <v>0</v>
      </c>
      <c r="W755" s="344">
        <f>'ALL ML SYSTEMS'!W741</f>
        <v>0</v>
      </c>
      <c r="X755" s="344">
        <f>'ALL ML SYSTEMS'!X741</f>
        <v>0</v>
      </c>
      <c r="Y755" s="344">
        <f>'ALL ML SYSTEMS'!Y741</f>
        <v>0</v>
      </c>
      <c r="Z755" s="344">
        <f>'ALL ML SYSTEMS'!Z741</f>
        <v>0</v>
      </c>
      <c r="AA755" s="344">
        <f>'ALL ML SYSTEMS'!AA741</f>
        <v>0</v>
      </c>
      <c r="AB755" s="344"/>
      <c r="AC755" s="344">
        <f>'ALL ML SYSTEMS'!AC741</f>
        <v>0</v>
      </c>
      <c r="AD755" s="344">
        <f>'ALL ML SYSTEMS'!AD741</f>
        <v>0</v>
      </c>
    </row>
    <row r="756" hidden="1" customHeight="1" spans="1:30">
      <c r="A756" s="344">
        <f>'ALL ML SYSTEMS'!A742</f>
        <v>0</v>
      </c>
      <c r="B756" s="344">
        <f>'ALL ML SYSTEMS'!B742</f>
        <v>0</v>
      </c>
      <c r="C756" s="344">
        <f>'ALL ML SYSTEMS'!C742</f>
        <v>0</v>
      </c>
      <c r="D756" s="344">
        <f>'ALL ML SYSTEMS'!D742</f>
        <v>0</v>
      </c>
      <c r="E756" s="344">
        <f>'ALL ML SYSTEMS'!E742</f>
        <v>0</v>
      </c>
      <c r="F756" s="344">
        <f>'ALL ML SYSTEMS'!F742</f>
        <v>0</v>
      </c>
      <c r="G756" s="344">
        <f>'ALL ML SYSTEMS'!G742</f>
        <v>0</v>
      </c>
      <c r="H756" s="344">
        <f>'ALL ML SYSTEMS'!H742</f>
        <v>0</v>
      </c>
      <c r="I756" s="344">
        <f>'ALL ML SYSTEMS'!I742</f>
        <v>0</v>
      </c>
      <c r="J756" s="344">
        <f>'ALL ML SYSTEMS'!J742</f>
        <v>0</v>
      </c>
      <c r="K756" s="344">
        <f>'ALL ML SYSTEMS'!K742</f>
        <v>0</v>
      </c>
      <c r="L756" s="344">
        <f>'ALL ML SYSTEMS'!L742</f>
        <v>0</v>
      </c>
      <c r="M756" s="344">
        <f>'ALL ML SYSTEMS'!M742</f>
        <v>0</v>
      </c>
      <c r="N756" s="344">
        <f>'ALL ML SYSTEMS'!N742</f>
        <v>0</v>
      </c>
      <c r="O756" s="344">
        <f>'ALL ML SYSTEMS'!O742</f>
        <v>0</v>
      </c>
      <c r="P756" s="344">
        <f>'ALL ML SYSTEMS'!P742</f>
        <v>0</v>
      </c>
      <c r="Q756" s="344">
        <f>'ALL ML SYSTEMS'!Q742</f>
        <v>0</v>
      </c>
      <c r="R756" s="344">
        <f>'ALL ML SYSTEMS'!R742</f>
        <v>0</v>
      </c>
      <c r="S756" s="344">
        <f>'ALL ML SYSTEMS'!S742</f>
        <v>0</v>
      </c>
      <c r="T756" s="344">
        <f>'ALL ML SYSTEMS'!T742</f>
        <v>0</v>
      </c>
      <c r="U756" s="344">
        <f>'ALL ML SYSTEMS'!U742</f>
        <v>0</v>
      </c>
      <c r="V756" s="344">
        <f>'ALL ML SYSTEMS'!V742</f>
        <v>0</v>
      </c>
      <c r="W756" s="344">
        <f>'ALL ML SYSTEMS'!W742</f>
        <v>0</v>
      </c>
      <c r="X756" s="344">
        <f>'ALL ML SYSTEMS'!X742</f>
        <v>0</v>
      </c>
      <c r="Y756" s="344">
        <f>'ALL ML SYSTEMS'!Y742</f>
        <v>0</v>
      </c>
      <c r="Z756" s="344">
        <f>'ALL ML SYSTEMS'!Z742</f>
        <v>0</v>
      </c>
      <c r="AA756" s="344">
        <f>'ALL ML SYSTEMS'!AA742</f>
        <v>0</v>
      </c>
      <c r="AB756" s="344"/>
      <c r="AC756" s="344">
        <f>'ALL ML SYSTEMS'!AC742</f>
        <v>0</v>
      </c>
      <c r="AD756" s="344">
        <f>'ALL ML SYSTEMS'!AD742</f>
        <v>0</v>
      </c>
    </row>
    <row r="757" hidden="1" customHeight="1" spans="1:30">
      <c r="A757" s="344">
        <f>'ALL ML SYSTEMS'!A743</f>
        <v>0</v>
      </c>
      <c r="B757" s="344">
        <f>'ALL ML SYSTEMS'!B743</f>
        <v>0</v>
      </c>
      <c r="C757" s="344">
        <f>'ALL ML SYSTEMS'!C743</f>
        <v>0</v>
      </c>
      <c r="D757" s="344">
        <f>'ALL ML SYSTEMS'!D743</f>
        <v>0</v>
      </c>
      <c r="E757" s="344">
        <f>'ALL ML SYSTEMS'!E743</f>
        <v>0</v>
      </c>
      <c r="F757" s="344">
        <f>'ALL ML SYSTEMS'!F743</f>
        <v>0</v>
      </c>
      <c r="G757" s="344">
        <f>'ALL ML SYSTEMS'!G743</f>
        <v>0</v>
      </c>
      <c r="H757" s="344">
        <f>'ALL ML SYSTEMS'!H743</f>
        <v>0</v>
      </c>
      <c r="I757" s="344">
        <f>'ALL ML SYSTEMS'!I743</f>
        <v>0</v>
      </c>
      <c r="J757" s="344">
        <f>'ALL ML SYSTEMS'!J743</f>
        <v>0</v>
      </c>
      <c r="K757" s="344">
        <f>'ALL ML SYSTEMS'!K743</f>
        <v>0</v>
      </c>
      <c r="L757" s="344">
        <f>'ALL ML SYSTEMS'!L743</f>
        <v>0</v>
      </c>
      <c r="M757" s="344">
        <f>'ALL ML SYSTEMS'!M743</f>
        <v>0</v>
      </c>
      <c r="N757" s="344">
        <f>'ALL ML SYSTEMS'!N743</f>
        <v>0</v>
      </c>
      <c r="O757" s="344">
        <f>'ALL ML SYSTEMS'!O743</f>
        <v>0</v>
      </c>
      <c r="P757" s="344">
        <f>'ALL ML SYSTEMS'!P743</f>
        <v>0</v>
      </c>
      <c r="Q757" s="344">
        <f>'ALL ML SYSTEMS'!Q743</f>
        <v>0</v>
      </c>
      <c r="R757" s="344">
        <f>'ALL ML SYSTEMS'!R743</f>
        <v>0</v>
      </c>
      <c r="S757" s="344">
        <f>'ALL ML SYSTEMS'!S743</f>
        <v>0</v>
      </c>
      <c r="T757" s="344">
        <f>'ALL ML SYSTEMS'!T743</f>
        <v>0</v>
      </c>
      <c r="U757" s="344">
        <f>'ALL ML SYSTEMS'!U743</f>
        <v>0</v>
      </c>
      <c r="V757" s="344">
        <f>'ALL ML SYSTEMS'!V743</f>
        <v>0</v>
      </c>
      <c r="W757" s="344">
        <f>'ALL ML SYSTEMS'!W743</f>
        <v>0</v>
      </c>
      <c r="X757" s="344">
        <f>'ALL ML SYSTEMS'!X743</f>
        <v>0</v>
      </c>
      <c r="Y757" s="344">
        <f>'ALL ML SYSTEMS'!Y743</f>
        <v>0</v>
      </c>
      <c r="Z757" s="344">
        <f>'ALL ML SYSTEMS'!Z743</f>
        <v>0</v>
      </c>
      <c r="AA757" s="344">
        <f>'ALL ML SYSTEMS'!AA743</f>
        <v>0</v>
      </c>
      <c r="AB757" s="344"/>
      <c r="AC757" s="344">
        <f>'ALL ML SYSTEMS'!AC743</f>
        <v>0</v>
      </c>
      <c r="AD757" s="344">
        <f>'ALL ML SYSTEMS'!AD743</f>
        <v>0</v>
      </c>
    </row>
    <row r="758" hidden="1" customHeight="1" spans="1:30">
      <c r="A758" s="344">
        <f>'ALL ML SYSTEMS'!A744</f>
        <v>0</v>
      </c>
      <c r="B758" s="344">
        <f>'ALL ML SYSTEMS'!B744</f>
        <v>0</v>
      </c>
      <c r="C758" s="344">
        <f>'ALL ML SYSTEMS'!C744</f>
        <v>0</v>
      </c>
      <c r="D758" s="344">
        <f>'ALL ML SYSTEMS'!D744</f>
        <v>0</v>
      </c>
      <c r="E758" s="344">
        <f>'ALL ML SYSTEMS'!E744</f>
        <v>0</v>
      </c>
      <c r="F758" s="344">
        <f>'ALL ML SYSTEMS'!F744</f>
        <v>0</v>
      </c>
      <c r="G758" s="344">
        <f>'ALL ML SYSTEMS'!G744</f>
        <v>0</v>
      </c>
      <c r="H758" s="344">
        <f>'ALL ML SYSTEMS'!H744</f>
        <v>0</v>
      </c>
      <c r="I758" s="344">
        <f>'ALL ML SYSTEMS'!I744</f>
        <v>0</v>
      </c>
      <c r="J758" s="344">
        <f>'ALL ML SYSTEMS'!J744</f>
        <v>0</v>
      </c>
      <c r="K758" s="344">
        <f>'ALL ML SYSTEMS'!K744</f>
        <v>0</v>
      </c>
      <c r="L758" s="344">
        <f>'ALL ML SYSTEMS'!L744</f>
        <v>0</v>
      </c>
      <c r="M758" s="344">
        <f>'ALL ML SYSTEMS'!M744</f>
        <v>0</v>
      </c>
      <c r="N758" s="344">
        <f>'ALL ML SYSTEMS'!N744</f>
        <v>0</v>
      </c>
      <c r="O758" s="344">
        <f>'ALL ML SYSTEMS'!O744</f>
        <v>0</v>
      </c>
      <c r="P758" s="344">
        <f>'ALL ML SYSTEMS'!P744</f>
        <v>0</v>
      </c>
      <c r="Q758" s="344">
        <f>'ALL ML SYSTEMS'!Q744</f>
        <v>0</v>
      </c>
      <c r="R758" s="344">
        <f>'ALL ML SYSTEMS'!R744</f>
        <v>0</v>
      </c>
      <c r="S758" s="344">
        <f>'ALL ML SYSTEMS'!S744</f>
        <v>0</v>
      </c>
      <c r="T758" s="344">
        <f>'ALL ML SYSTEMS'!T744</f>
        <v>0</v>
      </c>
      <c r="U758" s="344">
        <f>'ALL ML SYSTEMS'!U744</f>
        <v>0</v>
      </c>
      <c r="V758" s="344">
        <f>'ALL ML SYSTEMS'!V744</f>
        <v>0</v>
      </c>
      <c r="W758" s="344">
        <f>'ALL ML SYSTEMS'!W744</f>
        <v>0</v>
      </c>
      <c r="X758" s="344">
        <f>'ALL ML SYSTEMS'!X744</f>
        <v>0</v>
      </c>
      <c r="Y758" s="344">
        <f>'ALL ML SYSTEMS'!Y744</f>
        <v>0</v>
      </c>
      <c r="Z758" s="344">
        <f>'ALL ML SYSTEMS'!Z744</f>
        <v>0</v>
      </c>
      <c r="AA758" s="344">
        <f>'ALL ML SYSTEMS'!AA744</f>
        <v>0</v>
      </c>
      <c r="AB758" s="344"/>
      <c r="AC758" s="344">
        <f>'ALL ML SYSTEMS'!AC744</f>
        <v>0</v>
      </c>
      <c r="AD758" s="344">
        <f>'ALL ML SYSTEMS'!AD744</f>
        <v>0</v>
      </c>
    </row>
    <row r="759" hidden="1" customHeight="1" spans="1:30">
      <c r="A759" s="344">
        <f>'ALL ML SYSTEMS'!A745</f>
        <v>0</v>
      </c>
      <c r="B759" s="344">
        <f>'ALL ML SYSTEMS'!B745</f>
        <v>0</v>
      </c>
      <c r="C759" s="344">
        <f>'ALL ML SYSTEMS'!C745</f>
        <v>0</v>
      </c>
      <c r="D759" s="344">
        <f>'ALL ML SYSTEMS'!D745</f>
        <v>0</v>
      </c>
      <c r="E759" s="344">
        <f>'ALL ML SYSTEMS'!E745</f>
        <v>0</v>
      </c>
      <c r="F759" s="344">
        <f>'ALL ML SYSTEMS'!F745</f>
        <v>0</v>
      </c>
      <c r="G759" s="344">
        <f>'ALL ML SYSTEMS'!G745</f>
        <v>0</v>
      </c>
      <c r="H759" s="344">
        <f>'ALL ML SYSTEMS'!H745</f>
        <v>0</v>
      </c>
      <c r="I759" s="344">
        <f>'ALL ML SYSTEMS'!I745</f>
        <v>0</v>
      </c>
      <c r="J759" s="344">
        <f>'ALL ML SYSTEMS'!J745</f>
        <v>0</v>
      </c>
      <c r="K759" s="344">
        <f>'ALL ML SYSTEMS'!K745</f>
        <v>0</v>
      </c>
      <c r="L759" s="344">
        <f>'ALL ML SYSTEMS'!L745</f>
        <v>0</v>
      </c>
      <c r="M759" s="344">
        <f>'ALL ML SYSTEMS'!M745</f>
        <v>0</v>
      </c>
      <c r="N759" s="344">
        <f>'ALL ML SYSTEMS'!N745</f>
        <v>0</v>
      </c>
      <c r="O759" s="344">
        <f>'ALL ML SYSTEMS'!O745</f>
        <v>0</v>
      </c>
      <c r="P759" s="344">
        <f>'ALL ML SYSTEMS'!P745</f>
        <v>0</v>
      </c>
      <c r="Q759" s="344">
        <f>'ALL ML SYSTEMS'!Q745</f>
        <v>0</v>
      </c>
      <c r="R759" s="344">
        <f>'ALL ML SYSTEMS'!R745</f>
        <v>0</v>
      </c>
      <c r="S759" s="344">
        <f>'ALL ML SYSTEMS'!S745</f>
        <v>0</v>
      </c>
      <c r="T759" s="344">
        <f>'ALL ML SYSTEMS'!T745</f>
        <v>0</v>
      </c>
      <c r="U759" s="344">
        <f>'ALL ML SYSTEMS'!U745</f>
        <v>0</v>
      </c>
      <c r="V759" s="344">
        <f>'ALL ML SYSTEMS'!V745</f>
        <v>0</v>
      </c>
      <c r="W759" s="344">
        <f>'ALL ML SYSTEMS'!W745</f>
        <v>0</v>
      </c>
      <c r="X759" s="344">
        <f>'ALL ML SYSTEMS'!X745</f>
        <v>0</v>
      </c>
      <c r="Y759" s="344">
        <f>'ALL ML SYSTEMS'!Y745</f>
        <v>0</v>
      </c>
      <c r="Z759" s="344">
        <f>'ALL ML SYSTEMS'!Z745</f>
        <v>0</v>
      </c>
      <c r="AA759" s="344">
        <f>'ALL ML SYSTEMS'!AA745</f>
        <v>0</v>
      </c>
      <c r="AB759" s="344"/>
      <c r="AC759" s="344">
        <f>'ALL ML SYSTEMS'!AC745</f>
        <v>0</v>
      </c>
      <c r="AD759" s="344">
        <f>'ALL ML SYSTEMS'!AD745</f>
        <v>0</v>
      </c>
    </row>
    <row r="760" hidden="1" customHeight="1" spans="1:30">
      <c r="A760" s="344">
        <f>'ALL ML SYSTEMS'!A746</f>
        <v>0</v>
      </c>
      <c r="B760" s="344">
        <f>'ALL ML SYSTEMS'!B746</f>
        <v>0</v>
      </c>
      <c r="C760" s="344">
        <f>'ALL ML SYSTEMS'!C746</f>
        <v>0</v>
      </c>
      <c r="D760" s="344">
        <f>'ALL ML SYSTEMS'!D746</f>
        <v>0</v>
      </c>
      <c r="E760" s="344">
        <f>'ALL ML SYSTEMS'!E746</f>
        <v>0</v>
      </c>
      <c r="F760" s="344">
        <f>'ALL ML SYSTEMS'!F746</f>
        <v>0</v>
      </c>
      <c r="G760" s="344">
        <f>'ALL ML SYSTEMS'!G746</f>
        <v>0</v>
      </c>
      <c r="H760" s="344">
        <f>'ALL ML SYSTEMS'!H746</f>
        <v>0</v>
      </c>
      <c r="I760" s="344">
        <f>'ALL ML SYSTEMS'!I746</f>
        <v>0</v>
      </c>
      <c r="J760" s="344">
        <f>'ALL ML SYSTEMS'!J746</f>
        <v>0</v>
      </c>
      <c r="K760" s="344">
        <f>'ALL ML SYSTEMS'!K746</f>
        <v>0</v>
      </c>
      <c r="L760" s="344">
        <f>'ALL ML SYSTEMS'!L746</f>
        <v>0</v>
      </c>
      <c r="M760" s="344">
        <f>'ALL ML SYSTEMS'!M746</f>
        <v>0</v>
      </c>
      <c r="N760" s="344">
        <f>'ALL ML SYSTEMS'!N746</f>
        <v>0</v>
      </c>
      <c r="O760" s="344">
        <f>'ALL ML SYSTEMS'!O746</f>
        <v>0</v>
      </c>
      <c r="P760" s="344">
        <f>'ALL ML SYSTEMS'!P746</f>
        <v>0</v>
      </c>
      <c r="Q760" s="344">
        <f>'ALL ML SYSTEMS'!Q746</f>
        <v>0</v>
      </c>
      <c r="R760" s="344">
        <f>'ALL ML SYSTEMS'!R746</f>
        <v>0</v>
      </c>
      <c r="S760" s="344">
        <f>'ALL ML SYSTEMS'!S746</f>
        <v>0</v>
      </c>
      <c r="T760" s="344">
        <f>'ALL ML SYSTEMS'!T746</f>
        <v>0</v>
      </c>
      <c r="U760" s="344">
        <f>'ALL ML SYSTEMS'!U746</f>
        <v>0</v>
      </c>
      <c r="V760" s="344">
        <f>'ALL ML SYSTEMS'!V746</f>
        <v>0</v>
      </c>
      <c r="W760" s="344">
        <f>'ALL ML SYSTEMS'!W746</f>
        <v>0</v>
      </c>
      <c r="X760" s="344">
        <f>'ALL ML SYSTEMS'!X746</f>
        <v>0</v>
      </c>
      <c r="Y760" s="344">
        <f>'ALL ML SYSTEMS'!Y746</f>
        <v>0</v>
      </c>
      <c r="Z760" s="344">
        <f>'ALL ML SYSTEMS'!Z746</f>
        <v>0</v>
      </c>
      <c r="AA760" s="344">
        <f>'ALL ML SYSTEMS'!AA746</f>
        <v>0</v>
      </c>
      <c r="AB760" s="344"/>
      <c r="AC760" s="344">
        <f>'ALL ML SYSTEMS'!AC746</f>
        <v>0</v>
      </c>
      <c r="AD760" s="344">
        <f>'ALL ML SYSTEMS'!AD746</f>
        <v>0</v>
      </c>
    </row>
    <row r="761" hidden="1" customHeight="1" spans="1:30">
      <c r="A761" s="344">
        <f>'ALL ML SYSTEMS'!A747</f>
        <v>0</v>
      </c>
      <c r="B761" s="344">
        <f>'ALL ML SYSTEMS'!B747</f>
        <v>0</v>
      </c>
      <c r="C761" s="344">
        <f>'ALL ML SYSTEMS'!C747</f>
        <v>0</v>
      </c>
      <c r="D761" s="344">
        <f>'ALL ML SYSTEMS'!D747</f>
        <v>0</v>
      </c>
      <c r="E761" s="344">
        <f>'ALL ML SYSTEMS'!E747</f>
        <v>0</v>
      </c>
      <c r="F761" s="344">
        <f>'ALL ML SYSTEMS'!F747</f>
        <v>0</v>
      </c>
      <c r="G761" s="344">
        <f>'ALL ML SYSTEMS'!G747</f>
        <v>0</v>
      </c>
      <c r="H761" s="344">
        <f>'ALL ML SYSTEMS'!H747</f>
        <v>0</v>
      </c>
      <c r="I761" s="344">
        <f>'ALL ML SYSTEMS'!I747</f>
        <v>0</v>
      </c>
      <c r="J761" s="344">
        <f>'ALL ML SYSTEMS'!J747</f>
        <v>0</v>
      </c>
      <c r="K761" s="344">
        <f>'ALL ML SYSTEMS'!K747</f>
        <v>0</v>
      </c>
      <c r="L761" s="344">
        <f>'ALL ML SYSTEMS'!L747</f>
        <v>0</v>
      </c>
      <c r="M761" s="344">
        <f>'ALL ML SYSTEMS'!M747</f>
        <v>0</v>
      </c>
      <c r="N761" s="344">
        <f>'ALL ML SYSTEMS'!N747</f>
        <v>0</v>
      </c>
      <c r="O761" s="344">
        <f>'ALL ML SYSTEMS'!O747</f>
        <v>0</v>
      </c>
      <c r="P761" s="344">
        <f>'ALL ML SYSTEMS'!P747</f>
        <v>0</v>
      </c>
      <c r="Q761" s="344">
        <f>'ALL ML SYSTEMS'!Q747</f>
        <v>0</v>
      </c>
      <c r="R761" s="344">
        <f>'ALL ML SYSTEMS'!R747</f>
        <v>0</v>
      </c>
      <c r="S761" s="344">
        <f>'ALL ML SYSTEMS'!S747</f>
        <v>0</v>
      </c>
      <c r="T761" s="344">
        <f>'ALL ML SYSTEMS'!T747</f>
        <v>0</v>
      </c>
      <c r="U761" s="344">
        <f>'ALL ML SYSTEMS'!U747</f>
        <v>0</v>
      </c>
      <c r="V761" s="344">
        <f>'ALL ML SYSTEMS'!V747</f>
        <v>0</v>
      </c>
      <c r="W761" s="344">
        <f>'ALL ML SYSTEMS'!W747</f>
        <v>0</v>
      </c>
      <c r="X761" s="344">
        <f>'ALL ML SYSTEMS'!X747</f>
        <v>0</v>
      </c>
      <c r="Y761" s="344">
        <f>'ALL ML SYSTEMS'!Y747</f>
        <v>0</v>
      </c>
      <c r="Z761" s="344">
        <f>'ALL ML SYSTEMS'!Z747</f>
        <v>0</v>
      </c>
      <c r="AA761" s="344">
        <f>'ALL ML SYSTEMS'!AA747</f>
        <v>0</v>
      </c>
      <c r="AB761" s="344"/>
      <c r="AC761" s="344">
        <f>'ALL ML SYSTEMS'!AC747</f>
        <v>0</v>
      </c>
      <c r="AD761" s="344">
        <f>'ALL ML SYSTEMS'!AD747</f>
        <v>0</v>
      </c>
    </row>
    <row r="762" hidden="1" customHeight="1" spans="1:30">
      <c r="A762" s="344">
        <f>'ALL ML SYSTEMS'!A748</f>
        <v>0</v>
      </c>
      <c r="B762" s="344">
        <f>'ALL ML SYSTEMS'!B748</f>
        <v>0</v>
      </c>
      <c r="C762" s="344">
        <f>'ALL ML SYSTEMS'!C748</f>
        <v>0</v>
      </c>
      <c r="D762" s="344">
        <f>'ALL ML SYSTEMS'!D748</f>
        <v>0</v>
      </c>
      <c r="E762" s="344">
        <f>'ALL ML SYSTEMS'!E748</f>
        <v>0</v>
      </c>
      <c r="F762" s="344">
        <f>'ALL ML SYSTEMS'!F748</f>
        <v>0</v>
      </c>
      <c r="G762" s="344">
        <f>'ALL ML SYSTEMS'!G748</f>
        <v>0</v>
      </c>
      <c r="H762" s="344">
        <f>'ALL ML SYSTEMS'!H748</f>
        <v>0</v>
      </c>
      <c r="I762" s="344">
        <f>'ALL ML SYSTEMS'!I748</f>
        <v>0</v>
      </c>
      <c r="J762" s="344">
        <f>'ALL ML SYSTEMS'!J748</f>
        <v>0</v>
      </c>
      <c r="K762" s="344">
        <f>'ALL ML SYSTEMS'!K748</f>
        <v>0</v>
      </c>
      <c r="L762" s="344">
        <f>'ALL ML SYSTEMS'!L748</f>
        <v>0</v>
      </c>
      <c r="M762" s="344">
        <f>'ALL ML SYSTEMS'!M748</f>
        <v>0</v>
      </c>
      <c r="N762" s="344">
        <f>'ALL ML SYSTEMS'!N748</f>
        <v>0</v>
      </c>
      <c r="O762" s="344">
        <f>'ALL ML SYSTEMS'!O748</f>
        <v>0</v>
      </c>
      <c r="P762" s="344">
        <f>'ALL ML SYSTEMS'!P748</f>
        <v>0</v>
      </c>
      <c r="Q762" s="344">
        <f>'ALL ML SYSTEMS'!Q748</f>
        <v>0</v>
      </c>
      <c r="R762" s="344">
        <f>'ALL ML SYSTEMS'!R748</f>
        <v>0</v>
      </c>
      <c r="S762" s="344">
        <f>'ALL ML SYSTEMS'!S748</f>
        <v>0</v>
      </c>
      <c r="T762" s="344">
        <f>'ALL ML SYSTEMS'!T748</f>
        <v>0</v>
      </c>
      <c r="U762" s="344">
        <f>'ALL ML SYSTEMS'!U748</f>
        <v>0</v>
      </c>
      <c r="V762" s="344">
        <f>'ALL ML SYSTEMS'!V748</f>
        <v>0</v>
      </c>
      <c r="W762" s="344">
        <f>'ALL ML SYSTEMS'!W748</f>
        <v>0</v>
      </c>
      <c r="X762" s="344">
        <f>'ALL ML SYSTEMS'!X748</f>
        <v>0</v>
      </c>
      <c r="Y762" s="344">
        <f>'ALL ML SYSTEMS'!Y748</f>
        <v>0</v>
      </c>
      <c r="Z762" s="344">
        <f>'ALL ML SYSTEMS'!Z748</f>
        <v>0</v>
      </c>
      <c r="AA762" s="344">
        <f>'ALL ML SYSTEMS'!AA748</f>
        <v>0</v>
      </c>
      <c r="AB762" s="344"/>
      <c r="AC762" s="344">
        <f>'ALL ML SYSTEMS'!AC748</f>
        <v>0</v>
      </c>
      <c r="AD762" s="344">
        <f>'ALL ML SYSTEMS'!AD748</f>
        <v>0</v>
      </c>
    </row>
    <row r="763" hidden="1" customHeight="1" spans="1:30">
      <c r="A763" s="344">
        <f>'ALL ML SYSTEMS'!A749</f>
        <v>0</v>
      </c>
      <c r="B763" s="344">
        <f>'ALL ML SYSTEMS'!B749</f>
        <v>0</v>
      </c>
      <c r="C763" s="344">
        <f>'ALL ML SYSTEMS'!C749</f>
        <v>0</v>
      </c>
      <c r="D763" s="344">
        <f>'ALL ML SYSTEMS'!D749</f>
        <v>0</v>
      </c>
      <c r="E763" s="344">
        <f>'ALL ML SYSTEMS'!E749</f>
        <v>0</v>
      </c>
      <c r="F763" s="344">
        <f>'ALL ML SYSTEMS'!F749</f>
        <v>0</v>
      </c>
      <c r="G763" s="344">
        <f>'ALL ML SYSTEMS'!G749</f>
        <v>0</v>
      </c>
      <c r="H763" s="344">
        <f>'ALL ML SYSTEMS'!H749</f>
        <v>0</v>
      </c>
      <c r="I763" s="344">
        <f>'ALL ML SYSTEMS'!I749</f>
        <v>0</v>
      </c>
      <c r="J763" s="344">
        <f>'ALL ML SYSTEMS'!J749</f>
        <v>0</v>
      </c>
      <c r="K763" s="344">
        <f>'ALL ML SYSTEMS'!K749</f>
        <v>0</v>
      </c>
      <c r="L763" s="344">
        <f>'ALL ML SYSTEMS'!L749</f>
        <v>0</v>
      </c>
      <c r="M763" s="344">
        <f>'ALL ML SYSTEMS'!M749</f>
        <v>0</v>
      </c>
      <c r="N763" s="344">
        <f>'ALL ML SYSTEMS'!N749</f>
        <v>0</v>
      </c>
      <c r="O763" s="344">
        <f>'ALL ML SYSTEMS'!O749</f>
        <v>0</v>
      </c>
      <c r="P763" s="344">
        <f>'ALL ML SYSTEMS'!P749</f>
        <v>0</v>
      </c>
      <c r="Q763" s="344">
        <f>'ALL ML SYSTEMS'!Q749</f>
        <v>0</v>
      </c>
      <c r="R763" s="344">
        <f>'ALL ML SYSTEMS'!R749</f>
        <v>0</v>
      </c>
      <c r="S763" s="344">
        <f>'ALL ML SYSTEMS'!S749</f>
        <v>0</v>
      </c>
      <c r="T763" s="344">
        <f>'ALL ML SYSTEMS'!T749</f>
        <v>0</v>
      </c>
      <c r="U763" s="344">
        <f>'ALL ML SYSTEMS'!U749</f>
        <v>0</v>
      </c>
      <c r="V763" s="344">
        <f>'ALL ML SYSTEMS'!V749</f>
        <v>0</v>
      </c>
      <c r="W763" s="344">
        <f>'ALL ML SYSTEMS'!W749</f>
        <v>0</v>
      </c>
      <c r="X763" s="344">
        <f>'ALL ML SYSTEMS'!X749</f>
        <v>0</v>
      </c>
      <c r="Y763" s="344">
        <f>'ALL ML SYSTEMS'!Y749</f>
        <v>0</v>
      </c>
      <c r="Z763" s="344">
        <f>'ALL ML SYSTEMS'!Z749</f>
        <v>0</v>
      </c>
      <c r="AA763" s="344">
        <f>'ALL ML SYSTEMS'!AA749</f>
        <v>0</v>
      </c>
      <c r="AB763" s="344"/>
      <c r="AC763" s="344">
        <f>'ALL ML SYSTEMS'!AC749</f>
        <v>0</v>
      </c>
      <c r="AD763" s="344">
        <f>'ALL ML SYSTEMS'!AD749</f>
        <v>0</v>
      </c>
    </row>
    <row r="764" hidden="1" customHeight="1" spans="1:30">
      <c r="A764" s="344">
        <f>'ALL ML SYSTEMS'!A750</f>
        <v>0</v>
      </c>
      <c r="B764" s="344">
        <f>'ALL ML SYSTEMS'!B750</f>
        <v>0</v>
      </c>
      <c r="C764" s="344">
        <f>'ALL ML SYSTEMS'!C750</f>
        <v>0</v>
      </c>
      <c r="D764" s="344">
        <f>'ALL ML SYSTEMS'!D750</f>
        <v>0</v>
      </c>
      <c r="E764" s="344">
        <f>'ALL ML SYSTEMS'!E750</f>
        <v>0</v>
      </c>
      <c r="F764" s="344">
        <f>'ALL ML SYSTEMS'!F750</f>
        <v>0</v>
      </c>
      <c r="G764" s="344">
        <f>'ALL ML SYSTEMS'!G750</f>
        <v>0</v>
      </c>
      <c r="H764" s="344">
        <f>'ALL ML SYSTEMS'!H750</f>
        <v>0</v>
      </c>
      <c r="I764" s="344">
        <f>'ALL ML SYSTEMS'!I750</f>
        <v>0</v>
      </c>
      <c r="J764" s="344">
        <f>'ALL ML SYSTEMS'!J750</f>
        <v>0</v>
      </c>
      <c r="K764" s="344">
        <f>'ALL ML SYSTEMS'!K750</f>
        <v>0</v>
      </c>
      <c r="L764" s="344">
        <f>'ALL ML SYSTEMS'!L750</f>
        <v>0</v>
      </c>
      <c r="M764" s="344">
        <f>'ALL ML SYSTEMS'!M750</f>
        <v>0</v>
      </c>
      <c r="N764" s="344">
        <f>'ALL ML SYSTEMS'!N750</f>
        <v>0</v>
      </c>
      <c r="O764" s="344">
        <f>'ALL ML SYSTEMS'!O750</f>
        <v>0</v>
      </c>
      <c r="P764" s="344">
        <f>'ALL ML SYSTEMS'!P750</f>
        <v>0</v>
      </c>
      <c r="Q764" s="344">
        <f>'ALL ML SYSTEMS'!Q750</f>
        <v>0</v>
      </c>
      <c r="R764" s="344">
        <f>'ALL ML SYSTEMS'!R750</f>
        <v>0</v>
      </c>
      <c r="S764" s="344">
        <f>'ALL ML SYSTEMS'!S750</f>
        <v>0</v>
      </c>
      <c r="T764" s="344">
        <f>'ALL ML SYSTEMS'!T750</f>
        <v>0</v>
      </c>
      <c r="U764" s="344">
        <f>'ALL ML SYSTEMS'!U750</f>
        <v>0</v>
      </c>
      <c r="V764" s="344">
        <f>'ALL ML SYSTEMS'!V750</f>
        <v>0</v>
      </c>
      <c r="W764" s="344">
        <f>'ALL ML SYSTEMS'!W750</f>
        <v>0</v>
      </c>
      <c r="X764" s="344">
        <f>'ALL ML SYSTEMS'!X750</f>
        <v>0</v>
      </c>
      <c r="Y764" s="344">
        <f>'ALL ML SYSTEMS'!Y750</f>
        <v>0</v>
      </c>
      <c r="Z764" s="344">
        <f>'ALL ML SYSTEMS'!Z750</f>
        <v>0</v>
      </c>
      <c r="AA764" s="344">
        <f>'ALL ML SYSTEMS'!AA750</f>
        <v>0</v>
      </c>
      <c r="AB764" s="344"/>
      <c r="AC764" s="344">
        <f>'ALL ML SYSTEMS'!AC750</f>
        <v>0</v>
      </c>
      <c r="AD764" s="344">
        <f>'ALL ML SYSTEMS'!AD750</f>
        <v>0</v>
      </c>
    </row>
    <row r="765" hidden="1" customHeight="1" spans="1:30">
      <c r="A765" s="344">
        <f>'ALL ML SYSTEMS'!A751</f>
        <v>0</v>
      </c>
      <c r="B765" s="344">
        <f>'ALL ML SYSTEMS'!B751</f>
        <v>0</v>
      </c>
      <c r="C765" s="344">
        <f>'ALL ML SYSTEMS'!C751</f>
        <v>0</v>
      </c>
      <c r="D765" s="344">
        <f>'ALL ML SYSTEMS'!D751</f>
        <v>0</v>
      </c>
      <c r="E765" s="344">
        <f>'ALL ML SYSTEMS'!E751</f>
        <v>0</v>
      </c>
      <c r="F765" s="344">
        <f>'ALL ML SYSTEMS'!F751</f>
        <v>0</v>
      </c>
      <c r="G765" s="344">
        <f>'ALL ML SYSTEMS'!G751</f>
        <v>0</v>
      </c>
      <c r="H765" s="344">
        <f>'ALL ML SYSTEMS'!H751</f>
        <v>0</v>
      </c>
      <c r="I765" s="344">
        <f>'ALL ML SYSTEMS'!I751</f>
        <v>0</v>
      </c>
      <c r="J765" s="344">
        <f>'ALL ML SYSTEMS'!J751</f>
        <v>0</v>
      </c>
      <c r="K765" s="344">
        <f>'ALL ML SYSTEMS'!K751</f>
        <v>0</v>
      </c>
      <c r="L765" s="344">
        <f>'ALL ML SYSTEMS'!L751</f>
        <v>0</v>
      </c>
      <c r="M765" s="344">
        <f>'ALL ML SYSTEMS'!M751</f>
        <v>0</v>
      </c>
      <c r="N765" s="344">
        <f>'ALL ML SYSTEMS'!N751</f>
        <v>0</v>
      </c>
      <c r="O765" s="344">
        <f>'ALL ML SYSTEMS'!O751</f>
        <v>0</v>
      </c>
      <c r="P765" s="344">
        <f>'ALL ML SYSTEMS'!P751</f>
        <v>0</v>
      </c>
      <c r="Q765" s="344">
        <f>'ALL ML SYSTEMS'!Q751</f>
        <v>0</v>
      </c>
      <c r="R765" s="344">
        <f>'ALL ML SYSTEMS'!R751</f>
        <v>0</v>
      </c>
      <c r="S765" s="344">
        <f>'ALL ML SYSTEMS'!S751</f>
        <v>0</v>
      </c>
      <c r="T765" s="344">
        <f>'ALL ML SYSTEMS'!T751</f>
        <v>0</v>
      </c>
      <c r="U765" s="344">
        <f>'ALL ML SYSTEMS'!U751</f>
        <v>0</v>
      </c>
      <c r="V765" s="344">
        <f>'ALL ML SYSTEMS'!V751</f>
        <v>0</v>
      </c>
      <c r="W765" s="344">
        <f>'ALL ML SYSTEMS'!W751</f>
        <v>0</v>
      </c>
      <c r="X765" s="344">
        <f>'ALL ML SYSTEMS'!X751</f>
        <v>0</v>
      </c>
      <c r="Y765" s="344">
        <f>'ALL ML SYSTEMS'!Y751</f>
        <v>0</v>
      </c>
      <c r="Z765" s="344">
        <f>'ALL ML SYSTEMS'!Z751</f>
        <v>0</v>
      </c>
      <c r="AA765" s="344">
        <f>'ALL ML SYSTEMS'!AA751</f>
        <v>0</v>
      </c>
      <c r="AB765" s="344"/>
      <c r="AC765" s="344">
        <f>'ALL ML SYSTEMS'!AC751</f>
        <v>0</v>
      </c>
      <c r="AD765" s="344">
        <f>'ALL ML SYSTEMS'!AD751</f>
        <v>0</v>
      </c>
    </row>
    <row r="766" hidden="1" customHeight="1" spans="1:30">
      <c r="A766" s="344">
        <f>'ALL ML SYSTEMS'!A752</f>
        <v>0</v>
      </c>
      <c r="B766" s="344">
        <f>'ALL ML SYSTEMS'!B752</f>
        <v>0</v>
      </c>
      <c r="C766" s="344">
        <f>'ALL ML SYSTEMS'!C752</f>
        <v>0</v>
      </c>
      <c r="D766" s="344">
        <f>'ALL ML SYSTEMS'!D752</f>
        <v>0</v>
      </c>
      <c r="E766" s="344">
        <f>'ALL ML SYSTEMS'!E752</f>
        <v>0</v>
      </c>
      <c r="F766" s="344">
        <f>'ALL ML SYSTEMS'!F752</f>
        <v>0</v>
      </c>
      <c r="G766" s="344">
        <f>'ALL ML SYSTEMS'!G752</f>
        <v>0</v>
      </c>
      <c r="H766" s="344">
        <f>'ALL ML SYSTEMS'!H752</f>
        <v>0</v>
      </c>
      <c r="I766" s="344">
        <f>'ALL ML SYSTEMS'!I752</f>
        <v>0</v>
      </c>
      <c r="J766" s="344">
        <f>'ALL ML SYSTEMS'!J752</f>
        <v>0</v>
      </c>
      <c r="K766" s="344">
        <f>'ALL ML SYSTEMS'!K752</f>
        <v>0</v>
      </c>
      <c r="L766" s="344">
        <f>'ALL ML SYSTEMS'!L752</f>
        <v>0</v>
      </c>
      <c r="M766" s="344">
        <f>'ALL ML SYSTEMS'!M752</f>
        <v>0</v>
      </c>
      <c r="N766" s="344">
        <f>'ALL ML SYSTEMS'!N752</f>
        <v>0</v>
      </c>
      <c r="O766" s="344">
        <f>'ALL ML SYSTEMS'!O752</f>
        <v>0</v>
      </c>
      <c r="P766" s="344">
        <f>'ALL ML SYSTEMS'!P752</f>
        <v>0</v>
      </c>
      <c r="Q766" s="344">
        <f>'ALL ML SYSTEMS'!Q752</f>
        <v>0</v>
      </c>
      <c r="R766" s="344">
        <f>'ALL ML SYSTEMS'!R752</f>
        <v>0</v>
      </c>
      <c r="S766" s="344">
        <f>'ALL ML SYSTEMS'!S752</f>
        <v>0</v>
      </c>
      <c r="T766" s="344">
        <f>'ALL ML SYSTEMS'!T752</f>
        <v>0</v>
      </c>
      <c r="U766" s="344">
        <f>'ALL ML SYSTEMS'!U752</f>
        <v>0</v>
      </c>
      <c r="V766" s="344">
        <f>'ALL ML SYSTEMS'!V752</f>
        <v>0</v>
      </c>
      <c r="W766" s="344">
        <f>'ALL ML SYSTEMS'!W752</f>
        <v>0</v>
      </c>
      <c r="X766" s="344">
        <f>'ALL ML SYSTEMS'!X752</f>
        <v>0</v>
      </c>
      <c r="Y766" s="344">
        <f>'ALL ML SYSTEMS'!Y752</f>
        <v>0</v>
      </c>
      <c r="Z766" s="344">
        <f>'ALL ML SYSTEMS'!Z752</f>
        <v>0</v>
      </c>
      <c r="AA766" s="344">
        <f>'ALL ML SYSTEMS'!AA752</f>
        <v>0</v>
      </c>
      <c r="AB766" s="344"/>
      <c r="AC766" s="344">
        <f>'ALL ML SYSTEMS'!AC752</f>
        <v>0</v>
      </c>
      <c r="AD766" s="344">
        <f>'ALL ML SYSTEMS'!AD752</f>
        <v>0</v>
      </c>
    </row>
    <row r="767" hidden="1" customHeight="1" spans="1:30">
      <c r="A767" s="344">
        <f>'ALL ML SYSTEMS'!A753</f>
        <v>0</v>
      </c>
      <c r="B767" s="344">
        <f>'ALL ML SYSTEMS'!B753</f>
        <v>0</v>
      </c>
      <c r="C767" s="344">
        <f>'ALL ML SYSTEMS'!C753</f>
        <v>0</v>
      </c>
      <c r="D767" s="344">
        <f>'ALL ML SYSTEMS'!D753</f>
        <v>0</v>
      </c>
      <c r="E767" s="344">
        <f>'ALL ML SYSTEMS'!E753</f>
        <v>0</v>
      </c>
      <c r="F767" s="344">
        <f>'ALL ML SYSTEMS'!F753</f>
        <v>0</v>
      </c>
      <c r="G767" s="344">
        <f>'ALL ML SYSTEMS'!G753</f>
        <v>0</v>
      </c>
      <c r="H767" s="344">
        <f>'ALL ML SYSTEMS'!H753</f>
        <v>0</v>
      </c>
      <c r="I767" s="344">
        <f>'ALL ML SYSTEMS'!I753</f>
        <v>0</v>
      </c>
      <c r="J767" s="344">
        <f>'ALL ML SYSTEMS'!J753</f>
        <v>0</v>
      </c>
      <c r="K767" s="344">
        <f>'ALL ML SYSTEMS'!K753</f>
        <v>0</v>
      </c>
      <c r="L767" s="344">
        <f>'ALL ML SYSTEMS'!L753</f>
        <v>0</v>
      </c>
      <c r="M767" s="344">
        <f>'ALL ML SYSTEMS'!M753</f>
        <v>0</v>
      </c>
      <c r="N767" s="344">
        <f>'ALL ML SYSTEMS'!N753</f>
        <v>0</v>
      </c>
      <c r="O767" s="344">
        <f>'ALL ML SYSTEMS'!O753</f>
        <v>0</v>
      </c>
      <c r="P767" s="344">
        <f>'ALL ML SYSTEMS'!P753</f>
        <v>0</v>
      </c>
      <c r="Q767" s="344">
        <f>'ALL ML SYSTEMS'!Q753</f>
        <v>0</v>
      </c>
      <c r="R767" s="344">
        <f>'ALL ML SYSTEMS'!R753</f>
        <v>0</v>
      </c>
      <c r="S767" s="344">
        <f>'ALL ML SYSTEMS'!S753</f>
        <v>0</v>
      </c>
      <c r="T767" s="344">
        <f>'ALL ML SYSTEMS'!T753</f>
        <v>0</v>
      </c>
      <c r="U767" s="344">
        <f>'ALL ML SYSTEMS'!U753</f>
        <v>0</v>
      </c>
      <c r="V767" s="344">
        <f>'ALL ML SYSTEMS'!V753</f>
        <v>0</v>
      </c>
      <c r="W767" s="344">
        <f>'ALL ML SYSTEMS'!W753</f>
        <v>0</v>
      </c>
      <c r="X767" s="344">
        <f>'ALL ML SYSTEMS'!X753</f>
        <v>0</v>
      </c>
      <c r="Y767" s="344">
        <f>'ALL ML SYSTEMS'!Y753</f>
        <v>0</v>
      </c>
      <c r="Z767" s="344">
        <f>'ALL ML SYSTEMS'!Z753</f>
        <v>0</v>
      </c>
      <c r="AA767" s="344">
        <f>'ALL ML SYSTEMS'!AA753</f>
        <v>0</v>
      </c>
      <c r="AB767" s="344"/>
      <c r="AC767" s="344">
        <f>'ALL ML SYSTEMS'!AC753</f>
        <v>0</v>
      </c>
      <c r="AD767" s="344">
        <f>'ALL ML SYSTEMS'!AD753</f>
        <v>0</v>
      </c>
    </row>
    <row r="768" hidden="1" customHeight="1" spans="1:30">
      <c r="A768" s="344">
        <f>'ALL ML SYSTEMS'!A754</f>
        <v>0</v>
      </c>
      <c r="B768" s="344">
        <f>'ALL ML SYSTEMS'!B754</f>
        <v>0</v>
      </c>
      <c r="C768" s="344">
        <f>'ALL ML SYSTEMS'!C754</f>
        <v>0</v>
      </c>
      <c r="D768" s="344">
        <f>'ALL ML SYSTEMS'!D754</f>
        <v>0</v>
      </c>
      <c r="E768" s="344">
        <f>'ALL ML SYSTEMS'!E754</f>
        <v>0</v>
      </c>
      <c r="F768" s="344">
        <f>'ALL ML SYSTEMS'!F754</f>
        <v>0</v>
      </c>
      <c r="G768" s="344">
        <f>'ALL ML SYSTEMS'!G754</f>
        <v>0</v>
      </c>
      <c r="H768" s="344">
        <f>'ALL ML SYSTEMS'!H754</f>
        <v>0</v>
      </c>
      <c r="I768" s="344">
        <f>'ALL ML SYSTEMS'!I754</f>
        <v>0</v>
      </c>
      <c r="J768" s="344">
        <f>'ALL ML SYSTEMS'!J754</f>
        <v>0</v>
      </c>
      <c r="K768" s="344">
        <f>'ALL ML SYSTEMS'!K754</f>
        <v>0</v>
      </c>
      <c r="L768" s="344">
        <f>'ALL ML SYSTEMS'!L754</f>
        <v>0</v>
      </c>
      <c r="M768" s="344">
        <f>'ALL ML SYSTEMS'!M754</f>
        <v>0</v>
      </c>
      <c r="N768" s="344">
        <f>'ALL ML SYSTEMS'!N754</f>
        <v>0</v>
      </c>
      <c r="O768" s="344">
        <f>'ALL ML SYSTEMS'!O754</f>
        <v>0</v>
      </c>
      <c r="P768" s="344">
        <f>'ALL ML SYSTEMS'!P754</f>
        <v>0</v>
      </c>
      <c r="Q768" s="344">
        <f>'ALL ML SYSTEMS'!Q754</f>
        <v>0</v>
      </c>
      <c r="R768" s="344">
        <f>'ALL ML SYSTEMS'!R754</f>
        <v>0</v>
      </c>
      <c r="S768" s="344">
        <f>'ALL ML SYSTEMS'!S754</f>
        <v>0</v>
      </c>
      <c r="T768" s="344">
        <f>'ALL ML SYSTEMS'!T754</f>
        <v>0</v>
      </c>
      <c r="U768" s="344">
        <f>'ALL ML SYSTEMS'!U754</f>
        <v>0</v>
      </c>
      <c r="V768" s="344">
        <f>'ALL ML SYSTEMS'!V754</f>
        <v>0</v>
      </c>
      <c r="W768" s="344">
        <f>'ALL ML SYSTEMS'!W754</f>
        <v>0</v>
      </c>
      <c r="X768" s="344">
        <f>'ALL ML SYSTEMS'!X754</f>
        <v>0</v>
      </c>
      <c r="Y768" s="344">
        <f>'ALL ML SYSTEMS'!Y754</f>
        <v>0</v>
      </c>
      <c r="Z768" s="344">
        <f>'ALL ML SYSTEMS'!Z754</f>
        <v>0</v>
      </c>
      <c r="AA768" s="344">
        <f>'ALL ML SYSTEMS'!AA754</f>
        <v>0</v>
      </c>
      <c r="AB768" s="344"/>
      <c r="AC768" s="344">
        <f>'ALL ML SYSTEMS'!AC754</f>
        <v>0</v>
      </c>
      <c r="AD768" s="344">
        <f>'ALL ML SYSTEMS'!AD754</f>
        <v>0</v>
      </c>
    </row>
    <row r="769" hidden="1" customHeight="1" spans="1:30">
      <c r="A769" s="344">
        <f>'ALL ML SYSTEMS'!A755</f>
        <v>0</v>
      </c>
      <c r="B769" s="344">
        <f>'ALL ML SYSTEMS'!B755</f>
        <v>0</v>
      </c>
      <c r="C769" s="344">
        <f>'ALL ML SYSTEMS'!C755</f>
        <v>0</v>
      </c>
      <c r="D769" s="344">
        <f>'ALL ML SYSTEMS'!D755</f>
        <v>0</v>
      </c>
      <c r="E769" s="344">
        <f>'ALL ML SYSTEMS'!E755</f>
        <v>0</v>
      </c>
      <c r="F769" s="344">
        <f>'ALL ML SYSTEMS'!F755</f>
        <v>0</v>
      </c>
      <c r="G769" s="344">
        <f>'ALL ML SYSTEMS'!G755</f>
        <v>0</v>
      </c>
      <c r="H769" s="344">
        <f>'ALL ML SYSTEMS'!H755</f>
        <v>0</v>
      </c>
      <c r="I769" s="344">
        <f>'ALL ML SYSTEMS'!I755</f>
        <v>0</v>
      </c>
      <c r="J769" s="344">
        <f>'ALL ML SYSTEMS'!J755</f>
        <v>0</v>
      </c>
      <c r="K769" s="344">
        <f>'ALL ML SYSTEMS'!K755</f>
        <v>0</v>
      </c>
      <c r="L769" s="344">
        <f>'ALL ML SYSTEMS'!L755</f>
        <v>0</v>
      </c>
      <c r="M769" s="344">
        <f>'ALL ML SYSTEMS'!M755</f>
        <v>0</v>
      </c>
      <c r="N769" s="344">
        <f>'ALL ML SYSTEMS'!N755</f>
        <v>0</v>
      </c>
      <c r="O769" s="344">
        <f>'ALL ML SYSTEMS'!O755</f>
        <v>0</v>
      </c>
      <c r="P769" s="344">
        <f>'ALL ML SYSTEMS'!P755</f>
        <v>0</v>
      </c>
      <c r="Q769" s="344">
        <f>'ALL ML SYSTEMS'!Q755</f>
        <v>0</v>
      </c>
      <c r="R769" s="344">
        <f>'ALL ML SYSTEMS'!R755</f>
        <v>0</v>
      </c>
      <c r="S769" s="344">
        <f>'ALL ML SYSTEMS'!S755</f>
        <v>0</v>
      </c>
      <c r="T769" s="344">
        <f>'ALL ML SYSTEMS'!T755</f>
        <v>0</v>
      </c>
      <c r="U769" s="344">
        <f>'ALL ML SYSTEMS'!U755</f>
        <v>0</v>
      </c>
      <c r="V769" s="344">
        <f>'ALL ML SYSTEMS'!V755</f>
        <v>0</v>
      </c>
      <c r="W769" s="344">
        <f>'ALL ML SYSTEMS'!W755</f>
        <v>0</v>
      </c>
      <c r="X769" s="344">
        <f>'ALL ML SYSTEMS'!X755</f>
        <v>0</v>
      </c>
      <c r="Y769" s="344">
        <f>'ALL ML SYSTEMS'!Y755</f>
        <v>0</v>
      </c>
      <c r="Z769" s="344">
        <f>'ALL ML SYSTEMS'!Z755</f>
        <v>0</v>
      </c>
      <c r="AA769" s="344">
        <f>'ALL ML SYSTEMS'!AA755</f>
        <v>0</v>
      </c>
      <c r="AB769" s="344"/>
      <c r="AC769" s="344">
        <f>'ALL ML SYSTEMS'!AC755</f>
        <v>0</v>
      </c>
      <c r="AD769" s="344">
        <f>'ALL ML SYSTEMS'!AD755</f>
        <v>0</v>
      </c>
    </row>
    <row r="770" hidden="1" customHeight="1" spans="1:30">
      <c r="A770" s="344">
        <f>'ALL ML SYSTEMS'!A756</f>
        <v>0</v>
      </c>
      <c r="B770" s="344">
        <f>'ALL ML SYSTEMS'!B756</f>
        <v>0</v>
      </c>
      <c r="C770" s="344">
        <f>'ALL ML SYSTEMS'!C756</f>
        <v>0</v>
      </c>
      <c r="D770" s="344">
        <f>'ALL ML SYSTEMS'!D756</f>
        <v>0</v>
      </c>
      <c r="E770" s="344">
        <f>'ALL ML SYSTEMS'!E756</f>
        <v>0</v>
      </c>
      <c r="F770" s="344">
        <f>'ALL ML SYSTEMS'!F756</f>
        <v>0</v>
      </c>
      <c r="G770" s="344">
        <f>'ALL ML SYSTEMS'!G756</f>
        <v>0</v>
      </c>
      <c r="H770" s="344">
        <f>'ALL ML SYSTEMS'!H756</f>
        <v>0</v>
      </c>
      <c r="I770" s="344">
        <f>'ALL ML SYSTEMS'!I756</f>
        <v>0</v>
      </c>
      <c r="J770" s="344">
        <f>'ALL ML SYSTEMS'!J756</f>
        <v>0</v>
      </c>
      <c r="K770" s="344">
        <f>'ALL ML SYSTEMS'!K756</f>
        <v>0</v>
      </c>
      <c r="L770" s="344">
        <f>'ALL ML SYSTEMS'!L756</f>
        <v>0</v>
      </c>
      <c r="M770" s="344">
        <f>'ALL ML SYSTEMS'!M756</f>
        <v>0</v>
      </c>
      <c r="N770" s="344">
        <f>'ALL ML SYSTEMS'!N756</f>
        <v>0</v>
      </c>
      <c r="O770" s="344">
        <f>'ALL ML SYSTEMS'!O756</f>
        <v>0</v>
      </c>
      <c r="P770" s="344">
        <f>'ALL ML SYSTEMS'!P756</f>
        <v>0</v>
      </c>
      <c r="Q770" s="344">
        <f>'ALL ML SYSTEMS'!Q756</f>
        <v>0</v>
      </c>
      <c r="R770" s="344">
        <f>'ALL ML SYSTEMS'!R756</f>
        <v>0</v>
      </c>
      <c r="S770" s="344">
        <f>'ALL ML SYSTEMS'!S756</f>
        <v>0</v>
      </c>
      <c r="T770" s="344">
        <f>'ALL ML SYSTEMS'!T756</f>
        <v>0</v>
      </c>
      <c r="U770" s="344">
        <f>'ALL ML SYSTEMS'!U756</f>
        <v>0</v>
      </c>
      <c r="V770" s="344">
        <f>'ALL ML SYSTEMS'!V756</f>
        <v>0</v>
      </c>
      <c r="W770" s="344">
        <f>'ALL ML SYSTEMS'!W756</f>
        <v>0</v>
      </c>
      <c r="X770" s="344">
        <f>'ALL ML SYSTEMS'!X756</f>
        <v>0</v>
      </c>
      <c r="Y770" s="344">
        <f>'ALL ML SYSTEMS'!Y756</f>
        <v>0</v>
      </c>
      <c r="Z770" s="344">
        <f>'ALL ML SYSTEMS'!Z756</f>
        <v>0</v>
      </c>
      <c r="AA770" s="344">
        <f>'ALL ML SYSTEMS'!AA756</f>
        <v>0</v>
      </c>
      <c r="AB770" s="344"/>
      <c r="AC770" s="344">
        <f>'ALL ML SYSTEMS'!AC756</f>
        <v>0</v>
      </c>
      <c r="AD770" s="344">
        <f>'ALL ML SYSTEMS'!AD756</f>
        <v>0</v>
      </c>
    </row>
    <row r="771" hidden="1" customHeight="1" spans="1:30">
      <c r="A771" s="344">
        <f>'ALL ML SYSTEMS'!A757</f>
        <v>0</v>
      </c>
      <c r="B771" s="344">
        <f>'ALL ML SYSTEMS'!B757</f>
        <v>0</v>
      </c>
      <c r="C771" s="344">
        <f>'ALL ML SYSTEMS'!C757</f>
        <v>0</v>
      </c>
      <c r="D771" s="344">
        <f>'ALL ML SYSTEMS'!D757</f>
        <v>0</v>
      </c>
      <c r="E771" s="344">
        <f>'ALL ML SYSTEMS'!E757</f>
        <v>0</v>
      </c>
      <c r="F771" s="344">
        <f>'ALL ML SYSTEMS'!F757</f>
        <v>0</v>
      </c>
      <c r="G771" s="344">
        <f>'ALL ML SYSTEMS'!G757</f>
        <v>0</v>
      </c>
      <c r="H771" s="344">
        <f>'ALL ML SYSTEMS'!H757</f>
        <v>0</v>
      </c>
      <c r="I771" s="344">
        <f>'ALL ML SYSTEMS'!I757</f>
        <v>0</v>
      </c>
      <c r="J771" s="344">
        <f>'ALL ML SYSTEMS'!J757</f>
        <v>0</v>
      </c>
      <c r="K771" s="344">
        <f>'ALL ML SYSTEMS'!K757</f>
        <v>0</v>
      </c>
      <c r="L771" s="344">
        <f>'ALL ML SYSTEMS'!L757</f>
        <v>0</v>
      </c>
      <c r="M771" s="344">
        <f>'ALL ML SYSTEMS'!M757</f>
        <v>0</v>
      </c>
      <c r="N771" s="344">
        <f>'ALL ML SYSTEMS'!N757</f>
        <v>0</v>
      </c>
      <c r="O771" s="344">
        <f>'ALL ML SYSTEMS'!O757</f>
        <v>0</v>
      </c>
      <c r="P771" s="344">
        <f>'ALL ML SYSTEMS'!P757</f>
        <v>0</v>
      </c>
      <c r="Q771" s="344">
        <f>'ALL ML SYSTEMS'!Q757</f>
        <v>0</v>
      </c>
      <c r="R771" s="344">
        <f>'ALL ML SYSTEMS'!R757</f>
        <v>0</v>
      </c>
      <c r="S771" s="344">
        <f>'ALL ML SYSTEMS'!S757</f>
        <v>0</v>
      </c>
      <c r="T771" s="344">
        <f>'ALL ML SYSTEMS'!T757</f>
        <v>0</v>
      </c>
      <c r="U771" s="344">
        <f>'ALL ML SYSTEMS'!U757</f>
        <v>0</v>
      </c>
      <c r="V771" s="344">
        <f>'ALL ML SYSTEMS'!V757</f>
        <v>0</v>
      </c>
      <c r="W771" s="344">
        <f>'ALL ML SYSTEMS'!W757</f>
        <v>0</v>
      </c>
      <c r="X771" s="344">
        <f>'ALL ML SYSTEMS'!X757</f>
        <v>0</v>
      </c>
      <c r="Y771" s="344">
        <f>'ALL ML SYSTEMS'!Y757</f>
        <v>0</v>
      </c>
      <c r="Z771" s="344">
        <f>'ALL ML SYSTEMS'!Z757</f>
        <v>0</v>
      </c>
      <c r="AA771" s="344">
        <f>'ALL ML SYSTEMS'!AA757</f>
        <v>0</v>
      </c>
      <c r="AB771" s="344"/>
      <c r="AC771" s="344">
        <f>'ALL ML SYSTEMS'!AC757</f>
        <v>0</v>
      </c>
      <c r="AD771" s="344">
        <f>'ALL ML SYSTEMS'!AD757</f>
        <v>0</v>
      </c>
    </row>
    <row r="772" hidden="1" customHeight="1" spans="1:30">
      <c r="A772" s="344">
        <f>'ALL ML SYSTEMS'!A758</f>
        <v>0</v>
      </c>
      <c r="B772" s="344">
        <f>'ALL ML SYSTEMS'!B758</f>
        <v>0</v>
      </c>
      <c r="C772" s="344">
        <f>'ALL ML SYSTEMS'!C758</f>
        <v>0</v>
      </c>
      <c r="D772" s="344">
        <f>'ALL ML SYSTEMS'!D758</f>
        <v>0</v>
      </c>
      <c r="E772" s="344">
        <f>'ALL ML SYSTEMS'!E758</f>
        <v>0</v>
      </c>
      <c r="F772" s="344">
        <f>'ALL ML SYSTEMS'!F758</f>
        <v>0</v>
      </c>
      <c r="G772" s="344">
        <f>'ALL ML SYSTEMS'!G758</f>
        <v>0</v>
      </c>
      <c r="H772" s="344">
        <f>'ALL ML SYSTEMS'!H758</f>
        <v>0</v>
      </c>
      <c r="I772" s="344">
        <f>'ALL ML SYSTEMS'!I758</f>
        <v>0</v>
      </c>
      <c r="J772" s="344">
        <f>'ALL ML SYSTEMS'!J758</f>
        <v>0</v>
      </c>
      <c r="K772" s="344">
        <f>'ALL ML SYSTEMS'!K758</f>
        <v>0</v>
      </c>
      <c r="L772" s="344">
        <f>'ALL ML SYSTEMS'!L758</f>
        <v>0</v>
      </c>
      <c r="M772" s="344">
        <f>'ALL ML SYSTEMS'!M758</f>
        <v>0</v>
      </c>
      <c r="N772" s="344">
        <f>'ALL ML SYSTEMS'!N758</f>
        <v>0</v>
      </c>
      <c r="O772" s="344">
        <f>'ALL ML SYSTEMS'!O758</f>
        <v>0</v>
      </c>
      <c r="P772" s="344">
        <f>'ALL ML SYSTEMS'!P758</f>
        <v>0</v>
      </c>
      <c r="Q772" s="344">
        <f>'ALL ML SYSTEMS'!Q758</f>
        <v>0</v>
      </c>
      <c r="R772" s="344">
        <f>'ALL ML SYSTEMS'!R758</f>
        <v>0</v>
      </c>
      <c r="S772" s="344">
        <f>'ALL ML SYSTEMS'!S758</f>
        <v>0</v>
      </c>
      <c r="T772" s="344">
        <f>'ALL ML SYSTEMS'!T758</f>
        <v>0</v>
      </c>
      <c r="U772" s="344">
        <f>'ALL ML SYSTEMS'!U758</f>
        <v>0</v>
      </c>
      <c r="V772" s="344">
        <f>'ALL ML SYSTEMS'!V758</f>
        <v>0</v>
      </c>
      <c r="W772" s="344">
        <f>'ALL ML SYSTEMS'!W758</f>
        <v>0</v>
      </c>
      <c r="X772" s="344">
        <f>'ALL ML SYSTEMS'!X758</f>
        <v>0</v>
      </c>
      <c r="Y772" s="344">
        <f>'ALL ML SYSTEMS'!Y758</f>
        <v>0</v>
      </c>
      <c r="Z772" s="344">
        <f>'ALL ML SYSTEMS'!Z758</f>
        <v>0</v>
      </c>
      <c r="AA772" s="344">
        <f>'ALL ML SYSTEMS'!AA758</f>
        <v>0</v>
      </c>
      <c r="AB772" s="344"/>
      <c r="AC772" s="344">
        <f>'ALL ML SYSTEMS'!AC758</f>
        <v>0</v>
      </c>
      <c r="AD772" s="344">
        <f>'ALL ML SYSTEMS'!AD758</f>
        <v>0</v>
      </c>
    </row>
    <row r="773" hidden="1" customHeight="1" spans="1:30">
      <c r="A773" s="344">
        <f>'ALL ML SYSTEMS'!A759</f>
        <v>0</v>
      </c>
      <c r="B773" s="344">
        <f>'ALL ML SYSTEMS'!B759</f>
        <v>0</v>
      </c>
      <c r="C773" s="344">
        <f>'ALL ML SYSTEMS'!C759</f>
        <v>0</v>
      </c>
      <c r="D773" s="344">
        <f>'ALL ML SYSTEMS'!D759</f>
        <v>0</v>
      </c>
      <c r="E773" s="344">
        <f>'ALL ML SYSTEMS'!E759</f>
        <v>0</v>
      </c>
      <c r="F773" s="344">
        <f>'ALL ML SYSTEMS'!F759</f>
        <v>0</v>
      </c>
      <c r="G773" s="344">
        <f>'ALL ML SYSTEMS'!G759</f>
        <v>0</v>
      </c>
      <c r="H773" s="344">
        <f>'ALL ML SYSTEMS'!H759</f>
        <v>0</v>
      </c>
      <c r="I773" s="344">
        <f>'ALL ML SYSTEMS'!I759</f>
        <v>0</v>
      </c>
      <c r="J773" s="344">
        <f>'ALL ML SYSTEMS'!J759</f>
        <v>0</v>
      </c>
      <c r="K773" s="344">
        <f>'ALL ML SYSTEMS'!K759</f>
        <v>0</v>
      </c>
      <c r="L773" s="344">
        <f>'ALL ML SYSTEMS'!L759</f>
        <v>0</v>
      </c>
      <c r="M773" s="344">
        <f>'ALL ML SYSTEMS'!M759</f>
        <v>0</v>
      </c>
      <c r="N773" s="344">
        <f>'ALL ML SYSTEMS'!N759</f>
        <v>0</v>
      </c>
      <c r="O773" s="344">
        <f>'ALL ML SYSTEMS'!O759</f>
        <v>0</v>
      </c>
      <c r="P773" s="344">
        <f>'ALL ML SYSTEMS'!P759</f>
        <v>0</v>
      </c>
      <c r="Q773" s="344">
        <f>'ALL ML SYSTEMS'!Q759</f>
        <v>0</v>
      </c>
      <c r="R773" s="344">
        <f>'ALL ML SYSTEMS'!R759</f>
        <v>0</v>
      </c>
      <c r="S773" s="344">
        <f>'ALL ML SYSTEMS'!S759</f>
        <v>0</v>
      </c>
      <c r="T773" s="344">
        <f>'ALL ML SYSTEMS'!T759</f>
        <v>0</v>
      </c>
      <c r="U773" s="344">
        <f>'ALL ML SYSTEMS'!U759</f>
        <v>0</v>
      </c>
      <c r="V773" s="344">
        <f>'ALL ML SYSTEMS'!V759</f>
        <v>0</v>
      </c>
      <c r="W773" s="344">
        <f>'ALL ML SYSTEMS'!W759</f>
        <v>0</v>
      </c>
      <c r="X773" s="344">
        <f>'ALL ML SYSTEMS'!X759</f>
        <v>0</v>
      </c>
      <c r="Y773" s="344">
        <f>'ALL ML SYSTEMS'!Y759</f>
        <v>0</v>
      </c>
      <c r="Z773" s="344">
        <f>'ALL ML SYSTEMS'!Z759</f>
        <v>0</v>
      </c>
      <c r="AA773" s="344">
        <f>'ALL ML SYSTEMS'!AA759</f>
        <v>0</v>
      </c>
      <c r="AB773" s="344"/>
      <c r="AC773" s="344">
        <f>'ALL ML SYSTEMS'!AC759</f>
        <v>0</v>
      </c>
      <c r="AD773" s="344">
        <f>'ALL ML SYSTEMS'!AD759</f>
        <v>0</v>
      </c>
    </row>
    <row r="774" hidden="1" customHeight="1" spans="1:30">
      <c r="A774" s="344">
        <f>'ALL ML SYSTEMS'!A760</f>
        <v>0</v>
      </c>
      <c r="B774" s="344">
        <f>'ALL ML SYSTEMS'!B760</f>
        <v>0</v>
      </c>
      <c r="C774" s="344">
        <f>'ALL ML SYSTEMS'!C760</f>
        <v>0</v>
      </c>
      <c r="D774" s="344">
        <f>'ALL ML SYSTEMS'!D760</f>
        <v>0</v>
      </c>
      <c r="E774" s="344">
        <f>'ALL ML SYSTEMS'!E760</f>
        <v>0</v>
      </c>
      <c r="F774" s="344">
        <f>'ALL ML SYSTEMS'!F760</f>
        <v>0</v>
      </c>
      <c r="G774" s="344">
        <f>'ALL ML SYSTEMS'!G760</f>
        <v>0</v>
      </c>
      <c r="H774" s="344">
        <f>'ALL ML SYSTEMS'!H760</f>
        <v>0</v>
      </c>
      <c r="I774" s="344">
        <f>'ALL ML SYSTEMS'!I760</f>
        <v>0</v>
      </c>
      <c r="J774" s="344">
        <f>'ALL ML SYSTEMS'!J760</f>
        <v>0</v>
      </c>
      <c r="K774" s="344">
        <f>'ALL ML SYSTEMS'!K760</f>
        <v>0</v>
      </c>
      <c r="L774" s="344">
        <f>'ALL ML SYSTEMS'!L760</f>
        <v>0</v>
      </c>
      <c r="M774" s="344">
        <f>'ALL ML SYSTEMS'!M760</f>
        <v>0</v>
      </c>
      <c r="N774" s="344">
        <f>'ALL ML SYSTEMS'!N760</f>
        <v>0</v>
      </c>
      <c r="O774" s="344">
        <f>'ALL ML SYSTEMS'!O760</f>
        <v>0</v>
      </c>
      <c r="P774" s="344">
        <f>'ALL ML SYSTEMS'!P760</f>
        <v>0</v>
      </c>
      <c r="Q774" s="344">
        <f>'ALL ML SYSTEMS'!Q760</f>
        <v>0</v>
      </c>
      <c r="R774" s="344">
        <f>'ALL ML SYSTEMS'!R760</f>
        <v>0</v>
      </c>
      <c r="S774" s="344">
        <f>'ALL ML SYSTEMS'!S760</f>
        <v>0</v>
      </c>
      <c r="T774" s="344">
        <f>'ALL ML SYSTEMS'!T760</f>
        <v>0</v>
      </c>
      <c r="U774" s="344">
        <f>'ALL ML SYSTEMS'!U760</f>
        <v>0</v>
      </c>
      <c r="V774" s="344">
        <f>'ALL ML SYSTEMS'!V760</f>
        <v>0</v>
      </c>
      <c r="W774" s="344">
        <f>'ALL ML SYSTEMS'!W760</f>
        <v>0</v>
      </c>
      <c r="X774" s="344">
        <f>'ALL ML SYSTEMS'!X760</f>
        <v>0</v>
      </c>
      <c r="Y774" s="344">
        <f>'ALL ML SYSTEMS'!Y760</f>
        <v>0</v>
      </c>
      <c r="Z774" s="344">
        <f>'ALL ML SYSTEMS'!Z760</f>
        <v>0</v>
      </c>
      <c r="AA774" s="344">
        <f>'ALL ML SYSTEMS'!AA760</f>
        <v>0</v>
      </c>
      <c r="AB774" s="344"/>
      <c r="AC774" s="344">
        <f>'ALL ML SYSTEMS'!AC760</f>
        <v>0</v>
      </c>
      <c r="AD774" s="344">
        <f>'ALL ML SYSTEMS'!AD760</f>
        <v>0</v>
      </c>
    </row>
    <row r="775" hidden="1" customHeight="1" spans="1:30">
      <c r="A775" s="344">
        <f>'ALL ML SYSTEMS'!A761</f>
        <v>0</v>
      </c>
      <c r="B775" s="344">
        <f>'ALL ML SYSTEMS'!B761</f>
        <v>0</v>
      </c>
      <c r="C775" s="344">
        <f>'ALL ML SYSTEMS'!C761</f>
        <v>0</v>
      </c>
      <c r="D775" s="344">
        <f>'ALL ML SYSTEMS'!D761</f>
        <v>0</v>
      </c>
      <c r="E775" s="344">
        <f>'ALL ML SYSTEMS'!E761</f>
        <v>0</v>
      </c>
      <c r="F775" s="344">
        <f>'ALL ML SYSTEMS'!F761</f>
        <v>0</v>
      </c>
      <c r="G775" s="344">
        <f>'ALL ML SYSTEMS'!G761</f>
        <v>0</v>
      </c>
      <c r="H775" s="344">
        <f>'ALL ML SYSTEMS'!H761</f>
        <v>0</v>
      </c>
      <c r="I775" s="344">
        <f>'ALL ML SYSTEMS'!I761</f>
        <v>0</v>
      </c>
      <c r="J775" s="344">
        <f>'ALL ML SYSTEMS'!J761</f>
        <v>0</v>
      </c>
      <c r="K775" s="344">
        <f>'ALL ML SYSTEMS'!K761</f>
        <v>0</v>
      </c>
      <c r="L775" s="344">
        <f>'ALL ML SYSTEMS'!L761</f>
        <v>0</v>
      </c>
      <c r="M775" s="344">
        <f>'ALL ML SYSTEMS'!M761</f>
        <v>0</v>
      </c>
      <c r="N775" s="344">
        <f>'ALL ML SYSTEMS'!N761</f>
        <v>0</v>
      </c>
      <c r="O775" s="344">
        <f>'ALL ML SYSTEMS'!O761</f>
        <v>0</v>
      </c>
      <c r="P775" s="344">
        <f>'ALL ML SYSTEMS'!P761</f>
        <v>0</v>
      </c>
      <c r="Q775" s="344">
        <f>'ALL ML SYSTEMS'!Q761</f>
        <v>0</v>
      </c>
      <c r="R775" s="344">
        <f>'ALL ML SYSTEMS'!R761</f>
        <v>0</v>
      </c>
      <c r="S775" s="344">
        <f>'ALL ML SYSTEMS'!S761</f>
        <v>0</v>
      </c>
      <c r="T775" s="344">
        <f>'ALL ML SYSTEMS'!T761</f>
        <v>0</v>
      </c>
      <c r="U775" s="344">
        <f>'ALL ML SYSTEMS'!U761</f>
        <v>0</v>
      </c>
      <c r="V775" s="344">
        <f>'ALL ML SYSTEMS'!V761</f>
        <v>0</v>
      </c>
      <c r="W775" s="344">
        <f>'ALL ML SYSTEMS'!W761</f>
        <v>0</v>
      </c>
      <c r="X775" s="344">
        <f>'ALL ML SYSTEMS'!X761</f>
        <v>0</v>
      </c>
      <c r="Y775" s="344">
        <f>'ALL ML SYSTEMS'!Y761</f>
        <v>0</v>
      </c>
      <c r="Z775" s="344">
        <f>'ALL ML SYSTEMS'!Z761</f>
        <v>0</v>
      </c>
      <c r="AA775" s="344">
        <f>'ALL ML SYSTEMS'!AA761</f>
        <v>0</v>
      </c>
      <c r="AB775" s="344"/>
      <c r="AC775" s="344">
        <f>'ALL ML SYSTEMS'!AC761</f>
        <v>0</v>
      </c>
      <c r="AD775" s="344">
        <f>'ALL ML SYSTEMS'!AD761</f>
        <v>0</v>
      </c>
    </row>
    <row r="776" hidden="1" customHeight="1" spans="1:30">
      <c r="A776" s="344">
        <f>'ALL ML SYSTEMS'!A762</f>
        <v>0</v>
      </c>
      <c r="B776" s="344">
        <f>'ALL ML SYSTEMS'!B762</f>
        <v>0</v>
      </c>
      <c r="C776" s="344">
        <f>'ALL ML SYSTEMS'!C762</f>
        <v>0</v>
      </c>
      <c r="D776" s="344">
        <f>'ALL ML SYSTEMS'!D762</f>
        <v>0</v>
      </c>
      <c r="E776" s="344">
        <f>'ALL ML SYSTEMS'!E762</f>
        <v>0</v>
      </c>
      <c r="F776" s="344">
        <f>'ALL ML SYSTEMS'!F762</f>
        <v>0</v>
      </c>
      <c r="G776" s="344">
        <f>'ALL ML SYSTEMS'!G762</f>
        <v>0</v>
      </c>
      <c r="H776" s="344">
        <f>'ALL ML SYSTEMS'!H762</f>
        <v>0</v>
      </c>
      <c r="I776" s="344">
        <f>'ALL ML SYSTEMS'!I762</f>
        <v>0</v>
      </c>
      <c r="J776" s="344">
        <f>'ALL ML SYSTEMS'!J762</f>
        <v>0</v>
      </c>
      <c r="K776" s="344">
        <f>'ALL ML SYSTEMS'!K762</f>
        <v>0</v>
      </c>
      <c r="L776" s="344">
        <f>'ALL ML SYSTEMS'!L762</f>
        <v>0</v>
      </c>
      <c r="M776" s="344">
        <f>'ALL ML SYSTEMS'!M762</f>
        <v>0</v>
      </c>
      <c r="N776" s="344">
        <f>'ALL ML SYSTEMS'!N762</f>
        <v>0</v>
      </c>
      <c r="O776" s="344">
        <f>'ALL ML SYSTEMS'!O762</f>
        <v>0</v>
      </c>
      <c r="P776" s="344">
        <f>'ALL ML SYSTEMS'!P762</f>
        <v>0</v>
      </c>
      <c r="Q776" s="344">
        <f>'ALL ML SYSTEMS'!Q762</f>
        <v>0</v>
      </c>
      <c r="R776" s="344">
        <f>'ALL ML SYSTEMS'!R762</f>
        <v>0</v>
      </c>
      <c r="S776" s="344">
        <f>'ALL ML SYSTEMS'!S762</f>
        <v>0</v>
      </c>
      <c r="T776" s="344">
        <f>'ALL ML SYSTEMS'!T762</f>
        <v>0</v>
      </c>
      <c r="U776" s="344">
        <f>'ALL ML SYSTEMS'!U762</f>
        <v>0</v>
      </c>
      <c r="V776" s="344">
        <f>'ALL ML SYSTEMS'!V762</f>
        <v>0</v>
      </c>
      <c r="W776" s="344">
        <f>'ALL ML SYSTEMS'!W762</f>
        <v>0</v>
      </c>
      <c r="X776" s="344">
        <f>'ALL ML SYSTEMS'!X762</f>
        <v>0</v>
      </c>
      <c r="Y776" s="344">
        <f>'ALL ML SYSTEMS'!Y762</f>
        <v>0</v>
      </c>
      <c r="Z776" s="344">
        <f>'ALL ML SYSTEMS'!Z762</f>
        <v>0</v>
      </c>
      <c r="AA776" s="344">
        <f>'ALL ML SYSTEMS'!AA762</f>
        <v>0</v>
      </c>
      <c r="AB776" s="344"/>
      <c r="AC776" s="344">
        <f>'ALL ML SYSTEMS'!AC762</f>
        <v>0</v>
      </c>
      <c r="AD776" s="344">
        <f>'ALL ML SYSTEMS'!AD762</f>
        <v>0</v>
      </c>
    </row>
    <row r="777" hidden="1" customHeight="1" spans="1:30">
      <c r="A777" s="344">
        <f>'ALL ML SYSTEMS'!A763</f>
        <v>0</v>
      </c>
      <c r="B777" s="344">
        <f>'ALL ML SYSTEMS'!B763</f>
        <v>0</v>
      </c>
      <c r="C777" s="344">
        <f>'ALL ML SYSTEMS'!C763</f>
        <v>0</v>
      </c>
      <c r="D777" s="344">
        <f>'ALL ML SYSTEMS'!D763</f>
        <v>0</v>
      </c>
      <c r="E777" s="344">
        <f>'ALL ML SYSTEMS'!E763</f>
        <v>0</v>
      </c>
      <c r="F777" s="344">
        <f>'ALL ML SYSTEMS'!F763</f>
        <v>0</v>
      </c>
      <c r="G777" s="344">
        <f>'ALL ML SYSTEMS'!G763</f>
        <v>0</v>
      </c>
      <c r="H777" s="344">
        <f>'ALL ML SYSTEMS'!H763</f>
        <v>0</v>
      </c>
      <c r="I777" s="344">
        <f>'ALL ML SYSTEMS'!I763</f>
        <v>0</v>
      </c>
      <c r="J777" s="344">
        <f>'ALL ML SYSTEMS'!J763</f>
        <v>0</v>
      </c>
      <c r="K777" s="344">
        <f>'ALL ML SYSTEMS'!K763</f>
        <v>0</v>
      </c>
      <c r="L777" s="344">
        <f>'ALL ML SYSTEMS'!L763</f>
        <v>0</v>
      </c>
      <c r="M777" s="344">
        <f>'ALL ML SYSTEMS'!M763</f>
        <v>0</v>
      </c>
      <c r="N777" s="344">
        <f>'ALL ML SYSTEMS'!N763</f>
        <v>0</v>
      </c>
      <c r="O777" s="344">
        <f>'ALL ML SYSTEMS'!O763</f>
        <v>0</v>
      </c>
      <c r="P777" s="344">
        <f>'ALL ML SYSTEMS'!P763</f>
        <v>0</v>
      </c>
      <c r="Q777" s="344">
        <f>'ALL ML SYSTEMS'!Q763</f>
        <v>0</v>
      </c>
      <c r="R777" s="344">
        <f>'ALL ML SYSTEMS'!R763</f>
        <v>0</v>
      </c>
      <c r="S777" s="344">
        <f>'ALL ML SYSTEMS'!S763</f>
        <v>0</v>
      </c>
      <c r="T777" s="344">
        <f>'ALL ML SYSTEMS'!T763</f>
        <v>0</v>
      </c>
      <c r="U777" s="344">
        <f>'ALL ML SYSTEMS'!U763</f>
        <v>0</v>
      </c>
      <c r="V777" s="344">
        <f>'ALL ML SYSTEMS'!V763</f>
        <v>0</v>
      </c>
      <c r="W777" s="344">
        <f>'ALL ML SYSTEMS'!W763</f>
        <v>0</v>
      </c>
      <c r="X777" s="344">
        <f>'ALL ML SYSTEMS'!X763</f>
        <v>0</v>
      </c>
      <c r="Y777" s="344">
        <f>'ALL ML SYSTEMS'!Y763</f>
        <v>0</v>
      </c>
      <c r="Z777" s="344">
        <f>'ALL ML SYSTEMS'!Z763</f>
        <v>0</v>
      </c>
      <c r="AA777" s="344">
        <f>'ALL ML SYSTEMS'!AA763</f>
        <v>0</v>
      </c>
      <c r="AB777" s="344"/>
      <c r="AC777" s="344">
        <f>'ALL ML SYSTEMS'!AC763</f>
        <v>0</v>
      </c>
      <c r="AD777" s="344">
        <f>'ALL ML SYSTEMS'!AD763</f>
        <v>0</v>
      </c>
    </row>
    <row r="778" hidden="1" customHeight="1" spans="1:30">
      <c r="A778" s="344">
        <f>'ALL ML SYSTEMS'!A764</f>
        <v>0</v>
      </c>
      <c r="B778" s="344">
        <f>'ALL ML SYSTEMS'!B764</f>
        <v>0</v>
      </c>
      <c r="C778" s="344">
        <f>'ALL ML SYSTEMS'!C764</f>
        <v>0</v>
      </c>
      <c r="D778" s="344">
        <f>'ALL ML SYSTEMS'!D764</f>
        <v>0</v>
      </c>
      <c r="E778" s="344">
        <f>'ALL ML SYSTEMS'!E764</f>
        <v>0</v>
      </c>
      <c r="F778" s="344">
        <f>'ALL ML SYSTEMS'!F764</f>
        <v>0</v>
      </c>
      <c r="G778" s="344">
        <f>'ALL ML SYSTEMS'!G764</f>
        <v>0</v>
      </c>
      <c r="H778" s="344">
        <f>'ALL ML SYSTEMS'!H764</f>
        <v>0</v>
      </c>
      <c r="I778" s="344">
        <f>'ALL ML SYSTEMS'!I764</f>
        <v>0</v>
      </c>
      <c r="J778" s="344">
        <f>'ALL ML SYSTEMS'!J764</f>
        <v>0</v>
      </c>
      <c r="K778" s="344">
        <f>'ALL ML SYSTEMS'!K764</f>
        <v>0</v>
      </c>
      <c r="L778" s="344">
        <f>'ALL ML SYSTEMS'!L764</f>
        <v>0</v>
      </c>
      <c r="M778" s="344">
        <f>'ALL ML SYSTEMS'!M764</f>
        <v>0</v>
      </c>
      <c r="N778" s="344">
        <f>'ALL ML SYSTEMS'!N764</f>
        <v>0</v>
      </c>
      <c r="O778" s="344">
        <f>'ALL ML SYSTEMS'!O764</f>
        <v>0</v>
      </c>
      <c r="P778" s="344">
        <f>'ALL ML SYSTEMS'!P764</f>
        <v>0</v>
      </c>
      <c r="Q778" s="344">
        <f>'ALL ML SYSTEMS'!Q764</f>
        <v>0</v>
      </c>
      <c r="R778" s="344">
        <f>'ALL ML SYSTEMS'!R764</f>
        <v>0</v>
      </c>
      <c r="S778" s="344">
        <f>'ALL ML SYSTEMS'!S764</f>
        <v>0</v>
      </c>
      <c r="T778" s="344">
        <f>'ALL ML SYSTEMS'!T764</f>
        <v>0</v>
      </c>
      <c r="U778" s="344">
        <f>'ALL ML SYSTEMS'!U764</f>
        <v>0</v>
      </c>
      <c r="V778" s="344">
        <f>'ALL ML SYSTEMS'!V764</f>
        <v>0</v>
      </c>
      <c r="W778" s="344">
        <f>'ALL ML SYSTEMS'!W764</f>
        <v>0</v>
      </c>
      <c r="X778" s="344">
        <f>'ALL ML SYSTEMS'!X764</f>
        <v>0</v>
      </c>
      <c r="Y778" s="344">
        <f>'ALL ML SYSTEMS'!Y764</f>
        <v>0</v>
      </c>
      <c r="Z778" s="344">
        <f>'ALL ML SYSTEMS'!Z764</f>
        <v>0</v>
      </c>
      <c r="AA778" s="344">
        <f>'ALL ML SYSTEMS'!AA764</f>
        <v>0</v>
      </c>
      <c r="AB778" s="344"/>
      <c r="AC778" s="344">
        <f>'ALL ML SYSTEMS'!AC764</f>
        <v>0</v>
      </c>
      <c r="AD778" s="344">
        <f>'ALL ML SYSTEMS'!AD764</f>
        <v>0</v>
      </c>
    </row>
    <row r="779" hidden="1" customHeight="1" spans="1:30">
      <c r="A779" s="344">
        <f>'ALL ML SYSTEMS'!A765</f>
        <v>0</v>
      </c>
      <c r="B779" s="344">
        <f>'ALL ML SYSTEMS'!B765</f>
        <v>0</v>
      </c>
      <c r="C779" s="344">
        <f>'ALL ML SYSTEMS'!C765</f>
        <v>0</v>
      </c>
      <c r="D779" s="344">
        <f>'ALL ML SYSTEMS'!D765</f>
        <v>0</v>
      </c>
      <c r="E779" s="344">
        <f>'ALL ML SYSTEMS'!E765</f>
        <v>0</v>
      </c>
      <c r="F779" s="344">
        <f>'ALL ML SYSTEMS'!F765</f>
        <v>0</v>
      </c>
      <c r="G779" s="344">
        <f>'ALL ML SYSTEMS'!G765</f>
        <v>0</v>
      </c>
      <c r="H779" s="344">
        <f>'ALL ML SYSTEMS'!H765</f>
        <v>0</v>
      </c>
      <c r="I779" s="344">
        <f>'ALL ML SYSTEMS'!I765</f>
        <v>0</v>
      </c>
      <c r="J779" s="344">
        <f>'ALL ML SYSTEMS'!J765</f>
        <v>0</v>
      </c>
      <c r="K779" s="344">
        <f>'ALL ML SYSTEMS'!K765</f>
        <v>0</v>
      </c>
      <c r="L779" s="344">
        <f>'ALL ML SYSTEMS'!L765</f>
        <v>0</v>
      </c>
      <c r="M779" s="344">
        <f>'ALL ML SYSTEMS'!M765</f>
        <v>0</v>
      </c>
      <c r="N779" s="344">
        <f>'ALL ML SYSTEMS'!N765</f>
        <v>0</v>
      </c>
      <c r="O779" s="344">
        <f>'ALL ML SYSTEMS'!O765</f>
        <v>0</v>
      </c>
      <c r="P779" s="344">
        <f>'ALL ML SYSTEMS'!P765</f>
        <v>0</v>
      </c>
      <c r="Q779" s="344">
        <f>'ALL ML SYSTEMS'!Q765</f>
        <v>0</v>
      </c>
      <c r="R779" s="344">
        <f>'ALL ML SYSTEMS'!R765</f>
        <v>0</v>
      </c>
      <c r="S779" s="344">
        <f>'ALL ML SYSTEMS'!S765</f>
        <v>0</v>
      </c>
      <c r="T779" s="344">
        <f>'ALL ML SYSTEMS'!T765</f>
        <v>0</v>
      </c>
      <c r="U779" s="344">
        <f>'ALL ML SYSTEMS'!U765</f>
        <v>0</v>
      </c>
      <c r="V779" s="344">
        <f>'ALL ML SYSTEMS'!V765</f>
        <v>0</v>
      </c>
      <c r="W779" s="344">
        <f>'ALL ML SYSTEMS'!W765</f>
        <v>0</v>
      </c>
      <c r="X779" s="344">
        <f>'ALL ML SYSTEMS'!X765</f>
        <v>0</v>
      </c>
      <c r="Y779" s="344">
        <f>'ALL ML SYSTEMS'!Y765</f>
        <v>0</v>
      </c>
      <c r="Z779" s="344">
        <f>'ALL ML SYSTEMS'!Z765</f>
        <v>0</v>
      </c>
      <c r="AA779" s="344">
        <f>'ALL ML SYSTEMS'!AA765</f>
        <v>0</v>
      </c>
      <c r="AB779" s="344"/>
      <c r="AC779" s="344">
        <f>'ALL ML SYSTEMS'!AC765</f>
        <v>0</v>
      </c>
      <c r="AD779" s="344">
        <f>'ALL ML SYSTEMS'!AD765</f>
        <v>0</v>
      </c>
    </row>
    <row r="780" hidden="1" customHeight="1" spans="1:30">
      <c r="A780" s="344">
        <f>'ALL ML SYSTEMS'!A766</f>
        <v>0</v>
      </c>
      <c r="B780" s="344">
        <f>'ALL ML SYSTEMS'!B766</f>
        <v>0</v>
      </c>
      <c r="C780" s="344">
        <f>'ALL ML SYSTEMS'!C766</f>
        <v>0</v>
      </c>
      <c r="D780" s="344">
        <f>'ALL ML SYSTEMS'!D766</f>
        <v>0</v>
      </c>
      <c r="E780" s="344">
        <f>'ALL ML SYSTEMS'!E766</f>
        <v>0</v>
      </c>
      <c r="F780" s="344">
        <f>'ALL ML SYSTEMS'!F766</f>
        <v>0</v>
      </c>
      <c r="G780" s="344">
        <f>'ALL ML SYSTEMS'!G766</f>
        <v>0</v>
      </c>
      <c r="H780" s="344">
        <f>'ALL ML SYSTEMS'!H766</f>
        <v>0</v>
      </c>
      <c r="I780" s="344">
        <f>'ALL ML SYSTEMS'!I766</f>
        <v>0</v>
      </c>
      <c r="J780" s="344">
        <f>'ALL ML SYSTEMS'!J766</f>
        <v>0</v>
      </c>
      <c r="K780" s="344">
        <f>'ALL ML SYSTEMS'!K766</f>
        <v>0</v>
      </c>
      <c r="L780" s="344">
        <f>'ALL ML SYSTEMS'!L766</f>
        <v>0</v>
      </c>
      <c r="M780" s="344">
        <f>'ALL ML SYSTEMS'!M766</f>
        <v>0</v>
      </c>
      <c r="N780" s="344">
        <f>'ALL ML SYSTEMS'!N766</f>
        <v>0</v>
      </c>
      <c r="O780" s="344">
        <f>'ALL ML SYSTEMS'!O766</f>
        <v>0</v>
      </c>
      <c r="P780" s="344">
        <f>'ALL ML SYSTEMS'!P766</f>
        <v>0</v>
      </c>
      <c r="Q780" s="344">
        <f>'ALL ML SYSTEMS'!Q766</f>
        <v>0</v>
      </c>
      <c r="R780" s="344">
        <f>'ALL ML SYSTEMS'!R766</f>
        <v>0</v>
      </c>
      <c r="S780" s="344">
        <f>'ALL ML SYSTEMS'!S766</f>
        <v>0</v>
      </c>
      <c r="T780" s="344">
        <f>'ALL ML SYSTEMS'!T766</f>
        <v>0</v>
      </c>
      <c r="U780" s="344">
        <f>'ALL ML SYSTEMS'!U766</f>
        <v>0</v>
      </c>
      <c r="V780" s="344">
        <f>'ALL ML SYSTEMS'!V766</f>
        <v>0</v>
      </c>
      <c r="W780" s="344">
        <f>'ALL ML SYSTEMS'!W766</f>
        <v>0</v>
      </c>
      <c r="X780" s="344">
        <f>'ALL ML SYSTEMS'!X766</f>
        <v>0</v>
      </c>
      <c r="Y780" s="344">
        <f>'ALL ML SYSTEMS'!Y766</f>
        <v>0</v>
      </c>
      <c r="Z780" s="344">
        <f>'ALL ML SYSTEMS'!Z766</f>
        <v>0</v>
      </c>
      <c r="AA780" s="344">
        <f>'ALL ML SYSTEMS'!AA766</f>
        <v>0</v>
      </c>
      <c r="AB780" s="344"/>
      <c r="AC780" s="344">
        <f>'ALL ML SYSTEMS'!AC766</f>
        <v>0</v>
      </c>
      <c r="AD780" s="344">
        <f>'ALL ML SYSTEMS'!AD766</f>
        <v>0</v>
      </c>
    </row>
    <row r="781" hidden="1" customHeight="1" spans="1:30">
      <c r="A781" s="344">
        <f>'ALL ML SYSTEMS'!A767</f>
        <v>0</v>
      </c>
      <c r="B781" s="344">
        <f>'ALL ML SYSTEMS'!B767</f>
        <v>0</v>
      </c>
      <c r="C781" s="344">
        <f>'ALL ML SYSTEMS'!C767</f>
        <v>0</v>
      </c>
      <c r="D781" s="344">
        <f>'ALL ML SYSTEMS'!D767</f>
        <v>0</v>
      </c>
      <c r="E781" s="344">
        <f>'ALL ML SYSTEMS'!E767</f>
        <v>0</v>
      </c>
      <c r="F781" s="344">
        <f>'ALL ML SYSTEMS'!F767</f>
        <v>0</v>
      </c>
      <c r="G781" s="344">
        <f>'ALL ML SYSTEMS'!G767</f>
        <v>0</v>
      </c>
      <c r="H781" s="344">
        <f>'ALL ML SYSTEMS'!H767</f>
        <v>0</v>
      </c>
      <c r="I781" s="344">
        <f>'ALL ML SYSTEMS'!I767</f>
        <v>0</v>
      </c>
      <c r="J781" s="344">
        <f>'ALL ML SYSTEMS'!J767</f>
        <v>0</v>
      </c>
      <c r="K781" s="344">
        <f>'ALL ML SYSTEMS'!K767</f>
        <v>0</v>
      </c>
      <c r="L781" s="344">
        <f>'ALL ML SYSTEMS'!L767</f>
        <v>0</v>
      </c>
      <c r="M781" s="344">
        <f>'ALL ML SYSTEMS'!M767</f>
        <v>0</v>
      </c>
      <c r="N781" s="344">
        <f>'ALL ML SYSTEMS'!N767</f>
        <v>0</v>
      </c>
      <c r="O781" s="344">
        <f>'ALL ML SYSTEMS'!O767</f>
        <v>0</v>
      </c>
      <c r="P781" s="344">
        <f>'ALL ML SYSTEMS'!P767</f>
        <v>0</v>
      </c>
      <c r="Q781" s="344">
        <f>'ALL ML SYSTEMS'!Q767</f>
        <v>0</v>
      </c>
      <c r="R781" s="344">
        <f>'ALL ML SYSTEMS'!R767</f>
        <v>0</v>
      </c>
      <c r="S781" s="344">
        <f>'ALL ML SYSTEMS'!S767</f>
        <v>0</v>
      </c>
      <c r="T781" s="344">
        <f>'ALL ML SYSTEMS'!T767</f>
        <v>0</v>
      </c>
      <c r="U781" s="344">
        <f>'ALL ML SYSTEMS'!U767</f>
        <v>0</v>
      </c>
      <c r="V781" s="344">
        <f>'ALL ML SYSTEMS'!V767</f>
        <v>0</v>
      </c>
      <c r="W781" s="344">
        <f>'ALL ML SYSTEMS'!W767</f>
        <v>0</v>
      </c>
      <c r="X781" s="344">
        <f>'ALL ML SYSTEMS'!X767</f>
        <v>0</v>
      </c>
      <c r="Y781" s="344">
        <f>'ALL ML SYSTEMS'!Y767</f>
        <v>0</v>
      </c>
      <c r="Z781" s="344">
        <f>'ALL ML SYSTEMS'!Z767</f>
        <v>0</v>
      </c>
      <c r="AA781" s="344">
        <f>'ALL ML SYSTEMS'!AA767</f>
        <v>0</v>
      </c>
      <c r="AB781" s="344"/>
      <c r="AC781" s="344">
        <f>'ALL ML SYSTEMS'!AC767</f>
        <v>0</v>
      </c>
      <c r="AD781" s="344">
        <f>'ALL ML SYSTEMS'!AD767</f>
        <v>0</v>
      </c>
    </row>
    <row r="782" hidden="1" customHeight="1" spans="1:30">
      <c r="A782" s="344">
        <f>'ALL ML SYSTEMS'!A768</f>
        <v>0</v>
      </c>
      <c r="B782" s="344">
        <f>'ALL ML SYSTEMS'!B768</f>
        <v>0</v>
      </c>
      <c r="C782" s="344">
        <f>'ALL ML SYSTEMS'!C768</f>
        <v>0</v>
      </c>
      <c r="D782" s="344">
        <f>'ALL ML SYSTEMS'!D768</f>
        <v>0</v>
      </c>
      <c r="E782" s="344">
        <f>'ALL ML SYSTEMS'!E768</f>
        <v>0</v>
      </c>
      <c r="F782" s="344">
        <f>'ALL ML SYSTEMS'!F768</f>
        <v>0</v>
      </c>
      <c r="G782" s="344">
        <f>'ALL ML SYSTEMS'!G768</f>
        <v>0</v>
      </c>
      <c r="H782" s="344">
        <f>'ALL ML SYSTEMS'!H768</f>
        <v>0</v>
      </c>
      <c r="I782" s="344">
        <f>'ALL ML SYSTEMS'!I768</f>
        <v>0</v>
      </c>
      <c r="J782" s="344">
        <f>'ALL ML SYSTEMS'!J768</f>
        <v>0</v>
      </c>
      <c r="K782" s="344">
        <f>'ALL ML SYSTEMS'!K768</f>
        <v>0</v>
      </c>
      <c r="L782" s="344">
        <f>'ALL ML SYSTEMS'!L768</f>
        <v>0</v>
      </c>
      <c r="M782" s="344">
        <f>'ALL ML SYSTEMS'!M768</f>
        <v>0</v>
      </c>
      <c r="N782" s="344">
        <f>'ALL ML SYSTEMS'!N768</f>
        <v>0</v>
      </c>
      <c r="O782" s="344">
        <f>'ALL ML SYSTEMS'!O768</f>
        <v>0</v>
      </c>
      <c r="P782" s="344">
        <f>'ALL ML SYSTEMS'!P768</f>
        <v>0</v>
      </c>
      <c r="Q782" s="344">
        <f>'ALL ML SYSTEMS'!Q768</f>
        <v>0</v>
      </c>
      <c r="R782" s="344">
        <f>'ALL ML SYSTEMS'!R768</f>
        <v>0</v>
      </c>
      <c r="S782" s="344">
        <f>'ALL ML SYSTEMS'!S768</f>
        <v>0</v>
      </c>
      <c r="T782" s="344">
        <f>'ALL ML SYSTEMS'!T768</f>
        <v>0</v>
      </c>
      <c r="U782" s="344">
        <f>'ALL ML SYSTEMS'!U768</f>
        <v>0</v>
      </c>
      <c r="V782" s="344">
        <f>'ALL ML SYSTEMS'!V768</f>
        <v>0</v>
      </c>
      <c r="W782" s="344">
        <f>'ALL ML SYSTEMS'!W768</f>
        <v>0</v>
      </c>
      <c r="X782" s="344">
        <f>'ALL ML SYSTEMS'!X768</f>
        <v>0</v>
      </c>
      <c r="Y782" s="344">
        <f>'ALL ML SYSTEMS'!Y768</f>
        <v>0</v>
      </c>
      <c r="Z782" s="344">
        <f>'ALL ML SYSTEMS'!Z768</f>
        <v>0</v>
      </c>
      <c r="AA782" s="344">
        <f>'ALL ML SYSTEMS'!AA768</f>
        <v>0</v>
      </c>
      <c r="AB782" s="344"/>
      <c r="AC782" s="344">
        <f>'ALL ML SYSTEMS'!AC768</f>
        <v>0</v>
      </c>
      <c r="AD782" s="344">
        <f>'ALL ML SYSTEMS'!AD768</f>
        <v>0</v>
      </c>
    </row>
    <row r="783" hidden="1" customHeight="1" spans="1:30">
      <c r="A783" s="344">
        <f>'ALL ML SYSTEMS'!A769</f>
        <v>0</v>
      </c>
      <c r="B783" s="344">
        <f>'ALL ML SYSTEMS'!B769</f>
        <v>0</v>
      </c>
      <c r="C783" s="344">
        <f>'ALL ML SYSTEMS'!C769</f>
        <v>0</v>
      </c>
      <c r="D783" s="344">
        <f>'ALL ML SYSTEMS'!D769</f>
        <v>0</v>
      </c>
      <c r="E783" s="344">
        <f>'ALL ML SYSTEMS'!E769</f>
        <v>0</v>
      </c>
      <c r="F783" s="344">
        <f>'ALL ML SYSTEMS'!F769</f>
        <v>0</v>
      </c>
      <c r="G783" s="344">
        <f>'ALL ML SYSTEMS'!G769</f>
        <v>0</v>
      </c>
      <c r="H783" s="344">
        <f>'ALL ML SYSTEMS'!H769</f>
        <v>0</v>
      </c>
      <c r="I783" s="344">
        <f>'ALL ML SYSTEMS'!I769</f>
        <v>0</v>
      </c>
      <c r="J783" s="344">
        <f>'ALL ML SYSTEMS'!J769</f>
        <v>0</v>
      </c>
      <c r="K783" s="344">
        <f>'ALL ML SYSTEMS'!K769</f>
        <v>0</v>
      </c>
      <c r="L783" s="344">
        <f>'ALL ML SYSTEMS'!L769</f>
        <v>0</v>
      </c>
      <c r="M783" s="344">
        <f>'ALL ML SYSTEMS'!M769</f>
        <v>0</v>
      </c>
      <c r="N783" s="344">
        <f>'ALL ML SYSTEMS'!N769</f>
        <v>0</v>
      </c>
      <c r="O783" s="344">
        <f>'ALL ML SYSTEMS'!O769</f>
        <v>0</v>
      </c>
      <c r="P783" s="344">
        <f>'ALL ML SYSTEMS'!P769</f>
        <v>0</v>
      </c>
      <c r="Q783" s="344">
        <f>'ALL ML SYSTEMS'!Q769</f>
        <v>0</v>
      </c>
      <c r="R783" s="344">
        <f>'ALL ML SYSTEMS'!R769</f>
        <v>0</v>
      </c>
      <c r="S783" s="344">
        <f>'ALL ML SYSTEMS'!S769</f>
        <v>0</v>
      </c>
      <c r="T783" s="344">
        <f>'ALL ML SYSTEMS'!T769</f>
        <v>0</v>
      </c>
      <c r="U783" s="344">
        <f>'ALL ML SYSTEMS'!U769</f>
        <v>0</v>
      </c>
      <c r="V783" s="344">
        <f>'ALL ML SYSTEMS'!V769</f>
        <v>0</v>
      </c>
      <c r="W783" s="344">
        <f>'ALL ML SYSTEMS'!W769</f>
        <v>0</v>
      </c>
      <c r="X783" s="344">
        <f>'ALL ML SYSTEMS'!X769</f>
        <v>0</v>
      </c>
      <c r="Y783" s="344">
        <f>'ALL ML SYSTEMS'!Y769</f>
        <v>0</v>
      </c>
      <c r="Z783" s="344">
        <f>'ALL ML SYSTEMS'!Z769</f>
        <v>0</v>
      </c>
      <c r="AA783" s="344">
        <f>'ALL ML SYSTEMS'!AA769</f>
        <v>0</v>
      </c>
      <c r="AB783" s="344"/>
      <c r="AC783" s="344">
        <f>'ALL ML SYSTEMS'!AC769</f>
        <v>0</v>
      </c>
      <c r="AD783" s="344">
        <f>'ALL ML SYSTEMS'!AD769</f>
        <v>0</v>
      </c>
    </row>
    <row r="784" hidden="1" customHeight="1" spans="1:30">
      <c r="A784" s="344">
        <f>'ALL ML SYSTEMS'!A770</f>
        <v>0</v>
      </c>
      <c r="B784" s="344">
        <f>'ALL ML SYSTEMS'!B770</f>
        <v>0</v>
      </c>
      <c r="C784" s="344">
        <f>'ALL ML SYSTEMS'!C770</f>
        <v>0</v>
      </c>
      <c r="D784" s="344">
        <f>'ALL ML SYSTEMS'!D770</f>
        <v>0</v>
      </c>
      <c r="E784" s="344">
        <f>'ALL ML SYSTEMS'!E770</f>
        <v>0</v>
      </c>
      <c r="F784" s="344">
        <f>'ALL ML SYSTEMS'!F770</f>
        <v>0</v>
      </c>
      <c r="G784" s="344">
        <f>'ALL ML SYSTEMS'!G770</f>
        <v>0</v>
      </c>
      <c r="H784" s="344">
        <f>'ALL ML SYSTEMS'!H770</f>
        <v>0</v>
      </c>
      <c r="I784" s="344">
        <f>'ALL ML SYSTEMS'!I770</f>
        <v>0</v>
      </c>
      <c r="J784" s="344">
        <f>'ALL ML SYSTEMS'!J770</f>
        <v>0</v>
      </c>
      <c r="K784" s="344">
        <f>'ALL ML SYSTEMS'!K770</f>
        <v>0</v>
      </c>
      <c r="L784" s="344">
        <f>'ALL ML SYSTEMS'!L770</f>
        <v>0</v>
      </c>
      <c r="M784" s="344">
        <f>'ALL ML SYSTEMS'!M770</f>
        <v>0</v>
      </c>
      <c r="N784" s="344">
        <f>'ALL ML SYSTEMS'!N770</f>
        <v>0</v>
      </c>
      <c r="O784" s="344">
        <f>'ALL ML SYSTEMS'!O770</f>
        <v>0</v>
      </c>
      <c r="P784" s="344">
        <f>'ALL ML SYSTEMS'!P770</f>
        <v>0</v>
      </c>
      <c r="Q784" s="344">
        <f>'ALL ML SYSTEMS'!Q770</f>
        <v>0</v>
      </c>
      <c r="R784" s="344">
        <f>'ALL ML SYSTEMS'!R770</f>
        <v>0</v>
      </c>
      <c r="S784" s="344">
        <f>'ALL ML SYSTEMS'!S770</f>
        <v>0</v>
      </c>
      <c r="T784" s="344">
        <f>'ALL ML SYSTEMS'!T770</f>
        <v>0</v>
      </c>
      <c r="U784" s="344">
        <f>'ALL ML SYSTEMS'!U770</f>
        <v>0</v>
      </c>
      <c r="V784" s="344">
        <f>'ALL ML SYSTEMS'!V770</f>
        <v>0</v>
      </c>
      <c r="W784" s="344">
        <f>'ALL ML SYSTEMS'!W770</f>
        <v>0</v>
      </c>
      <c r="X784" s="344">
        <f>'ALL ML SYSTEMS'!X770</f>
        <v>0</v>
      </c>
      <c r="Y784" s="344">
        <f>'ALL ML SYSTEMS'!Y770</f>
        <v>0</v>
      </c>
      <c r="Z784" s="344">
        <f>'ALL ML SYSTEMS'!Z770</f>
        <v>0</v>
      </c>
      <c r="AA784" s="344">
        <f>'ALL ML SYSTEMS'!AA770</f>
        <v>0</v>
      </c>
      <c r="AB784" s="344"/>
      <c r="AC784" s="344">
        <f>'ALL ML SYSTEMS'!AC770</f>
        <v>0</v>
      </c>
      <c r="AD784" s="344">
        <f>'ALL ML SYSTEMS'!AD770</f>
        <v>0</v>
      </c>
    </row>
    <row r="785" hidden="1" customHeight="1" spans="1:30">
      <c r="A785" s="344">
        <f>'ALL ML SYSTEMS'!A771</f>
        <v>0</v>
      </c>
      <c r="B785" s="344">
        <f>'ALL ML SYSTEMS'!B771</f>
        <v>0</v>
      </c>
      <c r="C785" s="344">
        <f>'ALL ML SYSTEMS'!C771</f>
        <v>0</v>
      </c>
      <c r="D785" s="344">
        <f>'ALL ML SYSTEMS'!D771</f>
        <v>0</v>
      </c>
      <c r="E785" s="344">
        <f>'ALL ML SYSTEMS'!E771</f>
        <v>0</v>
      </c>
      <c r="F785" s="344">
        <f>'ALL ML SYSTEMS'!F771</f>
        <v>0</v>
      </c>
      <c r="G785" s="344">
        <f>'ALL ML SYSTEMS'!G771</f>
        <v>0</v>
      </c>
      <c r="H785" s="344">
        <f>'ALL ML SYSTEMS'!H771</f>
        <v>0</v>
      </c>
      <c r="I785" s="344">
        <f>'ALL ML SYSTEMS'!I771</f>
        <v>0</v>
      </c>
      <c r="J785" s="344">
        <f>'ALL ML SYSTEMS'!J771</f>
        <v>0</v>
      </c>
      <c r="K785" s="344">
        <f>'ALL ML SYSTEMS'!K771</f>
        <v>0</v>
      </c>
      <c r="L785" s="344">
        <f>'ALL ML SYSTEMS'!L771</f>
        <v>0</v>
      </c>
      <c r="M785" s="344">
        <f>'ALL ML SYSTEMS'!M771</f>
        <v>0</v>
      </c>
      <c r="N785" s="344">
        <f>'ALL ML SYSTEMS'!N771</f>
        <v>0</v>
      </c>
      <c r="O785" s="344">
        <f>'ALL ML SYSTEMS'!O771</f>
        <v>0</v>
      </c>
      <c r="P785" s="344">
        <f>'ALL ML SYSTEMS'!P771</f>
        <v>0</v>
      </c>
      <c r="Q785" s="344">
        <f>'ALL ML SYSTEMS'!Q771</f>
        <v>0</v>
      </c>
      <c r="R785" s="344">
        <f>'ALL ML SYSTEMS'!R771</f>
        <v>0</v>
      </c>
      <c r="S785" s="344">
        <f>'ALL ML SYSTEMS'!S771</f>
        <v>0</v>
      </c>
      <c r="T785" s="344">
        <f>'ALL ML SYSTEMS'!T771</f>
        <v>0</v>
      </c>
      <c r="U785" s="344">
        <f>'ALL ML SYSTEMS'!U771</f>
        <v>0</v>
      </c>
      <c r="V785" s="344">
        <f>'ALL ML SYSTEMS'!V771</f>
        <v>0</v>
      </c>
      <c r="W785" s="344">
        <f>'ALL ML SYSTEMS'!W771</f>
        <v>0</v>
      </c>
      <c r="X785" s="344">
        <f>'ALL ML SYSTEMS'!X771</f>
        <v>0</v>
      </c>
      <c r="Y785" s="344">
        <f>'ALL ML SYSTEMS'!Y771</f>
        <v>0</v>
      </c>
      <c r="Z785" s="344">
        <f>'ALL ML SYSTEMS'!Z771</f>
        <v>0</v>
      </c>
      <c r="AA785" s="344">
        <f>'ALL ML SYSTEMS'!AA771</f>
        <v>0</v>
      </c>
      <c r="AB785" s="344"/>
      <c r="AC785" s="344">
        <f>'ALL ML SYSTEMS'!AC771</f>
        <v>0</v>
      </c>
      <c r="AD785" s="344">
        <f>'ALL ML SYSTEMS'!AD771</f>
        <v>0</v>
      </c>
    </row>
    <row r="786" hidden="1" customHeight="1" spans="1:30">
      <c r="A786" s="344">
        <f>'ALL ML SYSTEMS'!A772</f>
        <v>0</v>
      </c>
      <c r="B786" s="344">
        <f>'ALL ML SYSTEMS'!B772</f>
        <v>0</v>
      </c>
      <c r="C786" s="344">
        <f>'ALL ML SYSTEMS'!C772</f>
        <v>0</v>
      </c>
      <c r="D786" s="344">
        <f>'ALL ML SYSTEMS'!D772</f>
        <v>0</v>
      </c>
      <c r="E786" s="344">
        <f>'ALL ML SYSTEMS'!E772</f>
        <v>0</v>
      </c>
      <c r="F786" s="344">
        <f>'ALL ML SYSTEMS'!F772</f>
        <v>0</v>
      </c>
      <c r="G786" s="344">
        <f>'ALL ML SYSTEMS'!G772</f>
        <v>0</v>
      </c>
      <c r="H786" s="344">
        <f>'ALL ML SYSTEMS'!H772</f>
        <v>0</v>
      </c>
      <c r="I786" s="344">
        <f>'ALL ML SYSTEMS'!I772</f>
        <v>0</v>
      </c>
      <c r="J786" s="344">
        <f>'ALL ML SYSTEMS'!J772</f>
        <v>0</v>
      </c>
      <c r="K786" s="344">
        <f>'ALL ML SYSTEMS'!K772</f>
        <v>0</v>
      </c>
      <c r="L786" s="344">
        <f>'ALL ML SYSTEMS'!L772</f>
        <v>0</v>
      </c>
      <c r="M786" s="344">
        <f>'ALL ML SYSTEMS'!M772</f>
        <v>0</v>
      </c>
      <c r="N786" s="344">
        <f>'ALL ML SYSTEMS'!N772</f>
        <v>0</v>
      </c>
      <c r="O786" s="344">
        <f>'ALL ML SYSTEMS'!O772</f>
        <v>0</v>
      </c>
      <c r="P786" s="344">
        <f>'ALL ML SYSTEMS'!P772</f>
        <v>0</v>
      </c>
      <c r="Q786" s="344">
        <f>'ALL ML SYSTEMS'!Q772</f>
        <v>0</v>
      </c>
      <c r="R786" s="344">
        <f>'ALL ML SYSTEMS'!R772</f>
        <v>0</v>
      </c>
      <c r="S786" s="344">
        <f>'ALL ML SYSTEMS'!S772</f>
        <v>0</v>
      </c>
      <c r="T786" s="344">
        <f>'ALL ML SYSTEMS'!T772</f>
        <v>0</v>
      </c>
      <c r="U786" s="344">
        <f>'ALL ML SYSTEMS'!U772</f>
        <v>0</v>
      </c>
      <c r="V786" s="344">
        <f>'ALL ML SYSTEMS'!V772</f>
        <v>0</v>
      </c>
      <c r="W786" s="344">
        <f>'ALL ML SYSTEMS'!W772</f>
        <v>0</v>
      </c>
      <c r="X786" s="344">
        <f>'ALL ML SYSTEMS'!X772</f>
        <v>0</v>
      </c>
      <c r="Y786" s="344">
        <f>'ALL ML SYSTEMS'!Y772</f>
        <v>0</v>
      </c>
      <c r="Z786" s="344">
        <f>'ALL ML SYSTEMS'!Z772</f>
        <v>0</v>
      </c>
      <c r="AA786" s="344">
        <f>'ALL ML SYSTEMS'!AA772</f>
        <v>0</v>
      </c>
      <c r="AB786" s="344"/>
      <c r="AC786" s="344">
        <f>'ALL ML SYSTEMS'!AC772</f>
        <v>0</v>
      </c>
      <c r="AD786" s="344">
        <f>'ALL ML SYSTEMS'!AD772</f>
        <v>0</v>
      </c>
    </row>
    <row r="787" hidden="1" customHeight="1" spans="1:30">
      <c r="A787" s="344">
        <f>'ALL ML SYSTEMS'!A773</f>
        <v>0</v>
      </c>
      <c r="B787" s="344">
        <f>'ALL ML SYSTEMS'!B773</f>
        <v>0</v>
      </c>
      <c r="C787" s="344">
        <f>'ALL ML SYSTEMS'!C773</f>
        <v>0</v>
      </c>
      <c r="D787" s="344">
        <f>'ALL ML SYSTEMS'!D773</f>
        <v>0</v>
      </c>
      <c r="E787" s="344">
        <f>'ALL ML SYSTEMS'!E773</f>
        <v>0</v>
      </c>
      <c r="F787" s="344">
        <f>'ALL ML SYSTEMS'!F773</f>
        <v>0</v>
      </c>
      <c r="G787" s="344">
        <f>'ALL ML SYSTEMS'!G773</f>
        <v>0</v>
      </c>
      <c r="H787" s="344">
        <f>'ALL ML SYSTEMS'!H773</f>
        <v>0</v>
      </c>
      <c r="I787" s="344">
        <f>'ALL ML SYSTEMS'!I773</f>
        <v>0</v>
      </c>
      <c r="J787" s="344">
        <f>'ALL ML SYSTEMS'!J773</f>
        <v>0</v>
      </c>
      <c r="K787" s="344">
        <f>'ALL ML SYSTEMS'!K773</f>
        <v>0</v>
      </c>
      <c r="L787" s="344">
        <f>'ALL ML SYSTEMS'!L773</f>
        <v>0</v>
      </c>
      <c r="M787" s="344">
        <f>'ALL ML SYSTEMS'!M773</f>
        <v>0</v>
      </c>
      <c r="N787" s="344">
        <f>'ALL ML SYSTEMS'!N773</f>
        <v>0</v>
      </c>
      <c r="O787" s="344">
        <f>'ALL ML SYSTEMS'!O773</f>
        <v>0</v>
      </c>
      <c r="P787" s="344">
        <f>'ALL ML SYSTEMS'!P773</f>
        <v>0</v>
      </c>
      <c r="Q787" s="344">
        <f>'ALL ML SYSTEMS'!Q773</f>
        <v>0</v>
      </c>
      <c r="R787" s="344">
        <f>'ALL ML SYSTEMS'!R773</f>
        <v>0</v>
      </c>
      <c r="S787" s="344">
        <f>'ALL ML SYSTEMS'!S773</f>
        <v>0</v>
      </c>
      <c r="T787" s="344">
        <f>'ALL ML SYSTEMS'!T773</f>
        <v>0</v>
      </c>
      <c r="U787" s="344">
        <f>'ALL ML SYSTEMS'!U773</f>
        <v>0</v>
      </c>
      <c r="V787" s="344">
        <f>'ALL ML SYSTEMS'!V773</f>
        <v>0</v>
      </c>
      <c r="W787" s="344">
        <f>'ALL ML SYSTEMS'!W773</f>
        <v>0</v>
      </c>
      <c r="X787" s="344">
        <f>'ALL ML SYSTEMS'!X773</f>
        <v>0</v>
      </c>
      <c r="Y787" s="344">
        <f>'ALL ML SYSTEMS'!Y773</f>
        <v>0</v>
      </c>
      <c r="Z787" s="344">
        <f>'ALL ML SYSTEMS'!Z773</f>
        <v>0</v>
      </c>
      <c r="AA787" s="344">
        <f>'ALL ML SYSTEMS'!AA773</f>
        <v>0</v>
      </c>
      <c r="AB787" s="344"/>
      <c r="AC787" s="344">
        <f>'ALL ML SYSTEMS'!AC773</f>
        <v>0</v>
      </c>
      <c r="AD787" s="344">
        <f>'ALL ML SYSTEMS'!AD773</f>
        <v>0</v>
      </c>
    </row>
    <row r="788" hidden="1" customHeight="1" spans="1:30">
      <c r="A788" s="344">
        <f>'ALL ML SYSTEMS'!A774</f>
        <v>0</v>
      </c>
      <c r="B788" s="344">
        <f>'ALL ML SYSTEMS'!B774</f>
        <v>0</v>
      </c>
      <c r="C788" s="344">
        <f>'ALL ML SYSTEMS'!C774</f>
        <v>0</v>
      </c>
      <c r="D788" s="344">
        <f>'ALL ML SYSTEMS'!D774</f>
        <v>0</v>
      </c>
      <c r="E788" s="344">
        <f>'ALL ML SYSTEMS'!E774</f>
        <v>0</v>
      </c>
      <c r="F788" s="344">
        <f>'ALL ML SYSTEMS'!F774</f>
        <v>0</v>
      </c>
      <c r="G788" s="344">
        <f>'ALL ML SYSTEMS'!G774</f>
        <v>0</v>
      </c>
      <c r="H788" s="344">
        <f>'ALL ML SYSTEMS'!H774</f>
        <v>0</v>
      </c>
      <c r="I788" s="344">
        <f>'ALL ML SYSTEMS'!I774</f>
        <v>0</v>
      </c>
      <c r="J788" s="344">
        <f>'ALL ML SYSTEMS'!J774</f>
        <v>0</v>
      </c>
      <c r="K788" s="344">
        <f>'ALL ML SYSTEMS'!K774</f>
        <v>0</v>
      </c>
      <c r="L788" s="344">
        <f>'ALL ML SYSTEMS'!L774</f>
        <v>0</v>
      </c>
      <c r="M788" s="344">
        <f>'ALL ML SYSTEMS'!M774</f>
        <v>0</v>
      </c>
      <c r="N788" s="344">
        <f>'ALL ML SYSTEMS'!N774</f>
        <v>0</v>
      </c>
      <c r="O788" s="344">
        <f>'ALL ML SYSTEMS'!O774</f>
        <v>0</v>
      </c>
      <c r="P788" s="344">
        <f>'ALL ML SYSTEMS'!P774</f>
        <v>0</v>
      </c>
      <c r="Q788" s="344">
        <f>'ALL ML SYSTEMS'!Q774</f>
        <v>0</v>
      </c>
      <c r="R788" s="344">
        <f>'ALL ML SYSTEMS'!R774</f>
        <v>0</v>
      </c>
      <c r="S788" s="344">
        <f>'ALL ML SYSTEMS'!S774</f>
        <v>0</v>
      </c>
      <c r="T788" s="344">
        <f>'ALL ML SYSTEMS'!T774</f>
        <v>0</v>
      </c>
      <c r="U788" s="344">
        <f>'ALL ML SYSTEMS'!U774</f>
        <v>0</v>
      </c>
      <c r="V788" s="344">
        <f>'ALL ML SYSTEMS'!V774</f>
        <v>0</v>
      </c>
      <c r="W788" s="344">
        <f>'ALL ML SYSTEMS'!W774</f>
        <v>0</v>
      </c>
      <c r="X788" s="344">
        <f>'ALL ML SYSTEMS'!X774</f>
        <v>0</v>
      </c>
      <c r="Y788" s="344">
        <f>'ALL ML SYSTEMS'!Y774</f>
        <v>0</v>
      </c>
      <c r="Z788" s="344">
        <f>'ALL ML SYSTEMS'!Z774</f>
        <v>0</v>
      </c>
      <c r="AA788" s="344">
        <f>'ALL ML SYSTEMS'!AA774</f>
        <v>0</v>
      </c>
      <c r="AB788" s="344"/>
      <c r="AC788" s="344">
        <f>'ALL ML SYSTEMS'!AC774</f>
        <v>0</v>
      </c>
      <c r="AD788" s="344">
        <f>'ALL ML SYSTEMS'!AD774</f>
        <v>0</v>
      </c>
    </row>
    <row r="789" hidden="1" customHeight="1" spans="1:30">
      <c r="A789" s="344">
        <f>'ALL ML SYSTEMS'!A775</f>
        <v>0</v>
      </c>
      <c r="B789" s="344">
        <f>'ALL ML SYSTEMS'!B775</f>
        <v>0</v>
      </c>
      <c r="C789" s="344">
        <f>'ALL ML SYSTEMS'!C775</f>
        <v>0</v>
      </c>
      <c r="D789" s="344">
        <f>'ALL ML SYSTEMS'!D775</f>
        <v>0</v>
      </c>
      <c r="E789" s="344">
        <f>'ALL ML SYSTEMS'!E775</f>
        <v>0</v>
      </c>
      <c r="F789" s="344">
        <f>'ALL ML SYSTEMS'!F775</f>
        <v>0</v>
      </c>
      <c r="G789" s="344">
        <f>'ALL ML SYSTEMS'!G775</f>
        <v>0</v>
      </c>
      <c r="H789" s="344">
        <f>'ALL ML SYSTEMS'!H775</f>
        <v>0</v>
      </c>
      <c r="I789" s="344">
        <f>'ALL ML SYSTEMS'!I775</f>
        <v>0</v>
      </c>
      <c r="J789" s="344">
        <f>'ALL ML SYSTEMS'!J775</f>
        <v>0</v>
      </c>
      <c r="K789" s="344">
        <f>'ALL ML SYSTEMS'!K775</f>
        <v>0</v>
      </c>
      <c r="L789" s="344">
        <f>'ALL ML SYSTEMS'!L775</f>
        <v>0</v>
      </c>
      <c r="M789" s="344">
        <f>'ALL ML SYSTEMS'!M775</f>
        <v>0</v>
      </c>
      <c r="N789" s="344">
        <f>'ALL ML SYSTEMS'!N775</f>
        <v>0</v>
      </c>
      <c r="O789" s="344">
        <f>'ALL ML SYSTEMS'!O775</f>
        <v>0</v>
      </c>
      <c r="P789" s="344">
        <f>'ALL ML SYSTEMS'!P775</f>
        <v>0</v>
      </c>
      <c r="Q789" s="344">
        <f>'ALL ML SYSTEMS'!Q775</f>
        <v>0</v>
      </c>
      <c r="R789" s="344">
        <f>'ALL ML SYSTEMS'!R775</f>
        <v>0</v>
      </c>
      <c r="S789" s="344">
        <f>'ALL ML SYSTEMS'!S775</f>
        <v>0</v>
      </c>
      <c r="T789" s="344">
        <f>'ALL ML SYSTEMS'!T775</f>
        <v>0</v>
      </c>
      <c r="U789" s="344">
        <f>'ALL ML SYSTEMS'!U775</f>
        <v>0</v>
      </c>
      <c r="V789" s="344">
        <f>'ALL ML SYSTEMS'!V775</f>
        <v>0</v>
      </c>
      <c r="W789" s="344">
        <f>'ALL ML SYSTEMS'!W775</f>
        <v>0</v>
      </c>
      <c r="X789" s="344">
        <f>'ALL ML SYSTEMS'!X775</f>
        <v>0</v>
      </c>
      <c r="Y789" s="344">
        <f>'ALL ML SYSTEMS'!Y775</f>
        <v>0</v>
      </c>
      <c r="Z789" s="344">
        <f>'ALL ML SYSTEMS'!Z775</f>
        <v>0</v>
      </c>
      <c r="AA789" s="344">
        <f>'ALL ML SYSTEMS'!AA775</f>
        <v>0</v>
      </c>
      <c r="AB789" s="344"/>
      <c r="AC789" s="344">
        <f>'ALL ML SYSTEMS'!AC775</f>
        <v>0</v>
      </c>
      <c r="AD789" s="344">
        <f>'ALL ML SYSTEMS'!AD775</f>
        <v>0</v>
      </c>
    </row>
    <row r="790" hidden="1" customHeight="1" spans="1:30">
      <c r="A790" s="344">
        <f>'ALL ML SYSTEMS'!A776</f>
        <v>0</v>
      </c>
      <c r="B790" s="344">
        <f>'ALL ML SYSTEMS'!B776</f>
        <v>0</v>
      </c>
      <c r="C790" s="344">
        <f>'ALL ML SYSTEMS'!C776</f>
        <v>0</v>
      </c>
      <c r="D790" s="344">
        <f>'ALL ML SYSTEMS'!D776</f>
        <v>0</v>
      </c>
      <c r="E790" s="344">
        <f>'ALL ML SYSTEMS'!E776</f>
        <v>0</v>
      </c>
      <c r="F790" s="344">
        <f>'ALL ML SYSTEMS'!F776</f>
        <v>0</v>
      </c>
      <c r="G790" s="344">
        <f>'ALL ML SYSTEMS'!G776</f>
        <v>0</v>
      </c>
      <c r="H790" s="344">
        <f>'ALL ML SYSTEMS'!H776</f>
        <v>0</v>
      </c>
      <c r="I790" s="344">
        <f>'ALL ML SYSTEMS'!I776</f>
        <v>0</v>
      </c>
      <c r="J790" s="344">
        <f>'ALL ML SYSTEMS'!J776</f>
        <v>0</v>
      </c>
      <c r="K790" s="344">
        <f>'ALL ML SYSTEMS'!K776</f>
        <v>0</v>
      </c>
      <c r="L790" s="344">
        <f>'ALL ML SYSTEMS'!L776</f>
        <v>0</v>
      </c>
      <c r="M790" s="344">
        <f>'ALL ML SYSTEMS'!M776</f>
        <v>0</v>
      </c>
      <c r="N790" s="344">
        <f>'ALL ML SYSTEMS'!N776</f>
        <v>0</v>
      </c>
      <c r="O790" s="344">
        <f>'ALL ML SYSTEMS'!O776</f>
        <v>0</v>
      </c>
      <c r="P790" s="344">
        <f>'ALL ML SYSTEMS'!P776</f>
        <v>0</v>
      </c>
      <c r="Q790" s="344">
        <f>'ALL ML SYSTEMS'!Q776</f>
        <v>0</v>
      </c>
      <c r="R790" s="344">
        <f>'ALL ML SYSTEMS'!R776</f>
        <v>0</v>
      </c>
      <c r="S790" s="344">
        <f>'ALL ML SYSTEMS'!S776</f>
        <v>0</v>
      </c>
      <c r="T790" s="344">
        <f>'ALL ML SYSTEMS'!T776</f>
        <v>0</v>
      </c>
      <c r="U790" s="344">
        <f>'ALL ML SYSTEMS'!U776</f>
        <v>0</v>
      </c>
      <c r="V790" s="344">
        <f>'ALL ML SYSTEMS'!V776</f>
        <v>0</v>
      </c>
      <c r="W790" s="344">
        <f>'ALL ML SYSTEMS'!W776</f>
        <v>0</v>
      </c>
      <c r="X790" s="344">
        <f>'ALL ML SYSTEMS'!X776</f>
        <v>0</v>
      </c>
      <c r="Y790" s="344">
        <f>'ALL ML SYSTEMS'!Y776</f>
        <v>0</v>
      </c>
      <c r="Z790" s="344">
        <f>'ALL ML SYSTEMS'!Z776</f>
        <v>0</v>
      </c>
      <c r="AA790" s="344">
        <f>'ALL ML SYSTEMS'!AA776</f>
        <v>0</v>
      </c>
      <c r="AB790" s="344"/>
      <c r="AC790" s="344">
        <f>'ALL ML SYSTEMS'!AC776</f>
        <v>0</v>
      </c>
      <c r="AD790" s="344">
        <f>'ALL ML SYSTEMS'!AD776</f>
        <v>0</v>
      </c>
    </row>
    <row r="791" hidden="1" customHeight="1" spans="1:30">
      <c r="A791" s="344">
        <f>'ALL ML SYSTEMS'!A777</f>
        <v>0</v>
      </c>
      <c r="B791" s="344">
        <f>'ALL ML SYSTEMS'!B777</f>
        <v>0</v>
      </c>
      <c r="C791" s="344">
        <f>'ALL ML SYSTEMS'!C777</f>
        <v>0</v>
      </c>
      <c r="D791" s="344">
        <f>'ALL ML SYSTEMS'!D777</f>
        <v>0</v>
      </c>
      <c r="E791" s="344">
        <f>'ALL ML SYSTEMS'!E777</f>
        <v>0</v>
      </c>
      <c r="F791" s="344">
        <f>'ALL ML SYSTEMS'!F777</f>
        <v>0</v>
      </c>
      <c r="G791" s="344">
        <f>'ALL ML SYSTEMS'!G777</f>
        <v>0</v>
      </c>
      <c r="H791" s="344">
        <f>'ALL ML SYSTEMS'!H777</f>
        <v>0</v>
      </c>
      <c r="I791" s="344">
        <f>'ALL ML SYSTEMS'!I777</f>
        <v>0</v>
      </c>
      <c r="J791" s="344">
        <f>'ALL ML SYSTEMS'!J777</f>
        <v>0</v>
      </c>
      <c r="K791" s="344">
        <f>'ALL ML SYSTEMS'!K777</f>
        <v>0</v>
      </c>
      <c r="L791" s="344">
        <f>'ALL ML SYSTEMS'!L777</f>
        <v>0</v>
      </c>
      <c r="M791" s="344">
        <f>'ALL ML SYSTEMS'!M777</f>
        <v>0</v>
      </c>
      <c r="N791" s="344">
        <f>'ALL ML SYSTEMS'!N777</f>
        <v>0</v>
      </c>
      <c r="O791" s="344">
        <f>'ALL ML SYSTEMS'!O777</f>
        <v>0</v>
      </c>
      <c r="P791" s="344">
        <f>'ALL ML SYSTEMS'!P777</f>
        <v>0</v>
      </c>
      <c r="Q791" s="344">
        <f>'ALL ML SYSTEMS'!Q777</f>
        <v>0</v>
      </c>
      <c r="R791" s="344">
        <f>'ALL ML SYSTEMS'!R777</f>
        <v>0</v>
      </c>
      <c r="S791" s="344">
        <f>'ALL ML SYSTEMS'!S777</f>
        <v>0</v>
      </c>
      <c r="T791" s="344">
        <f>'ALL ML SYSTEMS'!T777</f>
        <v>0</v>
      </c>
      <c r="U791" s="344">
        <f>'ALL ML SYSTEMS'!U777</f>
        <v>0</v>
      </c>
      <c r="V791" s="344">
        <f>'ALL ML SYSTEMS'!V777</f>
        <v>0</v>
      </c>
      <c r="W791" s="344">
        <f>'ALL ML SYSTEMS'!W777</f>
        <v>0</v>
      </c>
      <c r="X791" s="344">
        <f>'ALL ML SYSTEMS'!X777</f>
        <v>0</v>
      </c>
      <c r="Y791" s="344">
        <f>'ALL ML SYSTEMS'!Y777</f>
        <v>0</v>
      </c>
      <c r="Z791" s="344">
        <f>'ALL ML SYSTEMS'!Z777</f>
        <v>0</v>
      </c>
      <c r="AA791" s="344">
        <f>'ALL ML SYSTEMS'!AA777</f>
        <v>0</v>
      </c>
      <c r="AB791" s="344"/>
      <c r="AC791" s="344">
        <f>'ALL ML SYSTEMS'!AC777</f>
        <v>0</v>
      </c>
      <c r="AD791" s="344">
        <f>'ALL ML SYSTEMS'!AD777</f>
        <v>0</v>
      </c>
    </row>
    <row r="792" hidden="1" customHeight="1" spans="1:30">
      <c r="A792" s="344">
        <f>'ALL ML SYSTEMS'!A778</f>
        <v>0</v>
      </c>
      <c r="B792" s="344">
        <f>'ALL ML SYSTEMS'!B778</f>
        <v>0</v>
      </c>
      <c r="C792" s="344">
        <f>'ALL ML SYSTEMS'!C778</f>
        <v>0</v>
      </c>
      <c r="D792" s="344">
        <f>'ALL ML SYSTEMS'!D778</f>
        <v>0</v>
      </c>
      <c r="E792" s="344">
        <f>'ALL ML SYSTEMS'!E778</f>
        <v>0</v>
      </c>
      <c r="F792" s="344">
        <f>'ALL ML SYSTEMS'!F778</f>
        <v>0</v>
      </c>
      <c r="G792" s="344">
        <f>'ALL ML SYSTEMS'!G778</f>
        <v>0</v>
      </c>
      <c r="H792" s="344">
        <f>'ALL ML SYSTEMS'!H778</f>
        <v>0</v>
      </c>
      <c r="I792" s="344">
        <f>'ALL ML SYSTEMS'!I778</f>
        <v>0</v>
      </c>
      <c r="J792" s="344">
        <f>'ALL ML SYSTEMS'!J778</f>
        <v>0</v>
      </c>
      <c r="K792" s="344">
        <f>'ALL ML SYSTEMS'!K778</f>
        <v>0</v>
      </c>
      <c r="L792" s="344">
        <f>'ALL ML SYSTEMS'!L778</f>
        <v>0</v>
      </c>
      <c r="M792" s="344">
        <f>'ALL ML SYSTEMS'!M778</f>
        <v>0</v>
      </c>
      <c r="N792" s="344">
        <f>'ALL ML SYSTEMS'!N778</f>
        <v>0</v>
      </c>
      <c r="O792" s="344">
        <f>'ALL ML SYSTEMS'!O778</f>
        <v>0</v>
      </c>
      <c r="P792" s="344">
        <f>'ALL ML SYSTEMS'!P778</f>
        <v>0</v>
      </c>
      <c r="Q792" s="344">
        <f>'ALL ML SYSTEMS'!Q778</f>
        <v>0</v>
      </c>
      <c r="R792" s="344">
        <f>'ALL ML SYSTEMS'!R778</f>
        <v>0</v>
      </c>
      <c r="S792" s="344">
        <f>'ALL ML SYSTEMS'!S778</f>
        <v>0</v>
      </c>
      <c r="T792" s="344">
        <f>'ALL ML SYSTEMS'!T778</f>
        <v>0</v>
      </c>
      <c r="U792" s="344">
        <f>'ALL ML SYSTEMS'!U778</f>
        <v>0</v>
      </c>
      <c r="V792" s="344">
        <f>'ALL ML SYSTEMS'!V778</f>
        <v>0</v>
      </c>
      <c r="W792" s="344">
        <f>'ALL ML SYSTEMS'!W778</f>
        <v>0</v>
      </c>
      <c r="X792" s="344">
        <f>'ALL ML SYSTEMS'!X778</f>
        <v>0</v>
      </c>
      <c r="Y792" s="344">
        <f>'ALL ML SYSTEMS'!Y778</f>
        <v>0</v>
      </c>
      <c r="Z792" s="344">
        <f>'ALL ML SYSTEMS'!Z778</f>
        <v>0</v>
      </c>
      <c r="AA792" s="344">
        <f>'ALL ML SYSTEMS'!AA778</f>
        <v>0</v>
      </c>
      <c r="AB792" s="344"/>
      <c r="AC792" s="344">
        <f>'ALL ML SYSTEMS'!AC778</f>
        <v>0</v>
      </c>
      <c r="AD792" s="344">
        <f>'ALL ML SYSTEMS'!AD778</f>
        <v>0</v>
      </c>
    </row>
    <row r="793" hidden="1" customHeight="1" spans="1:30">
      <c r="A793" s="344">
        <f>'ALL ML SYSTEMS'!A779</f>
        <v>0</v>
      </c>
      <c r="B793" s="344">
        <f>'ALL ML SYSTEMS'!B779</f>
        <v>0</v>
      </c>
      <c r="C793" s="344">
        <f>'ALL ML SYSTEMS'!C779</f>
        <v>0</v>
      </c>
      <c r="D793" s="344">
        <f>'ALL ML SYSTEMS'!D779</f>
        <v>0</v>
      </c>
      <c r="E793" s="344">
        <f>'ALL ML SYSTEMS'!E779</f>
        <v>0</v>
      </c>
      <c r="F793" s="344">
        <f>'ALL ML SYSTEMS'!F779</f>
        <v>0</v>
      </c>
      <c r="G793" s="344">
        <f>'ALL ML SYSTEMS'!G779</f>
        <v>0</v>
      </c>
      <c r="H793" s="344">
        <f>'ALL ML SYSTEMS'!H779</f>
        <v>0</v>
      </c>
      <c r="I793" s="344">
        <f>'ALL ML SYSTEMS'!I779</f>
        <v>0</v>
      </c>
      <c r="J793" s="344">
        <f>'ALL ML SYSTEMS'!J779</f>
        <v>0</v>
      </c>
      <c r="K793" s="344">
        <f>'ALL ML SYSTEMS'!K779</f>
        <v>0</v>
      </c>
      <c r="L793" s="344">
        <f>'ALL ML SYSTEMS'!L779</f>
        <v>0</v>
      </c>
      <c r="M793" s="344">
        <f>'ALL ML SYSTEMS'!M779</f>
        <v>0</v>
      </c>
      <c r="N793" s="344">
        <f>'ALL ML SYSTEMS'!N779</f>
        <v>0</v>
      </c>
      <c r="O793" s="344">
        <f>'ALL ML SYSTEMS'!O779</f>
        <v>0</v>
      </c>
      <c r="P793" s="344">
        <f>'ALL ML SYSTEMS'!P779</f>
        <v>0</v>
      </c>
      <c r="Q793" s="344">
        <f>'ALL ML SYSTEMS'!Q779</f>
        <v>0</v>
      </c>
      <c r="R793" s="344">
        <f>'ALL ML SYSTEMS'!R779</f>
        <v>0</v>
      </c>
      <c r="S793" s="344">
        <f>'ALL ML SYSTEMS'!S779</f>
        <v>0</v>
      </c>
      <c r="T793" s="344">
        <f>'ALL ML SYSTEMS'!T779</f>
        <v>0</v>
      </c>
      <c r="U793" s="344">
        <f>'ALL ML SYSTEMS'!U779</f>
        <v>0</v>
      </c>
      <c r="V793" s="344">
        <f>'ALL ML SYSTEMS'!V779</f>
        <v>0</v>
      </c>
      <c r="W793" s="344">
        <f>'ALL ML SYSTEMS'!W779</f>
        <v>0</v>
      </c>
      <c r="X793" s="344">
        <f>'ALL ML SYSTEMS'!X779</f>
        <v>0</v>
      </c>
      <c r="Y793" s="344">
        <f>'ALL ML SYSTEMS'!Y779</f>
        <v>0</v>
      </c>
      <c r="Z793" s="344">
        <f>'ALL ML SYSTEMS'!Z779</f>
        <v>0</v>
      </c>
      <c r="AA793" s="344">
        <f>'ALL ML SYSTEMS'!AA779</f>
        <v>0</v>
      </c>
      <c r="AB793" s="344"/>
      <c r="AC793" s="344">
        <f>'ALL ML SYSTEMS'!AC779</f>
        <v>0</v>
      </c>
      <c r="AD793" s="344">
        <f>'ALL ML SYSTEMS'!AD779</f>
        <v>0</v>
      </c>
    </row>
    <row r="794" hidden="1" customHeight="1" spans="1:30">
      <c r="A794" s="344">
        <f>'ALL ML SYSTEMS'!A780</f>
        <v>0</v>
      </c>
      <c r="B794" s="344">
        <f>'ALL ML SYSTEMS'!B780</f>
        <v>0</v>
      </c>
      <c r="C794" s="344">
        <f>'ALL ML SYSTEMS'!C780</f>
        <v>0</v>
      </c>
      <c r="D794" s="344">
        <f>'ALL ML SYSTEMS'!D780</f>
        <v>0</v>
      </c>
      <c r="E794" s="344">
        <f>'ALL ML SYSTEMS'!E780</f>
        <v>0</v>
      </c>
      <c r="F794" s="344">
        <f>'ALL ML SYSTEMS'!F780</f>
        <v>0</v>
      </c>
      <c r="G794" s="344">
        <f>'ALL ML SYSTEMS'!G780</f>
        <v>0</v>
      </c>
      <c r="H794" s="344">
        <f>'ALL ML SYSTEMS'!H780</f>
        <v>0</v>
      </c>
      <c r="I794" s="344">
        <f>'ALL ML SYSTEMS'!I780</f>
        <v>0</v>
      </c>
      <c r="J794" s="344">
        <f>'ALL ML SYSTEMS'!J780</f>
        <v>0</v>
      </c>
      <c r="K794" s="344">
        <f>'ALL ML SYSTEMS'!K780</f>
        <v>0</v>
      </c>
      <c r="L794" s="344">
        <f>'ALL ML SYSTEMS'!L780</f>
        <v>0</v>
      </c>
      <c r="M794" s="344">
        <f>'ALL ML SYSTEMS'!M780</f>
        <v>0</v>
      </c>
      <c r="N794" s="344">
        <f>'ALL ML SYSTEMS'!N780</f>
        <v>0</v>
      </c>
      <c r="O794" s="344">
        <f>'ALL ML SYSTEMS'!O780</f>
        <v>0</v>
      </c>
      <c r="P794" s="344">
        <f>'ALL ML SYSTEMS'!P780</f>
        <v>0</v>
      </c>
      <c r="Q794" s="344">
        <f>'ALL ML SYSTEMS'!Q780</f>
        <v>0</v>
      </c>
      <c r="R794" s="344">
        <f>'ALL ML SYSTEMS'!R780</f>
        <v>0</v>
      </c>
      <c r="S794" s="344">
        <f>'ALL ML SYSTEMS'!S780</f>
        <v>0</v>
      </c>
      <c r="T794" s="344">
        <f>'ALL ML SYSTEMS'!T780</f>
        <v>0</v>
      </c>
      <c r="U794" s="344">
        <f>'ALL ML SYSTEMS'!U780</f>
        <v>0</v>
      </c>
      <c r="V794" s="344">
        <f>'ALL ML SYSTEMS'!V780</f>
        <v>0</v>
      </c>
      <c r="W794" s="344">
        <f>'ALL ML SYSTEMS'!W780</f>
        <v>0</v>
      </c>
      <c r="X794" s="344">
        <f>'ALL ML SYSTEMS'!X780</f>
        <v>0</v>
      </c>
      <c r="Y794" s="344">
        <f>'ALL ML SYSTEMS'!Y780</f>
        <v>0</v>
      </c>
      <c r="Z794" s="344">
        <f>'ALL ML SYSTEMS'!Z780</f>
        <v>0</v>
      </c>
      <c r="AA794" s="344">
        <f>'ALL ML SYSTEMS'!AA780</f>
        <v>0</v>
      </c>
      <c r="AB794" s="344"/>
      <c r="AC794" s="344">
        <f>'ALL ML SYSTEMS'!AC780</f>
        <v>0</v>
      </c>
      <c r="AD794" s="344">
        <f>'ALL ML SYSTEMS'!AD780</f>
        <v>0</v>
      </c>
    </row>
    <row r="795" hidden="1" customHeight="1" spans="1:30">
      <c r="A795" s="344">
        <f>'ALL ML SYSTEMS'!A781</f>
        <v>0</v>
      </c>
      <c r="B795" s="344">
        <f>'ALL ML SYSTEMS'!B781</f>
        <v>0</v>
      </c>
      <c r="C795" s="344">
        <f>'ALL ML SYSTEMS'!C781</f>
        <v>0</v>
      </c>
      <c r="D795" s="344">
        <f>'ALL ML SYSTEMS'!D781</f>
        <v>0</v>
      </c>
      <c r="E795" s="344">
        <f>'ALL ML SYSTEMS'!E781</f>
        <v>0</v>
      </c>
      <c r="F795" s="344">
        <f>'ALL ML SYSTEMS'!F781</f>
        <v>0</v>
      </c>
      <c r="G795" s="344">
        <f>'ALL ML SYSTEMS'!G781</f>
        <v>0</v>
      </c>
      <c r="H795" s="344">
        <f>'ALL ML SYSTEMS'!H781</f>
        <v>0</v>
      </c>
      <c r="I795" s="344">
        <f>'ALL ML SYSTEMS'!I781</f>
        <v>0</v>
      </c>
      <c r="J795" s="344">
        <f>'ALL ML SYSTEMS'!J781</f>
        <v>0</v>
      </c>
      <c r="K795" s="344">
        <f>'ALL ML SYSTEMS'!K781</f>
        <v>0</v>
      </c>
      <c r="L795" s="344">
        <f>'ALL ML SYSTEMS'!L781</f>
        <v>0</v>
      </c>
      <c r="M795" s="344">
        <f>'ALL ML SYSTEMS'!M781</f>
        <v>0</v>
      </c>
      <c r="N795" s="344">
        <f>'ALL ML SYSTEMS'!N781</f>
        <v>0</v>
      </c>
      <c r="O795" s="344">
        <f>'ALL ML SYSTEMS'!O781</f>
        <v>0</v>
      </c>
      <c r="P795" s="344">
        <f>'ALL ML SYSTEMS'!P781</f>
        <v>0</v>
      </c>
      <c r="Q795" s="344">
        <f>'ALL ML SYSTEMS'!Q781</f>
        <v>0</v>
      </c>
      <c r="R795" s="344">
        <f>'ALL ML SYSTEMS'!R781</f>
        <v>0</v>
      </c>
      <c r="S795" s="344">
        <f>'ALL ML SYSTEMS'!S781</f>
        <v>0</v>
      </c>
      <c r="T795" s="344">
        <f>'ALL ML SYSTEMS'!T781</f>
        <v>0</v>
      </c>
      <c r="U795" s="344">
        <f>'ALL ML SYSTEMS'!U781</f>
        <v>0</v>
      </c>
      <c r="V795" s="344">
        <f>'ALL ML SYSTEMS'!V781</f>
        <v>0</v>
      </c>
      <c r="W795" s="344">
        <f>'ALL ML SYSTEMS'!W781</f>
        <v>0</v>
      </c>
      <c r="X795" s="344">
        <f>'ALL ML SYSTEMS'!X781</f>
        <v>0</v>
      </c>
      <c r="Y795" s="344">
        <f>'ALL ML SYSTEMS'!Y781</f>
        <v>0</v>
      </c>
      <c r="Z795" s="344">
        <f>'ALL ML SYSTEMS'!Z781</f>
        <v>0</v>
      </c>
      <c r="AA795" s="344">
        <f>'ALL ML SYSTEMS'!AA781</f>
        <v>0</v>
      </c>
      <c r="AB795" s="344"/>
      <c r="AC795" s="344">
        <f>'ALL ML SYSTEMS'!AC781</f>
        <v>0</v>
      </c>
      <c r="AD795" s="344">
        <f>'ALL ML SYSTEMS'!AD781</f>
        <v>0</v>
      </c>
    </row>
    <row r="796" hidden="1" customHeight="1" spans="1:30">
      <c r="A796" s="344">
        <f>'ALL ML SYSTEMS'!A782</f>
        <v>0</v>
      </c>
      <c r="B796" s="344">
        <f>'ALL ML SYSTEMS'!B782</f>
        <v>0</v>
      </c>
      <c r="C796" s="344">
        <f>'ALL ML SYSTEMS'!C782</f>
        <v>0</v>
      </c>
      <c r="D796" s="344">
        <f>'ALL ML SYSTEMS'!D782</f>
        <v>0</v>
      </c>
      <c r="E796" s="344">
        <f>'ALL ML SYSTEMS'!E782</f>
        <v>0</v>
      </c>
      <c r="F796" s="344">
        <f>'ALL ML SYSTEMS'!F782</f>
        <v>0</v>
      </c>
      <c r="G796" s="344">
        <f>'ALL ML SYSTEMS'!G782</f>
        <v>0</v>
      </c>
      <c r="H796" s="344">
        <f>'ALL ML SYSTEMS'!H782</f>
        <v>0</v>
      </c>
      <c r="I796" s="344">
        <f>'ALL ML SYSTEMS'!I782</f>
        <v>0</v>
      </c>
      <c r="J796" s="344">
        <f>'ALL ML SYSTEMS'!J782</f>
        <v>0</v>
      </c>
      <c r="K796" s="344">
        <f>'ALL ML SYSTEMS'!K782</f>
        <v>0</v>
      </c>
      <c r="L796" s="344">
        <f>'ALL ML SYSTEMS'!L782</f>
        <v>0</v>
      </c>
      <c r="M796" s="344">
        <f>'ALL ML SYSTEMS'!M782</f>
        <v>0</v>
      </c>
      <c r="N796" s="344">
        <f>'ALL ML SYSTEMS'!N782</f>
        <v>0</v>
      </c>
      <c r="O796" s="344">
        <f>'ALL ML SYSTEMS'!O782</f>
        <v>0</v>
      </c>
      <c r="P796" s="344">
        <f>'ALL ML SYSTEMS'!P782</f>
        <v>0</v>
      </c>
      <c r="Q796" s="344">
        <f>'ALL ML SYSTEMS'!Q782</f>
        <v>0</v>
      </c>
      <c r="R796" s="344">
        <f>'ALL ML SYSTEMS'!R782</f>
        <v>0</v>
      </c>
      <c r="S796" s="344">
        <f>'ALL ML SYSTEMS'!S782</f>
        <v>0</v>
      </c>
      <c r="T796" s="344">
        <f>'ALL ML SYSTEMS'!T782</f>
        <v>0</v>
      </c>
      <c r="U796" s="344">
        <f>'ALL ML SYSTEMS'!U782</f>
        <v>0</v>
      </c>
      <c r="V796" s="344">
        <f>'ALL ML SYSTEMS'!V782</f>
        <v>0</v>
      </c>
      <c r="W796" s="344">
        <f>'ALL ML SYSTEMS'!W782</f>
        <v>0</v>
      </c>
      <c r="X796" s="344">
        <f>'ALL ML SYSTEMS'!X782</f>
        <v>0</v>
      </c>
      <c r="Y796" s="344">
        <f>'ALL ML SYSTEMS'!Y782</f>
        <v>0</v>
      </c>
      <c r="Z796" s="344">
        <f>'ALL ML SYSTEMS'!Z782</f>
        <v>0</v>
      </c>
      <c r="AA796" s="344">
        <f>'ALL ML SYSTEMS'!AA782</f>
        <v>0</v>
      </c>
      <c r="AB796" s="344"/>
      <c r="AC796" s="344">
        <f>'ALL ML SYSTEMS'!AC782</f>
        <v>0</v>
      </c>
      <c r="AD796" s="344">
        <f>'ALL ML SYSTEMS'!AD782</f>
        <v>0</v>
      </c>
    </row>
    <row r="797" hidden="1" customHeight="1" spans="1:30">
      <c r="A797" s="344">
        <f>'ALL ML SYSTEMS'!A783</f>
        <v>0</v>
      </c>
      <c r="B797" s="344">
        <f>'ALL ML SYSTEMS'!B783</f>
        <v>0</v>
      </c>
      <c r="C797" s="344">
        <f>'ALL ML SYSTEMS'!C783</f>
        <v>0</v>
      </c>
      <c r="D797" s="344">
        <f>'ALL ML SYSTEMS'!D783</f>
        <v>0</v>
      </c>
      <c r="E797" s="344">
        <f>'ALL ML SYSTEMS'!E783</f>
        <v>0</v>
      </c>
      <c r="F797" s="344">
        <f>'ALL ML SYSTEMS'!F783</f>
        <v>0</v>
      </c>
      <c r="G797" s="344">
        <f>'ALL ML SYSTEMS'!G783</f>
        <v>0</v>
      </c>
      <c r="H797" s="344">
        <f>'ALL ML SYSTEMS'!H783</f>
        <v>0</v>
      </c>
      <c r="I797" s="344">
        <f>'ALL ML SYSTEMS'!I783</f>
        <v>0</v>
      </c>
      <c r="J797" s="344">
        <f>'ALL ML SYSTEMS'!J783</f>
        <v>0</v>
      </c>
      <c r="K797" s="344">
        <f>'ALL ML SYSTEMS'!K783</f>
        <v>0</v>
      </c>
      <c r="L797" s="344">
        <f>'ALL ML SYSTEMS'!L783</f>
        <v>0</v>
      </c>
      <c r="M797" s="344">
        <f>'ALL ML SYSTEMS'!M783</f>
        <v>0</v>
      </c>
      <c r="N797" s="344">
        <f>'ALL ML SYSTEMS'!N783</f>
        <v>0</v>
      </c>
      <c r="O797" s="344">
        <f>'ALL ML SYSTEMS'!O783</f>
        <v>0</v>
      </c>
      <c r="P797" s="344">
        <f>'ALL ML SYSTEMS'!P783</f>
        <v>0</v>
      </c>
      <c r="Q797" s="344">
        <f>'ALL ML SYSTEMS'!Q783</f>
        <v>0</v>
      </c>
      <c r="R797" s="344">
        <f>'ALL ML SYSTEMS'!R783</f>
        <v>0</v>
      </c>
      <c r="S797" s="344">
        <f>'ALL ML SYSTEMS'!S783</f>
        <v>0</v>
      </c>
      <c r="T797" s="344">
        <f>'ALL ML SYSTEMS'!T783</f>
        <v>0</v>
      </c>
      <c r="U797" s="344">
        <f>'ALL ML SYSTEMS'!U783</f>
        <v>0</v>
      </c>
      <c r="V797" s="344">
        <f>'ALL ML SYSTEMS'!V783</f>
        <v>0</v>
      </c>
      <c r="W797" s="344">
        <f>'ALL ML SYSTEMS'!W783</f>
        <v>0</v>
      </c>
      <c r="X797" s="344">
        <f>'ALL ML SYSTEMS'!X783</f>
        <v>0</v>
      </c>
      <c r="Y797" s="344">
        <f>'ALL ML SYSTEMS'!Y783</f>
        <v>0</v>
      </c>
      <c r="Z797" s="344">
        <f>'ALL ML SYSTEMS'!Z783</f>
        <v>0</v>
      </c>
      <c r="AA797" s="344">
        <f>'ALL ML SYSTEMS'!AA783</f>
        <v>0</v>
      </c>
      <c r="AB797" s="344"/>
      <c r="AC797" s="344">
        <f>'ALL ML SYSTEMS'!AC783</f>
        <v>0</v>
      </c>
      <c r="AD797" s="344">
        <f>'ALL ML SYSTEMS'!AD783</f>
        <v>0</v>
      </c>
    </row>
    <row r="798" hidden="1" customHeight="1" spans="1:30">
      <c r="A798" s="344">
        <f>'ALL ML SYSTEMS'!A784</f>
        <v>0</v>
      </c>
      <c r="B798" s="344">
        <f>'ALL ML SYSTEMS'!B784</f>
        <v>0</v>
      </c>
      <c r="C798" s="344">
        <f>'ALL ML SYSTEMS'!C784</f>
        <v>0</v>
      </c>
      <c r="D798" s="344">
        <f>'ALL ML SYSTEMS'!D784</f>
        <v>0</v>
      </c>
      <c r="E798" s="344">
        <f>'ALL ML SYSTEMS'!E784</f>
        <v>0</v>
      </c>
      <c r="F798" s="344">
        <f>'ALL ML SYSTEMS'!F784</f>
        <v>0</v>
      </c>
      <c r="G798" s="344">
        <f>'ALL ML SYSTEMS'!G784</f>
        <v>0</v>
      </c>
      <c r="H798" s="344">
        <f>'ALL ML SYSTEMS'!H784</f>
        <v>0</v>
      </c>
      <c r="I798" s="344">
        <f>'ALL ML SYSTEMS'!I784</f>
        <v>0</v>
      </c>
      <c r="J798" s="344">
        <f>'ALL ML SYSTEMS'!J784</f>
        <v>0</v>
      </c>
      <c r="K798" s="344">
        <f>'ALL ML SYSTEMS'!K784</f>
        <v>0</v>
      </c>
      <c r="L798" s="344">
        <f>'ALL ML SYSTEMS'!L784</f>
        <v>0</v>
      </c>
      <c r="M798" s="344">
        <f>'ALL ML SYSTEMS'!M784</f>
        <v>0</v>
      </c>
      <c r="N798" s="344">
        <f>'ALL ML SYSTEMS'!N784</f>
        <v>0</v>
      </c>
      <c r="O798" s="344">
        <f>'ALL ML SYSTEMS'!O784</f>
        <v>0</v>
      </c>
      <c r="P798" s="344">
        <f>'ALL ML SYSTEMS'!P784</f>
        <v>0</v>
      </c>
      <c r="Q798" s="344">
        <f>'ALL ML SYSTEMS'!Q784</f>
        <v>0</v>
      </c>
      <c r="R798" s="344">
        <f>'ALL ML SYSTEMS'!R784</f>
        <v>0</v>
      </c>
      <c r="S798" s="344">
        <f>'ALL ML SYSTEMS'!S784</f>
        <v>0</v>
      </c>
      <c r="T798" s="344">
        <f>'ALL ML SYSTEMS'!T784</f>
        <v>0</v>
      </c>
      <c r="U798" s="344">
        <f>'ALL ML SYSTEMS'!U784</f>
        <v>0</v>
      </c>
      <c r="V798" s="344">
        <f>'ALL ML SYSTEMS'!V784</f>
        <v>0</v>
      </c>
      <c r="W798" s="344">
        <f>'ALL ML SYSTEMS'!W784</f>
        <v>0</v>
      </c>
      <c r="X798" s="344">
        <f>'ALL ML SYSTEMS'!X784</f>
        <v>0</v>
      </c>
      <c r="Y798" s="344">
        <f>'ALL ML SYSTEMS'!Y784</f>
        <v>0</v>
      </c>
      <c r="Z798" s="344">
        <f>'ALL ML SYSTEMS'!Z784</f>
        <v>0</v>
      </c>
      <c r="AA798" s="344">
        <f>'ALL ML SYSTEMS'!AA784</f>
        <v>0</v>
      </c>
      <c r="AB798" s="344"/>
      <c r="AC798" s="344">
        <f>'ALL ML SYSTEMS'!AC784</f>
        <v>0</v>
      </c>
      <c r="AD798" s="344">
        <f>'ALL ML SYSTEMS'!AD784</f>
        <v>0</v>
      </c>
    </row>
    <row r="799" hidden="1" customHeight="1" spans="1:30">
      <c r="A799" s="344">
        <f>'ALL ML SYSTEMS'!A785</f>
        <v>0</v>
      </c>
      <c r="B799" s="344">
        <f>'ALL ML SYSTEMS'!B785</f>
        <v>0</v>
      </c>
      <c r="C799" s="344">
        <f>'ALL ML SYSTEMS'!C785</f>
        <v>0</v>
      </c>
      <c r="D799" s="344">
        <f>'ALL ML SYSTEMS'!D785</f>
        <v>0</v>
      </c>
      <c r="E799" s="344">
        <f>'ALL ML SYSTEMS'!E785</f>
        <v>0</v>
      </c>
      <c r="F799" s="344">
        <f>'ALL ML SYSTEMS'!F785</f>
        <v>0</v>
      </c>
      <c r="G799" s="344">
        <f>'ALL ML SYSTEMS'!G785</f>
        <v>0</v>
      </c>
      <c r="H799" s="344">
        <f>'ALL ML SYSTEMS'!H785</f>
        <v>0</v>
      </c>
      <c r="I799" s="344">
        <f>'ALL ML SYSTEMS'!I785</f>
        <v>0</v>
      </c>
      <c r="J799" s="344">
        <f>'ALL ML SYSTEMS'!J785</f>
        <v>0</v>
      </c>
      <c r="K799" s="344">
        <f>'ALL ML SYSTEMS'!K785</f>
        <v>0</v>
      </c>
      <c r="L799" s="344">
        <f>'ALL ML SYSTEMS'!L785</f>
        <v>0</v>
      </c>
      <c r="M799" s="344">
        <f>'ALL ML SYSTEMS'!M785</f>
        <v>0</v>
      </c>
      <c r="N799" s="344">
        <f>'ALL ML SYSTEMS'!N785</f>
        <v>0</v>
      </c>
      <c r="O799" s="344">
        <f>'ALL ML SYSTEMS'!O785</f>
        <v>0</v>
      </c>
      <c r="P799" s="344">
        <f>'ALL ML SYSTEMS'!P785</f>
        <v>0</v>
      </c>
      <c r="Q799" s="344">
        <f>'ALL ML SYSTEMS'!Q785</f>
        <v>0</v>
      </c>
      <c r="R799" s="344">
        <f>'ALL ML SYSTEMS'!R785</f>
        <v>0</v>
      </c>
      <c r="S799" s="344">
        <f>'ALL ML SYSTEMS'!S785</f>
        <v>0</v>
      </c>
      <c r="T799" s="344">
        <f>'ALL ML SYSTEMS'!T785</f>
        <v>0</v>
      </c>
      <c r="U799" s="344">
        <f>'ALL ML SYSTEMS'!U785</f>
        <v>0</v>
      </c>
      <c r="V799" s="344">
        <f>'ALL ML SYSTEMS'!V785</f>
        <v>0</v>
      </c>
      <c r="W799" s="344">
        <f>'ALL ML SYSTEMS'!W785</f>
        <v>0</v>
      </c>
      <c r="X799" s="344">
        <f>'ALL ML SYSTEMS'!X785</f>
        <v>0</v>
      </c>
      <c r="Y799" s="344">
        <f>'ALL ML SYSTEMS'!Y785</f>
        <v>0</v>
      </c>
      <c r="Z799" s="344">
        <f>'ALL ML SYSTEMS'!Z785</f>
        <v>0</v>
      </c>
      <c r="AA799" s="344">
        <f>'ALL ML SYSTEMS'!AA785</f>
        <v>0</v>
      </c>
      <c r="AB799" s="344"/>
      <c r="AC799" s="344">
        <f>'ALL ML SYSTEMS'!AC785</f>
        <v>0</v>
      </c>
      <c r="AD799" s="344">
        <f>'ALL ML SYSTEMS'!AD785</f>
        <v>0</v>
      </c>
    </row>
    <row r="800" hidden="1" customHeight="1" spans="1:30">
      <c r="A800" s="344">
        <f>'ALL ML SYSTEMS'!A786</f>
        <v>0</v>
      </c>
      <c r="B800" s="344">
        <f>'ALL ML SYSTEMS'!B786</f>
        <v>0</v>
      </c>
      <c r="C800" s="344">
        <f>'ALL ML SYSTEMS'!C786</f>
        <v>0</v>
      </c>
      <c r="D800" s="344">
        <f>'ALL ML SYSTEMS'!D786</f>
        <v>0</v>
      </c>
      <c r="E800" s="344">
        <f>'ALL ML SYSTEMS'!E786</f>
        <v>0</v>
      </c>
      <c r="F800" s="344">
        <f>'ALL ML SYSTEMS'!F786</f>
        <v>0</v>
      </c>
      <c r="G800" s="344">
        <f>'ALL ML SYSTEMS'!G786</f>
        <v>0</v>
      </c>
      <c r="H800" s="344">
        <f>'ALL ML SYSTEMS'!H786</f>
        <v>0</v>
      </c>
      <c r="I800" s="344">
        <f>'ALL ML SYSTEMS'!I786</f>
        <v>0</v>
      </c>
      <c r="J800" s="344">
        <f>'ALL ML SYSTEMS'!J786</f>
        <v>0</v>
      </c>
      <c r="K800" s="344">
        <f>'ALL ML SYSTEMS'!K786</f>
        <v>0</v>
      </c>
      <c r="L800" s="344">
        <f>'ALL ML SYSTEMS'!L786</f>
        <v>0</v>
      </c>
      <c r="M800" s="344">
        <f>'ALL ML SYSTEMS'!M786</f>
        <v>0</v>
      </c>
      <c r="N800" s="344">
        <f>'ALL ML SYSTEMS'!N786</f>
        <v>0</v>
      </c>
      <c r="O800" s="344">
        <f>'ALL ML SYSTEMS'!O786</f>
        <v>0</v>
      </c>
      <c r="P800" s="344">
        <f>'ALL ML SYSTEMS'!P786</f>
        <v>0</v>
      </c>
      <c r="Q800" s="344">
        <f>'ALL ML SYSTEMS'!Q786</f>
        <v>0</v>
      </c>
      <c r="R800" s="344">
        <f>'ALL ML SYSTEMS'!R786</f>
        <v>0</v>
      </c>
      <c r="S800" s="344">
        <f>'ALL ML SYSTEMS'!S786</f>
        <v>0</v>
      </c>
      <c r="T800" s="344">
        <f>'ALL ML SYSTEMS'!T786</f>
        <v>0</v>
      </c>
      <c r="U800" s="344">
        <f>'ALL ML SYSTEMS'!U786</f>
        <v>0</v>
      </c>
      <c r="V800" s="344">
        <f>'ALL ML SYSTEMS'!V786</f>
        <v>0</v>
      </c>
      <c r="W800" s="344">
        <f>'ALL ML SYSTEMS'!W786</f>
        <v>0</v>
      </c>
      <c r="X800" s="344">
        <f>'ALL ML SYSTEMS'!X786</f>
        <v>0</v>
      </c>
      <c r="Y800" s="344">
        <f>'ALL ML SYSTEMS'!Y786</f>
        <v>0</v>
      </c>
      <c r="Z800" s="344">
        <f>'ALL ML SYSTEMS'!Z786</f>
        <v>0</v>
      </c>
      <c r="AA800" s="344">
        <f>'ALL ML SYSTEMS'!AA786</f>
        <v>0</v>
      </c>
      <c r="AB800" s="344"/>
      <c r="AC800" s="344">
        <f>'ALL ML SYSTEMS'!AC786</f>
        <v>0</v>
      </c>
      <c r="AD800" s="344">
        <f>'ALL ML SYSTEMS'!AD786</f>
        <v>0</v>
      </c>
    </row>
    <row r="801" hidden="1" customHeight="1" spans="1:30">
      <c r="A801" s="344">
        <f>'ALL ML SYSTEMS'!A787</f>
        <v>0</v>
      </c>
      <c r="B801" s="344">
        <f>'ALL ML SYSTEMS'!B787</f>
        <v>0</v>
      </c>
      <c r="C801" s="344">
        <f>'ALL ML SYSTEMS'!C787</f>
        <v>0</v>
      </c>
      <c r="D801" s="344">
        <f>'ALL ML SYSTEMS'!D787</f>
        <v>0</v>
      </c>
      <c r="E801" s="344">
        <f>'ALL ML SYSTEMS'!E787</f>
        <v>0</v>
      </c>
      <c r="F801" s="344">
        <f>'ALL ML SYSTEMS'!F787</f>
        <v>0</v>
      </c>
      <c r="G801" s="344">
        <f>'ALL ML SYSTEMS'!G787</f>
        <v>0</v>
      </c>
      <c r="H801" s="344">
        <f>'ALL ML SYSTEMS'!H787</f>
        <v>0</v>
      </c>
      <c r="I801" s="344">
        <f>'ALL ML SYSTEMS'!I787</f>
        <v>0</v>
      </c>
      <c r="J801" s="344">
        <f>'ALL ML SYSTEMS'!J787</f>
        <v>0</v>
      </c>
      <c r="K801" s="344">
        <f>'ALL ML SYSTEMS'!K787</f>
        <v>0</v>
      </c>
      <c r="L801" s="344">
        <f>'ALL ML SYSTEMS'!L787</f>
        <v>0</v>
      </c>
      <c r="M801" s="344">
        <f>'ALL ML SYSTEMS'!M787</f>
        <v>0</v>
      </c>
      <c r="N801" s="344">
        <f>'ALL ML SYSTEMS'!N787</f>
        <v>0</v>
      </c>
      <c r="O801" s="344">
        <f>'ALL ML SYSTEMS'!O787</f>
        <v>0</v>
      </c>
      <c r="P801" s="344">
        <f>'ALL ML SYSTEMS'!P787</f>
        <v>0</v>
      </c>
      <c r="Q801" s="344">
        <f>'ALL ML SYSTEMS'!Q787</f>
        <v>0</v>
      </c>
      <c r="R801" s="344">
        <f>'ALL ML SYSTEMS'!R787</f>
        <v>0</v>
      </c>
      <c r="S801" s="344">
        <f>'ALL ML SYSTEMS'!S787</f>
        <v>0</v>
      </c>
      <c r="T801" s="344">
        <f>'ALL ML SYSTEMS'!T787</f>
        <v>0</v>
      </c>
      <c r="U801" s="344">
        <f>'ALL ML SYSTEMS'!U787</f>
        <v>0</v>
      </c>
      <c r="V801" s="344">
        <f>'ALL ML SYSTEMS'!V787</f>
        <v>0</v>
      </c>
      <c r="W801" s="344">
        <f>'ALL ML SYSTEMS'!W787</f>
        <v>0</v>
      </c>
      <c r="X801" s="344">
        <f>'ALL ML SYSTEMS'!X787</f>
        <v>0</v>
      </c>
      <c r="Y801" s="344">
        <f>'ALL ML SYSTEMS'!Y787</f>
        <v>0</v>
      </c>
      <c r="Z801" s="344">
        <f>'ALL ML SYSTEMS'!Z787</f>
        <v>0</v>
      </c>
      <c r="AA801" s="344">
        <f>'ALL ML SYSTEMS'!AA787</f>
        <v>0</v>
      </c>
      <c r="AB801" s="344"/>
      <c r="AC801" s="344">
        <f>'ALL ML SYSTEMS'!AC787</f>
        <v>0</v>
      </c>
      <c r="AD801" s="344">
        <f>'ALL ML SYSTEMS'!AD787</f>
        <v>0</v>
      </c>
    </row>
    <row r="802" hidden="1" customHeight="1" spans="1:30">
      <c r="A802" s="344">
        <f>'ALL ML SYSTEMS'!A788</f>
        <v>0</v>
      </c>
      <c r="B802" s="344">
        <f>'ALL ML SYSTEMS'!B788</f>
        <v>0</v>
      </c>
      <c r="C802" s="344">
        <f>'ALL ML SYSTEMS'!C788</f>
        <v>0</v>
      </c>
      <c r="D802" s="344">
        <f>'ALL ML SYSTEMS'!D788</f>
        <v>0</v>
      </c>
      <c r="E802" s="344">
        <f>'ALL ML SYSTEMS'!E788</f>
        <v>0</v>
      </c>
      <c r="F802" s="344">
        <f>'ALL ML SYSTEMS'!F788</f>
        <v>0</v>
      </c>
      <c r="G802" s="344">
        <f>'ALL ML SYSTEMS'!G788</f>
        <v>0</v>
      </c>
      <c r="H802" s="344">
        <f>'ALL ML SYSTEMS'!H788</f>
        <v>0</v>
      </c>
      <c r="I802" s="344">
        <f>'ALL ML SYSTEMS'!I788</f>
        <v>0</v>
      </c>
      <c r="J802" s="344">
        <f>'ALL ML SYSTEMS'!J788</f>
        <v>0</v>
      </c>
      <c r="K802" s="344">
        <f>'ALL ML SYSTEMS'!K788</f>
        <v>0</v>
      </c>
      <c r="L802" s="344">
        <f>'ALL ML SYSTEMS'!L788</f>
        <v>0</v>
      </c>
      <c r="M802" s="344">
        <f>'ALL ML SYSTEMS'!M788</f>
        <v>0</v>
      </c>
      <c r="N802" s="344">
        <f>'ALL ML SYSTEMS'!N788</f>
        <v>0</v>
      </c>
      <c r="O802" s="344">
        <f>'ALL ML SYSTEMS'!O788</f>
        <v>0</v>
      </c>
      <c r="P802" s="344">
        <f>'ALL ML SYSTEMS'!P788</f>
        <v>0</v>
      </c>
      <c r="Q802" s="344">
        <f>'ALL ML SYSTEMS'!Q788</f>
        <v>0</v>
      </c>
      <c r="R802" s="344">
        <f>'ALL ML SYSTEMS'!R788</f>
        <v>0</v>
      </c>
      <c r="S802" s="344">
        <f>'ALL ML SYSTEMS'!S788</f>
        <v>0</v>
      </c>
      <c r="T802" s="344">
        <f>'ALL ML SYSTEMS'!T788</f>
        <v>0</v>
      </c>
      <c r="U802" s="344">
        <f>'ALL ML SYSTEMS'!U788</f>
        <v>0</v>
      </c>
      <c r="V802" s="344">
        <f>'ALL ML SYSTEMS'!V788</f>
        <v>0</v>
      </c>
      <c r="W802" s="344">
        <f>'ALL ML SYSTEMS'!W788</f>
        <v>0</v>
      </c>
      <c r="X802" s="344">
        <f>'ALL ML SYSTEMS'!X788</f>
        <v>0</v>
      </c>
      <c r="Y802" s="344">
        <f>'ALL ML SYSTEMS'!Y788</f>
        <v>0</v>
      </c>
      <c r="Z802" s="344">
        <f>'ALL ML SYSTEMS'!Z788</f>
        <v>0</v>
      </c>
      <c r="AA802" s="344">
        <f>'ALL ML SYSTEMS'!AA788</f>
        <v>0</v>
      </c>
      <c r="AB802" s="344"/>
      <c r="AC802" s="344">
        <f>'ALL ML SYSTEMS'!AC788</f>
        <v>0</v>
      </c>
      <c r="AD802" s="344">
        <f>'ALL ML SYSTEMS'!AD788</f>
        <v>0</v>
      </c>
    </row>
    <row r="803" hidden="1" customHeight="1" spans="1:30">
      <c r="A803" s="344">
        <f>'ALL ML SYSTEMS'!A789</f>
        <v>0</v>
      </c>
      <c r="B803" s="344">
        <f>'ALL ML SYSTEMS'!B789</f>
        <v>0</v>
      </c>
      <c r="C803" s="344">
        <f>'ALL ML SYSTEMS'!C789</f>
        <v>0</v>
      </c>
      <c r="D803" s="344">
        <f>'ALL ML SYSTEMS'!D789</f>
        <v>0</v>
      </c>
      <c r="E803" s="344">
        <f>'ALL ML SYSTEMS'!E789</f>
        <v>0</v>
      </c>
      <c r="F803" s="344">
        <f>'ALL ML SYSTEMS'!F789</f>
        <v>0</v>
      </c>
      <c r="G803" s="344">
        <f>'ALL ML SYSTEMS'!G789</f>
        <v>0</v>
      </c>
      <c r="H803" s="344">
        <f>'ALL ML SYSTEMS'!H789</f>
        <v>0</v>
      </c>
      <c r="I803" s="344">
        <f>'ALL ML SYSTEMS'!I789</f>
        <v>0</v>
      </c>
      <c r="J803" s="344">
        <f>'ALL ML SYSTEMS'!J789</f>
        <v>0</v>
      </c>
      <c r="K803" s="344">
        <f>'ALL ML SYSTEMS'!K789</f>
        <v>0</v>
      </c>
      <c r="L803" s="344">
        <f>'ALL ML SYSTEMS'!L789</f>
        <v>0</v>
      </c>
      <c r="M803" s="344">
        <f>'ALL ML SYSTEMS'!M789</f>
        <v>0</v>
      </c>
      <c r="N803" s="344">
        <f>'ALL ML SYSTEMS'!N789</f>
        <v>0</v>
      </c>
      <c r="O803" s="344">
        <f>'ALL ML SYSTEMS'!O789</f>
        <v>0</v>
      </c>
      <c r="P803" s="344">
        <f>'ALL ML SYSTEMS'!P789</f>
        <v>0</v>
      </c>
      <c r="Q803" s="344">
        <f>'ALL ML SYSTEMS'!Q789</f>
        <v>0</v>
      </c>
      <c r="R803" s="344">
        <f>'ALL ML SYSTEMS'!R789</f>
        <v>0</v>
      </c>
      <c r="S803" s="344">
        <f>'ALL ML SYSTEMS'!S789</f>
        <v>0</v>
      </c>
      <c r="T803" s="344">
        <f>'ALL ML SYSTEMS'!T789</f>
        <v>0</v>
      </c>
      <c r="U803" s="344">
        <f>'ALL ML SYSTEMS'!U789</f>
        <v>0</v>
      </c>
      <c r="V803" s="344">
        <f>'ALL ML SYSTEMS'!V789</f>
        <v>0</v>
      </c>
      <c r="W803" s="344">
        <f>'ALL ML SYSTEMS'!W789</f>
        <v>0</v>
      </c>
      <c r="X803" s="344">
        <f>'ALL ML SYSTEMS'!X789</f>
        <v>0</v>
      </c>
      <c r="Y803" s="344">
        <f>'ALL ML SYSTEMS'!Y789</f>
        <v>0</v>
      </c>
      <c r="Z803" s="344">
        <f>'ALL ML SYSTEMS'!Z789</f>
        <v>0</v>
      </c>
      <c r="AA803" s="344">
        <f>'ALL ML SYSTEMS'!AA789</f>
        <v>0</v>
      </c>
      <c r="AB803" s="344"/>
      <c r="AC803" s="344">
        <f>'ALL ML SYSTEMS'!AC789</f>
        <v>0</v>
      </c>
      <c r="AD803" s="344">
        <f>'ALL ML SYSTEMS'!AD789</f>
        <v>0</v>
      </c>
    </row>
    <row r="804" hidden="1" customHeight="1" spans="1:30">
      <c r="A804" s="344">
        <f>'ALL ML SYSTEMS'!A790</f>
        <v>0</v>
      </c>
      <c r="B804" s="344">
        <f>'ALL ML SYSTEMS'!B790</f>
        <v>0</v>
      </c>
      <c r="C804" s="344">
        <f>'ALL ML SYSTEMS'!C790</f>
        <v>0</v>
      </c>
      <c r="D804" s="344">
        <f>'ALL ML SYSTEMS'!D790</f>
        <v>0</v>
      </c>
      <c r="E804" s="344">
        <f>'ALL ML SYSTEMS'!E790</f>
        <v>0</v>
      </c>
      <c r="F804" s="344">
        <f>'ALL ML SYSTEMS'!F790</f>
        <v>0</v>
      </c>
      <c r="G804" s="344">
        <f>'ALL ML SYSTEMS'!G790</f>
        <v>0</v>
      </c>
      <c r="H804" s="344">
        <f>'ALL ML SYSTEMS'!H790</f>
        <v>0</v>
      </c>
      <c r="I804" s="344">
        <f>'ALL ML SYSTEMS'!I790</f>
        <v>0</v>
      </c>
      <c r="J804" s="344">
        <f>'ALL ML SYSTEMS'!J790</f>
        <v>0</v>
      </c>
      <c r="K804" s="344">
        <f>'ALL ML SYSTEMS'!K790</f>
        <v>0</v>
      </c>
      <c r="L804" s="344">
        <f>'ALL ML SYSTEMS'!L790</f>
        <v>0</v>
      </c>
      <c r="M804" s="344">
        <f>'ALL ML SYSTEMS'!M790</f>
        <v>0</v>
      </c>
      <c r="N804" s="344">
        <f>'ALL ML SYSTEMS'!N790</f>
        <v>0</v>
      </c>
      <c r="O804" s="344">
        <f>'ALL ML SYSTEMS'!O790</f>
        <v>0</v>
      </c>
      <c r="P804" s="344">
        <f>'ALL ML SYSTEMS'!P790</f>
        <v>0</v>
      </c>
      <c r="Q804" s="344">
        <f>'ALL ML SYSTEMS'!Q790</f>
        <v>0</v>
      </c>
      <c r="R804" s="344">
        <f>'ALL ML SYSTEMS'!R790</f>
        <v>0</v>
      </c>
      <c r="S804" s="344">
        <f>'ALL ML SYSTEMS'!S790</f>
        <v>0</v>
      </c>
      <c r="T804" s="344">
        <f>'ALL ML SYSTEMS'!T790</f>
        <v>0</v>
      </c>
      <c r="U804" s="344">
        <f>'ALL ML SYSTEMS'!U790</f>
        <v>0</v>
      </c>
      <c r="V804" s="344">
        <f>'ALL ML SYSTEMS'!V790</f>
        <v>0</v>
      </c>
      <c r="W804" s="344">
        <f>'ALL ML SYSTEMS'!W790</f>
        <v>0</v>
      </c>
      <c r="X804" s="344">
        <f>'ALL ML SYSTEMS'!X790</f>
        <v>0</v>
      </c>
      <c r="Y804" s="344">
        <f>'ALL ML SYSTEMS'!Y790</f>
        <v>0</v>
      </c>
      <c r="Z804" s="344">
        <f>'ALL ML SYSTEMS'!Z790</f>
        <v>0</v>
      </c>
      <c r="AA804" s="344">
        <f>'ALL ML SYSTEMS'!AA790</f>
        <v>0</v>
      </c>
      <c r="AB804" s="344"/>
      <c r="AC804" s="344">
        <f>'ALL ML SYSTEMS'!AC790</f>
        <v>0</v>
      </c>
      <c r="AD804" s="344">
        <f>'ALL ML SYSTEMS'!AD790</f>
        <v>0</v>
      </c>
    </row>
    <row r="805" hidden="1" customHeight="1" spans="1:30">
      <c r="A805" s="344">
        <f>'ALL ML SYSTEMS'!A791</f>
        <v>0</v>
      </c>
      <c r="B805" s="344">
        <f>'ALL ML SYSTEMS'!B791</f>
        <v>0</v>
      </c>
      <c r="C805" s="344">
        <f>'ALL ML SYSTEMS'!C791</f>
        <v>0</v>
      </c>
      <c r="D805" s="344">
        <f>'ALL ML SYSTEMS'!D791</f>
        <v>0</v>
      </c>
      <c r="E805" s="344">
        <f>'ALL ML SYSTEMS'!E791</f>
        <v>0</v>
      </c>
      <c r="F805" s="344">
        <f>'ALL ML SYSTEMS'!F791</f>
        <v>0</v>
      </c>
      <c r="G805" s="344">
        <f>'ALL ML SYSTEMS'!G791</f>
        <v>0</v>
      </c>
      <c r="H805" s="344">
        <f>'ALL ML SYSTEMS'!H791</f>
        <v>0</v>
      </c>
      <c r="I805" s="344">
        <f>'ALL ML SYSTEMS'!I791</f>
        <v>0</v>
      </c>
      <c r="J805" s="344">
        <f>'ALL ML SYSTEMS'!J791</f>
        <v>0</v>
      </c>
      <c r="K805" s="344">
        <f>'ALL ML SYSTEMS'!K791</f>
        <v>0</v>
      </c>
      <c r="L805" s="344">
        <f>'ALL ML SYSTEMS'!L791</f>
        <v>0</v>
      </c>
      <c r="M805" s="344">
        <f>'ALL ML SYSTEMS'!M791</f>
        <v>0</v>
      </c>
      <c r="N805" s="344">
        <f>'ALL ML SYSTEMS'!N791</f>
        <v>0</v>
      </c>
      <c r="O805" s="344">
        <f>'ALL ML SYSTEMS'!O791</f>
        <v>0</v>
      </c>
      <c r="P805" s="344">
        <f>'ALL ML SYSTEMS'!P791</f>
        <v>0</v>
      </c>
      <c r="Q805" s="344">
        <f>'ALL ML SYSTEMS'!Q791</f>
        <v>0</v>
      </c>
      <c r="R805" s="344">
        <f>'ALL ML SYSTEMS'!R791</f>
        <v>0</v>
      </c>
      <c r="S805" s="344">
        <f>'ALL ML SYSTEMS'!S791</f>
        <v>0</v>
      </c>
      <c r="T805" s="344">
        <f>'ALL ML SYSTEMS'!T791</f>
        <v>0</v>
      </c>
      <c r="U805" s="344">
        <f>'ALL ML SYSTEMS'!U791</f>
        <v>0</v>
      </c>
      <c r="V805" s="344">
        <f>'ALL ML SYSTEMS'!V791</f>
        <v>0</v>
      </c>
      <c r="W805" s="344">
        <f>'ALL ML SYSTEMS'!W791</f>
        <v>0</v>
      </c>
      <c r="X805" s="344">
        <f>'ALL ML SYSTEMS'!X791</f>
        <v>0</v>
      </c>
      <c r="Y805" s="344">
        <f>'ALL ML SYSTEMS'!Y791</f>
        <v>0</v>
      </c>
      <c r="Z805" s="344">
        <f>'ALL ML SYSTEMS'!Z791</f>
        <v>0</v>
      </c>
      <c r="AA805" s="344">
        <f>'ALL ML SYSTEMS'!AA791</f>
        <v>0</v>
      </c>
      <c r="AB805" s="344"/>
      <c r="AC805" s="344">
        <f>'ALL ML SYSTEMS'!AC791</f>
        <v>0</v>
      </c>
      <c r="AD805" s="344">
        <f>'ALL ML SYSTEMS'!AD791</f>
        <v>0</v>
      </c>
    </row>
    <row r="806" hidden="1" customHeight="1" spans="1:30">
      <c r="A806" s="344">
        <f>'ALL ML SYSTEMS'!A792</f>
        <v>0</v>
      </c>
      <c r="B806" s="344">
        <f>'ALL ML SYSTEMS'!B792</f>
        <v>0</v>
      </c>
      <c r="C806" s="344">
        <f>'ALL ML SYSTEMS'!C792</f>
        <v>0</v>
      </c>
      <c r="D806" s="344">
        <f>'ALL ML SYSTEMS'!D792</f>
        <v>0</v>
      </c>
      <c r="E806" s="344">
        <f>'ALL ML SYSTEMS'!E792</f>
        <v>0</v>
      </c>
      <c r="F806" s="344">
        <f>'ALL ML SYSTEMS'!F792</f>
        <v>0</v>
      </c>
      <c r="G806" s="344">
        <f>'ALL ML SYSTEMS'!G792</f>
        <v>0</v>
      </c>
      <c r="H806" s="344">
        <f>'ALL ML SYSTEMS'!H792</f>
        <v>0</v>
      </c>
      <c r="I806" s="344">
        <f>'ALL ML SYSTEMS'!I792</f>
        <v>0</v>
      </c>
      <c r="J806" s="344">
        <f>'ALL ML SYSTEMS'!J792</f>
        <v>0</v>
      </c>
      <c r="K806" s="344">
        <f>'ALL ML SYSTEMS'!K792</f>
        <v>0</v>
      </c>
      <c r="L806" s="344">
        <f>'ALL ML SYSTEMS'!L792</f>
        <v>0</v>
      </c>
      <c r="M806" s="344">
        <f>'ALL ML SYSTEMS'!M792</f>
        <v>0</v>
      </c>
      <c r="N806" s="344">
        <f>'ALL ML SYSTEMS'!N792</f>
        <v>0</v>
      </c>
      <c r="O806" s="344">
        <f>'ALL ML SYSTEMS'!O792</f>
        <v>0</v>
      </c>
      <c r="P806" s="344">
        <f>'ALL ML SYSTEMS'!P792</f>
        <v>0</v>
      </c>
      <c r="Q806" s="344">
        <f>'ALL ML SYSTEMS'!Q792</f>
        <v>0</v>
      </c>
      <c r="R806" s="344">
        <f>'ALL ML SYSTEMS'!R792</f>
        <v>0</v>
      </c>
      <c r="S806" s="344">
        <f>'ALL ML SYSTEMS'!S792</f>
        <v>0</v>
      </c>
      <c r="T806" s="344">
        <f>'ALL ML SYSTEMS'!T792</f>
        <v>0</v>
      </c>
      <c r="U806" s="344">
        <f>'ALL ML SYSTEMS'!U792</f>
        <v>0</v>
      </c>
      <c r="V806" s="344">
        <f>'ALL ML SYSTEMS'!V792</f>
        <v>0</v>
      </c>
      <c r="W806" s="344">
        <f>'ALL ML SYSTEMS'!W792</f>
        <v>0</v>
      </c>
      <c r="X806" s="344">
        <f>'ALL ML SYSTEMS'!X792</f>
        <v>0</v>
      </c>
      <c r="Y806" s="344">
        <f>'ALL ML SYSTEMS'!Y792</f>
        <v>0</v>
      </c>
      <c r="Z806" s="344">
        <f>'ALL ML SYSTEMS'!Z792</f>
        <v>0</v>
      </c>
      <c r="AA806" s="344">
        <f>'ALL ML SYSTEMS'!AA792</f>
        <v>0</v>
      </c>
      <c r="AB806" s="344"/>
      <c r="AC806" s="344">
        <f>'ALL ML SYSTEMS'!AC792</f>
        <v>0</v>
      </c>
      <c r="AD806" s="344">
        <f>'ALL ML SYSTEMS'!AD792</f>
        <v>0</v>
      </c>
    </row>
    <row r="807" hidden="1" customHeight="1" spans="1:30">
      <c r="A807" s="344">
        <f>'ALL ML SYSTEMS'!A793</f>
        <v>0</v>
      </c>
      <c r="B807" s="344">
        <f>'ALL ML SYSTEMS'!B793</f>
        <v>0</v>
      </c>
      <c r="C807" s="344">
        <f>'ALL ML SYSTEMS'!C793</f>
        <v>0</v>
      </c>
      <c r="D807" s="344">
        <f>'ALL ML SYSTEMS'!D793</f>
        <v>0</v>
      </c>
      <c r="E807" s="344">
        <f>'ALL ML SYSTEMS'!E793</f>
        <v>0</v>
      </c>
      <c r="F807" s="344">
        <f>'ALL ML SYSTEMS'!F793</f>
        <v>0</v>
      </c>
      <c r="G807" s="344">
        <f>'ALL ML SYSTEMS'!G793</f>
        <v>0</v>
      </c>
      <c r="H807" s="344">
        <f>'ALL ML SYSTEMS'!H793</f>
        <v>0</v>
      </c>
      <c r="I807" s="344">
        <f>'ALL ML SYSTEMS'!I793</f>
        <v>0</v>
      </c>
      <c r="J807" s="344">
        <f>'ALL ML SYSTEMS'!J793</f>
        <v>0</v>
      </c>
      <c r="K807" s="344">
        <f>'ALL ML SYSTEMS'!K793</f>
        <v>0</v>
      </c>
      <c r="L807" s="344">
        <f>'ALL ML SYSTEMS'!L793</f>
        <v>0</v>
      </c>
      <c r="M807" s="344">
        <f>'ALL ML SYSTEMS'!M793</f>
        <v>0</v>
      </c>
      <c r="N807" s="344">
        <f>'ALL ML SYSTEMS'!N793</f>
        <v>0</v>
      </c>
      <c r="O807" s="344">
        <f>'ALL ML SYSTEMS'!O793</f>
        <v>0</v>
      </c>
      <c r="P807" s="344">
        <f>'ALL ML SYSTEMS'!P793</f>
        <v>0</v>
      </c>
      <c r="Q807" s="344">
        <f>'ALL ML SYSTEMS'!Q793</f>
        <v>0</v>
      </c>
      <c r="R807" s="344">
        <f>'ALL ML SYSTEMS'!R793</f>
        <v>0</v>
      </c>
      <c r="S807" s="344">
        <f>'ALL ML SYSTEMS'!S793</f>
        <v>0</v>
      </c>
      <c r="T807" s="344">
        <f>'ALL ML SYSTEMS'!T793</f>
        <v>0</v>
      </c>
      <c r="U807" s="344">
        <f>'ALL ML SYSTEMS'!U793</f>
        <v>0</v>
      </c>
      <c r="V807" s="344">
        <f>'ALL ML SYSTEMS'!V793</f>
        <v>0</v>
      </c>
      <c r="W807" s="344">
        <f>'ALL ML SYSTEMS'!W793</f>
        <v>0</v>
      </c>
      <c r="X807" s="344">
        <f>'ALL ML SYSTEMS'!X793</f>
        <v>0</v>
      </c>
      <c r="Y807" s="344">
        <f>'ALL ML SYSTEMS'!Y793</f>
        <v>0</v>
      </c>
      <c r="Z807" s="344">
        <f>'ALL ML SYSTEMS'!Z793</f>
        <v>0</v>
      </c>
      <c r="AA807" s="344">
        <f>'ALL ML SYSTEMS'!AA793</f>
        <v>0</v>
      </c>
      <c r="AB807" s="344"/>
      <c r="AC807" s="344">
        <f>'ALL ML SYSTEMS'!AC793</f>
        <v>0</v>
      </c>
      <c r="AD807" s="344">
        <f>'ALL ML SYSTEMS'!AD793</f>
        <v>0</v>
      </c>
    </row>
    <row r="808" hidden="1" customHeight="1" spans="1:30">
      <c r="A808" s="344">
        <f>'ALL ML SYSTEMS'!A794</f>
        <v>0</v>
      </c>
      <c r="B808" s="344">
        <f>'ALL ML SYSTEMS'!B794</f>
        <v>0</v>
      </c>
      <c r="C808" s="344">
        <f>'ALL ML SYSTEMS'!C794</f>
        <v>0</v>
      </c>
      <c r="D808" s="344">
        <f>'ALL ML SYSTEMS'!D794</f>
        <v>0</v>
      </c>
      <c r="E808" s="344">
        <f>'ALL ML SYSTEMS'!E794</f>
        <v>0</v>
      </c>
      <c r="F808" s="344">
        <f>'ALL ML SYSTEMS'!F794</f>
        <v>0</v>
      </c>
      <c r="G808" s="344">
        <f>'ALL ML SYSTEMS'!G794</f>
        <v>0</v>
      </c>
      <c r="H808" s="344">
        <f>'ALL ML SYSTEMS'!H794</f>
        <v>0</v>
      </c>
      <c r="I808" s="344">
        <f>'ALL ML SYSTEMS'!I794</f>
        <v>0</v>
      </c>
      <c r="J808" s="344">
        <f>'ALL ML SYSTEMS'!J794</f>
        <v>0</v>
      </c>
      <c r="K808" s="344">
        <f>'ALL ML SYSTEMS'!K794</f>
        <v>0</v>
      </c>
      <c r="L808" s="344">
        <f>'ALL ML SYSTEMS'!L794</f>
        <v>0</v>
      </c>
      <c r="M808" s="344">
        <f>'ALL ML SYSTEMS'!M794</f>
        <v>0</v>
      </c>
      <c r="N808" s="344">
        <f>'ALL ML SYSTEMS'!N794</f>
        <v>0</v>
      </c>
      <c r="O808" s="344">
        <f>'ALL ML SYSTEMS'!O794</f>
        <v>0</v>
      </c>
      <c r="P808" s="344">
        <f>'ALL ML SYSTEMS'!P794</f>
        <v>0</v>
      </c>
      <c r="Q808" s="344">
        <f>'ALL ML SYSTEMS'!Q794</f>
        <v>0</v>
      </c>
      <c r="R808" s="344">
        <f>'ALL ML SYSTEMS'!R794</f>
        <v>0</v>
      </c>
      <c r="S808" s="344">
        <f>'ALL ML SYSTEMS'!S794</f>
        <v>0</v>
      </c>
      <c r="T808" s="344">
        <f>'ALL ML SYSTEMS'!T794</f>
        <v>0</v>
      </c>
      <c r="U808" s="344">
        <f>'ALL ML SYSTEMS'!U794</f>
        <v>0</v>
      </c>
      <c r="V808" s="344">
        <f>'ALL ML SYSTEMS'!V794</f>
        <v>0</v>
      </c>
      <c r="W808" s="344">
        <f>'ALL ML SYSTEMS'!W794</f>
        <v>0</v>
      </c>
      <c r="X808" s="344">
        <f>'ALL ML SYSTEMS'!X794</f>
        <v>0</v>
      </c>
      <c r="Y808" s="344">
        <f>'ALL ML SYSTEMS'!Y794</f>
        <v>0</v>
      </c>
      <c r="Z808" s="344">
        <f>'ALL ML SYSTEMS'!Z794</f>
        <v>0</v>
      </c>
      <c r="AA808" s="344">
        <f>'ALL ML SYSTEMS'!AA794</f>
        <v>0</v>
      </c>
      <c r="AB808" s="344"/>
      <c r="AC808" s="344">
        <f>'ALL ML SYSTEMS'!AC794</f>
        <v>0</v>
      </c>
      <c r="AD808" s="344">
        <f>'ALL ML SYSTEMS'!AD794</f>
        <v>0</v>
      </c>
    </row>
    <row r="809" hidden="1" customHeight="1" spans="1:30">
      <c r="A809" s="344">
        <f>'ALL ML SYSTEMS'!A795</f>
        <v>0</v>
      </c>
      <c r="B809" s="344">
        <f>'ALL ML SYSTEMS'!B795</f>
        <v>0</v>
      </c>
      <c r="C809" s="344">
        <f>'ALL ML SYSTEMS'!C795</f>
        <v>0</v>
      </c>
      <c r="D809" s="344">
        <f>'ALL ML SYSTEMS'!D795</f>
        <v>0</v>
      </c>
      <c r="E809" s="344">
        <f>'ALL ML SYSTEMS'!E795</f>
        <v>0</v>
      </c>
      <c r="F809" s="344">
        <f>'ALL ML SYSTEMS'!F795</f>
        <v>0</v>
      </c>
      <c r="G809" s="344">
        <f>'ALL ML SYSTEMS'!G795</f>
        <v>0</v>
      </c>
      <c r="H809" s="344">
        <f>'ALL ML SYSTEMS'!H795</f>
        <v>0</v>
      </c>
      <c r="I809" s="344">
        <f>'ALL ML SYSTEMS'!I795</f>
        <v>0</v>
      </c>
      <c r="J809" s="344">
        <f>'ALL ML SYSTEMS'!J795</f>
        <v>0</v>
      </c>
      <c r="K809" s="344">
        <f>'ALL ML SYSTEMS'!K795</f>
        <v>0</v>
      </c>
      <c r="L809" s="344">
        <f>'ALL ML SYSTEMS'!L795</f>
        <v>0</v>
      </c>
      <c r="M809" s="344">
        <f>'ALL ML SYSTEMS'!M795</f>
        <v>0</v>
      </c>
      <c r="N809" s="344">
        <f>'ALL ML SYSTEMS'!N795</f>
        <v>0</v>
      </c>
      <c r="O809" s="344">
        <f>'ALL ML SYSTEMS'!O795</f>
        <v>0</v>
      </c>
      <c r="P809" s="344">
        <f>'ALL ML SYSTEMS'!P795</f>
        <v>0</v>
      </c>
      <c r="Q809" s="344">
        <f>'ALL ML SYSTEMS'!Q795</f>
        <v>0</v>
      </c>
      <c r="R809" s="344">
        <f>'ALL ML SYSTEMS'!R795</f>
        <v>0</v>
      </c>
      <c r="S809" s="344">
        <f>'ALL ML SYSTEMS'!S795</f>
        <v>0</v>
      </c>
      <c r="T809" s="344">
        <f>'ALL ML SYSTEMS'!T795</f>
        <v>0</v>
      </c>
      <c r="U809" s="344">
        <f>'ALL ML SYSTEMS'!U795</f>
        <v>0</v>
      </c>
      <c r="V809" s="344">
        <f>'ALL ML SYSTEMS'!V795</f>
        <v>0</v>
      </c>
      <c r="W809" s="344">
        <f>'ALL ML SYSTEMS'!W795</f>
        <v>0</v>
      </c>
      <c r="X809" s="344">
        <f>'ALL ML SYSTEMS'!X795</f>
        <v>0</v>
      </c>
      <c r="Y809" s="344">
        <f>'ALL ML SYSTEMS'!Y795</f>
        <v>0</v>
      </c>
      <c r="Z809" s="344">
        <f>'ALL ML SYSTEMS'!Z795</f>
        <v>0</v>
      </c>
      <c r="AA809" s="344">
        <f>'ALL ML SYSTEMS'!AA795</f>
        <v>0</v>
      </c>
      <c r="AB809" s="344"/>
      <c r="AC809" s="344">
        <f>'ALL ML SYSTEMS'!AC795</f>
        <v>0</v>
      </c>
      <c r="AD809" s="344">
        <f>'ALL ML SYSTEMS'!AD795</f>
        <v>0</v>
      </c>
    </row>
    <row r="810" hidden="1" customHeight="1" spans="1:30">
      <c r="A810" s="344">
        <f>'ALL ML SYSTEMS'!A796</f>
        <v>0</v>
      </c>
      <c r="B810" s="344">
        <f>'ALL ML SYSTEMS'!B796</f>
        <v>0</v>
      </c>
      <c r="C810" s="344">
        <f>'ALL ML SYSTEMS'!C796</f>
        <v>0</v>
      </c>
      <c r="D810" s="344">
        <f>'ALL ML SYSTEMS'!D796</f>
        <v>0</v>
      </c>
      <c r="E810" s="344">
        <f>'ALL ML SYSTEMS'!E796</f>
        <v>0</v>
      </c>
      <c r="F810" s="344">
        <f>'ALL ML SYSTEMS'!F796</f>
        <v>0</v>
      </c>
      <c r="G810" s="344">
        <f>'ALL ML SYSTEMS'!G796</f>
        <v>0</v>
      </c>
      <c r="H810" s="344">
        <f>'ALL ML SYSTEMS'!H796</f>
        <v>0</v>
      </c>
      <c r="I810" s="344">
        <f>'ALL ML SYSTEMS'!I796</f>
        <v>0</v>
      </c>
      <c r="J810" s="344">
        <f>'ALL ML SYSTEMS'!J796</f>
        <v>0</v>
      </c>
      <c r="K810" s="344">
        <f>'ALL ML SYSTEMS'!K796</f>
        <v>0</v>
      </c>
      <c r="L810" s="344">
        <f>'ALL ML SYSTEMS'!L796</f>
        <v>0</v>
      </c>
      <c r="M810" s="344">
        <f>'ALL ML SYSTEMS'!M796</f>
        <v>0</v>
      </c>
      <c r="N810" s="344">
        <f>'ALL ML SYSTEMS'!N796</f>
        <v>0</v>
      </c>
      <c r="O810" s="344">
        <f>'ALL ML SYSTEMS'!O796</f>
        <v>0</v>
      </c>
      <c r="P810" s="344">
        <f>'ALL ML SYSTEMS'!P796</f>
        <v>0</v>
      </c>
      <c r="Q810" s="344">
        <f>'ALL ML SYSTEMS'!Q796</f>
        <v>0</v>
      </c>
      <c r="R810" s="344">
        <f>'ALL ML SYSTEMS'!R796</f>
        <v>0</v>
      </c>
      <c r="S810" s="344">
        <f>'ALL ML SYSTEMS'!S796</f>
        <v>0</v>
      </c>
      <c r="T810" s="344">
        <f>'ALL ML SYSTEMS'!T796</f>
        <v>0</v>
      </c>
      <c r="U810" s="344">
        <f>'ALL ML SYSTEMS'!U796</f>
        <v>0</v>
      </c>
      <c r="V810" s="344">
        <f>'ALL ML SYSTEMS'!V796</f>
        <v>0</v>
      </c>
      <c r="W810" s="344">
        <f>'ALL ML SYSTEMS'!W796</f>
        <v>0</v>
      </c>
      <c r="X810" s="344">
        <f>'ALL ML SYSTEMS'!X796</f>
        <v>0</v>
      </c>
      <c r="Y810" s="344">
        <f>'ALL ML SYSTEMS'!Y796</f>
        <v>0</v>
      </c>
      <c r="Z810" s="344">
        <f>'ALL ML SYSTEMS'!Z796</f>
        <v>0</v>
      </c>
      <c r="AA810" s="344">
        <f>'ALL ML SYSTEMS'!AA796</f>
        <v>0</v>
      </c>
      <c r="AB810" s="344"/>
      <c r="AC810" s="344">
        <f>'ALL ML SYSTEMS'!AC796</f>
        <v>0</v>
      </c>
      <c r="AD810" s="344">
        <f>'ALL ML SYSTEMS'!AD796</f>
        <v>0</v>
      </c>
    </row>
    <row r="811" hidden="1" customHeight="1" spans="1:30">
      <c r="A811" s="344">
        <f>'ALL ML SYSTEMS'!A797</f>
        <v>0</v>
      </c>
      <c r="B811" s="344">
        <f>'ALL ML SYSTEMS'!B797</f>
        <v>0</v>
      </c>
      <c r="C811" s="344">
        <f>'ALL ML SYSTEMS'!C797</f>
        <v>0</v>
      </c>
      <c r="D811" s="344">
        <f>'ALL ML SYSTEMS'!D797</f>
        <v>0</v>
      </c>
      <c r="E811" s="344">
        <f>'ALL ML SYSTEMS'!E797</f>
        <v>0</v>
      </c>
      <c r="F811" s="344">
        <f>'ALL ML SYSTEMS'!F797</f>
        <v>0</v>
      </c>
      <c r="G811" s="344">
        <f>'ALL ML SYSTEMS'!G797</f>
        <v>0</v>
      </c>
      <c r="H811" s="344">
        <f>'ALL ML SYSTEMS'!H797</f>
        <v>0</v>
      </c>
      <c r="I811" s="344">
        <f>'ALL ML SYSTEMS'!I797</f>
        <v>0</v>
      </c>
      <c r="J811" s="344">
        <f>'ALL ML SYSTEMS'!J797</f>
        <v>0</v>
      </c>
      <c r="K811" s="344">
        <f>'ALL ML SYSTEMS'!K797</f>
        <v>0</v>
      </c>
      <c r="L811" s="344">
        <f>'ALL ML SYSTEMS'!L797</f>
        <v>0</v>
      </c>
      <c r="M811" s="344">
        <f>'ALL ML SYSTEMS'!M797</f>
        <v>0</v>
      </c>
      <c r="N811" s="344">
        <f>'ALL ML SYSTEMS'!N797</f>
        <v>0</v>
      </c>
      <c r="O811" s="344">
        <f>'ALL ML SYSTEMS'!O797</f>
        <v>0</v>
      </c>
      <c r="P811" s="344">
        <f>'ALL ML SYSTEMS'!P797</f>
        <v>0</v>
      </c>
      <c r="Q811" s="344">
        <f>'ALL ML SYSTEMS'!Q797</f>
        <v>0</v>
      </c>
      <c r="R811" s="344">
        <f>'ALL ML SYSTEMS'!R797</f>
        <v>0</v>
      </c>
      <c r="S811" s="344">
        <f>'ALL ML SYSTEMS'!S797</f>
        <v>0</v>
      </c>
      <c r="T811" s="344">
        <f>'ALL ML SYSTEMS'!T797</f>
        <v>0</v>
      </c>
      <c r="U811" s="344">
        <f>'ALL ML SYSTEMS'!U797</f>
        <v>0</v>
      </c>
      <c r="V811" s="344">
        <f>'ALL ML SYSTEMS'!V797</f>
        <v>0</v>
      </c>
      <c r="W811" s="344">
        <f>'ALL ML SYSTEMS'!W797</f>
        <v>0</v>
      </c>
      <c r="X811" s="344">
        <f>'ALL ML SYSTEMS'!X797</f>
        <v>0</v>
      </c>
      <c r="Y811" s="344">
        <f>'ALL ML SYSTEMS'!Y797</f>
        <v>0</v>
      </c>
      <c r="Z811" s="344">
        <f>'ALL ML SYSTEMS'!Z797</f>
        <v>0</v>
      </c>
      <c r="AA811" s="344">
        <f>'ALL ML SYSTEMS'!AA797</f>
        <v>0</v>
      </c>
      <c r="AB811" s="344"/>
      <c r="AC811" s="344">
        <f>'ALL ML SYSTEMS'!AC797</f>
        <v>0</v>
      </c>
      <c r="AD811" s="344">
        <f>'ALL ML SYSTEMS'!AD797</f>
        <v>0</v>
      </c>
    </row>
    <row r="812" hidden="1" customHeight="1" spans="1:30">
      <c r="A812" s="344">
        <f>'ALL ML SYSTEMS'!A798</f>
        <v>0</v>
      </c>
      <c r="B812" s="344">
        <f>'ALL ML SYSTEMS'!B798</f>
        <v>0</v>
      </c>
      <c r="C812" s="344">
        <f>'ALL ML SYSTEMS'!C798</f>
        <v>0</v>
      </c>
      <c r="D812" s="344">
        <f>'ALL ML SYSTEMS'!D798</f>
        <v>0</v>
      </c>
      <c r="E812" s="344">
        <f>'ALL ML SYSTEMS'!E798</f>
        <v>0</v>
      </c>
      <c r="F812" s="344">
        <f>'ALL ML SYSTEMS'!F798</f>
        <v>0</v>
      </c>
      <c r="G812" s="344">
        <f>'ALL ML SYSTEMS'!G798</f>
        <v>0</v>
      </c>
      <c r="H812" s="344">
        <f>'ALL ML SYSTEMS'!H798</f>
        <v>0</v>
      </c>
      <c r="I812" s="344">
        <f>'ALL ML SYSTEMS'!I798</f>
        <v>0</v>
      </c>
      <c r="J812" s="344">
        <f>'ALL ML SYSTEMS'!J798</f>
        <v>0</v>
      </c>
      <c r="K812" s="344">
        <f>'ALL ML SYSTEMS'!K798</f>
        <v>0</v>
      </c>
      <c r="L812" s="344">
        <f>'ALL ML SYSTEMS'!L798</f>
        <v>0</v>
      </c>
      <c r="M812" s="344">
        <f>'ALL ML SYSTEMS'!M798</f>
        <v>0</v>
      </c>
      <c r="N812" s="344">
        <f>'ALL ML SYSTEMS'!N798</f>
        <v>0</v>
      </c>
      <c r="O812" s="344">
        <f>'ALL ML SYSTEMS'!O798</f>
        <v>0</v>
      </c>
      <c r="P812" s="344">
        <f>'ALL ML SYSTEMS'!P798</f>
        <v>0</v>
      </c>
      <c r="Q812" s="344">
        <f>'ALL ML SYSTEMS'!Q798</f>
        <v>0</v>
      </c>
      <c r="R812" s="344">
        <f>'ALL ML SYSTEMS'!R798</f>
        <v>0</v>
      </c>
      <c r="S812" s="344">
        <f>'ALL ML SYSTEMS'!S798</f>
        <v>0</v>
      </c>
      <c r="T812" s="344">
        <f>'ALL ML SYSTEMS'!T798</f>
        <v>0</v>
      </c>
      <c r="U812" s="344">
        <f>'ALL ML SYSTEMS'!U798</f>
        <v>0</v>
      </c>
      <c r="V812" s="344">
        <f>'ALL ML SYSTEMS'!V798</f>
        <v>0</v>
      </c>
      <c r="W812" s="344">
        <f>'ALL ML SYSTEMS'!W798</f>
        <v>0</v>
      </c>
      <c r="X812" s="344">
        <f>'ALL ML SYSTEMS'!X798</f>
        <v>0</v>
      </c>
      <c r="Y812" s="344">
        <f>'ALL ML SYSTEMS'!Y798</f>
        <v>0</v>
      </c>
      <c r="Z812" s="344">
        <f>'ALL ML SYSTEMS'!Z798</f>
        <v>0</v>
      </c>
      <c r="AA812" s="344">
        <f>'ALL ML SYSTEMS'!AA798</f>
        <v>0</v>
      </c>
      <c r="AB812" s="344"/>
      <c r="AC812" s="344">
        <f>'ALL ML SYSTEMS'!AC798</f>
        <v>0</v>
      </c>
      <c r="AD812" s="344">
        <f>'ALL ML SYSTEMS'!AD798</f>
        <v>0</v>
      </c>
    </row>
    <row r="813" hidden="1" customHeight="1" spans="1:30">
      <c r="A813" s="344">
        <f>'ALL ML SYSTEMS'!A799</f>
        <v>0</v>
      </c>
      <c r="B813" s="344">
        <f>'ALL ML SYSTEMS'!B799</f>
        <v>0</v>
      </c>
      <c r="C813" s="344">
        <f>'ALL ML SYSTEMS'!C799</f>
        <v>0</v>
      </c>
      <c r="D813" s="344">
        <f>'ALL ML SYSTEMS'!D799</f>
        <v>0</v>
      </c>
      <c r="E813" s="344">
        <f>'ALL ML SYSTEMS'!E799</f>
        <v>0</v>
      </c>
      <c r="F813" s="344">
        <f>'ALL ML SYSTEMS'!F799</f>
        <v>0</v>
      </c>
      <c r="G813" s="344">
        <f>'ALL ML SYSTEMS'!G799</f>
        <v>0</v>
      </c>
      <c r="H813" s="344">
        <f>'ALL ML SYSTEMS'!H799</f>
        <v>0</v>
      </c>
      <c r="I813" s="344">
        <f>'ALL ML SYSTEMS'!I799</f>
        <v>0</v>
      </c>
      <c r="J813" s="344">
        <f>'ALL ML SYSTEMS'!J799</f>
        <v>0</v>
      </c>
      <c r="K813" s="344">
        <f>'ALL ML SYSTEMS'!K799</f>
        <v>0</v>
      </c>
      <c r="L813" s="344">
        <f>'ALL ML SYSTEMS'!L799</f>
        <v>0</v>
      </c>
      <c r="M813" s="344">
        <f>'ALL ML SYSTEMS'!M799</f>
        <v>0</v>
      </c>
      <c r="N813" s="344">
        <f>'ALL ML SYSTEMS'!N799</f>
        <v>0</v>
      </c>
      <c r="O813" s="344">
        <f>'ALL ML SYSTEMS'!O799</f>
        <v>0</v>
      </c>
      <c r="P813" s="344">
        <f>'ALL ML SYSTEMS'!P799</f>
        <v>0</v>
      </c>
      <c r="Q813" s="344">
        <f>'ALL ML SYSTEMS'!Q799</f>
        <v>0</v>
      </c>
      <c r="R813" s="344">
        <f>'ALL ML SYSTEMS'!R799</f>
        <v>0</v>
      </c>
      <c r="S813" s="344">
        <f>'ALL ML SYSTEMS'!S799</f>
        <v>0</v>
      </c>
      <c r="T813" s="344">
        <f>'ALL ML SYSTEMS'!T799</f>
        <v>0</v>
      </c>
      <c r="U813" s="344">
        <f>'ALL ML SYSTEMS'!U799</f>
        <v>0</v>
      </c>
      <c r="V813" s="344">
        <f>'ALL ML SYSTEMS'!V799</f>
        <v>0</v>
      </c>
      <c r="W813" s="344">
        <f>'ALL ML SYSTEMS'!W799</f>
        <v>0</v>
      </c>
      <c r="X813" s="344">
        <f>'ALL ML SYSTEMS'!X799</f>
        <v>0</v>
      </c>
      <c r="Y813" s="344">
        <f>'ALL ML SYSTEMS'!Y799</f>
        <v>0</v>
      </c>
      <c r="Z813" s="344">
        <f>'ALL ML SYSTEMS'!Z799</f>
        <v>0</v>
      </c>
      <c r="AA813" s="344">
        <f>'ALL ML SYSTEMS'!AA799</f>
        <v>0</v>
      </c>
      <c r="AB813" s="344"/>
      <c r="AC813" s="344">
        <f>'ALL ML SYSTEMS'!AC799</f>
        <v>0</v>
      </c>
      <c r="AD813" s="344">
        <f>'ALL ML SYSTEMS'!AD799</f>
        <v>0</v>
      </c>
    </row>
    <row r="814" hidden="1" customHeight="1" spans="1:30">
      <c r="A814" s="344">
        <f>'ALL ML SYSTEMS'!A800</f>
        <v>0</v>
      </c>
      <c r="B814" s="344">
        <f>'ALL ML SYSTEMS'!B800</f>
        <v>0</v>
      </c>
      <c r="C814" s="344">
        <f>'ALL ML SYSTEMS'!C800</f>
        <v>0</v>
      </c>
      <c r="D814" s="344">
        <f>'ALL ML SYSTEMS'!D800</f>
        <v>0</v>
      </c>
      <c r="E814" s="344">
        <f>'ALL ML SYSTEMS'!E800</f>
        <v>0</v>
      </c>
      <c r="F814" s="344">
        <f>'ALL ML SYSTEMS'!F800</f>
        <v>0</v>
      </c>
      <c r="G814" s="344">
        <f>'ALL ML SYSTEMS'!G800</f>
        <v>0</v>
      </c>
      <c r="H814" s="344">
        <f>'ALL ML SYSTEMS'!H800</f>
        <v>0</v>
      </c>
      <c r="I814" s="344">
        <f>'ALL ML SYSTEMS'!I800</f>
        <v>0</v>
      </c>
      <c r="J814" s="344">
        <f>'ALL ML SYSTEMS'!J800</f>
        <v>0</v>
      </c>
      <c r="K814" s="344">
        <f>'ALL ML SYSTEMS'!K800</f>
        <v>0</v>
      </c>
      <c r="L814" s="344">
        <f>'ALL ML SYSTEMS'!L800</f>
        <v>0</v>
      </c>
      <c r="M814" s="344">
        <f>'ALL ML SYSTEMS'!M800</f>
        <v>0</v>
      </c>
      <c r="N814" s="344">
        <f>'ALL ML SYSTEMS'!N800</f>
        <v>0</v>
      </c>
      <c r="O814" s="344">
        <f>'ALL ML SYSTEMS'!O800</f>
        <v>0</v>
      </c>
      <c r="P814" s="344">
        <f>'ALL ML SYSTEMS'!P800</f>
        <v>0</v>
      </c>
      <c r="Q814" s="344">
        <f>'ALL ML SYSTEMS'!Q800</f>
        <v>0</v>
      </c>
      <c r="R814" s="344">
        <f>'ALL ML SYSTEMS'!R800</f>
        <v>0</v>
      </c>
      <c r="S814" s="344">
        <f>'ALL ML SYSTEMS'!S800</f>
        <v>0</v>
      </c>
      <c r="T814" s="344">
        <f>'ALL ML SYSTEMS'!T800</f>
        <v>0</v>
      </c>
      <c r="U814" s="344">
        <f>'ALL ML SYSTEMS'!U800</f>
        <v>0</v>
      </c>
      <c r="V814" s="344">
        <f>'ALL ML SYSTEMS'!V800</f>
        <v>0</v>
      </c>
      <c r="W814" s="344">
        <f>'ALL ML SYSTEMS'!W800</f>
        <v>0</v>
      </c>
      <c r="X814" s="344">
        <f>'ALL ML SYSTEMS'!X800</f>
        <v>0</v>
      </c>
      <c r="Y814" s="344">
        <f>'ALL ML SYSTEMS'!Y800</f>
        <v>0</v>
      </c>
      <c r="Z814" s="344">
        <f>'ALL ML SYSTEMS'!Z800</f>
        <v>0</v>
      </c>
      <c r="AA814" s="344">
        <f>'ALL ML SYSTEMS'!AA800</f>
        <v>0</v>
      </c>
      <c r="AB814" s="344"/>
      <c r="AC814" s="344">
        <f>'ALL ML SYSTEMS'!AC800</f>
        <v>0</v>
      </c>
      <c r="AD814" s="344">
        <f>'ALL ML SYSTEMS'!AD800</f>
        <v>0</v>
      </c>
    </row>
    <row r="815" hidden="1" customHeight="1" spans="1:30">
      <c r="A815" s="344">
        <f>'ALL ML SYSTEMS'!A801</f>
        <v>0</v>
      </c>
      <c r="B815" s="344">
        <f>'ALL ML SYSTEMS'!B801</f>
        <v>0</v>
      </c>
      <c r="C815" s="344">
        <f>'ALL ML SYSTEMS'!C801</f>
        <v>0</v>
      </c>
      <c r="D815" s="344">
        <f>'ALL ML SYSTEMS'!D801</f>
        <v>0</v>
      </c>
      <c r="E815" s="344">
        <f>'ALL ML SYSTEMS'!E801</f>
        <v>0</v>
      </c>
      <c r="F815" s="344">
        <f>'ALL ML SYSTEMS'!F801</f>
        <v>0</v>
      </c>
      <c r="G815" s="344">
        <f>'ALL ML SYSTEMS'!G801</f>
        <v>0</v>
      </c>
      <c r="H815" s="344">
        <f>'ALL ML SYSTEMS'!H801</f>
        <v>0</v>
      </c>
      <c r="I815" s="344">
        <f>'ALL ML SYSTEMS'!I801</f>
        <v>0</v>
      </c>
      <c r="J815" s="344">
        <f>'ALL ML SYSTEMS'!J801</f>
        <v>0</v>
      </c>
      <c r="K815" s="344">
        <f>'ALL ML SYSTEMS'!K801</f>
        <v>0</v>
      </c>
      <c r="L815" s="344">
        <f>'ALL ML SYSTEMS'!L801</f>
        <v>0</v>
      </c>
      <c r="M815" s="344">
        <f>'ALL ML SYSTEMS'!M801</f>
        <v>0</v>
      </c>
      <c r="N815" s="344">
        <f>'ALL ML SYSTEMS'!N801</f>
        <v>0</v>
      </c>
      <c r="O815" s="344">
        <f>'ALL ML SYSTEMS'!O801</f>
        <v>0</v>
      </c>
      <c r="P815" s="344">
        <f>'ALL ML SYSTEMS'!P801</f>
        <v>0</v>
      </c>
      <c r="Q815" s="344">
        <f>'ALL ML SYSTEMS'!Q801</f>
        <v>0</v>
      </c>
      <c r="R815" s="344">
        <f>'ALL ML SYSTEMS'!R801</f>
        <v>0</v>
      </c>
      <c r="S815" s="344">
        <f>'ALL ML SYSTEMS'!S801</f>
        <v>0</v>
      </c>
      <c r="T815" s="344">
        <f>'ALL ML SYSTEMS'!T801</f>
        <v>0</v>
      </c>
      <c r="U815" s="344">
        <f>'ALL ML SYSTEMS'!U801</f>
        <v>0</v>
      </c>
      <c r="V815" s="344">
        <f>'ALL ML SYSTEMS'!V801</f>
        <v>0</v>
      </c>
      <c r="W815" s="344">
        <f>'ALL ML SYSTEMS'!W801</f>
        <v>0</v>
      </c>
      <c r="X815" s="344">
        <f>'ALL ML SYSTEMS'!X801</f>
        <v>0</v>
      </c>
      <c r="Y815" s="344">
        <f>'ALL ML SYSTEMS'!Y801</f>
        <v>0</v>
      </c>
      <c r="Z815" s="344">
        <f>'ALL ML SYSTEMS'!Z801</f>
        <v>0</v>
      </c>
      <c r="AA815" s="344">
        <f>'ALL ML SYSTEMS'!AA801</f>
        <v>0</v>
      </c>
      <c r="AB815" s="344"/>
      <c r="AC815" s="344">
        <f>'ALL ML SYSTEMS'!AC801</f>
        <v>0</v>
      </c>
      <c r="AD815" s="344">
        <f>'ALL ML SYSTEMS'!AD801</f>
        <v>0</v>
      </c>
    </row>
    <row r="816" hidden="1" customHeight="1" spans="1:30">
      <c r="A816" s="344">
        <f>'ALL ML SYSTEMS'!A802</f>
        <v>0</v>
      </c>
      <c r="B816" s="344">
        <f>'ALL ML SYSTEMS'!B802</f>
        <v>0</v>
      </c>
      <c r="C816" s="344">
        <f>'ALL ML SYSTEMS'!C802</f>
        <v>0</v>
      </c>
      <c r="D816" s="344">
        <f>'ALL ML SYSTEMS'!D802</f>
        <v>0</v>
      </c>
      <c r="E816" s="344">
        <f>'ALL ML SYSTEMS'!E802</f>
        <v>0</v>
      </c>
      <c r="F816" s="344">
        <f>'ALL ML SYSTEMS'!F802</f>
        <v>0</v>
      </c>
      <c r="G816" s="344">
        <f>'ALL ML SYSTEMS'!G802</f>
        <v>0</v>
      </c>
      <c r="H816" s="344">
        <f>'ALL ML SYSTEMS'!H802</f>
        <v>0</v>
      </c>
      <c r="I816" s="344">
        <f>'ALL ML SYSTEMS'!I802</f>
        <v>0</v>
      </c>
      <c r="J816" s="344">
        <f>'ALL ML SYSTEMS'!J802</f>
        <v>0</v>
      </c>
      <c r="K816" s="344">
        <f>'ALL ML SYSTEMS'!K802</f>
        <v>0</v>
      </c>
      <c r="L816" s="344">
        <f>'ALL ML SYSTEMS'!L802</f>
        <v>0</v>
      </c>
      <c r="M816" s="344">
        <f>'ALL ML SYSTEMS'!M802</f>
        <v>0</v>
      </c>
      <c r="N816" s="344">
        <f>'ALL ML SYSTEMS'!N802</f>
        <v>0</v>
      </c>
      <c r="O816" s="344">
        <f>'ALL ML SYSTEMS'!O802</f>
        <v>0</v>
      </c>
      <c r="P816" s="344">
        <f>'ALL ML SYSTEMS'!P802</f>
        <v>0</v>
      </c>
      <c r="Q816" s="344">
        <f>'ALL ML SYSTEMS'!Q802</f>
        <v>0</v>
      </c>
      <c r="R816" s="344">
        <f>'ALL ML SYSTEMS'!R802</f>
        <v>0</v>
      </c>
      <c r="S816" s="344">
        <f>'ALL ML SYSTEMS'!S802</f>
        <v>0</v>
      </c>
      <c r="T816" s="344">
        <f>'ALL ML SYSTEMS'!T802</f>
        <v>0</v>
      </c>
      <c r="U816" s="344">
        <f>'ALL ML SYSTEMS'!U802</f>
        <v>0</v>
      </c>
      <c r="V816" s="344">
        <f>'ALL ML SYSTEMS'!V802</f>
        <v>0</v>
      </c>
      <c r="W816" s="344">
        <f>'ALL ML SYSTEMS'!W802</f>
        <v>0</v>
      </c>
      <c r="X816" s="344">
        <f>'ALL ML SYSTEMS'!X802</f>
        <v>0</v>
      </c>
      <c r="Y816" s="344">
        <f>'ALL ML SYSTEMS'!Y802</f>
        <v>0</v>
      </c>
      <c r="Z816" s="344">
        <f>'ALL ML SYSTEMS'!Z802</f>
        <v>0</v>
      </c>
      <c r="AA816" s="344">
        <f>'ALL ML SYSTEMS'!AA802</f>
        <v>0</v>
      </c>
      <c r="AB816" s="344"/>
      <c r="AC816" s="344">
        <f>'ALL ML SYSTEMS'!AC802</f>
        <v>0</v>
      </c>
      <c r="AD816" s="344">
        <f>'ALL ML SYSTEMS'!AD802</f>
        <v>0</v>
      </c>
    </row>
    <row r="817" hidden="1" customHeight="1" spans="1:30">
      <c r="A817" s="344">
        <f>'ALL ML SYSTEMS'!A803</f>
        <v>0</v>
      </c>
      <c r="B817" s="344">
        <f>'ALL ML SYSTEMS'!B803</f>
        <v>0</v>
      </c>
      <c r="C817" s="344">
        <f>'ALL ML SYSTEMS'!C803</f>
        <v>0</v>
      </c>
      <c r="D817" s="344">
        <f>'ALL ML SYSTEMS'!D803</f>
        <v>0</v>
      </c>
      <c r="E817" s="344">
        <f>'ALL ML SYSTEMS'!E803</f>
        <v>0</v>
      </c>
      <c r="F817" s="344">
        <f>'ALL ML SYSTEMS'!F803</f>
        <v>0</v>
      </c>
      <c r="G817" s="344">
        <f>'ALL ML SYSTEMS'!G803</f>
        <v>0</v>
      </c>
      <c r="H817" s="344">
        <f>'ALL ML SYSTEMS'!H803</f>
        <v>0</v>
      </c>
      <c r="I817" s="344">
        <f>'ALL ML SYSTEMS'!I803</f>
        <v>0</v>
      </c>
      <c r="J817" s="344">
        <f>'ALL ML SYSTEMS'!J803</f>
        <v>0</v>
      </c>
      <c r="K817" s="344">
        <f>'ALL ML SYSTEMS'!K803</f>
        <v>0</v>
      </c>
      <c r="L817" s="344">
        <f>'ALL ML SYSTEMS'!L803</f>
        <v>0</v>
      </c>
      <c r="M817" s="344">
        <f>'ALL ML SYSTEMS'!M803</f>
        <v>0</v>
      </c>
      <c r="N817" s="344">
        <f>'ALL ML SYSTEMS'!N803</f>
        <v>0</v>
      </c>
      <c r="O817" s="344">
        <f>'ALL ML SYSTEMS'!O803</f>
        <v>0</v>
      </c>
      <c r="P817" s="344">
        <f>'ALL ML SYSTEMS'!P803</f>
        <v>0</v>
      </c>
      <c r="Q817" s="344">
        <f>'ALL ML SYSTEMS'!Q803</f>
        <v>0</v>
      </c>
      <c r="R817" s="344">
        <f>'ALL ML SYSTEMS'!R803</f>
        <v>0</v>
      </c>
      <c r="S817" s="344">
        <f>'ALL ML SYSTEMS'!S803</f>
        <v>0</v>
      </c>
      <c r="T817" s="344">
        <f>'ALL ML SYSTEMS'!T803</f>
        <v>0</v>
      </c>
      <c r="U817" s="344">
        <f>'ALL ML SYSTEMS'!U803</f>
        <v>0</v>
      </c>
      <c r="V817" s="344">
        <f>'ALL ML SYSTEMS'!V803</f>
        <v>0</v>
      </c>
      <c r="W817" s="344">
        <f>'ALL ML SYSTEMS'!W803</f>
        <v>0</v>
      </c>
      <c r="X817" s="344">
        <f>'ALL ML SYSTEMS'!X803</f>
        <v>0</v>
      </c>
      <c r="Y817" s="344">
        <f>'ALL ML SYSTEMS'!Y803</f>
        <v>0</v>
      </c>
      <c r="Z817" s="344">
        <f>'ALL ML SYSTEMS'!Z803</f>
        <v>0</v>
      </c>
      <c r="AA817" s="344">
        <f>'ALL ML SYSTEMS'!AA803</f>
        <v>0</v>
      </c>
      <c r="AB817" s="344"/>
      <c r="AC817" s="344">
        <f>'ALL ML SYSTEMS'!AC803</f>
        <v>0</v>
      </c>
      <c r="AD817" s="344">
        <f>'ALL ML SYSTEMS'!AD803</f>
        <v>0</v>
      </c>
    </row>
    <row r="818" hidden="1" customHeight="1" spans="1:30">
      <c r="A818" s="344">
        <f>'ALL ML SYSTEMS'!A804</f>
        <v>0</v>
      </c>
      <c r="B818" s="344">
        <f>'ALL ML SYSTEMS'!B804</f>
        <v>0</v>
      </c>
      <c r="C818" s="344">
        <f>'ALL ML SYSTEMS'!C804</f>
        <v>0</v>
      </c>
      <c r="D818" s="344">
        <f>'ALL ML SYSTEMS'!D804</f>
        <v>0</v>
      </c>
      <c r="E818" s="344">
        <f>'ALL ML SYSTEMS'!E804</f>
        <v>0</v>
      </c>
      <c r="F818" s="344">
        <f>'ALL ML SYSTEMS'!F804</f>
        <v>0</v>
      </c>
      <c r="G818" s="344">
        <f>'ALL ML SYSTEMS'!G804</f>
        <v>0</v>
      </c>
      <c r="H818" s="344">
        <f>'ALL ML SYSTEMS'!H804</f>
        <v>0</v>
      </c>
      <c r="I818" s="344">
        <f>'ALL ML SYSTEMS'!I804</f>
        <v>0</v>
      </c>
      <c r="J818" s="344">
        <f>'ALL ML SYSTEMS'!J804</f>
        <v>0</v>
      </c>
      <c r="K818" s="344">
        <f>'ALL ML SYSTEMS'!K804</f>
        <v>0</v>
      </c>
      <c r="L818" s="344">
        <f>'ALL ML SYSTEMS'!L804</f>
        <v>0</v>
      </c>
      <c r="M818" s="344">
        <f>'ALL ML SYSTEMS'!M804</f>
        <v>0</v>
      </c>
      <c r="N818" s="344">
        <f>'ALL ML SYSTEMS'!N804</f>
        <v>0</v>
      </c>
      <c r="O818" s="344">
        <f>'ALL ML SYSTEMS'!O804</f>
        <v>0</v>
      </c>
      <c r="P818" s="344">
        <f>'ALL ML SYSTEMS'!P804</f>
        <v>0</v>
      </c>
      <c r="Q818" s="344">
        <f>'ALL ML SYSTEMS'!Q804</f>
        <v>0</v>
      </c>
      <c r="R818" s="344">
        <f>'ALL ML SYSTEMS'!R804</f>
        <v>0</v>
      </c>
      <c r="S818" s="344">
        <f>'ALL ML SYSTEMS'!S804</f>
        <v>0</v>
      </c>
      <c r="T818" s="344">
        <f>'ALL ML SYSTEMS'!T804</f>
        <v>0</v>
      </c>
      <c r="U818" s="344">
        <f>'ALL ML SYSTEMS'!U804</f>
        <v>0</v>
      </c>
      <c r="V818" s="344">
        <f>'ALL ML SYSTEMS'!V804</f>
        <v>0</v>
      </c>
      <c r="W818" s="344">
        <f>'ALL ML SYSTEMS'!W804</f>
        <v>0</v>
      </c>
      <c r="X818" s="344">
        <f>'ALL ML SYSTEMS'!X804</f>
        <v>0</v>
      </c>
      <c r="Y818" s="344">
        <f>'ALL ML SYSTEMS'!Y804</f>
        <v>0</v>
      </c>
      <c r="Z818" s="344">
        <f>'ALL ML SYSTEMS'!Z804</f>
        <v>0</v>
      </c>
      <c r="AA818" s="344">
        <f>'ALL ML SYSTEMS'!AA804</f>
        <v>0</v>
      </c>
      <c r="AB818" s="344"/>
      <c r="AC818" s="344">
        <f>'ALL ML SYSTEMS'!AC804</f>
        <v>0</v>
      </c>
      <c r="AD818" s="344">
        <f>'ALL ML SYSTEMS'!AD804</f>
        <v>0</v>
      </c>
    </row>
    <row r="819" hidden="1" customHeight="1" spans="1:30">
      <c r="A819" s="344">
        <f>'ALL ML SYSTEMS'!A805</f>
        <v>0</v>
      </c>
      <c r="B819" s="344">
        <f>'ALL ML SYSTEMS'!B805</f>
        <v>0</v>
      </c>
      <c r="C819" s="344">
        <f>'ALL ML SYSTEMS'!C805</f>
        <v>0</v>
      </c>
      <c r="D819" s="344">
        <f>'ALL ML SYSTEMS'!D805</f>
        <v>0</v>
      </c>
      <c r="E819" s="344">
        <f>'ALL ML SYSTEMS'!E805</f>
        <v>0</v>
      </c>
      <c r="F819" s="344">
        <f>'ALL ML SYSTEMS'!F805</f>
        <v>0</v>
      </c>
      <c r="G819" s="344">
        <f>'ALL ML SYSTEMS'!G805</f>
        <v>0</v>
      </c>
      <c r="H819" s="344">
        <f>'ALL ML SYSTEMS'!H805</f>
        <v>0</v>
      </c>
      <c r="I819" s="344">
        <f>'ALL ML SYSTEMS'!I805</f>
        <v>0</v>
      </c>
      <c r="J819" s="344">
        <f>'ALL ML SYSTEMS'!J805</f>
        <v>0</v>
      </c>
      <c r="K819" s="344">
        <f>'ALL ML SYSTEMS'!K805</f>
        <v>0</v>
      </c>
      <c r="L819" s="344">
        <f>'ALL ML SYSTEMS'!L805</f>
        <v>0</v>
      </c>
      <c r="M819" s="344">
        <f>'ALL ML SYSTEMS'!M805</f>
        <v>0</v>
      </c>
      <c r="N819" s="344">
        <f>'ALL ML SYSTEMS'!N805</f>
        <v>0</v>
      </c>
      <c r="O819" s="344">
        <f>'ALL ML SYSTEMS'!O805</f>
        <v>0</v>
      </c>
      <c r="P819" s="344">
        <f>'ALL ML SYSTEMS'!P805</f>
        <v>0</v>
      </c>
      <c r="Q819" s="344">
        <f>'ALL ML SYSTEMS'!Q805</f>
        <v>0</v>
      </c>
      <c r="R819" s="344">
        <f>'ALL ML SYSTEMS'!R805</f>
        <v>0</v>
      </c>
      <c r="S819" s="344">
        <f>'ALL ML SYSTEMS'!S805</f>
        <v>0</v>
      </c>
      <c r="T819" s="344">
        <f>'ALL ML SYSTEMS'!T805</f>
        <v>0</v>
      </c>
      <c r="U819" s="344">
        <f>'ALL ML SYSTEMS'!U805</f>
        <v>0</v>
      </c>
      <c r="V819" s="344">
        <f>'ALL ML SYSTEMS'!V805</f>
        <v>0</v>
      </c>
      <c r="W819" s="344">
        <f>'ALL ML SYSTEMS'!W805</f>
        <v>0</v>
      </c>
      <c r="X819" s="344">
        <f>'ALL ML SYSTEMS'!X805</f>
        <v>0</v>
      </c>
      <c r="Y819" s="344">
        <f>'ALL ML SYSTEMS'!Y805</f>
        <v>0</v>
      </c>
      <c r="Z819" s="344">
        <f>'ALL ML SYSTEMS'!Z805</f>
        <v>0</v>
      </c>
      <c r="AA819" s="344">
        <f>'ALL ML SYSTEMS'!AA805</f>
        <v>0</v>
      </c>
      <c r="AB819" s="344"/>
      <c r="AC819" s="344">
        <f>'ALL ML SYSTEMS'!AC805</f>
        <v>0</v>
      </c>
      <c r="AD819" s="344">
        <f>'ALL ML SYSTEMS'!AD805</f>
        <v>0</v>
      </c>
    </row>
    <row r="820" hidden="1" customHeight="1" spans="1:30">
      <c r="A820" s="344">
        <f>'ALL ML SYSTEMS'!A806</f>
        <v>0</v>
      </c>
      <c r="B820" s="344">
        <f>'ALL ML SYSTEMS'!B806</f>
        <v>0</v>
      </c>
      <c r="C820" s="344">
        <f>'ALL ML SYSTEMS'!C806</f>
        <v>0</v>
      </c>
      <c r="D820" s="344">
        <f>'ALL ML SYSTEMS'!D806</f>
        <v>0</v>
      </c>
      <c r="E820" s="344">
        <f>'ALL ML SYSTEMS'!E806</f>
        <v>0</v>
      </c>
      <c r="F820" s="344">
        <f>'ALL ML SYSTEMS'!F806</f>
        <v>0</v>
      </c>
      <c r="G820" s="344">
        <f>'ALL ML SYSTEMS'!G806</f>
        <v>0</v>
      </c>
      <c r="H820" s="344">
        <f>'ALL ML SYSTEMS'!H806</f>
        <v>0</v>
      </c>
      <c r="I820" s="344">
        <f>'ALL ML SYSTEMS'!I806</f>
        <v>0</v>
      </c>
      <c r="J820" s="344">
        <f>'ALL ML SYSTEMS'!J806</f>
        <v>0</v>
      </c>
      <c r="K820" s="344">
        <f>'ALL ML SYSTEMS'!K806</f>
        <v>0</v>
      </c>
      <c r="L820" s="344">
        <f>'ALL ML SYSTEMS'!L806</f>
        <v>0</v>
      </c>
      <c r="M820" s="344">
        <f>'ALL ML SYSTEMS'!M806</f>
        <v>0</v>
      </c>
      <c r="N820" s="344">
        <f>'ALL ML SYSTEMS'!N806</f>
        <v>0</v>
      </c>
      <c r="O820" s="344">
        <f>'ALL ML SYSTEMS'!O806</f>
        <v>0</v>
      </c>
      <c r="P820" s="344">
        <f>'ALL ML SYSTEMS'!P806</f>
        <v>0</v>
      </c>
      <c r="Q820" s="344">
        <f>'ALL ML SYSTEMS'!Q806</f>
        <v>0</v>
      </c>
      <c r="R820" s="344">
        <f>'ALL ML SYSTEMS'!R806</f>
        <v>0</v>
      </c>
      <c r="S820" s="344">
        <f>'ALL ML SYSTEMS'!S806</f>
        <v>0</v>
      </c>
      <c r="T820" s="344">
        <f>'ALL ML SYSTEMS'!T806</f>
        <v>0</v>
      </c>
      <c r="U820" s="344">
        <f>'ALL ML SYSTEMS'!U806</f>
        <v>0</v>
      </c>
      <c r="V820" s="344">
        <f>'ALL ML SYSTEMS'!V806</f>
        <v>0</v>
      </c>
      <c r="W820" s="344">
        <f>'ALL ML SYSTEMS'!W806</f>
        <v>0</v>
      </c>
      <c r="X820" s="344">
        <f>'ALL ML SYSTEMS'!X806</f>
        <v>0</v>
      </c>
      <c r="Y820" s="344">
        <f>'ALL ML SYSTEMS'!Y806</f>
        <v>0</v>
      </c>
      <c r="Z820" s="344">
        <f>'ALL ML SYSTEMS'!Z806</f>
        <v>0</v>
      </c>
      <c r="AA820" s="344">
        <f>'ALL ML SYSTEMS'!AA806</f>
        <v>0</v>
      </c>
      <c r="AB820" s="344"/>
      <c r="AC820" s="344">
        <f>'ALL ML SYSTEMS'!AC806</f>
        <v>0</v>
      </c>
      <c r="AD820" s="344">
        <f>'ALL ML SYSTEMS'!AD806</f>
        <v>0</v>
      </c>
    </row>
    <row r="821" hidden="1" customHeight="1" spans="1:30">
      <c r="A821" s="344">
        <f>'ALL ML SYSTEMS'!A807</f>
        <v>0</v>
      </c>
      <c r="B821" s="344">
        <f>'ALL ML SYSTEMS'!B807</f>
        <v>0</v>
      </c>
      <c r="C821" s="344">
        <f>'ALL ML SYSTEMS'!C807</f>
        <v>0</v>
      </c>
      <c r="D821" s="344">
        <f>'ALL ML SYSTEMS'!D807</f>
        <v>0</v>
      </c>
      <c r="E821" s="344">
        <f>'ALL ML SYSTEMS'!E807</f>
        <v>0</v>
      </c>
      <c r="F821" s="344">
        <f>'ALL ML SYSTEMS'!F807</f>
        <v>0</v>
      </c>
      <c r="G821" s="344">
        <f>'ALL ML SYSTEMS'!G807</f>
        <v>0</v>
      </c>
      <c r="H821" s="344">
        <f>'ALL ML SYSTEMS'!H807</f>
        <v>0</v>
      </c>
      <c r="I821" s="344">
        <f>'ALL ML SYSTEMS'!I807</f>
        <v>0</v>
      </c>
      <c r="J821" s="344">
        <f>'ALL ML SYSTEMS'!J807</f>
        <v>0</v>
      </c>
      <c r="K821" s="344">
        <f>'ALL ML SYSTEMS'!K807</f>
        <v>0</v>
      </c>
      <c r="L821" s="344">
        <f>'ALL ML SYSTEMS'!L807</f>
        <v>0</v>
      </c>
      <c r="M821" s="344">
        <f>'ALL ML SYSTEMS'!M807</f>
        <v>0</v>
      </c>
      <c r="N821" s="344">
        <f>'ALL ML SYSTEMS'!N807</f>
        <v>0</v>
      </c>
      <c r="O821" s="344">
        <f>'ALL ML SYSTEMS'!O807</f>
        <v>0</v>
      </c>
      <c r="P821" s="344">
        <f>'ALL ML SYSTEMS'!P807</f>
        <v>0</v>
      </c>
      <c r="Q821" s="344">
        <f>'ALL ML SYSTEMS'!Q807</f>
        <v>0</v>
      </c>
      <c r="R821" s="344">
        <f>'ALL ML SYSTEMS'!R807</f>
        <v>0</v>
      </c>
      <c r="S821" s="344">
        <f>'ALL ML SYSTEMS'!S807</f>
        <v>0</v>
      </c>
      <c r="T821" s="344">
        <f>'ALL ML SYSTEMS'!T807</f>
        <v>0</v>
      </c>
      <c r="U821" s="344">
        <f>'ALL ML SYSTEMS'!U807</f>
        <v>0</v>
      </c>
      <c r="V821" s="344">
        <f>'ALL ML SYSTEMS'!V807</f>
        <v>0</v>
      </c>
      <c r="W821" s="344">
        <f>'ALL ML SYSTEMS'!W807</f>
        <v>0</v>
      </c>
      <c r="X821" s="344">
        <f>'ALL ML SYSTEMS'!X807</f>
        <v>0</v>
      </c>
      <c r="Y821" s="344">
        <f>'ALL ML SYSTEMS'!Y807</f>
        <v>0</v>
      </c>
      <c r="Z821" s="344">
        <f>'ALL ML SYSTEMS'!Z807</f>
        <v>0</v>
      </c>
      <c r="AA821" s="344">
        <f>'ALL ML SYSTEMS'!AA807</f>
        <v>0</v>
      </c>
      <c r="AB821" s="344"/>
      <c r="AC821" s="344">
        <f>'ALL ML SYSTEMS'!AC807</f>
        <v>0</v>
      </c>
      <c r="AD821" s="344">
        <f>'ALL ML SYSTEMS'!AD807</f>
        <v>0</v>
      </c>
    </row>
    <row r="822" hidden="1" customHeight="1" spans="1:30">
      <c r="A822" s="344">
        <f>'ALL ML SYSTEMS'!A808</f>
        <v>0</v>
      </c>
      <c r="B822" s="344">
        <f>'ALL ML SYSTEMS'!B808</f>
        <v>0</v>
      </c>
      <c r="C822" s="344">
        <f>'ALL ML SYSTEMS'!C808</f>
        <v>0</v>
      </c>
      <c r="D822" s="344">
        <f>'ALL ML SYSTEMS'!D808</f>
        <v>0</v>
      </c>
      <c r="E822" s="344">
        <f>'ALL ML SYSTEMS'!E808</f>
        <v>0</v>
      </c>
      <c r="F822" s="344">
        <f>'ALL ML SYSTEMS'!F808</f>
        <v>0</v>
      </c>
      <c r="G822" s="344">
        <f>'ALL ML SYSTEMS'!G808</f>
        <v>0</v>
      </c>
      <c r="H822" s="344">
        <f>'ALL ML SYSTEMS'!H808</f>
        <v>0</v>
      </c>
      <c r="I822" s="344">
        <f>'ALL ML SYSTEMS'!I808</f>
        <v>0</v>
      </c>
      <c r="J822" s="344">
        <f>'ALL ML SYSTEMS'!J808</f>
        <v>0</v>
      </c>
      <c r="K822" s="344">
        <f>'ALL ML SYSTEMS'!K808</f>
        <v>0</v>
      </c>
      <c r="L822" s="344">
        <f>'ALL ML SYSTEMS'!L808</f>
        <v>0</v>
      </c>
      <c r="M822" s="344">
        <f>'ALL ML SYSTEMS'!M808</f>
        <v>0</v>
      </c>
      <c r="N822" s="344">
        <f>'ALL ML SYSTEMS'!N808</f>
        <v>0</v>
      </c>
      <c r="O822" s="344">
        <f>'ALL ML SYSTEMS'!O808</f>
        <v>0</v>
      </c>
      <c r="P822" s="344">
        <f>'ALL ML SYSTEMS'!P808</f>
        <v>0</v>
      </c>
      <c r="Q822" s="344">
        <f>'ALL ML SYSTEMS'!Q808</f>
        <v>0</v>
      </c>
      <c r="R822" s="344">
        <f>'ALL ML SYSTEMS'!R808</f>
        <v>0</v>
      </c>
      <c r="S822" s="344">
        <f>'ALL ML SYSTEMS'!S808</f>
        <v>0</v>
      </c>
      <c r="T822" s="344">
        <f>'ALL ML SYSTEMS'!T808</f>
        <v>0</v>
      </c>
      <c r="U822" s="344">
        <f>'ALL ML SYSTEMS'!U808</f>
        <v>0</v>
      </c>
      <c r="V822" s="344">
        <f>'ALL ML SYSTEMS'!V808</f>
        <v>0</v>
      </c>
      <c r="W822" s="344">
        <f>'ALL ML SYSTEMS'!W808</f>
        <v>0</v>
      </c>
      <c r="X822" s="344">
        <f>'ALL ML SYSTEMS'!X808</f>
        <v>0</v>
      </c>
      <c r="Y822" s="344">
        <f>'ALL ML SYSTEMS'!Y808</f>
        <v>0</v>
      </c>
      <c r="Z822" s="344">
        <f>'ALL ML SYSTEMS'!Z808</f>
        <v>0</v>
      </c>
      <c r="AA822" s="344">
        <f>'ALL ML SYSTEMS'!AA808</f>
        <v>0</v>
      </c>
      <c r="AB822" s="344"/>
      <c r="AC822" s="344">
        <f>'ALL ML SYSTEMS'!AC808</f>
        <v>0</v>
      </c>
      <c r="AD822" s="344">
        <f>'ALL ML SYSTEMS'!AD808</f>
        <v>0</v>
      </c>
    </row>
    <row r="823" hidden="1" customHeight="1"/>
    <row r="824" hidden="1" customHeight="1"/>
    <row r="825" hidden="1" customHeight="1"/>
    <row r="826" hidden="1" customHeight="1"/>
    <row r="827" hidden="1" customHeight="1"/>
    <row r="828" hidden="1" customHeight="1"/>
    <row r="829" hidden="1" customHeight="1"/>
    <row r="830" hidden="1" customHeight="1"/>
    <row r="831" hidden="1" customHeight="1"/>
    <row r="832" hidden="1" customHeight="1"/>
    <row r="833" hidden="1" customHeight="1"/>
    <row r="834" hidden="1" customHeight="1"/>
    <row r="835" hidden="1" customHeight="1"/>
    <row r="836" hidden="1" customHeight="1"/>
    <row r="837" hidden="1" customHeight="1"/>
    <row r="838" hidden="1" customHeight="1"/>
    <row r="839" hidden="1" customHeight="1"/>
    <row r="840" hidden="1" customHeight="1"/>
    <row r="841" hidden="1" customHeight="1"/>
    <row r="842" hidden="1" customHeight="1"/>
    <row r="843" hidden="1" customHeight="1"/>
    <row r="844" hidden="1" customHeight="1"/>
    <row r="845" hidden="1" customHeight="1"/>
    <row r="846" hidden="1" customHeight="1"/>
    <row r="847" hidden="1" customHeight="1"/>
    <row r="848" hidden="1" customHeight="1"/>
    <row r="849" hidden="1" customHeight="1"/>
    <row r="850" hidden="1" customHeight="1"/>
    <row r="851" hidden="1" customHeight="1"/>
    <row r="852" hidden="1" customHeight="1"/>
    <row r="853" hidden="1" customHeight="1"/>
    <row r="854" hidden="1" customHeight="1"/>
    <row r="855" hidden="1" customHeight="1"/>
    <row r="856" hidden="1" customHeight="1"/>
    <row r="857" hidden="1" customHeight="1"/>
    <row r="858" hidden="1" customHeight="1"/>
    <row r="859" hidden="1" customHeight="1"/>
    <row r="860" hidden="1" customHeight="1"/>
    <row r="861" hidden="1" customHeight="1"/>
    <row r="862" hidden="1" customHeight="1"/>
    <row r="863" hidden="1" customHeight="1"/>
    <row r="864" hidden="1" customHeight="1"/>
    <row r="865" hidden="1" customHeight="1"/>
    <row r="866" hidden="1" customHeight="1"/>
    <row r="867" hidden="1" customHeight="1"/>
    <row r="868" hidden="1" customHeight="1"/>
    <row r="869" hidden="1" customHeight="1"/>
    <row r="870" hidden="1" customHeight="1"/>
    <row r="871" hidden="1" customHeight="1"/>
    <row r="872" hidden="1" customHeight="1"/>
    <row r="873" hidden="1" customHeight="1"/>
    <row r="874" hidden="1" customHeight="1"/>
    <row r="875" hidden="1" customHeight="1"/>
    <row r="876" hidden="1" customHeight="1"/>
    <row r="877" hidden="1" customHeight="1"/>
    <row r="878" hidden="1" customHeight="1"/>
    <row r="879" hidden="1" customHeight="1"/>
    <row r="880" hidden="1" customHeight="1"/>
    <row r="881" hidden="1" customHeight="1"/>
    <row r="882" hidden="1" customHeight="1"/>
    <row r="883" hidden="1" customHeight="1"/>
    <row r="884" hidden="1" customHeight="1"/>
    <row r="885" hidden="1" customHeight="1"/>
    <row r="886" hidden="1" customHeight="1"/>
    <row r="887" hidden="1" customHeight="1"/>
    <row r="888" hidden="1" customHeight="1"/>
    <row r="889" hidden="1" customHeight="1"/>
    <row r="890" hidden="1" customHeight="1"/>
    <row r="891" hidden="1" customHeight="1"/>
    <row r="892" hidden="1" customHeight="1"/>
    <row r="893" hidden="1" customHeight="1"/>
    <row r="894" hidden="1" customHeight="1"/>
    <row r="895" hidden="1" customHeight="1"/>
    <row r="896" hidden="1" customHeight="1"/>
    <row r="897" hidden="1" customHeight="1"/>
    <row r="898" hidden="1" customHeight="1"/>
    <row r="899" hidden="1" customHeight="1"/>
    <row r="900" hidden="1" customHeight="1"/>
    <row r="901" hidden="1" customHeight="1"/>
    <row r="902" hidden="1" customHeight="1"/>
    <row r="903" hidden="1" customHeight="1"/>
    <row r="904" hidden="1" customHeight="1"/>
    <row r="905" hidden="1" customHeight="1"/>
    <row r="906" hidden="1" customHeight="1"/>
    <row r="907" hidden="1" customHeight="1"/>
    <row r="908" hidden="1" customHeight="1"/>
    <row r="909" hidden="1" customHeight="1"/>
    <row r="910" hidden="1" customHeight="1"/>
    <row r="911" hidden="1" customHeight="1"/>
    <row r="912" hidden="1" customHeight="1"/>
    <row r="913" hidden="1" customHeight="1"/>
    <row r="914" hidden="1" customHeight="1"/>
    <row r="915" hidden="1" customHeight="1"/>
    <row r="916" hidden="1" customHeight="1"/>
    <row r="917" hidden="1" customHeight="1"/>
    <row r="918" hidden="1" customHeight="1"/>
    <row r="919" hidden="1" customHeight="1"/>
    <row r="920" hidden="1" customHeight="1"/>
    <row r="921" hidden="1" customHeight="1"/>
    <row r="922" hidden="1" customHeight="1"/>
    <row r="923" hidden="1" customHeight="1"/>
    <row r="924" hidden="1" customHeight="1"/>
    <row r="925" hidden="1" customHeight="1"/>
    <row r="926" hidden="1" customHeight="1"/>
    <row r="927" hidden="1" customHeight="1"/>
    <row r="928" hidden="1" customHeight="1"/>
    <row r="929" hidden="1" customHeight="1"/>
    <row r="930" hidden="1" customHeight="1"/>
    <row r="931" hidden="1" customHeight="1"/>
    <row r="932" hidden="1" customHeight="1"/>
    <row r="933" hidden="1" customHeight="1"/>
    <row r="934" hidden="1" customHeight="1"/>
    <row r="935" hidden="1" customHeight="1"/>
    <row r="936" hidden="1" customHeight="1"/>
    <row r="937" hidden="1" customHeight="1"/>
    <row r="938" hidden="1" customHeight="1"/>
    <row r="939" hidden="1" customHeight="1"/>
    <row r="940" hidden="1" customHeight="1"/>
    <row r="941" hidden="1" customHeight="1"/>
    <row r="942" hidden="1" customHeight="1"/>
    <row r="943" hidden="1" customHeight="1"/>
    <row r="944" hidden="1" customHeight="1"/>
    <row r="945" hidden="1" customHeight="1"/>
    <row r="946" hidden="1" customHeight="1"/>
    <row r="947" hidden="1" customHeight="1"/>
    <row r="948" hidden="1" customHeight="1"/>
    <row r="949" hidden="1" customHeight="1"/>
    <row r="950" hidden="1" customHeight="1"/>
    <row r="951" hidden="1" customHeight="1"/>
    <row r="952" hidden="1" customHeight="1"/>
    <row r="953" hidden="1" customHeight="1"/>
    <row r="954" hidden="1" customHeight="1"/>
    <row r="955" hidden="1" customHeight="1"/>
    <row r="956" hidden="1" customHeight="1"/>
    <row r="957" hidden="1" customHeight="1"/>
    <row r="958" hidden="1" customHeight="1"/>
    <row r="959" hidden="1" customHeight="1"/>
    <row r="960" hidden="1" customHeight="1"/>
    <row r="961" hidden="1" customHeight="1"/>
    <row r="962" hidden="1" customHeight="1"/>
    <row r="963" hidden="1" customHeight="1"/>
    <row r="964" hidden="1" customHeight="1"/>
    <row r="965" hidden="1" customHeight="1"/>
    <row r="966" hidden="1" customHeight="1"/>
    <row r="967" hidden="1" customHeight="1"/>
    <row r="968" hidden="1" customHeight="1"/>
    <row r="969" hidden="1" customHeight="1"/>
    <row r="970" hidden="1" customHeight="1"/>
    <row r="971" hidden="1" customHeight="1"/>
    <row r="972" hidden="1" customHeight="1"/>
    <row r="973" hidden="1" customHeight="1"/>
    <row r="974" hidden="1" customHeight="1"/>
    <row r="975" hidden="1" customHeight="1"/>
    <row r="976" hidden="1" customHeight="1"/>
    <row r="977" hidden="1" customHeight="1"/>
    <row r="978" hidden="1" customHeight="1"/>
    <row r="979" hidden="1" customHeight="1"/>
    <row r="980" hidden="1" customHeight="1"/>
    <row r="981" hidden="1" customHeight="1"/>
    <row r="982" hidden="1" customHeight="1"/>
    <row r="983" hidden="1" customHeight="1"/>
    <row r="984" hidden="1" customHeight="1"/>
    <row r="985" hidden="1" customHeight="1"/>
    <row r="986" hidden="1" customHeight="1"/>
    <row r="987" hidden="1" customHeight="1"/>
    <row r="988" hidden="1" customHeight="1"/>
    <row r="989" hidden="1" customHeight="1"/>
    <row r="990" hidden="1" customHeight="1"/>
    <row r="991" hidden="1" customHeight="1"/>
    <row r="992" hidden="1" customHeight="1"/>
    <row r="993" hidden="1" customHeight="1"/>
    <row r="994" hidden="1" customHeight="1"/>
    <row r="995" hidden="1" customHeight="1"/>
    <row r="996" hidden="1" customHeight="1"/>
    <row r="997" hidden="1" customHeight="1"/>
    <row r="998" hidden="1" customHeight="1"/>
    <row r="999" hidden="1" customHeight="1"/>
    <row r="1000" hidden="1" customHeight="1"/>
    <row r="1001" hidden="1" customHeight="1"/>
    <row r="1002" hidden="1" customHeight="1"/>
    <row r="1003" hidden="1" customHeight="1" spans="1:30">
      <c r="A1003" s="344">
        <f>'ALL ML SYSTEMS'!A990</f>
        <v>0</v>
      </c>
      <c r="B1003" s="344">
        <f>'ALL ML SYSTEMS'!B990</f>
        <v>0</v>
      </c>
      <c r="C1003" s="344">
        <f>'ALL ML SYSTEMS'!C990</f>
        <v>0</v>
      </c>
      <c r="D1003" s="344">
        <f>'ALL ML SYSTEMS'!D990</f>
        <v>0</v>
      </c>
      <c r="E1003" s="344">
        <f>'ALL ML SYSTEMS'!E990</f>
        <v>0</v>
      </c>
      <c r="F1003" s="344">
        <f>'ALL ML SYSTEMS'!F990</f>
        <v>0</v>
      </c>
      <c r="G1003" s="344">
        <f>'ALL ML SYSTEMS'!G990</f>
        <v>0</v>
      </c>
      <c r="H1003" s="344">
        <f>'ALL ML SYSTEMS'!H990</f>
        <v>0</v>
      </c>
      <c r="I1003" s="344">
        <f>'ALL ML SYSTEMS'!I990</f>
        <v>0</v>
      </c>
      <c r="J1003" s="344">
        <f>'ALL ML SYSTEMS'!J990</f>
        <v>0</v>
      </c>
      <c r="K1003" s="344">
        <f>'ALL ML SYSTEMS'!K990</f>
        <v>0</v>
      </c>
      <c r="L1003" s="344">
        <f>'ALL ML SYSTEMS'!L990</f>
        <v>0</v>
      </c>
      <c r="M1003" s="344">
        <f>'ALL ML SYSTEMS'!M990</f>
        <v>0</v>
      </c>
      <c r="N1003" s="344">
        <f>'ALL ML SYSTEMS'!N990</f>
        <v>0</v>
      </c>
      <c r="O1003" s="344">
        <f>'ALL ML SYSTEMS'!O990</f>
        <v>0</v>
      </c>
      <c r="P1003" s="344">
        <f>'ALL ML SYSTEMS'!P990</f>
        <v>0</v>
      </c>
      <c r="Q1003" s="344">
        <f>'ALL ML SYSTEMS'!Q990</f>
        <v>0</v>
      </c>
      <c r="R1003" s="344">
        <f>'ALL ML SYSTEMS'!R990</f>
        <v>0</v>
      </c>
      <c r="S1003" s="344">
        <f>'ALL ML SYSTEMS'!S990</f>
        <v>0</v>
      </c>
      <c r="T1003" s="344">
        <f>'ALL ML SYSTEMS'!T990</f>
        <v>0</v>
      </c>
      <c r="U1003" s="344">
        <f>'ALL ML SYSTEMS'!U990</f>
        <v>0</v>
      </c>
      <c r="V1003" s="344">
        <f>'ALL ML SYSTEMS'!V990</f>
        <v>0</v>
      </c>
      <c r="W1003" s="344">
        <f>'ALL ML SYSTEMS'!W990</f>
        <v>0</v>
      </c>
      <c r="X1003" s="344">
        <f>'ALL ML SYSTEMS'!X990</f>
        <v>0</v>
      </c>
      <c r="Y1003" s="344">
        <f>'ALL ML SYSTEMS'!Y990</f>
        <v>0</v>
      </c>
      <c r="Z1003" s="344">
        <f>'ALL ML SYSTEMS'!Z990</f>
        <v>0</v>
      </c>
      <c r="AA1003" s="344">
        <f>'ALL ML SYSTEMS'!AA990</f>
        <v>0</v>
      </c>
      <c r="AB1003" s="344"/>
      <c r="AC1003" s="344">
        <f>'ALL ML SYSTEMS'!AC990</f>
        <v>0</v>
      </c>
      <c r="AD1003" s="344">
        <f>'ALL ML SYSTEMS'!AD990</f>
        <v>0</v>
      </c>
    </row>
    <row r="1004" hidden="1" customHeight="1" spans="1:30">
      <c r="A1004" s="344">
        <f>'ALL ML SYSTEMS'!A991</f>
        <v>0</v>
      </c>
      <c r="B1004" s="344">
        <f>'ALL ML SYSTEMS'!B991</f>
        <v>0</v>
      </c>
      <c r="C1004" s="344">
        <f>'ALL ML SYSTEMS'!C991</f>
        <v>0</v>
      </c>
      <c r="D1004" s="344">
        <f>'ALL ML SYSTEMS'!D991</f>
        <v>0</v>
      </c>
      <c r="E1004" s="344">
        <f>'ALL ML SYSTEMS'!E991</f>
        <v>0</v>
      </c>
      <c r="F1004" s="344">
        <f>'ALL ML SYSTEMS'!F991</f>
        <v>0</v>
      </c>
      <c r="G1004" s="344">
        <f>'ALL ML SYSTEMS'!G991</f>
        <v>0</v>
      </c>
      <c r="H1004" s="344">
        <f>'ALL ML SYSTEMS'!H991</f>
        <v>0</v>
      </c>
      <c r="I1004" s="344">
        <f>'ALL ML SYSTEMS'!I991</f>
        <v>0</v>
      </c>
      <c r="J1004" s="344">
        <f>'ALL ML SYSTEMS'!J991</f>
        <v>0</v>
      </c>
      <c r="K1004" s="344">
        <f>'ALL ML SYSTEMS'!K991</f>
        <v>0</v>
      </c>
      <c r="L1004" s="344">
        <f>'ALL ML SYSTEMS'!L991</f>
        <v>0</v>
      </c>
      <c r="M1004" s="344">
        <f>'ALL ML SYSTEMS'!M991</f>
        <v>0</v>
      </c>
      <c r="N1004" s="344">
        <f>'ALL ML SYSTEMS'!N991</f>
        <v>0</v>
      </c>
      <c r="O1004" s="344">
        <f>'ALL ML SYSTEMS'!O991</f>
        <v>0</v>
      </c>
      <c r="P1004" s="344">
        <f>'ALL ML SYSTEMS'!P991</f>
        <v>0</v>
      </c>
      <c r="Q1004" s="344">
        <f>'ALL ML SYSTEMS'!Q991</f>
        <v>0</v>
      </c>
      <c r="R1004" s="344">
        <f>'ALL ML SYSTEMS'!R991</f>
        <v>0</v>
      </c>
      <c r="S1004" s="344">
        <f>'ALL ML SYSTEMS'!S991</f>
        <v>0</v>
      </c>
      <c r="T1004" s="344">
        <f>'ALL ML SYSTEMS'!T991</f>
        <v>0</v>
      </c>
      <c r="U1004" s="344">
        <f>'ALL ML SYSTEMS'!U991</f>
        <v>0</v>
      </c>
      <c r="V1004" s="344">
        <f>'ALL ML SYSTEMS'!V991</f>
        <v>0</v>
      </c>
      <c r="W1004" s="344">
        <f>'ALL ML SYSTEMS'!W991</f>
        <v>0</v>
      </c>
      <c r="X1004" s="344">
        <f>'ALL ML SYSTEMS'!X991</f>
        <v>0</v>
      </c>
      <c r="Y1004" s="344">
        <f>'ALL ML SYSTEMS'!Y991</f>
        <v>0</v>
      </c>
      <c r="Z1004" s="344">
        <f>'ALL ML SYSTEMS'!Z991</f>
        <v>0</v>
      </c>
      <c r="AA1004" s="344">
        <f>'ALL ML SYSTEMS'!AA991</f>
        <v>0</v>
      </c>
      <c r="AB1004" s="344"/>
      <c r="AC1004" s="344">
        <f>'ALL ML SYSTEMS'!AC991</f>
        <v>0</v>
      </c>
      <c r="AD1004" s="344">
        <f>'ALL ML SYSTEMS'!AD991</f>
        <v>0</v>
      </c>
    </row>
    <row r="1005" hidden="1" customHeight="1" spans="1:30">
      <c r="A1005" s="344">
        <f>'ALL ML SYSTEMS'!A992</f>
        <v>0</v>
      </c>
      <c r="B1005" s="344">
        <f>'ALL ML SYSTEMS'!B992</f>
        <v>0</v>
      </c>
      <c r="C1005" s="344">
        <f>'ALL ML SYSTEMS'!C992</f>
        <v>0</v>
      </c>
      <c r="D1005" s="344">
        <f>'ALL ML SYSTEMS'!D992</f>
        <v>0</v>
      </c>
      <c r="E1005" s="344">
        <f>'ALL ML SYSTEMS'!E992</f>
        <v>0</v>
      </c>
      <c r="F1005" s="344">
        <f>'ALL ML SYSTEMS'!F992</f>
        <v>0</v>
      </c>
      <c r="G1005" s="344">
        <f>'ALL ML SYSTEMS'!G992</f>
        <v>0</v>
      </c>
      <c r="H1005" s="344">
        <f>'ALL ML SYSTEMS'!H992</f>
        <v>0</v>
      </c>
      <c r="I1005" s="344">
        <f>'ALL ML SYSTEMS'!I992</f>
        <v>0</v>
      </c>
      <c r="J1005" s="344">
        <f>'ALL ML SYSTEMS'!J992</f>
        <v>0</v>
      </c>
      <c r="K1005" s="344">
        <f>'ALL ML SYSTEMS'!K992</f>
        <v>0</v>
      </c>
      <c r="L1005" s="344">
        <f>'ALL ML SYSTEMS'!L992</f>
        <v>0</v>
      </c>
      <c r="M1005" s="344">
        <f>'ALL ML SYSTEMS'!M992</f>
        <v>0</v>
      </c>
      <c r="N1005" s="344">
        <f>'ALL ML SYSTEMS'!N992</f>
        <v>0</v>
      </c>
      <c r="O1005" s="344">
        <f>'ALL ML SYSTEMS'!O992</f>
        <v>0</v>
      </c>
      <c r="P1005" s="344">
        <f>'ALL ML SYSTEMS'!P992</f>
        <v>0</v>
      </c>
      <c r="Q1005" s="344">
        <f>'ALL ML SYSTEMS'!Q992</f>
        <v>0</v>
      </c>
      <c r="R1005" s="344">
        <f>'ALL ML SYSTEMS'!R992</f>
        <v>0</v>
      </c>
      <c r="S1005" s="344">
        <f>'ALL ML SYSTEMS'!S992</f>
        <v>0</v>
      </c>
      <c r="T1005" s="344">
        <f>'ALL ML SYSTEMS'!T992</f>
        <v>0</v>
      </c>
      <c r="U1005" s="344">
        <f>'ALL ML SYSTEMS'!U992</f>
        <v>0</v>
      </c>
      <c r="V1005" s="344">
        <f>'ALL ML SYSTEMS'!V992</f>
        <v>0</v>
      </c>
      <c r="W1005" s="344">
        <f>'ALL ML SYSTEMS'!W992</f>
        <v>0</v>
      </c>
      <c r="X1005" s="344">
        <f>'ALL ML SYSTEMS'!X992</f>
        <v>0</v>
      </c>
      <c r="Y1005" s="344">
        <f>'ALL ML SYSTEMS'!Y992</f>
        <v>0</v>
      </c>
      <c r="Z1005" s="344">
        <f>'ALL ML SYSTEMS'!Z992</f>
        <v>0</v>
      </c>
      <c r="AA1005" s="344">
        <f>'ALL ML SYSTEMS'!AA992</f>
        <v>0</v>
      </c>
      <c r="AB1005" s="344"/>
      <c r="AC1005" s="344">
        <f>'ALL ML SYSTEMS'!AC992</f>
        <v>0</v>
      </c>
      <c r="AD1005" s="344">
        <f>'ALL ML SYSTEMS'!AD992</f>
        <v>0</v>
      </c>
    </row>
    <row r="1006" hidden="1" customHeight="1" spans="1:30">
      <c r="A1006" s="344">
        <f>'ALL ML SYSTEMS'!A993</f>
        <v>0</v>
      </c>
      <c r="B1006" s="344">
        <f>'ALL ML SYSTEMS'!B993</f>
        <v>0</v>
      </c>
      <c r="C1006" s="344">
        <f>'ALL ML SYSTEMS'!C993</f>
        <v>0</v>
      </c>
      <c r="D1006" s="344">
        <f>'ALL ML SYSTEMS'!D993</f>
        <v>0</v>
      </c>
      <c r="E1006" s="344">
        <f>'ALL ML SYSTEMS'!E993</f>
        <v>0</v>
      </c>
      <c r="F1006" s="344">
        <f>'ALL ML SYSTEMS'!F993</f>
        <v>0</v>
      </c>
      <c r="G1006" s="344">
        <f>'ALL ML SYSTEMS'!G993</f>
        <v>0</v>
      </c>
      <c r="H1006" s="344">
        <f>'ALL ML SYSTEMS'!H993</f>
        <v>0</v>
      </c>
      <c r="I1006" s="344">
        <f>'ALL ML SYSTEMS'!I993</f>
        <v>0</v>
      </c>
      <c r="J1006" s="344">
        <f>'ALL ML SYSTEMS'!J993</f>
        <v>0</v>
      </c>
      <c r="K1006" s="344">
        <f>'ALL ML SYSTEMS'!K993</f>
        <v>0</v>
      </c>
      <c r="L1006" s="344">
        <f>'ALL ML SYSTEMS'!L993</f>
        <v>0</v>
      </c>
      <c r="M1006" s="344">
        <f>'ALL ML SYSTEMS'!M993</f>
        <v>0</v>
      </c>
      <c r="N1006" s="344">
        <f>'ALL ML SYSTEMS'!N993</f>
        <v>0</v>
      </c>
      <c r="O1006" s="344">
        <f>'ALL ML SYSTEMS'!O993</f>
        <v>0</v>
      </c>
      <c r="P1006" s="344">
        <f>'ALL ML SYSTEMS'!P993</f>
        <v>0</v>
      </c>
      <c r="Q1006" s="344">
        <f>'ALL ML SYSTEMS'!Q993</f>
        <v>0</v>
      </c>
      <c r="R1006" s="344">
        <f>'ALL ML SYSTEMS'!R993</f>
        <v>0</v>
      </c>
      <c r="S1006" s="344">
        <f>'ALL ML SYSTEMS'!S993</f>
        <v>0</v>
      </c>
      <c r="T1006" s="344">
        <f>'ALL ML SYSTEMS'!T993</f>
        <v>0</v>
      </c>
      <c r="U1006" s="344">
        <f>'ALL ML SYSTEMS'!U993</f>
        <v>0</v>
      </c>
      <c r="V1006" s="344">
        <f>'ALL ML SYSTEMS'!V993</f>
        <v>0</v>
      </c>
      <c r="W1006" s="344">
        <f>'ALL ML SYSTEMS'!W993</f>
        <v>0</v>
      </c>
      <c r="X1006" s="344">
        <f>'ALL ML SYSTEMS'!X993</f>
        <v>0</v>
      </c>
      <c r="Y1006" s="344">
        <f>'ALL ML SYSTEMS'!Y993</f>
        <v>0</v>
      </c>
      <c r="Z1006" s="344">
        <f>'ALL ML SYSTEMS'!Z993</f>
        <v>0</v>
      </c>
      <c r="AA1006" s="344">
        <f>'ALL ML SYSTEMS'!AA993</f>
        <v>0</v>
      </c>
      <c r="AB1006" s="344"/>
      <c r="AC1006" s="344">
        <f>'ALL ML SYSTEMS'!AC993</f>
        <v>0</v>
      </c>
      <c r="AD1006" s="344">
        <f>'ALL ML SYSTEMS'!AD993</f>
        <v>0</v>
      </c>
    </row>
    <row r="1007" hidden="1" customHeight="1"/>
  </sheetData>
  <autoFilter ref="A1:AD1007">
    <filterColumn colId="12">
      <customFilters>
        <customFilter operator="equal" val="#REF!"/>
        <customFilter operator="equal" val="Yes"/>
      </customFilters>
    </filterColumn>
    <sortState ref="A1:AD1007">
      <sortCondition ref="H1:H1007" descending="1"/>
    </sortState>
    <extLst/>
  </autoFilter>
  <conditionalFormatting sqref="K1">
    <cfRule type="cellIs" dxfId="0" priority="1" operator="lessThan">
      <formula>100</formula>
    </cfRule>
    <cfRule type="cellIs" dxfId="1" priority="2" operator="between">
      <formula>100</formula>
      <formula>1000</formula>
    </cfRule>
    <cfRule type="cellIs" dxfId="2" priority="3" operator="between">
      <formula>1000</formula>
      <formula>10000</formula>
    </cfRule>
    <cfRule type="cellIs" dxfId="3" priority="4" operator="greaterThan">
      <formula>10000</formula>
    </cfRule>
  </conditionalFormatting>
  <conditionalFormatting sqref="K1 K474:K1007">
    <cfRule type="cellIs" dxfId="2" priority="5" operator="greaterThan">
      <formula>1000</formula>
    </cfRule>
  </conditionalFormatting>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53"/>
  <sheetViews>
    <sheetView workbookViewId="0">
      <pane ySplit="1" topLeftCell="A2" activePane="bottomLeft" state="frozen"/>
      <selection/>
      <selection pane="bottomLeft" activeCell="B3" sqref="B3"/>
    </sheetView>
  </sheetViews>
  <sheetFormatPr defaultColWidth="12.6285714285714" defaultRowHeight="15.75" customHeight="1" outlineLevelCol="1"/>
  <sheetData>
    <row r="1" customHeight="1" spans="1:2">
      <c r="A1" s="320" t="s">
        <v>2515</v>
      </c>
      <c r="B1" s="320" t="s">
        <v>2516</v>
      </c>
    </row>
    <row r="2" customHeight="1" spans="1:2">
      <c r="A2" s="115" t="s">
        <v>2517</v>
      </c>
      <c r="B2" s="115" t="s">
        <v>2518</v>
      </c>
    </row>
    <row r="3" customHeight="1" spans="1:2">
      <c r="A3" s="115" t="s">
        <v>2519</v>
      </c>
      <c r="B3" s="115" t="s">
        <v>2520</v>
      </c>
    </row>
    <row r="4" customHeight="1" spans="1:2">
      <c r="A4" s="115" t="s">
        <v>126</v>
      </c>
      <c r="B4" s="115" t="s">
        <v>1077</v>
      </c>
    </row>
    <row r="5" customHeight="1" spans="1:2">
      <c r="A5" s="115" t="s">
        <v>256</v>
      </c>
      <c r="B5" s="115" t="s">
        <v>2432</v>
      </c>
    </row>
    <row r="6" customHeight="1" spans="1:2">
      <c r="A6" s="115" t="s">
        <v>434</v>
      </c>
      <c r="B6" s="115" t="s">
        <v>2264</v>
      </c>
    </row>
    <row r="7" customHeight="1" spans="1:2">
      <c r="A7" s="115" t="s">
        <v>2521</v>
      </c>
      <c r="B7" s="115" t="s">
        <v>2426</v>
      </c>
    </row>
    <row r="8" customHeight="1" spans="1:2">
      <c r="A8" s="115"/>
      <c r="B8" s="115" t="s">
        <v>2522</v>
      </c>
    </row>
    <row r="9" customHeight="1" spans="1:2">
      <c r="A9" s="115"/>
      <c r="B9" s="115" t="s">
        <v>2503</v>
      </c>
    </row>
    <row r="10" customHeight="1" spans="1:2">
      <c r="A10" s="115"/>
      <c r="B10" s="298" t="s">
        <v>318</v>
      </c>
    </row>
    <row r="11" customHeight="1" spans="1:2">
      <c r="A11" s="115"/>
      <c r="B11" s="115" t="s">
        <v>2523</v>
      </c>
    </row>
    <row r="12" customHeight="1" spans="1:2">
      <c r="A12" s="115"/>
      <c r="B12" s="115" t="s">
        <v>785</v>
      </c>
    </row>
    <row r="13" customHeight="1" spans="1:2">
      <c r="A13" s="115"/>
      <c r="B13" s="115" t="s">
        <v>1095</v>
      </c>
    </row>
    <row r="14" customHeight="1" spans="1:2">
      <c r="A14" s="115"/>
      <c r="B14" s="115" t="s">
        <v>690</v>
      </c>
    </row>
    <row r="15" customHeight="1" spans="1:2">
      <c r="A15" s="115"/>
      <c r="B15" s="115" t="s">
        <v>858</v>
      </c>
    </row>
    <row r="16" customHeight="1" spans="1:2">
      <c r="A16" s="115"/>
      <c r="B16" s="115" t="s">
        <v>2416</v>
      </c>
    </row>
    <row r="17" customHeight="1" spans="1:2">
      <c r="A17" s="115"/>
      <c r="B17" s="115" t="s">
        <v>853</v>
      </c>
    </row>
    <row r="18" customHeight="1" spans="1:2">
      <c r="A18" s="115"/>
      <c r="B18" s="115" t="s">
        <v>2337</v>
      </c>
    </row>
    <row r="19" customHeight="1" spans="1:2">
      <c r="A19" s="115"/>
      <c r="B19" s="298" t="s">
        <v>1159</v>
      </c>
    </row>
    <row r="20" customHeight="1" spans="1:2">
      <c r="A20" s="115"/>
      <c r="B20" s="298" t="s">
        <v>176</v>
      </c>
    </row>
    <row r="21" customHeight="1" spans="1:2">
      <c r="A21" s="115"/>
      <c r="B21" s="298" t="s">
        <v>2524</v>
      </c>
    </row>
    <row r="22" customHeight="1" spans="1:2">
      <c r="A22" s="115"/>
      <c r="B22" s="115" t="s">
        <v>724</v>
      </c>
    </row>
    <row r="23" customHeight="1" spans="1:2">
      <c r="A23" s="115"/>
      <c r="B23" s="298" t="s">
        <v>821</v>
      </c>
    </row>
    <row r="24" customHeight="1" spans="1:2">
      <c r="A24" s="115"/>
      <c r="B24" s="298" t="s">
        <v>2525</v>
      </c>
    </row>
    <row r="25" customHeight="1" spans="1:2">
      <c r="A25" s="115"/>
      <c r="B25" s="298" t="s">
        <v>2526</v>
      </c>
    </row>
    <row r="26" customHeight="1" spans="1:2">
      <c r="A26" s="115"/>
      <c r="B26" s="298" t="s">
        <v>1139</v>
      </c>
    </row>
    <row r="27" customHeight="1" spans="1:2">
      <c r="A27" s="115"/>
      <c r="B27" s="298" t="s">
        <v>1568</v>
      </c>
    </row>
    <row r="28" customHeight="1" spans="1:2">
      <c r="A28" s="115"/>
      <c r="B28" s="298" t="s">
        <v>2080</v>
      </c>
    </row>
    <row r="29" customHeight="1" spans="1:2">
      <c r="A29" s="115"/>
      <c r="B29" s="298" t="s">
        <v>1231</v>
      </c>
    </row>
    <row r="30" customHeight="1" spans="1:2">
      <c r="A30" s="115"/>
      <c r="B30" s="115" t="s">
        <v>1780</v>
      </c>
    </row>
    <row r="31" customHeight="1" spans="1:2">
      <c r="A31" s="115"/>
      <c r="B31" s="298" t="s">
        <v>579</v>
      </c>
    </row>
    <row r="32" customHeight="1" spans="1:2">
      <c r="A32" s="115"/>
      <c r="B32" s="298" t="s">
        <v>964</v>
      </c>
    </row>
    <row r="33" customHeight="1" spans="1:2">
      <c r="A33" s="115"/>
      <c r="B33" s="298" t="s">
        <v>1032</v>
      </c>
    </row>
    <row r="34" customHeight="1" spans="1:2">
      <c r="A34" s="115"/>
      <c r="B34" s="298" t="s">
        <v>1010</v>
      </c>
    </row>
    <row r="35" customHeight="1" spans="1:2">
      <c r="A35" s="115"/>
      <c r="B35" s="298" t="s">
        <v>2527</v>
      </c>
    </row>
    <row r="36" customHeight="1" spans="1:2">
      <c r="A36" s="115"/>
      <c r="B36" s="298" t="s">
        <v>1440</v>
      </c>
    </row>
    <row r="37" customHeight="1" spans="1:2">
      <c r="A37" s="115"/>
      <c r="B37" s="298" t="s">
        <v>1845</v>
      </c>
    </row>
    <row r="38" customHeight="1" spans="1:2">
      <c r="A38" s="115"/>
      <c r="B38" s="298" t="s">
        <v>2528</v>
      </c>
    </row>
    <row r="39" customHeight="1" spans="1:2">
      <c r="A39" s="115"/>
      <c r="B39" s="298" t="s">
        <v>267</v>
      </c>
    </row>
    <row r="40" customHeight="1" spans="1:2">
      <c r="A40" s="115"/>
      <c r="B40" s="298" t="s">
        <v>2529</v>
      </c>
    </row>
    <row r="41" customHeight="1" spans="1:2">
      <c r="A41" s="115"/>
      <c r="B41" s="298" t="s">
        <v>977</v>
      </c>
    </row>
    <row r="42" customHeight="1" spans="1:2">
      <c r="A42" s="115"/>
      <c r="B42" s="298" t="s">
        <v>2362</v>
      </c>
    </row>
    <row r="43" customHeight="1" spans="1:2">
      <c r="A43" s="115"/>
      <c r="B43" s="115" t="s">
        <v>144</v>
      </c>
    </row>
    <row r="44" customHeight="1" spans="1:2">
      <c r="A44" s="115"/>
      <c r="B44" s="298" t="s">
        <v>2180</v>
      </c>
    </row>
    <row r="45" customHeight="1" spans="1:2">
      <c r="A45" s="115"/>
      <c r="B45" s="298" t="s">
        <v>874</v>
      </c>
    </row>
    <row r="46" customHeight="1" spans="1:2">
      <c r="A46" s="115"/>
      <c r="B46" s="298" t="s">
        <v>2530</v>
      </c>
    </row>
    <row r="47" customHeight="1" spans="1:2">
      <c r="A47" s="115"/>
      <c r="B47" s="115" t="s">
        <v>2531</v>
      </c>
    </row>
    <row r="48" customHeight="1" spans="1:2">
      <c r="A48" s="115"/>
      <c r="B48" s="298" t="s">
        <v>2532</v>
      </c>
    </row>
    <row r="49" customHeight="1" spans="1:2">
      <c r="A49" s="115"/>
      <c r="B49" s="298" t="s">
        <v>1593</v>
      </c>
    </row>
    <row r="50" customHeight="1" spans="1:2">
      <c r="A50" s="115"/>
      <c r="B50" s="115" t="s">
        <v>2533</v>
      </c>
    </row>
    <row r="51" customHeight="1" spans="1:2">
      <c r="A51" s="115"/>
      <c r="B51" s="298" t="s">
        <v>2534</v>
      </c>
    </row>
    <row r="52" customHeight="1" spans="1:2">
      <c r="A52" s="115"/>
      <c r="B52" s="298" t="s">
        <v>1216</v>
      </c>
    </row>
    <row r="53" customHeight="1" spans="1:2">
      <c r="A53" s="115"/>
      <c r="B53" s="298" t="s">
        <v>2192</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1016"/>
  <sheetViews>
    <sheetView workbookViewId="0">
      <pane xSplit="1" ySplit="1" topLeftCell="B2" activePane="bottomRight" state="frozen"/>
      <selection/>
      <selection pane="topRight"/>
      <selection pane="bottomLeft"/>
      <selection pane="bottomRight" activeCell="B2" sqref="B2"/>
    </sheetView>
  </sheetViews>
  <sheetFormatPr defaultColWidth="12.6285714285714" defaultRowHeight="15.75" customHeight="1"/>
  <cols>
    <col min="1" max="1" width="21.752380952381" customWidth="1"/>
    <col min="4" max="4" width="14.8761904761905" customWidth="1"/>
    <col min="6" max="6" width="82.3809523809524" customWidth="1"/>
  </cols>
  <sheetData>
    <row r="1" customHeight="1" spans="1:6">
      <c r="A1" s="1" t="s">
        <v>2535</v>
      </c>
      <c r="B1" s="1" t="s">
        <v>5</v>
      </c>
      <c r="C1" s="1" t="s">
        <v>2536</v>
      </c>
      <c r="D1" s="1" t="s">
        <v>2537</v>
      </c>
      <c r="E1" s="1" t="s">
        <v>9</v>
      </c>
      <c r="F1" s="1" t="s">
        <v>2538</v>
      </c>
    </row>
    <row r="2" customHeight="1" spans="1:6">
      <c r="A2" s="22" t="s">
        <v>2539</v>
      </c>
      <c r="B2" s="22"/>
      <c r="C2" s="22"/>
      <c r="D2" s="22" t="s">
        <v>2540</v>
      </c>
      <c r="E2" s="196" t="s">
        <v>2541</v>
      </c>
      <c r="F2" s="22" t="s">
        <v>2542</v>
      </c>
    </row>
    <row r="3" customHeight="1" spans="2:5">
      <c r="B3" s="22"/>
      <c r="C3" s="22"/>
      <c r="D3" s="22" t="s">
        <v>2540</v>
      </c>
      <c r="E3" s="196" t="s">
        <v>2543</v>
      </c>
    </row>
    <row r="4" customHeight="1" spans="1:5">
      <c r="A4" s="22"/>
      <c r="B4" s="24"/>
      <c r="C4" s="24"/>
      <c r="D4" s="22" t="s">
        <v>2540</v>
      </c>
      <c r="E4" s="196" t="s">
        <v>2544</v>
      </c>
    </row>
    <row r="5" customHeight="1" spans="1:5">
      <c r="A5" s="22"/>
      <c r="B5" s="24"/>
      <c r="C5" s="24"/>
      <c r="D5" s="22" t="s">
        <v>2540</v>
      </c>
      <c r="E5" s="196" t="s">
        <v>2545</v>
      </c>
    </row>
    <row r="6" customHeight="1" spans="1:5">
      <c r="A6" s="22" t="s">
        <v>2546</v>
      </c>
      <c r="B6" s="24"/>
      <c r="C6" s="24"/>
      <c r="D6" s="22" t="s">
        <v>2540</v>
      </c>
      <c r="E6" s="182"/>
    </row>
    <row r="7" customHeight="1" spans="1:5">
      <c r="A7" s="22"/>
      <c r="B7" s="24"/>
      <c r="C7" s="24"/>
      <c r="D7" s="22" t="s">
        <v>2540</v>
      </c>
      <c r="E7" s="196" t="s">
        <v>2547</v>
      </c>
    </row>
    <row r="8" customHeight="1" spans="1:29">
      <c r="A8" s="143" t="s">
        <v>2548</v>
      </c>
      <c r="B8" s="316"/>
      <c r="C8" s="316"/>
      <c r="D8" s="143" t="s">
        <v>2549</v>
      </c>
      <c r="E8" s="196" t="s">
        <v>2550</v>
      </c>
      <c r="F8" s="143" t="s">
        <v>2551</v>
      </c>
      <c r="G8" s="148"/>
      <c r="H8" s="148"/>
      <c r="I8" s="148"/>
      <c r="J8" s="148"/>
      <c r="K8" s="148"/>
      <c r="L8" s="148"/>
      <c r="M8" s="148"/>
      <c r="N8" s="148"/>
      <c r="O8" s="148"/>
      <c r="P8" s="148"/>
      <c r="Q8" s="148"/>
      <c r="R8" s="148"/>
      <c r="S8" s="148"/>
      <c r="T8" s="148"/>
      <c r="U8" s="148"/>
      <c r="V8" s="148"/>
      <c r="W8" s="148"/>
      <c r="X8" s="148"/>
      <c r="Y8" s="148"/>
      <c r="Z8" s="148"/>
      <c r="AA8" s="148"/>
      <c r="AB8" s="148"/>
      <c r="AC8" s="148"/>
    </row>
    <row r="9" customHeight="1" spans="1:29">
      <c r="A9" s="143" t="s">
        <v>2552</v>
      </c>
      <c r="B9" s="143" t="s">
        <v>2553</v>
      </c>
      <c r="C9" s="316"/>
      <c r="D9" s="143" t="s">
        <v>2549</v>
      </c>
      <c r="E9" s="196" t="s">
        <v>2554</v>
      </c>
      <c r="F9" s="143" t="s">
        <v>2555</v>
      </c>
      <c r="G9" s="148"/>
      <c r="H9" s="148"/>
      <c r="I9" s="148"/>
      <c r="J9" s="148"/>
      <c r="K9" s="148"/>
      <c r="L9" s="148"/>
      <c r="M9" s="148"/>
      <c r="N9" s="148"/>
      <c r="O9" s="148"/>
      <c r="P9" s="148"/>
      <c r="Q9" s="148"/>
      <c r="R9" s="148"/>
      <c r="S9" s="148"/>
      <c r="T9" s="148"/>
      <c r="U9" s="148"/>
      <c r="V9" s="148"/>
      <c r="W9" s="148"/>
      <c r="X9" s="148"/>
      <c r="Y9" s="148"/>
      <c r="Z9" s="148"/>
      <c r="AA9" s="148"/>
      <c r="AB9" s="148"/>
      <c r="AC9" s="148"/>
    </row>
    <row r="10" customHeight="1" spans="1:29">
      <c r="A10" s="143" t="s">
        <v>2556</v>
      </c>
      <c r="B10" s="143"/>
      <c r="C10" s="143"/>
      <c r="D10" s="143" t="s">
        <v>2549</v>
      </c>
      <c r="E10" s="196" t="s">
        <v>2557</v>
      </c>
      <c r="F10" s="143" t="s">
        <v>2558</v>
      </c>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row>
    <row r="11" customHeight="1" spans="1:29">
      <c r="A11" s="143" t="s">
        <v>2559</v>
      </c>
      <c r="B11" s="143"/>
      <c r="C11" s="143"/>
      <c r="D11" s="143"/>
      <c r="E11" s="196" t="s">
        <v>2560</v>
      </c>
      <c r="F11" s="143"/>
      <c r="G11" s="148"/>
      <c r="H11" s="148"/>
      <c r="I11" s="148"/>
      <c r="J11" s="148"/>
      <c r="K11" s="148"/>
      <c r="L11" s="148"/>
      <c r="M11" s="148"/>
      <c r="N11" s="148"/>
      <c r="O11" s="148"/>
      <c r="P11" s="148"/>
      <c r="Q11" s="148"/>
      <c r="R11" s="148"/>
      <c r="S11" s="148"/>
      <c r="T11" s="148"/>
      <c r="U11" s="148"/>
      <c r="V11" s="148"/>
      <c r="W11" s="148"/>
      <c r="X11" s="148"/>
      <c r="Y11" s="148"/>
      <c r="Z11" s="148"/>
      <c r="AA11" s="148"/>
      <c r="AB11" s="148"/>
      <c r="AC11" s="148"/>
    </row>
    <row r="12" customHeight="1" spans="1:29">
      <c r="A12" s="317" t="s">
        <v>2561</v>
      </c>
      <c r="B12" s="143"/>
      <c r="C12" s="143"/>
      <c r="D12" s="143" t="s">
        <v>2549</v>
      </c>
      <c r="E12" s="196" t="s">
        <v>2562</v>
      </c>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row>
    <row r="13" customHeight="1" spans="1:29">
      <c r="A13" s="317" t="s">
        <v>2563</v>
      </c>
      <c r="B13" s="143"/>
      <c r="C13" s="143"/>
      <c r="D13" s="143" t="s">
        <v>2549</v>
      </c>
      <c r="E13" s="310" t="s">
        <v>2564</v>
      </c>
      <c r="F13" s="143" t="s">
        <v>2565</v>
      </c>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row>
    <row r="14" customHeight="1" spans="1:29">
      <c r="A14" s="143" t="s">
        <v>2566</v>
      </c>
      <c r="B14" s="143"/>
      <c r="C14" s="143"/>
      <c r="D14" s="143" t="s">
        <v>2549</v>
      </c>
      <c r="E14" s="310" t="s">
        <v>2567</v>
      </c>
      <c r="F14" s="143"/>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row>
    <row r="15" customHeight="1" spans="1:6">
      <c r="A15" s="22" t="s">
        <v>2568</v>
      </c>
      <c r="B15" s="22"/>
      <c r="C15" s="22"/>
      <c r="D15" s="22" t="s">
        <v>2549</v>
      </c>
      <c r="E15" s="196" t="s">
        <v>2569</v>
      </c>
      <c r="F15" s="22"/>
    </row>
    <row r="16" customHeight="1" spans="2:6">
      <c r="B16" s="22"/>
      <c r="C16" s="22"/>
      <c r="D16" s="22" t="s">
        <v>2549</v>
      </c>
      <c r="E16" s="196" t="s">
        <v>582</v>
      </c>
      <c r="F16" s="22" t="s">
        <v>2570</v>
      </c>
    </row>
    <row r="17" customHeight="1" spans="1:6">
      <c r="A17" s="189"/>
      <c r="B17" s="22"/>
      <c r="C17" s="22"/>
      <c r="D17" s="22" t="s">
        <v>2549</v>
      </c>
      <c r="E17" s="196" t="s">
        <v>2571</v>
      </c>
      <c r="F17" s="22" t="s">
        <v>2572</v>
      </c>
    </row>
    <row r="18" customHeight="1" spans="1:5">
      <c r="A18" s="22" t="s">
        <v>2573</v>
      </c>
      <c r="B18" s="22"/>
      <c r="C18" s="22"/>
      <c r="D18" s="22" t="s">
        <v>2549</v>
      </c>
      <c r="E18" s="196" t="s">
        <v>2574</v>
      </c>
    </row>
    <row r="19" customHeight="1" spans="1:5">
      <c r="A19" s="22" t="s">
        <v>2575</v>
      </c>
      <c r="B19" s="22"/>
      <c r="C19" s="22"/>
      <c r="D19" s="22" t="s">
        <v>2549</v>
      </c>
      <c r="E19" s="196" t="s">
        <v>2576</v>
      </c>
    </row>
    <row r="20" customHeight="1" spans="2:6">
      <c r="B20" s="22"/>
      <c r="C20" s="22"/>
      <c r="D20" s="22" t="s">
        <v>2549</v>
      </c>
      <c r="E20" s="196" t="s">
        <v>2577</v>
      </c>
      <c r="F20" s="22" t="s">
        <v>2578</v>
      </c>
    </row>
    <row r="21" customHeight="1" spans="2:6">
      <c r="B21" s="22"/>
      <c r="C21" s="22"/>
      <c r="D21" s="22" t="s">
        <v>2549</v>
      </c>
      <c r="E21" s="196" t="s">
        <v>2579</v>
      </c>
      <c r="F21" s="22" t="s">
        <v>2580</v>
      </c>
    </row>
    <row r="22" customHeight="1" spans="1:6">
      <c r="A22" s="22" t="s">
        <v>1252</v>
      </c>
      <c r="B22" s="22"/>
      <c r="C22" s="22"/>
      <c r="D22" s="22" t="s">
        <v>2549</v>
      </c>
      <c r="E22" s="196" t="s">
        <v>1253</v>
      </c>
      <c r="F22" s="22" t="s">
        <v>2581</v>
      </c>
    </row>
    <row r="23" customHeight="1" spans="1:6">
      <c r="A23" s="22" t="s">
        <v>2582</v>
      </c>
      <c r="B23" s="22"/>
      <c r="C23" s="22"/>
      <c r="D23" s="22" t="s">
        <v>2549</v>
      </c>
      <c r="E23" s="196" t="s">
        <v>2583</v>
      </c>
      <c r="F23" s="22" t="s">
        <v>2584</v>
      </c>
    </row>
    <row r="24" customHeight="1" spans="2:6">
      <c r="B24" s="22"/>
      <c r="C24" s="22"/>
      <c r="D24" s="22" t="s">
        <v>2549</v>
      </c>
      <c r="E24" s="196" t="s">
        <v>2585</v>
      </c>
      <c r="F24" s="22" t="s">
        <v>2586</v>
      </c>
    </row>
    <row r="25" customHeight="1" spans="2:6">
      <c r="B25" s="22"/>
      <c r="C25" s="22"/>
      <c r="D25" s="22" t="s">
        <v>2549</v>
      </c>
      <c r="E25" s="196" t="s">
        <v>2587</v>
      </c>
      <c r="F25" s="22" t="s">
        <v>2588</v>
      </c>
    </row>
    <row r="26" customHeight="1" spans="2:6">
      <c r="B26" s="22"/>
      <c r="C26" s="22"/>
      <c r="D26" s="22" t="s">
        <v>2549</v>
      </c>
      <c r="E26" s="196" t="s">
        <v>2589</v>
      </c>
      <c r="F26" s="22" t="s">
        <v>2590</v>
      </c>
    </row>
    <row r="27" customHeight="1" spans="2:6">
      <c r="B27" s="22"/>
      <c r="C27" s="22"/>
      <c r="D27" s="22" t="s">
        <v>2549</v>
      </c>
      <c r="E27" s="196" t="s">
        <v>945</v>
      </c>
      <c r="F27" s="22" t="s">
        <v>2591</v>
      </c>
    </row>
    <row r="28" customHeight="1" spans="1:6">
      <c r="A28" s="22" t="s">
        <v>2592</v>
      </c>
      <c r="B28" s="22"/>
      <c r="C28" s="22"/>
      <c r="D28" s="22" t="s">
        <v>2549</v>
      </c>
      <c r="E28" s="196" t="s">
        <v>2593</v>
      </c>
      <c r="F28" s="22" t="s">
        <v>2594</v>
      </c>
    </row>
    <row r="29" customHeight="1" spans="1:6">
      <c r="A29" s="22" t="s">
        <v>2595</v>
      </c>
      <c r="B29" s="22"/>
      <c r="C29" s="22"/>
      <c r="D29" s="22" t="s">
        <v>2549</v>
      </c>
      <c r="E29" s="196" t="s">
        <v>2596</v>
      </c>
      <c r="F29" s="22" t="s">
        <v>2597</v>
      </c>
    </row>
    <row r="30" customHeight="1" spans="2:6">
      <c r="B30" s="22"/>
      <c r="C30" s="22"/>
      <c r="D30" s="22" t="s">
        <v>2549</v>
      </c>
      <c r="E30" s="196" t="s">
        <v>2598</v>
      </c>
      <c r="F30" s="22" t="s">
        <v>2599</v>
      </c>
    </row>
    <row r="31" customHeight="1" spans="2:6">
      <c r="B31" s="22"/>
      <c r="C31" s="22"/>
      <c r="D31" s="22" t="s">
        <v>2549</v>
      </c>
      <c r="E31" s="196" t="s">
        <v>2600</v>
      </c>
      <c r="F31" s="22" t="s">
        <v>2601</v>
      </c>
    </row>
    <row r="32" customHeight="1" spans="1:6">
      <c r="A32" s="22" t="s">
        <v>2602</v>
      </c>
      <c r="B32" s="22"/>
      <c r="C32" s="22"/>
      <c r="D32" s="22"/>
      <c r="E32" s="196" t="s">
        <v>2603</v>
      </c>
      <c r="F32" s="22"/>
    </row>
    <row r="33" customHeight="1" spans="1:29">
      <c r="A33" s="143" t="s">
        <v>2604</v>
      </c>
      <c r="B33" s="143"/>
      <c r="C33" s="143"/>
      <c r="D33" s="143" t="s">
        <v>2605</v>
      </c>
      <c r="E33" s="307"/>
      <c r="F33" s="143" t="s">
        <v>2606</v>
      </c>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row>
    <row r="34" customHeight="1" spans="1:29">
      <c r="A34" s="143" t="s">
        <v>2607</v>
      </c>
      <c r="B34" s="143"/>
      <c r="C34" s="143"/>
      <c r="D34" s="143" t="s">
        <v>2605</v>
      </c>
      <c r="E34" s="196" t="s">
        <v>2608</v>
      </c>
      <c r="F34" s="148"/>
      <c r="G34" s="148"/>
      <c r="H34" s="148"/>
      <c r="I34" s="148"/>
      <c r="J34" s="148"/>
      <c r="K34" s="148"/>
      <c r="L34" s="148"/>
      <c r="M34" s="148"/>
      <c r="N34" s="148"/>
      <c r="O34" s="148"/>
      <c r="P34" s="148"/>
      <c r="Q34" s="148"/>
      <c r="R34" s="148"/>
      <c r="S34" s="148"/>
      <c r="T34" s="148"/>
      <c r="U34" s="148"/>
      <c r="V34" s="148"/>
      <c r="W34" s="148"/>
      <c r="X34" s="148"/>
      <c r="Y34" s="148"/>
      <c r="Z34" s="148"/>
      <c r="AA34" s="148"/>
      <c r="AB34" s="148"/>
      <c r="AC34" s="148"/>
    </row>
    <row r="35" customHeight="1" spans="1:5">
      <c r="A35" s="22" t="s">
        <v>2609</v>
      </c>
      <c r="B35" s="22"/>
      <c r="C35" s="22"/>
      <c r="D35" s="22" t="s">
        <v>2605</v>
      </c>
      <c r="E35" s="196" t="s">
        <v>2610</v>
      </c>
    </row>
    <row r="36" customHeight="1" spans="1:5">
      <c r="A36" s="22"/>
      <c r="B36" s="22"/>
      <c r="C36" s="22"/>
      <c r="D36" s="22" t="s">
        <v>2605</v>
      </c>
      <c r="E36" s="196" t="s">
        <v>2611</v>
      </c>
    </row>
    <row r="37" customHeight="1" spans="1:5">
      <c r="A37" s="22"/>
      <c r="B37" s="22"/>
      <c r="C37" s="22"/>
      <c r="D37" s="22" t="s">
        <v>2605</v>
      </c>
      <c r="E37" s="196" t="s">
        <v>2612</v>
      </c>
    </row>
    <row r="38" customHeight="1" spans="1:5">
      <c r="A38" s="318" t="s">
        <v>2613</v>
      </c>
      <c r="B38" s="22"/>
      <c r="C38" s="22"/>
      <c r="D38" s="22" t="s">
        <v>2605</v>
      </c>
      <c r="E38" s="196" t="s">
        <v>2614</v>
      </c>
    </row>
    <row r="39" customHeight="1" spans="1:5">
      <c r="A39" s="22" t="s">
        <v>2615</v>
      </c>
      <c r="B39" s="22"/>
      <c r="C39" s="22"/>
      <c r="D39" s="22" t="s">
        <v>2605</v>
      </c>
      <c r="E39" s="196" t="s">
        <v>2616</v>
      </c>
    </row>
    <row r="40" customHeight="1" spans="1:5">
      <c r="A40" s="22" t="s">
        <v>2617</v>
      </c>
      <c r="B40" s="22"/>
      <c r="C40" s="22"/>
      <c r="D40" s="22" t="s">
        <v>2605</v>
      </c>
      <c r="E40" s="196" t="s">
        <v>2618</v>
      </c>
    </row>
    <row r="41" customHeight="1" spans="1:5">
      <c r="A41" s="22" t="s">
        <v>2619</v>
      </c>
      <c r="B41" s="22"/>
      <c r="C41" s="22"/>
      <c r="D41" s="22" t="s">
        <v>2605</v>
      </c>
      <c r="E41" s="196" t="s">
        <v>2620</v>
      </c>
    </row>
    <row r="42" customHeight="1" spans="1:5">
      <c r="A42" s="22" t="s">
        <v>2621</v>
      </c>
      <c r="B42" s="22"/>
      <c r="C42" s="22"/>
      <c r="D42" s="22" t="s">
        <v>2605</v>
      </c>
      <c r="E42" s="196" t="s">
        <v>2622</v>
      </c>
    </row>
    <row r="43" customHeight="1" spans="1:5">
      <c r="A43" s="22" t="s">
        <v>2623</v>
      </c>
      <c r="B43" s="22"/>
      <c r="C43" s="22"/>
      <c r="D43" s="22" t="s">
        <v>2605</v>
      </c>
      <c r="E43" s="196" t="s">
        <v>2624</v>
      </c>
    </row>
    <row r="44" customHeight="1" spans="1:5">
      <c r="A44" s="22" t="s">
        <v>2625</v>
      </c>
      <c r="B44" s="22"/>
      <c r="C44" s="22"/>
      <c r="D44" s="22" t="s">
        <v>2605</v>
      </c>
      <c r="E44" s="196" t="s">
        <v>2626</v>
      </c>
    </row>
    <row r="45" customHeight="1" spans="1:5">
      <c r="A45" s="22" t="s">
        <v>2627</v>
      </c>
      <c r="B45" s="22"/>
      <c r="C45" s="22"/>
      <c r="D45" s="22" t="s">
        <v>2605</v>
      </c>
      <c r="E45" s="196" t="s">
        <v>2628</v>
      </c>
    </row>
    <row r="46" customHeight="1" spans="2:6">
      <c r="B46" s="22"/>
      <c r="C46" s="22"/>
      <c r="D46" s="22" t="s">
        <v>2605</v>
      </c>
      <c r="E46" s="196" t="s">
        <v>1040</v>
      </c>
      <c r="F46" s="22" t="s">
        <v>2629</v>
      </c>
    </row>
    <row r="47" customHeight="1" spans="1:5">
      <c r="A47" s="22" t="s">
        <v>2630</v>
      </c>
      <c r="B47" s="22"/>
      <c r="C47" s="22"/>
      <c r="D47" s="22" t="s">
        <v>2605</v>
      </c>
      <c r="E47" s="196" t="s">
        <v>2631</v>
      </c>
    </row>
    <row r="48" customHeight="1" spans="2:6">
      <c r="B48" s="22"/>
      <c r="C48" s="22"/>
      <c r="D48" s="22" t="s">
        <v>2605</v>
      </c>
      <c r="E48" s="196" t="s">
        <v>2632</v>
      </c>
      <c r="F48" s="22" t="s">
        <v>2633</v>
      </c>
    </row>
    <row r="49" customHeight="1" spans="1:5">
      <c r="A49" s="22" t="s">
        <v>2634</v>
      </c>
      <c r="B49" s="22"/>
      <c r="C49" s="22"/>
      <c r="D49" s="22" t="s">
        <v>2605</v>
      </c>
      <c r="E49" s="196" t="s">
        <v>2635</v>
      </c>
    </row>
    <row r="50" customHeight="1" spans="1:5">
      <c r="A50" s="22" t="s">
        <v>2636</v>
      </c>
      <c r="B50" s="22"/>
      <c r="C50" s="22"/>
      <c r="D50" s="22" t="s">
        <v>2605</v>
      </c>
      <c r="E50" s="196" t="s">
        <v>2637</v>
      </c>
    </row>
    <row r="51" customHeight="1" spans="1:5">
      <c r="A51" s="22" t="s">
        <v>2638</v>
      </c>
      <c r="B51" s="22"/>
      <c r="C51" s="22"/>
      <c r="D51" s="22" t="s">
        <v>2605</v>
      </c>
      <c r="E51" s="196" t="s">
        <v>2639</v>
      </c>
    </row>
    <row r="52" customHeight="1" spans="1:6">
      <c r="A52" s="22" t="s">
        <v>2640</v>
      </c>
      <c r="B52" s="22"/>
      <c r="C52" s="22"/>
      <c r="D52" s="22" t="s">
        <v>2605</v>
      </c>
      <c r="E52" s="196" t="s">
        <v>2641</v>
      </c>
      <c r="F52" s="22" t="s">
        <v>2642</v>
      </c>
    </row>
    <row r="53" customHeight="1" spans="1:5">
      <c r="A53" s="22" t="s">
        <v>2643</v>
      </c>
      <c r="B53" s="22"/>
      <c r="C53" s="22"/>
      <c r="D53" s="22" t="s">
        <v>2605</v>
      </c>
      <c r="E53" s="196" t="s">
        <v>2644</v>
      </c>
    </row>
    <row r="54" customHeight="1" spans="1:6">
      <c r="A54" s="22" t="s">
        <v>2645</v>
      </c>
      <c r="B54" s="22"/>
      <c r="C54" s="22"/>
      <c r="D54" s="22" t="s">
        <v>2605</v>
      </c>
      <c r="E54" s="196" t="s">
        <v>2646</v>
      </c>
      <c r="F54" s="22" t="s">
        <v>2647</v>
      </c>
    </row>
    <row r="55" customHeight="1" spans="1:6">
      <c r="A55" s="22" t="s">
        <v>2648</v>
      </c>
      <c r="B55" s="22"/>
      <c r="C55" s="22"/>
      <c r="D55" s="22" t="s">
        <v>2605</v>
      </c>
      <c r="E55" s="196" t="s">
        <v>2649</v>
      </c>
      <c r="F55" s="22" t="s">
        <v>2647</v>
      </c>
    </row>
    <row r="56" customHeight="1" spans="1:6">
      <c r="A56" s="22" t="s">
        <v>2650</v>
      </c>
      <c r="B56" s="22"/>
      <c r="C56" s="22"/>
      <c r="D56" s="22" t="s">
        <v>2605</v>
      </c>
      <c r="E56" s="196" t="s">
        <v>2651</v>
      </c>
      <c r="F56" s="22" t="s">
        <v>2647</v>
      </c>
    </row>
    <row r="57" customHeight="1" spans="2:6">
      <c r="B57" s="22"/>
      <c r="C57" s="22"/>
      <c r="D57" s="22" t="s">
        <v>2605</v>
      </c>
      <c r="E57" s="196" t="s">
        <v>2652</v>
      </c>
      <c r="F57" s="22" t="s">
        <v>2653</v>
      </c>
    </row>
    <row r="58" customHeight="1" spans="2:6">
      <c r="B58" s="22"/>
      <c r="C58" s="22"/>
      <c r="D58" s="22" t="s">
        <v>2605</v>
      </c>
      <c r="E58" s="196" t="s">
        <v>2654</v>
      </c>
      <c r="F58" s="22" t="s">
        <v>2655</v>
      </c>
    </row>
    <row r="59" customHeight="1" spans="2:6">
      <c r="B59" s="22"/>
      <c r="C59" s="22"/>
      <c r="D59" s="22" t="s">
        <v>2605</v>
      </c>
      <c r="E59" s="196" t="s">
        <v>2656</v>
      </c>
      <c r="F59" s="22" t="s">
        <v>2657</v>
      </c>
    </row>
    <row r="60" customHeight="1" spans="2:6">
      <c r="B60" s="22"/>
      <c r="C60" s="22"/>
      <c r="D60" s="22" t="s">
        <v>2605</v>
      </c>
      <c r="E60" s="196" t="s">
        <v>2658</v>
      </c>
      <c r="F60" s="22" t="s">
        <v>2659</v>
      </c>
    </row>
    <row r="61" customHeight="1" spans="1:5">
      <c r="A61" s="22" t="s">
        <v>2660</v>
      </c>
      <c r="B61" s="22"/>
      <c r="C61" s="22"/>
      <c r="D61" s="22" t="s">
        <v>2605</v>
      </c>
      <c r="E61" s="196" t="s">
        <v>2661</v>
      </c>
    </row>
    <row r="62" customHeight="1" spans="2:6">
      <c r="B62" s="22"/>
      <c r="C62" s="22"/>
      <c r="D62" s="22" t="s">
        <v>2605</v>
      </c>
      <c r="E62" s="196" t="s">
        <v>2662</v>
      </c>
      <c r="F62" s="22" t="s">
        <v>2663</v>
      </c>
    </row>
    <row r="63" customHeight="1" spans="1:5">
      <c r="A63" s="22" t="s">
        <v>2664</v>
      </c>
      <c r="B63" s="22"/>
      <c r="C63" s="22"/>
      <c r="D63" s="22" t="s">
        <v>2605</v>
      </c>
      <c r="E63" s="196" t="s">
        <v>2665</v>
      </c>
    </row>
    <row r="64" customHeight="1" spans="1:6">
      <c r="A64" s="319" t="s">
        <v>2666</v>
      </c>
      <c r="B64" s="22"/>
      <c r="C64" s="22"/>
      <c r="D64" s="22" t="s">
        <v>2605</v>
      </c>
      <c r="E64" s="196" t="s">
        <v>2667</v>
      </c>
      <c r="F64" s="22" t="s">
        <v>2668</v>
      </c>
    </row>
    <row r="65" customHeight="1" spans="2:6">
      <c r="B65" s="22"/>
      <c r="C65" s="22"/>
      <c r="D65" s="22" t="s">
        <v>2605</v>
      </c>
      <c r="E65" s="196" t="s">
        <v>2669</v>
      </c>
      <c r="F65" s="22" t="s">
        <v>2668</v>
      </c>
    </row>
    <row r="66" customHeight="1" spans="2:6">
      <c r="B66" s="182"/>
      <c r="C66" s="182"/>
      <c r="D66" s="22" t="s">
        <v>2605</v>
      </c>
      <c r="E66" s="196" t="s">
        <v>2670</v>
      </c>
      <c r="F66" s="22" t="s">
        <v>2668</v>
      </c>
    </row>
    <row r="67" customHeight="1" spans="1:6">
      <c r="A67" s="22" t="s">
        <v>2671</v>
      </c>
      <c r="B67" s="22"/>
      <c r="C67" s="22"/>
      <c r="D67" s="22" t="s">
        <v>2605</v>
      </c>
      <c r="E67" s="196" t="s">
        <v>2672</v>
      </c>
      <c r="F67" s="22" t="s">
        <v>2668</v>
      </c>
    </row>
    <row r="68" customHeight="1" spans="1:6">
      <c r="A68" s="23" t="s">
        <v>2673</v>
      </c>
      <c r="B68" s="22"/>
      <c r="C68" s="22"/>
      <c r="D68" s="22" t="s">
        <v>2605</v>
      </c>
      <c r="E68" s="196" t="s">
        <v>2674</v>
      </c>
      <c r="F68" s="22" t="s">
        <v>2668</v>
      </c>
    </row>
    <row r="69" customHeight="1" spans="1:6">
      <c r="A69" s="22" t="s">
        <v>2675</v>
      </c>
      <c r="B69" s="22"/>
      <c r="C69" s="22"/>
      <c r="D69" s="22" t="s">
        <v>2605</v>
      </c>
      <c r="E69" s="196" t="s">
        <v>2676</v>
      </c>
      <c r="F69" s="22" t="s">
        <v>2668</v>
      </c>
    </row>
    <row r="70" customHeight="1" spans="1:6">
      <c r="A70" s="22" t="s">
        <v>2677</v>
      </c>
      <c r="B70" s="22"/>
      <c r="C70" s="22"/>
      <c r="D70" s="22" t="s">
        <v>2605</v>
      </c>
      <c r="E70" s="196" t="s">
        <v>2678</v>
      </c>
      <c r="F70" s="22" t="s">
        <v>2679</v>
      </c>
    </row>
    <row r="71" customHeight="1" spans="2:6">
      <c r="B71" s="22"/>
      <c r="C71" s="22"/>
      <c r="D71" s="22" t="s">
        <v>2605</v>
      </c>
      <c r="E71" s="196" t="s">
        <v>2680</v>
      </c>
      <c r="F71" s="22" t="s">
        <v>2681</v>
      </c>
    </row>
    <row r="72" customHeight="1" spans="2:6">
      <c r="B72" s="22"/>
      <c r="C72" s="22"/>
      <c r="D72" s="22" t="s">
        <v>2682</v>
      </c>
      <c r="E72" s="196" t="s">
        <v>2683</v>
      </c>
      <c r="F72" s="22" t="s">
        <v>2684</v>
      </c>
    </row>
    <row r="73" customHeight="1" spans="2:6">
      <c r="B73" s="22"/>
      <c r="C73" s="22"/>
      <c r="D73" s="22" t="s">
        <v>2682</v>
      </c>
      <c r="E73" s="196" t="s">
        <v>2685</v>
      </c>
      <c r="F73" s="22" t="s">
        <v>2686</v>
      </c>
    </row>
    <row r="74" customHeight="1" spans="1:5">
      <c r="A74" s="22"/>
      <c r="B74" s="22"/>
      <c r="C74" s="22"/>
      <c r="D74" s="22" t="s">
        <v>2687</v>
      </c>
      <c r="E74" s="23" t="s">
        <v>2688</v>
      </c>
    </row>
    <row r="75" customHeight="1" spans="1:5">
      <c r="A75" s="22" t="s">
        <v>2689</v>
      </c>
      <c r="B75" s="22"/>
      <c r="C75" s="22"/>
      <c r="D75" s="22"/>
      <c r="E75" s="23" t="s">
        <v>2690</v>
      </c>
    </row>
    <row r="76" customHeight="1" spans="1:5">
      <c r="A76" s="22" t="s">
        <v>2691</v>
      </c>
      <c r="B76" s="22"/>
      <c r="C76" s="22"/>
      <c r="D76" s="22" t="s">
        <v>199</v>
      </c>
      <c r="E76" s="23" t="s">
        <v>2692</v>
      </c>
    </row>
    <row r="77" customHeight="1" spans="1:5">
      <c r="A77" s="22" t="s">
        <v>2693</v>
      </c>
      <c r="B77" s="22" t="s">
        <v>2694</v>
      </c>
      <c r="D77" s="22" t="s">
        <v>2605</v>
      </c>
      <c r="E77" s="23" t="s">
        <v>2695</v>
      </c>
    </row>
    <row r="78" customHeight="1" spans="2:5">
      <c r="B78" s="22"/>
      <c r="C78" s="22"/>
      <c r="D78" s="22"/>
      <c r="E78" s="22"/>
    </row>
    <row r="79" customHeight="1" spans="2:5">
      <c r="B79" s="22"/>
      <c r="C79" s="22"/>
      <c r="D79" s="22"/>
      <c r="E79" s="22"/>
    </row>
    <row r="80" customHeight="1" spans="2:5">
      <c r="B80" s="22"/>
      <c r="C80" s="22"/>
      <c r="D80" s="22"/>
      <c r="E80" s="22"/>
    </row>
    <row r="81" customHeight="1" spans="2:5">
      <c r="B81" s="22"/>
      <c r="C81" s="22"/>
      <c r="D81" s="22"/>
      <c r="E81" s="22"/>
    </row>
    <row r="82" customHeight="1" spans="2:5">
      <c r="B82" s="22"/>
      <c r="C82" s="22"/>
      <c r="D82" s="22"/>
      <c r="E82" s="22"/>
    </row>
    <row r="83" customHeight="1" spans="2:5">
      <c r="B83" s="22"/>
      <c r="C83" s="22"/>
      <c r="D83" s="22"/>
      <c r="E83" s="22"/>
    </row>
    <row r="84" customHeight="1" spans="2:5">
      <c r="B84" s="22"/>
      <c r="C84" s="22"/>
      <c r="D84" s="22"/>
      <c r="E84" s="22"/>
    </row>
    <row r="85" customHeight="1" spans="2:5">
      <c r="B85" s="22"/>
      <c r="C85" s="22"/>
      <c r="D85" s="22"/>
      <c r="E85" s="22"/>
    </row>
    <row r="86" customHeight="1" spans="2:5">
      <c r="B86" s="22"/>
      <c r="C86" s="22"/>
      <c r="D86" s="22"/>
      <c r="E86" s="22"/>
    </row>
    <row r="87" customHeight="1" spans="2:5">
      <c r="B87" s="22"/>
      <c r="C87" s="22"/>
      <c r="D87" s="22"/>
      <c r="E87" s="22"/>
    </row>
    <row r="88" customHeight="1" spans="2:5">
      <c r="B88" s="22"/>
      <c r="C88" s="22"/>
      <c r="D88" s="22"/>
      <c r="E88" s="22"/>
    </row>
    <row r="89" customHeight="1" spans="2:5">
      <c r="B89" s="22"/>
      <c r="C89" s="22"/>
      <c r="D89" s="22"/>
      <c r="E89" s="22"/>
    </row>
    <row r="90" customHeight="1" spans="2:5">
      <c r="B90" s="22"/>
      <c r="C90" s="22"/>
      <c r="D90" s="22"/>
      <c r="E90" s="22"/>
    </row>
    <row r="91" customHeight="1" spans="2:5">
      <c r="B91" s="22"/>
      <c r="C91" s="22"/>
      <c r="D91" s="22"/>
      <c r="E91" s="22"/>
    </row>
    <row r="92" customHeight="1" spans="2:5">
      <c r="B92" s="22"/>
      <c r="C92" s="22"/>
      <c r="D92" s="22"/>
      <c r="E92" s="22"/>
    </row>
    <row r="93" customHeight="1" spans="2:5">
      <c r="B93" s="22"/>
      <c r="C93" s="22"/>
      <c r="D93" s="22"/>
      <c r="E93" s="22"/>
    </row>
    <row r="94" customHeight="1" spans="2:5">
      <c r="B94" s="22"/>
      <c r="C94" s="22"/>
      <c r="D94" s="22"/>
      <c r="E94" s="22"/>
    </row>
    <row r="95" customHeight="1" spans="2:5">
      <c r="B95" s="22"/>
      <c r="C95" s="22"/>
      <c r="D95" s="22"/>
      <c r="E95" s="22"/>
    </row>
    <row r="96" customHeight="1" spans="2:5">
      <c r="B96" s="22"/>
      <c r="C96" s="22"/>
      <c r="D96" s="22"/>
      <c r="E96" s="22"/>
    </row>
    <row r="97" customHeight="1" spans="2:5">
      <c r="B97" s="22"/>
      <c r="C97" s="22"/>
      <c r="D97" s="22"/>
      <c r="E97" s="22"/>
    </row>
    <row r="98" customHeight="1" spans="2:5">
      <c r="B98" s="22"/>
      <c r="C98" s="22"/>
      <c r="D98" s="22"/>
      <c r="E98" s="22"/>
    </row>
    <row r="99" customHeight="1" spans="2:5">
      <c r="B99" s="22"/>
      <c r="C99" s="22"/>
      <c r="D99" s="22"/>
      <c r="E99" s="22"/>
    </row>
    <row r="100" customHeight="1" spans="2:5">
      <c r="B100" s="22"/>
      <c r="C100" s="22"/>
      <c r="D100" s="22"/>
      <c r="E100" s="22"/>
    </row>
    <row r="101" customHeight="1" spans="2:5">
      <c r="B101" s="22"/>
      <c r="C101" s="22"/>
      <c r="D101" s="22"/>
      <c r="E101" s="22"/>
    </row>
    <row r="102" customHeight="1" spans="2:5">
      <c r="B102" s="22"/>
      <c r="C102" s="22"/>
      <c r="D102" s="22"/>
      <c r="E102" s="22"/>
    </row>
    <row r="103" customHeight="1" spans="2:5">
      <c r="B103" s="22"/>
      <c r="C103" s="22"/>
      <c r="D103" s="22"/>
      <c r="E103" s="22"/>
    </row>
    <row r="104" customHeight="1" spans="2:5">
      <c r="B104" s="22"/>
      <c r="C104" s="22"/>
      <c r="D104" s="22"/>
      <c r="E104" s="22"/>
    </row>
    <row r="105" customHeight="1" spans="2:5">
      <c r="B105" s="22"/>
      <c r="C105" s="22"/>
      <c r="D105" s="22"/>
      <c r="E105" s="22"/>
    </row>
    <row r="106" customHeight="1" spans="2:5">
      <c r="B106" s="22"/>
      <c r="C106" s="22"/>
      <c r="D106" s="22"/>
      <c r="E106" s="22"/>
    </row>
    <row r="107" customHeight="1" spans="2:5">
      <c r="B107" s="22"/>
      <c r="C107" s="22"/>
      <c r="D107" s="22"/>
      <c r="E107" s="22"/>
    </row>
    <row r="108" customHeight="1" spans="2:5">
      <c r="B108" s="22"/>
      <c r="C108" s="22"/>
      <c r="D108" s="22"/>
      <c r="E108" s="22"/>
    </row>
    <row r="109" customHeight="1" spans="2:5">
      <c r="B109" s="22"/>
      <c r="C109" s="22"/>
      <c r="D109" s="22"/>
      <c r="E109" s="22"/>
    </row>
    <row r="110" customHeight="1" spans="2:5">
      <c r="B110" s="22"/>
      <c r="C110" s="22"/>
      <c r="D110" s="22"/>
      <c r="E110" s="22"/>
    </row>
    <row r="111" customHeight="1" spans="2:5">
      <c r="B111" s="22"/>
      <c r="C111" s="22"/>
      <c r="D111" s="22"/>
      <c r="E111" s="22"/>
    </row>
    <row r="112" customHeight="1" spans="2:5">
      <c r="B112" s="22"/>
      <c r="C112" s="22"/>
      <c r="D112" s="22"/>
      <c r="E112" s="22"/>
    </row>
    <row r="113" customHeight="1" spans="2:5">
      <c r="B113" s="22"/>
      <c r="C113" s="22"/>
      <c r="D113" s="22"/>
      <c r="E113" s="22"/>
    </row>
    <row r="114" customHeight="1" spans="2:5">
      <c r="B114" s="22"/>
      <c r="C114" s="22"/>
      <c r="D114" s="22"/>
      <c r="E114" s="22"/>
    </row>
    <row r="115" customHeight="1" spans="2:5">
      <c r="B115" s="22"/>
      <c r="C115" s="22"/>
      <c r="D115" s="22"/>
      <c r="E115" s="22"/>
    </row>
    <row r="116" customHeight="1" spans="2:5">
      <c r="B116" s="22"/>
      <c r="C116" s="22"/>
      <c r="D116" s="22"/>
      <c r="E116" s="22"/>
    </row>
    <row r="117" customHeight="1" spans="2:5">
      <c r="B117" s="22"/>
      <c r="C117" s="22"/>
      <c r="D117" s="22"/>
      <c r="E117" s="22"/>
    </row>
    <row r="118" customHeight="1" spans="2:5">
      <c r="B118" s="22"/>
      <c r="C118" s="22"/>
      <c r="D118" s="22"/>
      <c r="E118" s="22"/>
    </row>
    <row r="119" customHeight="1" spans="2:5">
      <c r="B119" s="22"/>
      <c r="C119" s="22"/>
      <c r="D119" s="22"/>
      <c r="E119" s="22"/>
    </row>
    <row r="120" customHeight="1" spans="2:5">
      <c r="B120" s="22"/>
      <c r="C120" s="22"/>
      <c r="D120" s="22"/>
      <c r="E120" s="22"/>
    </row>
    <row r="121" customHeight="1" spans="2:5">
      <c r="B121" s="22"/>
      <c r="C121" s="22"/>
      <c r="D121" s="22"/>
      <c r="E121" s="22"/>
    </row>
    <row r="122" customHeight="1" spans="2:5">
      <c r="B122" s="22"/>
      <c r="C122" s="22"/>
      <c r="D122" s="22"/>
      <c r="E122" s="22"/>
    </row>
    <row r="123" customHeight="1" spans="2:5">
      <c r="B123" s="22"/>
      <c r="C123" s="22"/>
      <c r="D123" s="22"/>
      <c r="E123" s="22"/>
    </row>
    <row r="124" customHeight="1" spans="2:5">
      <c r="B124" s="22"/>
      <c r="C124" s="22"/>
      <c r="D124" s="22"/>
      <c r="E124" s="22"/>
    </row>
    <row r="125" customHeight="1" spans="2:5">
      <c r="B125" s="22"/>
      <c r="C125" s="22"/>
      <c r="D125" s="22"/>
      <c r="E125" s="22"/>
    </row>
    <row r="126" customHeight="1" spans="2:5">
      <c r="B126" s="22"/>
      <c r="C126" s="22"/>
      <c r="D126" s="22"/>
      <c r="E126" s="22"/>
    </row>
    <row r="127" customHeight="1" spans="2:5">
      <c r="B127" s="22"/>
      <c r="C127" s="22"/>
      <c r="D127" s="22"/>
      <c r="E127" s="22"/>
    </row>
    <row r="128" customHeight="1" spans="2:5">
      <c r="B128" s="22"/>
      <c r="C128" s="22"/>
      <c r="D128" s="22"/>
      <c r="E128" s="22"/>
    </row>
    <row r="129" customHeight="1" spans="2:5">
      <c r="B129" s="22"/>
      <c r="C129" s="22"/>
      <c r="D129" s="22"/>
      <c r="E129" s="22"/>
    </row>
    <row r="130" customHeight="1" spans="2:5">
      <c r="B130" s="22"/>
      <c r="C130" s="22"/>
      <c r="D130" s="22"/>
      <c r="E130" s="22"/>
    </row>
    <row r="131" customHeight="1" spans="2:5">
      <c r="B131" s="22"/>
      <c r="C131" s="22"/>
      <c r="D131" s="22"/>
      <c r="E131" s="22"/>
    </row>
    <row r="132" customHeight="1" spans="2:5">
      <c r="B132" s="22"/>
      <c r="C132" s="22"/>
      <c r="D132" s="22"/>
      <c r="E132" s="22"/>
    </row>
    <row r="133" customHeight="1" spans="2:5">
      <c r="B133" s="22"/>
      <c r="C133" s="22"/>
      <c r="D133" s="22"/>
      <c r="E133" s="22"/>
    </row>
    <row r="134" customHeight="1" spans="2:5">
      <c r="B134" s="22"/>
      <c r="C134" s="22"/>
      <c r="D134" s="22"/>
      <c r="E134" s="22"/>
    </row>
    <row r="135" customHeight="1" spans="2:5">
      <c r="B135" s="22"/>
      <c r="C135" s="22"/>
      <c r="D135" s="22"/>
      <c r="E135" s="22"/>
    </row>
    <row r="136" customHeight="1" spans="2:5">
      <c r="B136" s="22"/>
      <c r="C136" s="22"/>
      <c r="D136" s="22"/>
      <c r="E136" s="22"/>
    </row>
    <row r="137" customHeight="1" spans="2:5">
      <c r="B137" s="22"/>
      <c r="C137" s="22"/>
      <c r="D137" s="22"/>
      <c r="E137" s="22"/>
    </row>
    <row r="138" customHeight="1" spans="2:5">
      <c r="B138" s="22"/>
      <c r="C138" s="22"/>
      <c r="D138" s="22"/>
      <c r="E138" s="22"/>
    </row>
    <row r="139" customHeight="1" spans="2:5">
      <c r="B139" s="22"/>
      <c r="C139" s="22"/>
      <c r="D139" s="22"/>
      <c r="E139" s="22"/>
    </row>
    <row r="140" customHeight="1" spans="2:5">
      <c r="B140" s="22"/>
      <c r="C140" s="22"/>
      <c r="D140" s="22"/>
      <c r="E140" s="22"/>
    </row>
    <row r="141" customHeight="1" spans="2:5">
      <c r="B141" s="22"/>
      <c r="C141" s="22"/>
      <c r="D141" s="22"/>
      <c r="E141" s="22"/>
    </row>
    <row r="142" customHeight="1" spans="2:5">
      <c r="B142" s="22"/>
      <c r="C142" s="22"/>
      <c r="D142" s="22"/>
      <c r="E142" s="22"/>
    </row>
    <row r="143" customHeight="1" spans="2:5">
      <c r="B143" s="22"/>
      <c r="C143" s="22"/>
      <c r="D143" s="22"/>
      <c r="E143" s="22"/>
    </row>
    <row r="144" customHeight="1" spans="2:5">
      <c r="B144" s="22"/>
      <c r="C144" s="22"/>
      <c r="D144" s="22"/>
      <c r="E144" s="22"/>
    </row>
    <row r="145" customHeight="1" spans="2:5">
      <c r="B145" s="22"/>
      <c r="C145" s="22"/>
      <c r="D145" s="22"/>
      <c r="E145" s="22"/>
    </row>
    <row r="146" customHeight="1" spans="2:5">
      <c r="B146" s="22"/>
      <c r="C146" s="22"/>
      <c r="D146" s="22"/>
      <c r="E146" s="22"/>
    </row>
    <row r="147" customHeight="1" spans="2:5">
      <c r="B147" s="22"/>
      <c r="C147" s="22"/>
      <c r="D147" s="22"/>
      <c r="E147" s="22"/>
    </row>
    <row r="148" customHeight="1" spans="2:5">
      <c r="B148" s="22"/>
      <c r="C148" s="22"/>
      <c r="D148" s="22"/>
      <c r="E148" s="22"/>
    </row>
    <row r="149" customHeight="1" spans="2:5">
      <c r="B149" s="22"/>
      <c r="C149" s="22"/>
      <c r="D149" s="22"/>
      <c r="E149" s="22"/>
    </row>
    <row r="150" customHeight="1" spans="2:5">
      <c r="B150" s="22"/>
      <c r="C150" s="22"/>
      <c r="D150" s="22"/>
      <c r="E150" s="22"/>
    </row>
    <row r="151" customHeight="1" spans="2:5">
      <c r="B151" s="22"/>
      <c r="C151" s="22"/>
      <c r="D151" s="22"/>
      <c r="E151" s="22"/>
    </row>
    <row r="152" customHeight="1" spans="2:5">
      <c r="B152" s="22"/>
      <c r="C152" s="22"/>
      <c r="D152" s="22"/>
      <c r="E152" s="22"/>
    </row>
    <row r="153" customHeight="1" spans="2:5">
      <c r="B153" s="22"/>
      <c r="C153" s="22"/>
      <c r="D153" s="22"/>
      <c r="E153" s="22"/>
    </row>
    <row r="154" customHeight="1" spans="2:5">
      <c r="B154" s="22"/>
      <c r="C154" s="22"/>
      <c r="D154" s="22"/>
      <c r="E154" s="22"/>
    </row>
    <row r="155" customHeight="1" spans="2:5">
      <c r="B155" s="22"/>
      <c r="C155" s="22"/>
      <c r="D155" s="22"/>
      <c r="E155" s="22"/>
    </row>
    <row r="156" customHeight="1" spans="2:5">
      <c r="B156" s="22"/>
      <c r="C156" s="22"/>
      <c r="D156" s="22"/>
      <c r="E156" s="22"/>
    </row>
    <row r="157" customHeight="1" spans="2:5">
      <c r="B157" s="22"/>
      <c r="C157" s="22"/>
      <c r="D157" s="22"/>
      <c r="E157" s="22"/>
    </row>
    <row r="158" customHeight="1" spans="2:5">
      <c r="B158" s="22"/>
      <c r="C158" s="22"/>
      <c r="D158" s="22"/>
      <c r="E158" s="22"/>
    </row>
    <row r="159" customHeight="1" spans="2:5">
      <c r="B159" s="22"/>
      <c r="C159" s="22"/>
      <c r="D159" s="22"/>
      <c r="E159" s="22"/>
    </row>
    <row r="160" customHeight="1" spans="2:5">
      <c r="B160" s="22"/>
      <c r="C160" s="22"/>
      <c r="D160" s="22"/>
      <c r="E160" s="22"/>
    </row>
    <row r="161" customHeight="1" spans="2:5">
      <c r="B161" s="22"/>
      <c r="C161" s="22"/>
      <c r="D161" s="22"/>
      <c r="E161" s="22"/>
    </row>
    <row r="162" customHeight="1" spans="2:5">
      <c r="B162" s="22"/>
      <c r="C162" s="22"/>
      <c r="D162" s="22"/>
      <c r="E162" s="22"/>
    </row>
    <row r="163" customHeight="1" spans="2:5">
      <c r="B163" s="22"/>
      <c r="C163" s="22"/>
      <c r="D163" s="22"/>
      <c r="E163" s="22"/>
    </row>
    <row r="164" customHeight="1" spans="2:5">
      <c r="B164" s="22"/>
      <c r="C164" s="22"/>
      <c r="D164" s="22"/>
      <c r="E164" s="22"/>
    </row>
    <row r="165" customHeight="1" spans="2:5">
      <c r="B165" s="22"/>
      <c r="C165" s="22"/>
      <c r="D165" s="22"/>
      <c r="E165" s="22"/>
    </row>
    <row r="166" customHeight="1" spans="2:5">
      <c r="B166" s="22"/>
      <c r="C166" s="22"/>
      <c r="D166" s="22"/>
      <c r="E166" s="22"/>
    </row>
    <row r="167" customHeight="1" spans="2:5">
      <c r="B167" s="22"/>
      <c r="C167" s="22"/>
      <c r="D167" s="22"/>
      <c r="E167" s="22"/>
    </row>
    <row r="168" customHeight="1" spans="2:5">
      <c r="B168" s="22"/>
      <c r="C168" s="22"/>
      <c r="D168" s="22"/>
      <c r="E168" s="22"/>
    </row>
    <row r="169" customHeight="1" spans="2:5">
      <c r="B169" s="22"/>
      <c r="C169" s="22"/>
      <c r="D169" s="22"/>
      <c r="E169" s="22"/>
    </row>
    <row r="170" customHeight="1" spans="2:5">
      <c r="B170" s="22"/>
      <c r="C170" s="22"/>
      <c r="D170" s="22"/>
      <c r="E170" s="22"/>
    </row>
    <row r="171" customHeight="1" spans="2:5">
      <c r="B171" s="22"/>
      <c r="C171" s="22"/>
      <c r="D171" s="22"/>
      <c r="E171" s="22"/>
    </row>
    <row r="172" customHeight="1" spans="2:5">
      <c r="B172" s="22"/>
      <c r="C172" s="22"/>
      <c r="D172" s="22"/>
      <c r="E172" s="22"/>
    </row>
    <row r="173" customHeight="1" spans="2:5">
      <c r="B173" s="22"/>
      <c r="C173" s="22"/>
      <c r="D173" s="22"/>
      <c r="E173" s="22"/>
    </row>
    <row r="174" customHeight="1" spans="2:5">
      <c r="B174" s="22"/>
      <c r="C174" s="22"/>
      <c r="D174" s="22"/>
      <c r="E174" s="22"/>
    </row>
    <row r="175" customHeight="1" spans="2:5">
      <c r="B175" s="22"/>
      <c r="C175" s="22"/>
      <c r="D175" s="22"/>
      <c r="E175" s="22"/>
    </row>
    <row r="176" customHeight="1" spans="2:5">
      <c r="B176" s="22"/>
      <c r="C176" s="22"/>
      <c r="D176" s="22"/>
      <c r="E176" s="22"/>
    </row>
    <row r="177" customHeight="1" spans="2:5">
      <c r="B177" s="22"/>
      <c r="C177" s="22"/>
      <c r="D177" s="22"/>
      <c r="E177" s="22"/>
    </row>
    <row r="178" customHeight="1" spans="2:5">
      <c r="B178" s="22"/>
      <c r="C178" s="22"/>
      <c r="D178" s="22"/>
      <c r="E178" s="22"/>
    </row>
    <row r="179" customHeight="1" spans="2:5">
      <c r="B179" s="22"/>
      <c r="C179" s="22"/>
      <c r="D179" s="22"/>
      <c r="E179" s="22"/>
    </row>
    <row r="180" customHeight="1" spans="2:5">
      <c r="B180" s="22"/>
      <c r="C180" s="22"/>
      <c r="D180" s="22"/>
      <c r="E180" s="22"/>
    </row>
    <row r="181" customHeight="1" spans="2:5">
      <c r="B181" s="22"/>
      <c r="C181" s="22"/>
      <c r="D181" s="22"/>
      <c r="E181" s="22"/>
    </row>
    <row r="182" customHeight="1" spans="2:5">
      <c r="B182" s="22"/>
      <c r="C182" s="22"/>
      <c r="D182" s="22"/>
      <c r="E182" s="22"/>
    </row>
    <row r="183" customHeight="1" spans="2:5">
      <c r="B183" s="22"/>
      <c r="C183" s="22"/>
      <c r="D183" s="22"/>
      <c r="E183" s="22"/>
    </row>
    <row r="184" customHeight="1" spans="2:5">
      <c r="B184" s="22"/>
      <c r="C184" s="22"/>
      <c r="D184" s="22"/>
      <c r="E184" s="22"/>
    </row>
    <row r="185" customHeight="1" spans="2:5">
      <c r="B185" s="22"/>
      <c r="C185" s="22"/>
      <c r="D185" s="22"/>
      <c r="E185" s="22"/>
    </row>
    <row r="186" customHeight="1" spans="2:5">
      <c r="B186" s="22"/>
      <c r="C186" s="22"/>
      <c r="D186" s="22"/>
      <c r="E186" s="22"/>
    </row>
    <row r="187" customHeight="1" spans="2:5">
      <c r="B187" s="22"/>
      <c r="C187" s="22"/>
      <c r="D187" s="22"/>
      <c r="E187" s="22"/>
    </row>
    <row r="188" customHeight="1" spans="2:5">
      <c r="B188" s="22"/>
      <c r="C188" s="22"/>
      <c r="D188" s="22"/>
      <c r="E188" s="22"/>
    </row>
    <row r="189" customHeight="1" spans="2:5">
      <c r="B189" s="22"/>
      <c r="C189" s="22"/>
      <c r="D189" s="22"/>
      <c r="E189" s="22"/>
    </row>
    <row r="190" customHeight="1" spans="2:5">
      <c r="B190" s="22"/>
      <c r="C190" s="22"/>
      <c r="D190" s="22"/>
      <c r="E190" s="22"/>
    </row>
    <row r="191" customHeight="1" spans="2:5">
      <c r="B191" s="22"/>
      <c r="C191" s="22"/>
      <c r="D191" s="22"/>
      <c r="E191" s="22"/>
    </row>
    <row r="192" customHeight="1" spans="2:5">
      <c r="B192" s="22"/>
      <c r="C192" s="22"/>
      <c r="D192" s="22"/>
      <c r="E192" s="22"/>
    </row>
    <row r="193" customHeight="1" spans="2:5">
      <c r="B193" s="22"/>
      <c r="C193" s="22"/>
      <c r="D193" s="22"/>
      <c r="E193" s="22"/>
    </row>
    <row r="194" customHeight="1" spans="2:5">
      <c r="B194" s="22"/>
      <c r="C194" s="22"/>
      <c r="D194" s="22"/>
      <c r="E194" s="22"/>
    </row>
    <row r="195" customHeight="1" spans="2:5">
      <c r="B195" s="22"/>
      <c r="C195" s="22"/>
      <c r="D195" s="22"/>
      <c r="E195" s="22"/>
    </row>
    <row r="196" customHeight="1" spans="2:5">
      <c r="B196" s="22"/>
      <c r="C196" s="22"/>
      <c r="D196" s="22"/>
      <c r="E196" s="22"/>
    </row>
    <row r="197" customHeight="1" spans="2:5">
      <c r="B197" s="22"/>
      <c r="C197" s="22"/>
      <c r="D197" s="22"/>
      <c r="E197" s="22"/>
    </row>
    <row r="198" customHeight="1" spans="2:5">
      <c r="B198" s="22"/>
      <c r="C198" s="22"/>
      <c r="D198" s="22"/>
      <c r="E198" s="22"/>
    </row>
    <row r="199" customHeight="1" spans="2:5">
      <c r="B199" s="22"/>
      <c r="C199" s="22"/>
      <c r="D199" s="22"/>
      <c r="E199" s="22"/>
    </row>
    <row r="200" customHeight="1" spans="2:5">
      <c r="B200" s="22"/>
      <c r="C200" s="22"/>
      <c r="D200" s="22"/>
      <c r="E200" s="22"/>
    </row>
    <row r="201" customHeight="1" spans="2:5">
      <c r="B201" s="22"/>
      <c r="C201" s="22"/>
      <c r="D201" s="22"/>
      <c r="E201" s="22"/>
    </row>
    <row r="202" customHeight="1" spans="2:5">
      <c r="B202" s="22"/>
      <c r="C202" s="22"/>
      <c r="D202" s="22"/>
      <c r="E202" s="22"/>
    </row>
    <row r="203" customHeight="1" spans="2:5">
      <c r="B203" s="22"/>
      <c r="C203" s="22"/>
      <c r="D203" s="22"/>
      <c r="E203" s="22"/>
    </row>
    <row r="204" customHeight="1" spans="2:5">
      <c r="B204" s="22"/>
      <c r="C204" s="22"/>
      <c r="D204" s="22"/>
      <c r="E204" s="22"/>
    </row>
    <row r="205" customHeight="1" spans="2:5">
      <c r="B205" s="22"/>
      <c r="C205" s="22"/>
      <c r="D205" s="22"/>
      <c r="E205" s="22"/>
    </row>
    <row r="206" customHeight="1" spans="2:5">
      <c r="B206" s="22"/>
      <c r="C206" s="22"/>
      <c r="D206" s="22"/>
      <c r="E206" s="22"/>
    </row>
    <row r="207" customHeight="1" spans="2:5">
      <c r="B207" s="22"/>
      <c r="C207" s="22"/>
      <c r="D207" s="22"/>
      <c r="E207" s="22"/>
    </row>
    <row r="208" customHeight="1" spans="2:5">
      <c r="B208" s="22"/>
      <c r="C208" s="22"/>
      <c r="D208" s="22"/>
      <c r="E208" s="22"/>
    </row>
    <row r="209" customHeight="1" spans="2:5">
      <c r="B209" s="22"/>
      <c r="C209" s="22"/>
      <c r="D209" s="22"/>
      <c r="E209" s="22"/>
    </row>
    <row r="210" customHeight="1" spans="2:5">
      <c r="B210" s="22"/>
      <c r="C210" s="22"/>
      <c r="D210" s="22"/>
      <c r="E210" s="22"/>
    </row>
    <row r="211" customHeight="1" spans="2:5">
      <c r="B211" s="22"/>
      <c r="C211" s="22"/>
      <c r="D211" s="22"/>
      <c r="E211" s="22"/>
    </row>
    <row r="212" customHeight="1" spans="2:5">
      <c r="B212" s="22"/>
      <c r="C212" s="22"/>
      <c r="D212" s="22"/>
      <c r="E212" s="22"/>
    </row>
    <row r="213" customHeight="1" spans="2:5">
      <c r="B213" s="22"/>
      <c r="C213" s="22"/>
      <c r="D213" s="22"/>
      <c r="E213" s="22"/>
    </row>
    <row r="214" customHeight="1" spans="2:5">
      <c r="B214" s="22"/>
      <c r="C214" s="22"/>
      <c r="D214" s="22"/>
      <c r="E214" s="22"/>
    </row>
    <row r="215" customHeight="1" spans="2:5">
      <c r="B215" s="22"/>
      <c r="C215" s="22"/>
      <c r="D215" s="22"/>
      <c r="E215" s="22"/>
    </row>
    <row r="216" customHeight="1" spans="2:5">
      <c r="B216" s="22"/>
      <c r="C216" s="22"/>
      <c r="D216" s="22"/>
      <c r="E216" s="22"/>
    </row>
    <row r="217" customHeight="1" spans="2:5">
      <c r="B217" s="22"/>
      <c r="C217" s="22"/>
      <c r="D217" s="22"/>
      <c r="E217" s="22"/>
    </row>
    <row r="218" customHeight="1" spans="2:5">
      <c r="B218" s="22"/>
      <c r="C218" s="22"/>
      <c r="D218" s="22"/>
      <c r="E218" s="22"/>
    </row>
    <row r="219" customHeight="1" spans="2:5">
      <c r="B219" s="22"/>
      <c r="C219" s="22"/>
      <c r="D219" s="22"/>
      <c r="E219" s="22"/>
    </row>
    <row r="220" customHeight="1" spans="2:5">
      <c r="B220" s="22"/>
      <c r="C220" s="22"/>
      <c r="D220" s="22"/>
      <c r="E220" s="22"/>
    </row>
    <row r="221" customHeight="1" spans="2:5">
      <c r="B221" s="22"/>
      <c r="C221" s="22"/>
      <c r="D221" s="22"/>
      <c r="E221" s="22"/>
    </row>
    <row r="222" customHeight="1" spans="2:5">
      <c r="B222" s="22"/>
      <c r="C222" s="22"/>
      <c r="D222" s="22"/>
      <c r="E222" s="22"/>
    </row>
    <row r="223" customHeight="1" spans="2:5">
      <c r="B223" s="22"/>
      <c r="C223" s="22"/>
      <c r="D223" s="22"/>
      <c r="E223" s="22"/>
    </row>
    <row r="224" customHeight="1" spans="2:5">
      <c r="B224" s="22"/>
      <c r="C224" s="22"/>
      <c r="D224" s="22"/>
      <c r="E224" s="22"/>
    </row>
    <row r="225" customHeight="1" spans="2:5">
      <c r="B225" s="22"/>
      <c r="C225" s="22"/>
      <c r="D225" s="22"/>
      <c r="E225" s="22"/>
    </row>
    <row r="226" customHeight="1" spans="2:5">
      <c r="B226" s="22"/>
      <c r="C226" s="22"/>
      <c r="D226" s="22"/>
      <c r="E226" s="22"/>
    </row>
    <row r="227" customHeight="1" spans="2:5">
      <c r="B227" s="22"/>
      <c r="C227" s="22"/>
      <c r="D227" s="22"/>
      <c r="E227" s="22"/>
    </row>
    <row r="228" customHeight="1" spans="2:5">
      <c r="B228" s="22"/>
      <c r="C228" s="22"/>
      <c r="D228" s="22"/>
      <c r="E228" s="22"/>
    </row>
    <row r="229" customHeight="1" spans="2:5">
      <c r="B229" s="22"/>
      <c r="C229" s="22"/>
      <c r="D229" s="22"/>
      <c r="E229" s="22"/>
    </row>
    <row r="230" customHeight="1" spans="2:5">
      <c r="B230" s="22"/>
      <c r="C230" s="22"/>
      <c r="D230" s="22"/>
      <c r="E230" s="22"/>
    </row>
    <row r="231" customHeight="1" spans="2:5">
      <c r="B231" s="22"/>
      <c r="C231" s="22"/>
      <c r="D231" s="22"/>
      <c r="E231" s="22"/>
    </row>
    <row r="232" customHeight="1" spans="2:5">
      <c r="B232" s="22"/>
      <c r="C232" s="22"/>
      <c r="D232" s="22"/>
      <c r="E232" s="22"/>
    </row>
    <row r="233" customHeight="1" spans="2:5">
      <c r="B233" s="22"/>
      <c r="C233" s="22"/>
      <c r="D233" s="22"/>
      <c r="E233" s="22"/>
    </row>
    <row r="234" customHeight="1" spans="2:5">
      <c r="B234" s="22"/>
      <c r="C234" s="22"/>
      <c r="D234" s="22"/>
      <c r="E234" s="22"/>
    </row>
    <row r="235" customHeight="1" spans="2:5">
      <c r="B235" s="22"/>
      <c r="C235" s="22"/>
      <c r="D235" s="22"/>
      <c r="E235" s="22"/>
    </row>
    <row r="236" customHeight="1" spans="2:5">
      <c r="B236" s="22"/>
      <c r="C236" s="22"/>
      <c r="D236" s="22"/>
      <c r="E236" s="22"/>
    </row>
    <row r="237" customHeight="1" spans="2:5">
      <c r="B237" s="22"/>
      <c r="C237" s="22"/>
      <c r="D237" s="22"/>
      <c r="E237" s="22"/>
    </row>
    <row r="238" customHeight="1" spans="2:5">
      <c r="B238" s="22"/>
      <c r="C238" s="22"/>
      <c r="D238" s="22"/>
      <c r="E238" s="22"/>
    </row>
    <row r="239" customHeight="1" spans="2:5">
      <c r="B239" s="22"/>
      <c r="C239" s="22"/>
      <c r="D239" s="22"/>
      <c r="E239" s="22"/>
    </row>
    <row r="240" customHeight="1" spans="2:5">
      <c r="B240" s="22"/>
      <c r="C240" s="22"/>
      <c r="D240" s="22"/>
      <c r="E240" s="22"/>
    </row>
    <row r="241" customHeight="1" spans="2:5">
      <c r="B241" s="22"/>
      <c r="C241" s="22"/>
      <c r="D241" s="22"/>
      <c r="E241" s="22"/>
    </row>
    <row r="242" customHeight="1" spans="2:5">
      <c r="B242" s="22"/>
      <c r="C242" s="22"/>
      <c r="D242" s="22"/>
      <c r="E242" s="22"/>
    </row>
    <row r="243" customHeight="1" spans="2:5">
      <c r="B243" s="22"/>
      <c r="C243" s="22"/>
      <c r="D243" s="22"/>
      <c r="E243" s="22"/>
    </row>
    <row r="244" customHeight="1" spans="2:5">
      <c r="B244" s="22"/>
      <c r="C244" s="22"/>
      <c r="D244" s="22"/>
      <c r="E244" s="22"/>
    </row>
    <row r="245" customHeight="1" spans="2:5">
      <c r="B245" s="22"/>
      <c r="C245" s="22"/>
      <c r="D245" s="22"/>
      <c r="E245" s="22"/>
    </row>
    <row r="246" customHeight="1" spans="2:5">
      <c r="B246" s="22"/>
      <c r="C246" s="22"/>
      <c r="D246" s="22"/>
      <c r="E246" s="22"/>
    </row>
    <row r="247" customHeight="1" spans="2:5">
      <c r="B247" s="22"/>
      <c r="C247" s="22"/>
      <c r="D247" s="22"/>
      <c r="E247" s="22"/>
    </row>
    <row r="248" customHeight="1" spans="2:5">
      <c r="B248" s="22"/>
      <c r="C248" s="22"/>
      <c r="D248" s="22"/>
      <c r="E248" s="22"/>
    </row>
    <row r="249" customHeight="1" spans="2:5">
      <c r="B249" s="22"/>
      <c r="C249" s="22"/>
      <c r="D249" s="22"/>
      <c r="E249" s="22"/>
    </row>
    <row r="250" customHeight="1" spans="2:5">
      <c r="B250" s="22"/>
      <c r="C250" s="22"/>
      <c r="D250" s="22"/>
      <c r="E250" s="22"/>
    </row>
    <row r="251" customHeight="1" spans="2:5">
      <c r="B251" s="22"/>
      <c r="C251" s="22"/>
      <c r="D251" s="22"/>
      <c r="E251" s="22"/>
    </row>
    <row r="252" customHeight="1" spans="2:5">
      <c r="B252" s="22"/>
      <c r="C252" s="22"/>
      <c r="D252" s="22"/>
      <c r="E252" s="22"/>
    </row>
    <row r="253" customHeight="1" spans="2:5">
      <c r="B253" s="22"/>
      <c r="C253" s="22"/>
      <c r="D253" s="22"/>
      <c r="E253" s="22"/>
    </row>
    <row r="254" customHeight="1" spans="2:5">
      <c r="B254" s="22"/>
      <c r="C254" s="22"/>
      <c r="D254" s="22"/>
      <c r="E254" s="22"/>
    </row>
    <row r="255" customHeight="1" spans="2:5">
      <c r="B255" s="22"/>
      <c r="C255" s="22"/>
      <c r="D255" s="22"/>
      <c r="E255" s="22"/>
    </row>
    <row r="256" customHeight="1" spans="2:5">
      <c r="B256" s="22"/>
      <c r="C256" s="22"/>
      <c r="D256" s="22"/>
      <c r="E256" s="22"/>
    </row>
    <row r="257" customHeight="1" spans="2:5">
      <c r="B257" s="22"/>
      <c r="C257" s="22"/>
      <c r="D257" s="22"/>
      <c r="E257" s="22"/>
    </row>
    <row r="258" customHeight="1" spans="2:5">
      <c r="B258" s="22"/>
      <c r="C258" s="22"/>
      <c r="D258" s="22"/>
      <c r="E258" s="22"/>
    </row>
    <row r="259" customHeight="1" spans="2:5">
      <c r="B259" s="22"/>
      <c r="C259" s="22"/>
      <c r="D259" s="22"/>
      <c r="E259" s="22"/>
    </row>
    <row r="260" customHeight="1" spans="2:5">
      <c r="B260" s="22"/>
      <c r="C260" s="22"/>
      <c r="D260" s="22"/>
      <c r="E260" s="22"/>
    </row>
    <row r="261" customHeight="1" spans="2:5">
      <c r="B261" s="22"/>
      <c r="C261" s="22"/>
      <c r="D261" s="22"/>
      <c r="E261" s="22"/>
    </row>
    <row r="262" customHeight="1" spans="2:5">
      <c r="B262" s="22"/>
      <c r="C262" s="22"/>
      <c r="D262" s="22"/>
      <c r="E262" s="22"/>
    </row>
    <row r="263" customHeight="1" spans="2:5">
      <c r="B263" s="22"/>
      <c r="C263" s="22"/>
      <c r="D263" s="22"/>
      <c r="E263" s="22"/>
    </row>
    <row r="264" customHeight="1" spans="2:5">
      <c r="B264" s="22"/>
      <c r="C264" s="22"/>
      <c r="D264" s="22"/>
      <c r="E264" s="22"/>
    </row>
    <row r="265" customHeight="1" spans="2:5">
      <c r="B265" s="22"/>
      <c r="C265" s="22"/>
      <c r="D265" s="22"/>
      <c r="E265" s="22"/>
    </row>
    <row r="266" customHeight="1" spans="2:5">
      <c r="B266" s="22"/>
      <c r="C266" s="22"/>
      <c r="D266" s="22"/>
      <c r="E266" s="22"/>
    </row>
    <row r="267" customHeight="1" spans="2:5">
      <c r="B267" s="22"/>
      <c r="C267" s="22"/>
      <c r="D267" s="22"/>
      <c r="E267" s="22"/>
    </row>
    <row r="268" customHeight="1" spans="2:5">
      <c r="B268" s="22"/>
      <c r="C268" s="22"/>
      <c r="D268" s="22"/>
      <c r="E268" s="22"/>
    </row>
    <row r="269" customHeight="1" spans="2:5">
      <c r="B269" s="22"/>
      <c r="C269" s="22"/>
      <c r="D269" s="22"/>
      <c r="E269" s="22"/>
    </row>
    <row r="270" customHeight="1" spans="2:5">
      <c r="B270" s="22"/>
      <c r="C270" s="22"/>
      <c r="D270" s="22"/>
      <c r="E270" s="22"/>
    </row>
    <row r="271" customHeight="1" spans="2:5">
      <c r="B271" s="22"/>
      <c r="C271" s="22"/>
      <c r="D271" s="22"/>
      <c r="E271" s="22"/>
    </row>
    <row r="272" customHeight="1" spans="2:5">
      <c r="B272" s="22"/>
      <c r="C272" s="22"/>
      <c r="D272" s="22"/>
      <c r="E272" s="22"/>
    </row>
    <row r="273" customHeight="1" spans="2:5">
      <c r="B273" s="22"/>
      <c r="C273" s="22"/>
      <c r="D273" s="22"/>
      <c r="E273" s="22"/>
    </row>
    <row r="274" customHeight="1" spans="2:5">
      <c r="B274" s="22"/>
      <c r="C274" s="22"/>
      <c r="D274" s="22"/>
      <c r="E274" s="22"/>
    </row>
    <row r="275" customHeight="1" spans="2:5">
      <c r="B275" s="22"/>
      <c r="C275" s="22"/>
      <c r="D275" s="22"/>
      <c r="E275" s="22"/>
    </row>
    <row r="276" customHeight="1" spans="2:5">
      <c r="B276" s="22"/>
      <c r="C276" s="22"/>
      <c r="D276" s="22"/>
      <c r="E276" s="22"/>
    </row>
    <row r="277" customHeight="1" spans="2:5">
      <c r="B277" s="22"/>
      <c r="C277" s="22"/>
      <c r="D277" s="22"/>
      <c r="E277" s="22"/>
    </row>
    <row r="278" customHeight="1" spans="2:5">
      <c r="B278" s="22"/>
      <c r="C278" s="22"/>
      <c r="D278" s="22"/>
      <c r="E278" s="22"/>
    </row>
    <row r="279" customHeight="1" spans="2:5">
      <c r="B279" s="22"/>
      <c r="C279" s="22"/>
      <c r="D279" s="22"/>
      <c r="E279" s="22"/>
    </row>
    <row r="280" customHeight="1" spans="2:5">
      <c r="B280" s="22"/>
      <c r="C280" s="22"/>
      <c r="D280" s="22"/>
      <c r="E280" s="22"/>
    </row>
    <row r="281" customHeight="1" spans="2:5">
      <c r="B281" s="22"/>
      <c r="C281" s="22"/>
      <c r="D281" s="22"/>
      <c r="E281" s="22"/>
    </row>
    <row r="282" customHeight="1" spans="2:5">
      <c r="B282" s="22"/>
      <c r="C282" s="22"/>
      <c r="D282" s="22"/>
      <c r="E282" s="22"/>
    </row>
    <row r="283" customHeight="1" spans="2:5">
      <c r="B283" s="22"/>
      <c r="C283" s="22"/>
      <c r="D283" s="22"/>
      <c r="E283" s="22"/>
    </row>
    <row r="284" customHeight="1" spans="2:5">
      <c r="B284" s="22"/>
      <c r="C284" s="22"/>
      <c r="D284" s="22"/>
      <c r="E284" s="22"/>
    </row>
    <row r="285" customHeight="1" spans="2:5">
      <c r="B285" s="22"/>
      <c r="C285" s="22"/>
      <c r="D285" s="22"/>
      <c r="E285" s="22"/>
    </row>
    <row r="286" customHeight="1" spans="2:5">
      <c r="B286" s="22"/>
      <c r="C286" s="22"/>
      <c r="D286" s="22"/>
      <c r="E286" s="22"/>
    </row>
    <row r="287" customHeight="1" spans="2:5">
      <c r="B287" s="22"/>
      <c r="C287" s="22"/>
      <c r="D287" s="22"/>
      <c r="E287" s="22"/>
    </row>
    <row r="288" customHeight="1" spans="2:5">
      <c r="B288" s="22"/>
      <c r="C288" s="22"/>
      <c r="D288" s="22"/>
      <c r="E288" s="22"/>
    </row>
    <row r="289" customHeight="1" spans="2:5">
      <c r="B289" s="22"/>
      <c r="C289" s="22"/>
      <c r="D289" s="22"/>
      <c r="E289" s="22"/>
    </row>
    <row r="290" customHeight="1" spans="2:5">
      <c r="B290" s="22"/>
      <c r="C290" s="22"/>
      <c r="D290" s="22"/>
      <c r="E290" s="22"/>
    </row>
    <row r="291" customHeight="1" spans="2:5">
      <c r="B291" s="22"/>
      <c r="C291" s="22"/>
      <c r="D291" s="22"/>
      <c r="E291" s="22"/>
    </row>
    <row r="292" customHeight="1" spans="2:5">
      <c r="B292" s="22"/>
      <c r="C292" s="22"/>
      <c r="D292" s="22"/>
      <c r="E292" s="22"/>
    </row>
    <row r="293" customHeight="1" spans="2:5">
      <c r="B293" s="22"/>
      <c r="C293" s="22"/>
      <c r="D293" s="22"/>
      <c r="E293" s="22"/>
    </row>
    <row r="294" customHeight="1" spans="2:5">
      <c r="B294" s="22"/>
      <c r="C294" s="22"/>
      <c r="D294" s="22"/>
      <c r="E294" s="22"/>
    </row>
    <row r="295" customHeight="1" spans="2:5">
      <c r="B295" s="22"/>
      <c r="C295" s="22"/>
      <c r="D295" s="22"/>
      <c r="E295" s="22"/>
    </row>
    <row r="296" customHeight="1" spans="2:5">
      <c r="B296" s="22"/>
      <c r="C296" s="22"/>
      <c r="D296" s="22"/>
      <c r="E296" s="22"/>
    </row>
    <row r="297" customHeight="1" spans="2:5">
      <c r="B297" s="22"/>
      <c r="C297" s="22"/>
      <c r="D297" s="22"/>
      <c r="E297" s="22"/>
    </row>
    <row r="298" customHeight="1" spans="2:5">
      <c r="B298" s="22"/>
      <c r="C298" s="22"/>
      <c r="D298" s="22"/>
      <c r="E298" s="22"/>
    </row>
    <row r="299" customHeight="1" spans="2:5">
      <c r="B299" s="22"/>
      <c r="C299" s="22"/>
      <c r="D299" s="22"/>
      <c r="E299" s="22"/>
    </row>
    <row r="300" customHeight="1" spans="2:5">
      <c r="B300" s="22"/>
      <c r="C300" s="22"/>
      <c r="D300" s="22"/>
      <c r="E300" s="22"/>
    </row>
    <row r="301" customHeight="1" spans="2:5">
      <c r="B301" s="22"/>
      <c r="C301" s="22"/>
      <c r="D301" s="22"/>
      <c r="E301" s="22"/>
    </row>
    <row r="302" customHeight="1" spans="2:5">
      <c r="B302" s="22"/>
      <c r="C302" s="22"/>
      <c r="D302" s="22"/>
      <c r="E302" s="22"/>
    </row>
    <row r="303" customHeight="1" spans="2:5">
      <c r="B303" s="22"/>
      <c r="C303" s="22"/>
      <c r="D303" s="22"/>
      <c r="E303" s="22"/>
    </row>
    <row r="304" customHeight="1" spans="2:5">
      <c r="B304" s="22"/>
      <c r="C304" s="22"/>
      <c r="D304" s="22"/>
      <c r="E304" s="22"/>
    </row>
    <row r="305" customHeight="1" spans="2:5">
      <c r="B305" s="22"/>
      <c r="C305" s="22"/>
      <c r="D305" s="22"/>
      <c r="E305" s="22"/>
    </row>
    <row r="306" customHeight="1" spans="2:5">
      <c r="B306" s="22"/>
      <c r="C306" s="22"/>
      <c r="D306" s="22"/>
      <c r="E306" s="22"/>
    </row>
    <row r="307" customHeight="1" spans="2:5">
      <c r="B307" s="22"/>
      <c r="C307" s="22"/>
      <c r="D307" s="22"/>
      <c r="E307" s="22"/>
    </row>
    <row r="308" customHeight="1" spans="2:5">
      <c r="B308" s="22"/>
      <c r="C308" s="22"/>
      <c r="D308" s="22"/>
      <c r="E308" s="22"/>
    </row>
    <row r="309" customHeight="1" spans="2:5">
      <c r="B309" s="22"/>
      <c r="C309" s="22"/>
      <c r="D309" s="22"/>
      <c r="E309" s="22"/>
    </row>
    <row r="310" customHeight="1" spans="2:5">
      <c r="B310" s="22"/>
      <c r="C310" s="22"/>
      <c r="D310" s="22"/>
      <c r="E310" s="22"/>
    </row>
    <row r="311" customHeight="1" spans="2:5">
      <c r="B311" s="22"/>
      <c r="C311" s="22"/>
      <c r="D311" s="22"/>
      <c r="E311" s="22"/>
    </row>
    <row r="312" customHeight="1" spans="2:5">
      <c r="B312" s="22"/>
      <c r="C312" s="22"/>
      <c r="D312" s="22"/>
      <c r="E312" s="22"/>
    </row>
    <row r="313" customHeight="1" spans="2:5">
      <c r="B313" s="22"/>
      <c r="C313" s="22"/>
      <c r="D313" s="22"/>
      <c r="E313" s="22"/>
    </row>
    <row r="314" customHeight="1" spans="2:5">
      <c r="B314" s="22"/>
      <c r="C314" s="22"/>
      <c r="D314" s="22"/>
      <c r="E314" s="22"/>
    </row>
    <row r="315" customHeight="1" spans="2:5">
      <c r="B315" s="22"/>
      <c r="C315" s="22"/>
      <c r="D315" s="22"/>
      <c r="E315" s="22"/>
    </row>
    <row r="316" customHeight="1" spans="2:5">
      <c r="B316" s="22"/>
      <c r="C316" s="22"/>
      <c r="D316" s="22"/>
      <c r="E316" s="22"/>
    </row>
    <row r="317" customHeight="1" spans="2:5">
      <c r="B317" s="22"/>
      <c r="C317" s="22"/>
      <c r="D317" s="22"/>
      <c r="E317" s="22"/>
    </row>
    <row r="318" customHeight="1" spans="2:5">
      <c r="B318" s="22"/>
      <c r="C318" s="22"/>
      <c r="D318" s="22"/>
      <c r="E318" s="22"/>
    </row>
    <row r="319" customHeight="1" spans="2:5">
      <c r="B319" s="22"/>
      <c r="C319" s="22"/>
      <c r="D319" s="22"/>
      <c r="E319" s="22"/>
    </row>
    <row r="320" customHeight="1" spans="2:5">
      <c r="B320" s="22"/>
      <c r="C320" s="22"/>
      <c r="D320" s="22"/>
      <c r="E320" s="22"/>
    </row>
    <row r="321" customHeight="1" spans="2:5">
      <c r="B321" s="22"/>
      <c r="C321" s="22"/>
      <c r="D321" s="22"/>
      <c r="E321" s="22"/>
    </row>
    <row r="322" customHeight="1" spans="2:5">
      <c r="B322" s="22"/>
      <c r="C322" s="22"/>
      <c r="D322" s="22"/>
      <c r="E322" s="22"/>
    </row>
    <row r="323" customHeight="1" spans="2:5">
      <c r="B323" s="22"/>
      <c r="C323" s="22"/>
      <c r="D323" s="22"/>
      <c r="E323" s="22"/>
    </row>
    <row r="324" customHeight="1" spans="2:5">
      <c r="B324" s="22"/>
      <c r="C324" s="22"/>
      <c r="D324" s="22"/>
      <c r="E324" s="22"/>
    </row>
    <row r="325" customHeight="1" spans="2:5">
      <c r="B325" s="22"/>
      <c r="C325" s="22"/>
      <c r="D325" s="22"/>
      <c r="E325" s="22"/>
    </row>
    <row r="326" customHeight="1" spans="2:5">
      <c r="B326" s="22"/>
      <c r="C326" s="22"/>
      <c r="D326" s="22"/>
      <c r="E326" s="22"/>
    </row>
    <row r="327" customHeight="1" spans="2:5">
      <c r="B327" s="22"/>
      <c r="C327" s="22"/>
      <c r="D327" s="22"/>
      <c r="E327" s="22"/>
    </row>
    <row r="328" customHeight="1" spans="2:5">
      <c r="B328" s="22"/>
      <c r="C328" s="22"/>
      <c r="D328" s="22"/>
      <c r="E328" s="22"/>
    </row>
    <row r="329" customHeight="1" spans="2:5">
      <c r="B329" s="22"/>
      <c r="C329" s="22"/>
      <c r="D329" s="22"/>
      <c r="E329" s="22"/>
    </row>
    <row r="330" customHeight="1" spans="2:5">
      <c r="B330" s="22"/>
      <c r="C330" s="22"/>
      <c r="D330" s="22"/>
      <c r="E330" s="22"/>
    </row>
    <row r="331" customHeight="1" spans="2:5">
      <c r="B331" s="22"/>
      <c r="C331" s="22"/>
      <c r="D331" s="22"/>
      <c r="E331" s="22"/>
    </row>
    <row r="332" customHeight="1" spans="2:5">
      <c r="B332" s="22"/>
      <c r="C332" s="22"/>
      <c r="D332" s="22"/>
      <c r="E332" s="22"/>
    </row>
    <row r="333" customHeight="1" spans="2:5">
      <c r="B333" s="22"/>
      <c r="C333" s="22"/>
      <c r="D333" s="22"/>
      <c r="E333" s="22"/>
    </row>
    <row r="334" customHeight="1" spans="2:5">
      <c r="B334" s="22"/>
      <c r="C334" s="22"/>
      <c r="D334" s="22"/>
      <c r="E334" s="22"/>
    </row>
    <row r="335" customHeight="1" spans="2:5">
      <c r="B335" s="22"/>
      <c r="C335" s="22"/>
      <c r="D335" s="22"/>
      <c r="E335" s="22"/>
    </row>
    <row r="336" customHeight="1" spans="2:5">
      <c r="B336" s="22"/>
      <c r="C336" s="22"/>
      <c r="D336" s="22"/>
      <c r="E336" s="22"/>
    </row>
    <row r="337" customHeight="1" spans="2:5">
      <c r="B337" s="22"/>
      <c r="C337" s="22"/>
      <c r="D337" s="22"/>
      <c r="E337" s="22"/>
    </row>
    <row r="338" customHeight="1" spans="2:5">
      <c r="B338" s="22"/>
      <c r="C338" s="22"/>
      <c r="D338" s="22"/>
      <c r="E338" s="22"/>
    </row>
    <row r="339" customHeight="1" spans="2:5">
      <c r="B339" s="22"/>
      <c r="C339" s="22"/>
      <c r="D339" s="22"/>
      <c r="E339" s="22"/>
    </row>
    <row r="340" customHeight="1" spans="2:5">
      <c r="B340" s="22"/>
      <c r="C340" s="22"/>
      <c r="D340" s="22"/>
      <c r="E340" s="22"/>
    </row>
    <row r="341" customHeight="1" spans="2:5">
      <c r="B341" s="22"/>
      <c r="C341" s="22"/>
      <c r="D341" s="22"/>
      <c r="E341" s="22"/>
    </row>
    <row r="342" customHeight="1" spans="2:5">
      <c r="B342" s="22"/>
      <c r="C342" s="22"/>
      <c r="D342" s="22"/>
      <c r="E342" s="22"/>
    </row>
    <row r="343" customHeight="1" spans="2:5">
      <c r="B343" s="22"/>
      <c r="C343" s="22"/>
      <c r="D343" s="22"/>
      <c r="E343" s="22"/>
    </row>
    <row r="344" customHeight="1" spans="2:5">
      <c r="B344" s="22"/>
      <c r="C344" s="22"/>
      <c r="D344" s="22"/>
      <c r="E344" s="22"/>
    </row>
    <row r="345" customHeight="1" spans="2:5">
      <c r="B345" s="22"/>
      <c r="C345" s="22"/>
      <c r="D345" s="22"/>
      <c r="E345" s="22"/>
    </row>
    <row r="346" customHeight="1" spans="2:5">
      <c r="B346" s="22"/>
      <c r="C346" s="22"/>
      <c r="D346" s="22"/>
      <c r="E346" s="22"/>
    </row>
    <row r="347" customHeight="1" spans="2:5">
      <c r="B347" s="22"/>
      <c r="C347" s="22"/>
      <c r="D347" s="22"/>
      <c r="E347" s="22"/>
    </row>
    <row r="348" customHeight="1" spans="2:5">
      <c r="B348" s="22"/>
      <c r="C348" s="22"/>
      <c r="D348" s="22"/>
      <c r="E348" s="22"/>
    </row>
    <row r="349" customHeight="1" spans="2:5">
      <c r="B349" s="22"/>
      <c r="C349" s="22"/>
      <c r="D349" s="22"/>
      <c r="E349" s="22"/>
    </row>
    <row r="350" customHeight="1" spans="2:5">
      <c r="B350" s="22"/>
      <c r="C350" s="22"/>
      <c r="D350" s="22"/>
      <c r="E350" s="22"/>
    </row>
    <row r="351" customHeight="1" spans="2:5">
      <c r="B351" s="22"/>
      <c r="C351" s="22"/>
      <c r="D351" s="22"/>
      <c r="E351" s="22"/>
    </row>
    <row r="352" customHeight="1" spans="2:5">
      <c r="B352" s="22"/>
      <c r="C352" s="22"/>
      <c r="D352" s="22"/>
      <c r="E352" s="22"/>
    </row>
    <row r="353" customHeight="1" spans="2:5">
      <c r="B353" s="22"/>
      <c r="C353" s="22"/>
      <c r="D353" s="22"/>
      <c r="E353" s="22"/>
    </row>
    <row r="354" customHeight="1" spans="2:5">
      <c r="B354" s="22"/>
      <c r="C354" s="22"/>
      <c r="D354" s="22"/>
      <c r="E354" s="22"/>
    </row>
    <row r="355" customHeight="1" spans="2:5">
      <c r="B355" s="22"/>
      <c r="C355" s="22"/>
      <c r="D355" s="22"/>
      <c r="E355" s="22"/>
    </row>
    <row r="356" customHeight="1" spans="2:5">
      <c r="B356" s="22"/>
      <c r="C356" s="22"/>
      <c r="D356" s="22"/>
      <c r="E356" s="22"/>
    </row>
    <row r="357" customHeight="1" spans="2:5">
      <c r="B357" s="22"/>
      <c r="C357" s="22"/>
      <c r="D357" s="22"/>
      <c r="E357" s="22"/>
    </row>
    <row r="358" customHeight="1" spans="2:5">
      <c r="B358" s="22"/>
      <c r="C358" s="22"/>
      <c r="D358" s="22"/>
      <c r="E358" s="22"/>
    </row>
    <row r="359" customHeight="1" spans="2:5">
      <c r="B359" s="22"/>
      <c r="C359" s="22"/>
      <c r="D359" s="22"/>
      <c r="E359" s="22"/>
    </row>
    <row r="360" customHeight="1" spans="2:5">
      <c r="B360" s="22"/>
      <c r="C360" s="22"/>
      <c r="D360" s="22"/>
      <c r="E360" s="22"/>
    </row>
    <row r="361" customHeight="1" spans="2:5">
      <c r="B361" s="22"/>
      <c r="C361" s="22"/>
      <c r="D361" s="22"/>
      <c r="E361" s="22"/>
    </row>
    <row r="362" customHeight="1" spans="2:5">
      <c r="B362" s="22"/>
      <c r="C362" s="22"/>
      <c r="D362" s="22"/>
      <c r="E362" s="22"/>
    </row>
    <row r="363" customHeight="1" spans="2:5">
      <c r="B363" s="22"/>
      <c r="C363" s="22"/>
      <c r="D363" s="22"/>
      <c r="E363" s="22"/>
    </row>
    <row r="364" customHeight="1" spans="2:5">
      <c r="B364" s="22"/>
      <c r="C364" s="22"/>
      <c r="D364" s="22"/>
      <c r="E364" s="22"/>
    </row>
    <row r="365" customHeight="1" spans="2:5">
      <c r="B365" s="22"/>
      <c r="C365" s="22"/>
      <c r="D365" s="22"/>
      <c r="E365" s="22"/>
    </row>
    <row r="366" customHeight="1" spans="2:5">
      <c r="B366" s="22"/>
      <c r="C366" s="22"/>
      <c r="D366" s="22"/>
      <c r="E366" s="22"/>
    </row>
    <row r="367" customHeight="1" spans="2:5">
      <c r="B367" s="22"/>
      <c r="C367" s="22"/>
      <c r="D367" s="22"/>
      <c r="E367" s="22"/>
    </row>
    <row r="368" customHeight="1" spans="2:5">
      <c r="B368" s="22"/>
      <c r="C368" s="22"/>
      <c r="D368" s="22"/>
      <c r="E368" s="22"/>
    </row>
    <row r="369" customHeight="1" spans="2:5">
      <c r="B369" s="22"/>
      <c r="C369" s="22"/>
      <c r="D369" s="22"/>
      <c r="E369" s="22"/>
    </row>
    <row r="370" customHeight="1" spans="2:5">
      <c r="B370" s="22"/>
      <c r="C370" s="22"/>
      <c r="D370" s="22"/>
      <c r="E370" s="22"/>
    </row>
    <row r="371" customHeight="1" spans="2:5">
      <c r="B371" s="22"/>
      <c r="C371" s="22"/>
      <c r="D371" s="22"/>
      <c r="E371" s="22"/>
    </row>
    <row r="372" customHeight="1" spans="2:5">
      <c r="B372" s="22"/>
      <c r="C372" s="22"/>
      <c r="D372" s="22"/>
      <c r="E372" s="22"/>
    </row>
    <row r="373" customHeight="1" spans="2:5">
      <c r="B373" s="22"/>
      <c r="C373" s="22"/>
      <c r="D373" s="22"/>
      <c r="E373" s="22"/>
    </row>
    <row r="374" customHeight="1" spans="2:5">
      <c r="B374" s="22"/>
      <c r="C374" s="22"/>
      <c r="D374" s="22"/>
      <c r="E374" s="22"/>
    </row>
    <row r="375" customHeight="1" spans="2:5">
      <c r="B375" s="22"/>
      <c r="C375" s="22"/>
      <c r="D375" s="22"/>
      <c r="E375" s="22"/>
    </row>
    <row r="376" customHeight="1" spans="2:5">
      <c r="B376" s="22"/>
      <c r="C376" s="22"/>
      <c r="D376" s="22"/>
      <c r="E376" s="22"/>
    </row>
    <row r="377" customHeight="1" spans="2:5">
      <c r="B377" s="22"/>
      <c r="C377" s="22"/>
      <c r="D377" s="22"/>
      <c r="E377" s="22"/>
    </row>
    <row r="378" customHeight="1" spans="2:5">
      <c r="B378" s="22"/>
      <c r="C378" s="22"/>
      <c r="D378" s="22"/>
      <c r="E378" s="22"/>
    </row>
    <row r="379" customHeight="1" spans="2:5">
      <c r="B379" s="22"/>
      <c r="C379" s="22"/>
      <c r="D379" s="22"/>
      <c r="E379" s="22"/>
    </row>
    <row r="380" customHeight="1" spans="2:5">
      <c r="B380" s="22"/>
      <c r="C380" s="22"/>
      <c r="D380" s="22"/>
      <c r="E380" s="22"/>
    </row>
    <row r="381" customHeight="1" spans="2:5">
      <c r="B381" s="22"/>
      <c r="C381" s="22"/>
      <c r="D381" s="22"/>
      <c r="E381" s="22"/>
    </row>
    <row r="382" customHeight="1" spans="2:5">
      <c r="B382" s="22"/>
      <c r="C382" s="22"/>
      <c r="D382" s="22"/>
      <c r="E382" s="22"/>
    </row>
    <row r="383" customHeight="1" spans="2:5">
      <c r="B383" s="22"/>
      <c r="C383" s="22"/>
      <c r="D383" s="22"/>
      <c r="E383" s="22"/>
    </row>
    <row r="384" customHeight="1" spans="2:5">
      <c r="B384" s="22"/>
      <c r="C384" s="22"/>
      <c r="D384" s="22"/>
      <c r="E384" s="22"/>
    </row>
    <row r="385" customHeight="1" spans="2:5">
      <c r="B385" s="22"/>
      <c r="C385" s="22"/>
      <c r="D385" s="22"/>
      <c r="E385" s="22"/>
    </row>
    <row r="386" customHeight="1" spans="2:5">
      <c r="B386" s="22"/>
      <c r="C386" s="22"/>
      <c r="D386" s="22"/>
      <c r="E386" s="22"/>
    </row>
    <row r="387" customHeight="1" spans="2:5">
      <c r="B387" s="22"/>
      <c r="C387" s="22"/>
      <c r="D387" s="22"/>
      <c r="E387" s="22"/>
    </row>
    <row r="388" customHeight="1" spans="2:5">
      <c r="B388" s="22"/>
      <c r="C388" s="22"/>
      <c r="D388" s="22"/>
      <c r="E388" s="22"/>
    </row>
    <row r="389" customHeight="1" spans="2:5">
      <c r="B389" s="22"/>
      <c r="C389" s="22"/>
      <c r="D389" s="22"/>
      <c r="E389" s="22"/>
    </row>
    <row r="390" customHeight="1" spans="2:5">
      <c r="B390" s="22"/>
      <c r="C390" s="22"/>
      <c r="D390" s="22"/>
      <c r="E390" s="22"/>
    </row>
    <row r="391" customHeight="1" spans="2:5">
      <c r="B391" s="22"/>
      <c r="C391" s="22"/>
      <c r="D391" s="22"/>
      <c r="E391" s="22"/>
    </row>
    <row r="392" customHeight="1" spans="2:5">
      <c r="B392" s="22"/>
      <c r="C392" s="22"/>
      <c r="D392" s="22"/>
      <c r="E392" s="22"/>
    </row>
    <row r="393" customHeight="1" spans="2:5">
      <c r="B393" s="22"/>
      <c r="C393" s="22"/>
      <c r="D393" s="22"/>
      <c r="E393" s="22"/>
    </row>
    <row r="394" customHeight="1" spans="2:5">
      <c r="B394" s="22"/>
      <c r="C394" s="22"/>
      <c r="D394" s="22"/>
      <c r="E394" s="22"/>
    </row>
    <row r="395" customHeight="1" spans="2:5">
      <c r="B395" s="22"/>
      <c r="C395" s="22"/>
      <c r="D395" s="22"/>
      <c r="E395" s="22"/>
    </row>
    <row r="396" customHeight="1" spans="2:5">
      <c r="B396" s="22"/>
      <c r="C396" s="22"/>
      <c r="D396" s="22"/>
      <c r="E396" s="22"/>
    </row>
    <row r="397" customHeight="1" spans="2:5">
      <c r="B397" s="22"/>
      <c r="C397" s="22"/>
      <c r="D397" s="22"/>
      <c r="E397" s="22"/>
    </row>
    <row r="398" customHeight="1" spans="2:5">
      <c r="B398" s="22"/>
      <c r="C398" s="22"/>
      <c r="D398" s="22"/>
      <c r="E398" s="22"/>
    </row>
    <row r="399" customHeight="1" spans="2:5">
      <c r="B399" s="22"/>
      <c r="C399" s="22"/>
      <c r="D399" s="22"/>
      <c r="E399" s="22"/>
    </row>
    <row r="400" customHeight="1" spans="2:5">
      <c r="B400" s="22"/>
      <c r="C400" s="22"/>
      <c r="D400" s="22"/>
      <c r="E400" s="22"/>
    </row>
    <row r="401" customHeight="1" spans="2:5">
      <c r="B401" s="22"/>
      <c r="C401" s="22"/>
      <c r="D401" s="22"/>
      <c r="E401" s="22"/>
    </row>
    <row r="402" customHeight="1" spans="2:5">
      <c r="B402" s="22"/>
      <c r="C402" s="22"/>
      <c r="D402" s="22"/>
      <c r="E402" s="22"/>
    </row>
    <row r="403" customHeight="1" spans="2:5">
      <c r="B403" s="22"/>
      <c r="C403" s="22"/>
      <c r="D403" s="22"/>
      <c r="E403" s="22"/>
    </row>
    <row r="404" customHeight="1" spans="2:5">
      <c r="B404" s="22"/>
      <c r="C404" s="22"/>
      <c r="D404" s="22"/>
      <c r="E404" s="22"/>
    </row>
    <row r="405" customHeight="1" spans="2:5">
      <c r="B405" s="22"/>
      <c r="C405" s="22"/>
      <c r="D405" s="22"/>
      <c r="E405" s="22"/>
    </row>
    <row r="406" customHeight="1" spans="2:5">
      <c r="B406" s="22"/>
      <c r="C406" s="22"/>
      <c r="D406" s="22"/>
      <c r="E406" s="22"/>
    </row>
    <row r="407" customHeight="1" spans="2:5">
      <c r="B407" s="22"/>
      <c r="C407" s="22"/>
      <c r="D407" s="22"/>
      <c r="E407" s="22"/>
    </row>
    <row r="408" customHeight="1" spans="2:5">
      <c r="B408" s="22"/>
      <c r="C408" s="22"/>
      <c r="D408" s="22"/>
      <c r="E408" s="22"/>
    </row>
    <row r="409" customHeight="1" spans="2:5">
      <c r="B409" s="22"/>
      <c r="C409" s="22"/>
      <c r="D409" s="22"/>
      <c r="E409" s="22"/>
    </row>
    <row r="410" customHeight="1" spans="2:5">
      <c r="B410" s="22"/>
      <c r="C410" s="22"/>
      <c r="D410" s="22"/>
      <c r="E410" s="22"/>
    </row>
    <row r="411" customHeight="1" spans="2:5">
      <c r="B411" s="22"/>
      <c r="C411" s="22"/>
      <c r="D411" s="22"/>
      <c r="E411" s="22"/>
    </row>
    <row r="412" customHeight="1" spans="2:5">
      <c r="B412" s="22"/>
      <c r="C412" s="22"/>
      <c r="D412" s="22"/>
      <c r="E412" s="22"/>
    </row>
    <row r="413" customHeight="1" spans="2:5">
      <c r="B413" s="22"/>
      <c r="C413" s="22"/>
      <c r="D413" s="22"/>
      <c r="E413" s="22"/>
    </row>
    <row r="414" customHeight="1" spans="2:5">
      <c r="B414" s="22"/>
      <c r="C414" s="22"/>
      <c r="D414" s="22"/>
      <c r="E414" s="22"/>
    </row>
    <row r="415" customHeight="1" spans="2:5">
      <c r="B415" s="22"/>
      <c r="C415" s="22"/>
      <c r="D415" s="22"/>
      <c r="E415" s="22"/>
    </row>
    <row r="416" customHeight="1" spans="2:5">
      <c r="B416" s="22"/>
      <c r="C416" s="22"/>
      <c r="D416" s="22"/>
      <c r="E416" s="22"/>
    </row>
    <row r="417" customHeight="1" spans="2:5">
      <c r="B417" s="22"/>
      <c r="C417" s="22"/>
      <c r="D417" s="22"/>
      <c r="E417" s="22"/>
    </row>
    <row r="418" customHeight="1" spans="2:5">
      <c r="B418" s="22"/>
      <c r="C418" s="22"/>
      <c r="D418" s="22"/>
      <c r="E418" s="22"/>
    </row>
    <row r="419" customHeight="1" spans="2:5">
      <c r="B419" s="22"/>
      <c r="C419" s="22"/>
      <c r="D419" s="22"/>
      <c r="E419" s="22"/>
    </row>
    <row r="420" customHeight="1" spans="2:5">
      <c r="B420" s="22"/>
      <c r="C420" s="22"/>
      <c r="D420" s="22"/>
      <c r="E420" s="22"/>
    </row>
    <row r="421" customHeight="1" spans="2:5">
      <c r="B421" s="22"/>
      <c r="C421" s="22"/>
      <c r="D421" s="22"/>
      <c r="E421" s="22"/>
    </row>
    <row r="422" customHeight="1" spans="2:5">
      <c r="B422" s="22"/>
      <c r="C422" s="22"/>
      <c r="D422" s="22"/>
      <c r="E422" s="22"/>
    </row>
    <row r="423" customHeight="1" spans="2:5">
      <c r="B423" s="22"/>
      <c r="C423" s="22"/>
      <c r="D423" s="22"/>
      <c r="E423" s="22"/>
    </row>
    <row r="424" customHeight="1" spans="2:5">
      <c r="B424" s="22"/>
      <c r="C424" s="22"/>
      <c r="D424" s="22"/>
      <c r="E424" s="22"/>
    </row>
    <row r="425" customHeight="1" spans="2:5">
      <c r="B425" s="22"/>
      <c r="C425" s="22"/>
      <c r="D425" s="22"/>
      <c r="E425" s="22"/>
    </row>
    <row r="426" customHeight="1" spans="2:5">
      <c r="B426" s="22"/>
      <c r="C426" s="22"/>
      <c r="D426" s="22"/>
      <c r="E426" s="22"/>
    </row>
    <row r="427" customHeight="1" spans="2:5">
      <c r="B427" s="22"/>
      <c r="C427" s="22"/>
      <c r="D427" s="22"/>
      <c r="E427" s="22"/>
    </row>
    <row r="428" customHeight="1" spans="2:5">
      <c r="B428" s="22"/>
      <c r="C428" s="22"/>
      <c r="D428" s="22"/>
      <c r="E428" s="22"/>
    </row>
    <row r="429" customHeight="1" spans="2:5">
      <c r="B429" s="22"/>
      <c r="C429" s="22"/>
      <c r="D429" s="22"/>
      <c r="E429" s="22"/>
    </row>
    <row r="430" customHeight="1" spans="2:5">
      <c r="B430" s="22"/>
      <c r="C430" s="22"/>
      <c r="D430" s="22"/>
      <c r="E430" s="22"/>
    </row>
    <row r="431" customHeight="1" spans="2:5">
      <c r="B431" s="22"/>
      <c r="C431" s="22"/>
      <c r="D431" s="22"/>
      <c r="E431" s="22"/>
    </row>
    <row r="432" customHeight="1" spans="2:5">
      <c r="B432" s="22"/>
      <c r="C432" s="22"/>
      <c r="D432" s="22"/>
      <c r="E432" s="22"/>
    </row>
    <row r="433" customHeight="1" spans="2:5">
      <c r="B433" s="22"/>
      <c r="C433" s="22"/>
      <c r="D433" s="22"/>
      <c r="E433" s="22"/>
    </row>
    <row r="434" customHeight="1" spans="2:5">
      <c r="B434" s="22"/>
      <c r="C434" s="22"/>
      <c r="D434" s="22"/>
      <c r="E434" s="22"/>
    </row>
    <row r="435" customHeight="1" spans="2:5">
      <c r="B435" s="22"/>
      <c r="C435" s="22"/>
      <c r="D435" s="22"/>
      <c r="E435" s="22"/>
    </row>
    <row r="436" customHeight="1" spans="2:5">
      <c r="B436" s="22"/>
      <c r="C436" s="22"/>
      <c r="D436" s="22"/>
      <c r="E436" s="22"/>
    </row>
    <row r="437" customHeight="1" spans="2:5">
      <c r="B437" s="22"/>
      <c r="C437" s="22"/>
      <c r="D437" s="22"/>
      <c r="E437" s="22"/>
    </row>
    <row r="438" customHeight="1" spans="2:5">
      <c r="B438" s="22"/>
      <c r="C438" s="22"/>
      <c r="D438" s="22"/>
      <c r="E438" s="22"/>
    </row>
    <row r="439" customHeight="1" spans="2:5">
      <c r="B439" s="22"/>
      <c r="C439" s="22"/>
      <c r="D439" s="22"/>
      <c r="E439" s="22"/>
    </row>
    <row r="440" customHeight="1" spans="2:5">
      <c r="B440" s="22"/>
      <c r="C440" s="22"/>
      <c r="D440" s="22"/>
      <c r="E440" s="22"/>
    </row>
    <row r="441" customHeight="1" spans="2:5">
      <c r="B441" s="22"/>
      <c r="C441" s="22"/>
      <c r="D441" s="22"/>
      <c r="E441" s="22"/>
    </row>
    <row r="442" customHeight="1" spans="2:5">
      <c r="B442" s="22"/>
      <c r="C442" s="22"/>
      <c r="D442" s="22"/>
      <c r="E442" s="22"/>
    </row>
    <row r="443" customHeight="1" spans="2:5">
      <c r="B443" s="22"/>
      <c r="C443" s="22"/>
      <c r="D443" s="22"/>
      <c r="E443" s="22"/>
    </row>
    <row r="444" customHeight="1" spans="2:5">
      <c r="B444" s="22"/>
      <c r="C444" s="22"/>
      <c r="D444" s="22"/>
      <c r="E444" s="22"/>
    </row>
    <row r="445" customHeight="1" spans="2:5">
      <c r="B445" s="22"/>
      <c r="C445" s="22"/>
      <c r="D445" s="22"/>
      <c r="E445" s="22"/>
    </row>
    <row r="446" customHeight="1" spans="2:5">
      <c r="B446" s="22"/>
      <c r="C446" s="22"/>
      <c r="D446" s="22"/>
      <c r="E446" s="22"/>
    </row>
    <row r="447" customHeight="1" spans="2:5">
      <c r="B447" s="22"/>
      <c r="C447" s="22"/>
      <c r="D447" s="22"/>
      <c r="E447" s="22"/>
    </row>
    <row r="448" customHeight="1" spans="2:5">
      <c r="B448" s="22"/>
      <c r="C448" s="22"/>
      <c r="D448" s="22"/>
      <c r="E448" s="22"/>
    </row>
    <row r="449" customHeight="1" spans="2:5">
      <c r="B449" s="22"/>
      <c r="C449" s="22"/>
      <c r="D449" s="22"/>
      <c r="E449" s="22"/>
    </row>
    <row r="450" customHeight="1" spans="2:5">
      <c r="B450" s="22"/>
      <c r="C450" s="22"/>
      <c r="D450" s="22"/>
      <c r="E450" s="22"/>
    </row>
    <row r="451" customHeight="1" spans="2:5">
      <c r="B451" s="22"/>
      <c r="C451" s="22"/>
      <c r="D451" s="22"/>
      <c r="E451" s="22"/>
    </row>
    <row r="452" customHeight="1" spans="2:5">
      <c r="B452" s="22"/>
      <c r="C452" s="22"/>
      <c r="D452" s="22"/>
      <c r="E452" s="22"/>
    </row>
    <row r="453" customHeight="1" spans="2:5">
      <c r="B453" s="22"/>
      <c r="C453" s="22"/>
      <c r="D453" s="22"/>
      <c r="E453" s="22"/>
    </row>
    <row r="454" customHeight="1" spans="2:5">
      <c r="B454" s="22"/>
      <c r="C454" s="22"/>
      <c r="D454" s="22"/>
      <c r="E454" s="22"/>
    </row>
    <row r="455" customHeight="1" spans="2:5">
      <c r="B455" s="22"/>
      <c r="C455" s="22"/>
      <c r="D455" s="22"/>
      <c r="E455" s="22"/>
    </row>
    <row r="456" customHeight="1" spans="2:5">
      <c r="B456" s="22"/>
      <c r="C456" s="22"/>
      <c r="D456" s="22"/>
      <c r="E456" s="22"/>
    </row>
    <row r="457" customHeight="1" spans="2:5">
      <c r="B457" s="22"/>
      <c r="C457" s="22"/>
      <c r="D457" s="22"/>
      <c r="E457" s="22"/>
    </row>
    <row r="458" customHeight="1" spans="2:5">
      <c r="B458" s="22"/>
      <c r="C458" s="22"/>
      <c r="D458" s="22"/>
      <c r="E458" s="22"/>
    </row>
    <row r="459" customHeight="1" spans="2:5">
      <c r="B459" s="22"/>
      <c r="C459" s="22"/>
      <c r="D459" s="22"/>
      <c r="E459" s="22"/>
    </row>
    <row r="460" customHeight="1" spans="2:5">
      <c r="B460" s="22"/>
      <c r="C460" s="22"/>
      <c r="D460" s="22"/>
      <c r="E460" s="22"/>
    </row>
    <row r="461" customHeight="1" spans="2:5">
      <c r="B461" s="22"/>
      <c r="C461" s="22"/>
      <c r="D461" s="22"/>
      <c r="E461" s="22"/>
    </row>
    <row r="462" customHeight="1" spans="2:5">
      <c r="B462" s="22"/>
      <c r="C462" s="22"/>
      <c r="D462" s="22"/>
      <c r="E462" s="22"/>
    </row>
    <row r="463" customHeight="1" spans="2:5">
      <c r="B463" s="22"/>
      <c r="C463" s="22"/>
      <c r="D463" s="22"/>
      <c r="E463" s="22"/>
    </row>
    <row r="464" customHeight="1" spans="2:5">
      <c r="B464" s="22"/>
      <c r="C464" s="22"/>
      <c r="D464" s="22"/>
      <c r="E464" s="22"/>
    </row>
    <row r="465" customHeight="1" spans="2:5">
      <c r="B465" s="22"/>
      <c r="C465" s="22"/>
      <c r="D465" s="22"/>
      <c r="E465" s="22"/>
    </row>
    <row r="466" customHeight="1" spans="2:5">
      <c r="B466" s="22"/>
      <c r="C466" s="22"/>
      <c r="D466" s="22"/>
      <c r="E466" s="22"/>
    </row>
    <row r="467" customHeight="1" spans="2:5">
      <c r="B467" s="22"/>
      <c r="C467" s="22"/>
      <c r="D467" s="22"/>
      <c r="E467" s="22"/>
    </row>
    <row r="468" customHeight="1" spans="2:5">
      <c r="B468" s="22"/>
      <c r="C468" s="22"/>
      <c r="D468" s="22"/>
      <c r="E468" s="22"/>
    </row>
    <row r="469" customHeight="1" spans="2:5">
      <c r="B469" s="22"/>
      <c r="C469" s="22"/>
      <c r="D469" s="22"/>
      <c r="E469" s="22"/>
    </row>
    <row r="470" customHeight="1" spans="2:5">
      <c r="B470" s="22"/>
      <c r="C470" s="22"/>
      <c r="D470" s="22"/>
      <c r="E470" s="22"/>
    </row>
    <row r="471" customHeight="1" spans="2:5">
      <c r="B471" s="22"/>
      <c r="C471" s="22"/>
      <c r="D471" s="22"/>
      <c r="E471" s="22"/>
    </row>
    <row r="472" customHeight="1" spans="2:5">
      <c r="B472" s="22"/>
      <c r="C472" s="22"/>
      <c r="D472" s="22"/>
      <c r="E472" s="22"/>
    </row>
    <row r="473" customHeight="1" spans="2:5">
      <c r="B473" s="22"/>
      <c r="C473" s="22"/>
      <c r="D473" s="22"/>
      <c r="E473" s="22"/>
    </row>
    <row r="474" customHeight="1" spans="2:5">
      <c r="B474" s="22"/>
      <c r="C474" s="22"/>
      <c r="D474" s="22"/>
      <c r="E474" s="22"/>
    </row>
    <row r="475" customHeight="1" spans="2:5">
      <c r="B475" s="22"/>
      <c r="C475" s="22"/>
      <c r="D475" s="22"/>
      <c r="E475" s="22"/>
    </row>
    <row r="476" customHeight="1" spans="2:5">
      <c r="B476" s="22"/>
      <c r="C476" s="22"/>
      <c r="D476" s="22"/>
      <c r="E476" s="22"/>
    </row>
    <row r="477" customHeight="1" spans="2:5">
      <c r="B477" s="22"/>
      <c r="C477" s="22"/>
      <c r="D477" s="22"/>
      <c r="E477" s="22"/>
    </row>
    <row r="478" customHeight="1" spans="2:5">
      <c r="B478" s="22"/>
      <c r="C478" s="22"/>
      <c r="D478" s="22"/>
      <c r="E478" s="22"/>
    </row>
    <row r="479" customHeight="1" spans="2:5">
      <c r="B479" s="22"/>
      <c r="C479" s="22"/>
      <c r="D479" s="22"/>
      <c r="E479" s="22"/>
    </row>
    <row r="480" customHeight="1" spans="2:5">
      <c r="B480" s="22"/>
      <c r="C480" s="22"/>
      <c r="D480" s="22"/>
      <c r="E480" s="22"/>
    </row>
    <row r="481" customHeight="1" spans="2:5">
      <c r="B481" s="22"/>
      <c r="C481" s="22"/>
      <c r="D481" s="22"/>
      <c r="E481" s="22"/>
    </row>
    <row r="482" customHeight="1" spans="2:5">
      <c r="B482" s="22"/>
      <c r="C482" s="22"/>
      <c r="D482" s="22"/>
      <c r="E482" s="22"/>
    </row>
    <row r="483" customHeight="1" spans="2:5">
      <c r="B483" s="22"/>
      <c r="C483" s="22"/>
      <c r="D483" s="22"/>
      <c r="E483" s="22"/>
    </row>
    <row r="484" customHeight="1" spans="2:5">
      <c r="B484" s="22"/>
      <c r="C484" s="22"/>
      <c r="D484" s="22"/>
      <c r="E484" s="22"/>
    </row>
    <row r="485" customHeight="1" spans="2:5">
      <c r="B485" s="22"/>
      <c r="C485" s="22"/>
      <c r="D485" s="22"/>
      <c r="E485" s="22"/>
    </row>
    <row r="486" customHeight="1" spans="2:5">
      <c r="B486" s="22"/>
      <c r="C486" s="22"/>
      <c r="D486" s="22"/>
      <c r="E486" s="22"/>
    </row>
    <row r="487" customHeight="1" spans="2:5">
      <c r="B487" s="22"/>
      <c r="C487" s="22"/>
      <c r="D487" s="22"/>
      <c r="E487" s="22"/>
    </row>
    <row r="488" customHeight="1" spans="2:5">
      <c r="B488" s="22"/>
      <c r="C488" s="22"/>
      <c r="D488" s="22"/>
      <c r="E488" s="22"/>
    </row>
    <row r="489" customHeight="1" spans="2:5">
      <c r="B489" s="22"/>
      <c r="C489" s="22"/>
      <c r="D489" s="22"/>
      <c r="E489" s="22"/>
    </row>
    <row r="490" customHeight="1" spans="2:5">
      <c r="B490" s="22"/>
      <c r="C490" s="22"/>
      <c r="D490" s="22"/>
      <c r="E490" s="22"/>
    </row>
    <row r="491" customHeight="1" spans="2:5">
      <c r="B491" s="22"/>
      <c r="C491" s="22"/>
      <c r="D491" s="22"/>
      <c r="E491" s="22"/>
    </row>
    <row r="492" customHeight="1" spans="2:5">
      <c r="B492" s="22"/>
      <c r="C492" s="22"/>
      <c r="D492" s="22"/>
      <c r="E492" s="22"/>
    </row>
    <row r="493" customHeight="1" spans="2:5">
      <c r="B493" s="22"/>
      <c r="C493" s="22"/>
      <c r="D493" s="22"/>
      <c r="E493" s="22"/>
    </row>
    <row r="494" customHeight="1" spans="2:5">
      <c r="B494" s="22"/>
      <c r="C494" s="22"/>
      <c r="D494" s="22"/>
      <c r="E494" s="22"/>
    </row>
    <row r="495" customHeight="1" spans="2:5">
      <c r="B495" s="22"/>
      <c r="C495" s="22"/>
      <c r="D495" s="22"/>
      <c r="E495" s="22"/>
    </row>
    <row r="496" customHeight="1" spans="2:5">
      <c r="B496" s="22"/>
      <c r="C496" s="22"/>
      <c r="D496" s="22"/>
      <c r="E496" s="22"/>
    </row>
    <row r="497" customHeight="1" spans="2:5">
      <c r="B497" s="22"/>
      <c r="C497" s="22"/>
      <c r="D497" s="22"/>
      <c r="E497" s="22"/>
    </row>
    <row r="498" customHeight="1" spans="2:5">
      <c r="B498" s="22"/>
      <c r="C498" s="22"/>
      <c r="D498" s="22"/>
      <c r="E498" s="22"/>
    </row>
    <row r="499" customHeight="1" spans="2:5">
      <c r="B499" s="22"/>
      <c r="C499" s="22"/>
      <c r="D499" s="22"/>
      <c r="E499" s="22"/>
    </row>
    <row r="500" customHeight="1" spans="2:5">
      <c r="B500" s="22"/>
      <c r="C500" s="22"/>
      <c r="D500" s="22"/>
      <c r="E500" s="22"/>
    </row>
    <row r="501" customHeight="1" spans="2:5">
      <c r="B501" s="22"/>
      <c r="C501" s="22"/>
      <c r="D501" s="22"/>
      <c r="E501" s="22"/>
    </row>
    <row r="502" customHeight="1" spans="2:5">
      <c r="B502" s="22"/>
      <c r="C502" s="22"/>
      <c r="D502" s="22"/>
      <c r="E502" s="22"/>
    </row>
    <row r="503" customHeight="1" spans="2:5">
      <c r="B503" s="22"/>
      <c r="C503" s="22"/>
      <c r="D503" s="22"/>
      <c r="E503" s="22"/>
    </row>
    <row r="504" customHeight="1" spans="2:5">
      <c r="B504" s="22"/>
      <c r="C504" s="22"/>
      <c r="D504" s="22"/>
      <c r="E504" s="22"/>
    </row>
    <row r="505" customHeight="1" spans="2:5">
      <c r="B505" s="22"/>
      <c r="C505" s="22"/>
      <c r="D505" s="22"/>
      <c r="E505" s="22"/>
    </row>
    <row r="506" customHeight="1" spans="2:5">
      <c r="B506" s="22"/>
      <c r="C506" s="22"/>
      <c r="D506" s="22"/>
      <c r="E506" s="22"/>
    </row>
    <row r="507" customHeight="1" spans="2:5">
      <c r="B507" s="22"/>
      <c r="C507" s="22"/>
      <c r="D507" s="22"/>
      <c r="E507" s="22"/>
    </row>
    <row r="508" customHeight="1" spans="2:5">
      <c r="B508" s="22"/>
      <c r="C508" s="22"/>
      <c r="D508" s="22"/>
      <c r="E508" s="22"/>
    </row>
    <row r="509" customHeight="1" spans="2:5">
      <c r="B509" s="22"/>
      <c r="C509" s="22"/>
      <c r="D509" s="22"/>
      <c r="E509" s="22"/>
    </row>
    <row r="510" customHeight="1" spans="2:5">
      <c r="B510" s="22"/>
      <c r="C510" s="22"/>
      <c r="D510" s="22"/>
      <c r="E510" s="22"/>
    </row>
    <row r="511" customHeight="1" spans="2:5">
      <c r="B511" s="22"/>
      <c r="C511" s="22"/>
      <c r="D511" s="22"/>
      <c r="E511" s="22"/>
    </row>
    <row r="512" customHeight="1" spans="2:5">
      <c r="B512" s="22"/>
      <c r="C512" s="22"/>
      <c r="D512" s="22"/>
      <c r="E512" s="22"/>
    </row>
    <row r="513" customHeight="1" spans="2:5">
      <c r="B513" s="22"/>
      <c r="C513" s="22"/>
      <c r="D513" s="22"/>
      <c r="E513" s="22"/>
    </row>
    <row r="514" customHeight="1" spans="2:5">
      <c r="B514" s="22"/>
      <c r="C514" s="22"/>
      <c r="D514" s="22"/>
      <c r="E514" s="22"/>
    </row>
    <row r="515" customHeight="1" spans="2:5">
      <c r="B515" s="22"/>
      <c r="C515" s="22"/>
      <c r="D515" s="22"/>
      <c r="E515" s="22"/>
    </row>
    <row r="516" customHeight="1" spans="2:5">
      <c r="B516" s="22"/>
      <c r="C516" s="22"/>
      <c r="D516" s="22"/>
      <c r="E516" s="22"/>
    </row>
    <row r="517" customHeight="1" spans="2:5">
      <c r="B517" s="22"/>
      <c r="C517" s="22"/>
      <c r="D517" s="22"/>
      <c r="E517" s="22"/>
    </row>
    <row r="518" customHeight="1" spans="2:5">
      <c r="B518" s="22"/>
      <c r="C518" s="22"/>
      <c r="D518" s="22"/>
      <c r="E518" s="22"/>
    </row>
    <row r="519" customHeight="1" spans="2:5">
      <c r="B519" s="22"/>
      <c r="C519" s="22"/>
      <c r="D519" s="22"/>
      <c r="E519" s="22"/>
    </row>
    <row r="520" customHeight="1" spans="2:5">
      <c r="B520" s="22"/>
      <c r="C520" s="22"/>
      <c r="D520" s="22"/>
      <c r="E520" s="22"/>
    </row>
    <row r="521" customHeight="1" spans="2:5">
      <c r="B521" s="22"/>
      <c r="C521" s="22"/>
      <c r="D521" s="22"/>
      <c r="E521" s="22"/>
    </row>
    <row r="522" customHeight="1" spans="2:5">
      <c r="B522" s="22"/>
      <c r="C522" s="22"/>
      <c r="D522" s="22"/>
      <c r="E522" s="22"/>
    </row>
    <row r="523" customHeight="1" spans="2:5">
      <c r="B523" s="22"/>
      <c r="C523" s="22"/>
      <c r="D523" s="22"/>
      <c r="E523" s="22"/>
    </row>
    <row r="524" customHeight="1" spans="2:5">
      <c r="B524" s="22"/>
      <c r="C524" s="22"/>
      <c r="D524" s="22"/>
      <c r="E524" s="22"/>
    </row>
    <row r="525" customHeight="1" spans="2:5">
      <c r="B525" s="22"/>
      <c r="C525" s="22"/>
      <c r="D525" s="22"/>
      <c r="E525" s="22"/>
    </row>
    <row r="526" customHeight="1" spans="2:5">
      <c r="B526" s="22"/>
      <c r="C526" s="22"/>
      <c r="D526" s="22"/>
      <c r="E526" s="22"/>
    </row>
    <row r="527" customHeight="1" spans="2:5">
      <c r="B527" s="22"/>
      <c r="C527" s="22"/>
      <c r="D527" s="22"/>
      <c r="E527" s="22"/>
    </row>
    <row r="528" customHeight="1" spans="2:5">
      <c r="B528" s="22"/>
      <c r="C528" s="22"/>
      <c r="D528" s="22"/>
      <c r="E528" s="22"/>
    </row>
    <row r="529" customHeight="1" spans="2:5">
      <c r="B529" s="22"/>
      <c r="C529" s="22"/>
      <c r="D529" s="22"/>
      <c r="E529" s="22"/>
    </row>
    <row r="530" customHeight="1" spans="2:5">
      <c r="B530" s="22"/>
      <c r="C530" s="22"/>
      <c r="D530" s="22"/>
      <c r="E530" s="22"/>
    </row>
    <row r="531" customHeight="1" spans="2:5">
      <c r="B531" s="22"/>
      <c r="C531" s="22"/>
      <c r="D531" s="22"/>
      <c r="E531" s="22"/>
    </row>
    <row r="532" customHeight="1" spans="2:5">
      <c r="B532" s="22"/>
      <c r="C532" s="22"/>
      <c r="D532" s="22"/>
      <c r="E532" s="22"/>
    </row>
    <row r="533" customHeight="1" spans="2:5">
      <c r="B533" s="22"/>
      <c r="C533" s="22"/>
      <c r="D533" s="22"/>
      <c r="E533" s="22"/>
    </row>
    <row r="534" customHeight="1" spans="2:5">
      <c r="B534" s="22"/>
      <c r="C534" s="22"/>
      <c r="D534" s="22"/>
      <c r="E534" s="22"/>
    </row>
    <row r="535" customHeight="1" spans="2:5">
      <c r="B535" s="22"/>
      <c r="C535" s="22"/>
      <c r="D535" s="22"/>
      <c r="E535" s="22"/>
    </row>
    <row r="536" customHeight="1" spans="2:5">
      <c r="B536" s="22"/>
      <c r="C536" s="22"/>
      <c r="D536" s="22"/>
      <c r="E536" s="22"/>
    </row>
    <row r="537" customHeight="1" spans="2:5">
      <c r="B537" s="22"/>
      <c r="C537" s="22"/>
      <c r="D537" s="22"/>
      <c r="E537" s="22"/>
    </row>
    <row r="538" customHeight="1" spans="2:5">
      <c r="B538" s="22"/>
      <c r="C538" s="22"/>
      <c r="D538" s="22"/>
      <c r="E538" s="22"/>
    </row>
    <row r="539" customHeight="1" spans="2:5">
      <c r="B539" s="22"/>
      <c r="C539" s="22"/>
      <c r="D539" s="22"/>
      <c r="E539" s="22"/>
    </row>
    <row r="540" customHeight="1" spans="2:5">
      <c r="B540" s="22"/>
      <c r="C540" s="22"/>
      <c r="D540" s="22"/>
      <c r="E540" s="22"/>
    </row>
    <row r="541" customHeight="1" spans="2:5">
      <c r="B541" s="22"/>
      <c r="C541" s="22"/>
      <c r="D541" s="22"/>
      <c r="E541" s="22"/>
    </row>
    <row r="542" customHeight="1" spans="2:5">
      <c r="B542" s="22"/>
      <c r="C542" s="22"/>
      <c r="D542" s="22"/>
      <c r="E542" s="22"/>
    </row>
    <row r="543" customHeight="1" spans="2:5">
      <c r="B543" s="22"/>
      <c r="C543" s="22"/>
      <c r="D543" s="22"/>
      <c r="E543" s="22"/>
    </row>
    <row r="544" customHeight="1" spans="2:5">
      <c r="B544" s="22"/>
      <c r="C544" s="22"/>
      <c r="D544" s="22"/>
      <c r="E544" s="22"/>
    </row>
    <row r="545" customHeight="1" spans="2:5">
      <c r="B545" s="22"/>
      <c r="C545" s="22"/>
      <c r="D545" s="22"/>
      <c r="E545" s="22"/>
    </row>
    <row r="546" customHeight="1" spans="2:5">
      <c r="B546" s="22"/>
      <c r="C546" s="22"/>
      <c r="D546" s="22"/>
      <c r="E546" s="22"/>
    </row>
    <row r="547" customHeight="1" spans="2:5">
      <c r="B547" s="22"/>
      <c r="C547" s="22"/>
      <c r="D547" s="22"/>
      <c r="E547" s="22"/>
    </row>
    <row r="548" customHeight="1" spans="2:5">
      <c r="B548" s="22"/>
      <c r="C548" s="22"/>
      <c r="D548" s="22"/>
      <c r="E548" s="22"/>
    </row>
    <row r="549" customHeight="1" spans="2:5">
      <c r="B549" s="22"/>
      <c r="C549" s="22"/>
      <c r="D549" s="22"/>
      <c r="E549" s="22"/>
    </row>
    <row r="550" customHeight="1" spans="2:5">
      <c r="B550" s="22"/>
      <c r="C550" s="22"/>
      <c r="D550" s="22"/>
      <c r="E550" s="22"/>
    </row>
    <row r="551" customHeight="1" spans="2:5">
      <c r="B551" s="22"/>
      <c r="C551" s="22"/>
      <c r="D551" s="22"/>
      <c r="E551" s="22"/>
    </row>
    <row r="552" customHeight="1" spans="2:5">
      <c r="B552" s="22"/>
      <c r="C552" s="22"/>
      <c r="D552" s="22"/>
      <c r="E552" s="22"/>
    </row>
    <row r="553" customHeight="1" spans="2:5">
      <c r="B553" s="22"/>
      <c r="C553" s="22"/>
      <c r="D553" s="22"/>
      <c r="E553" s="22"/>
    </row>
    <row r="554" customHeight="1" spans="2:5">
      <c r="B554" s="22"/>
      <c r="C554" s="22"/>
      <c r="D554" s="22"/>
      <c r="E554" s="22"/>
    </row>
    <row r="555" customHeight="1" spans="2:5">
      <c r="B555" s="22"/>
      <c r="C555" s="22"/>
      <c r="D555" s="22"/>
      <c r="E555" s="22"/>
    </row>
    <row r="556" customHeight="1" spans="2:5">
      <c r="B556" s="22"/>
      <c r="C556" s="22"/>
      <c r="D556" s="22"/>
      <c r="E556" s="22"/>
    </row>
    <row r="557" customHeight="1" spans="2:5">
      <c r="B557" s="22"/>
      <c r="C557" s="22"/>
      <c r="D557" s="22"/>
      <c r="E557" s="22"/>
    </row>
    <row r="558" customHeight="1" spans="2:5">
      <c r="B558" s="22"/>
      <c r="C558" s="22"/>
      <c r="D558" s="22"/>
      <c r="E558" s="22"/>
    </row>
    <row r="559" customHeight="1" spans="2:5">
      <c r="B559" s="22"/>
      <c r="C559" s="22"/>
      <c r="D559" s="22"/>
      <c r="E559" s="22"/>
    </row>
    <row r="560" customHeight="1" spans="2:5">
      <c r="B560" s="22"/>
      <c r="C560" s="22"/>
      <c r="D560" s="22"/>
      <c r="E560" s="22"/>
    </row>
    <row r="561" customHeight="1" spans="2:5">
      <c r="B561" s="22"/>
      <c r="C561" s="22"/>
      <c r="D561" s="22"/>
      <c r="E561" s="22"/>
    </row>
    <row r="562" customHeight="1" spans="2:5">
      <c r="B562" s="22"/>
      <c r="C562" s="22"/>
      <c r="D562" s="22"/>
      <c r="E562" s="22"/>
    </row>
    <row r="563" customHeight="1" spans="2:5">
      <c r="B563" s="22"/>
      <c r="C563" s="22"/>
      <c r="D563" s="22"/>
      <c r="E563" s="22"/>
    </row>
    <row r="564" customHeight="1" spans="2:5">
      <c r="B564" s="22"/>
      <c r="C564" s="22"/>
      <c r="D564" s="22"/>
      <c r="E564" s="22"/>
    </row>
    <row r="565" customHeight="1" spans="2:5">
      <c r="B565" s="22"/>
      <c r="C565" s="22"/>
      <c r="D565" s="22"/>
      <c r="E565" s="22"/>
    </row>
    <row r="566" customHeight="1" spans="2:5">
      <c r="B566" s="22"/>
      <c r="C566" s="22"/>
      <c r="D566" s="22"/>
      <c r="E566" s="22"/>
    </row>
    <row r="567" customHeight="1" spans="2:5">
      <c r="B567" s="22"/>
      <c r="C567" s="22"/>
      <c r="D567" s="22"/>
      <c r="E567" s="22"/>
    </row>
    <row r="568" customHeight="1" spans="2:5">
      <c r="B568" s="22"/>
      <c r="C568" s="22"/>
      <c r="D568" s="22"/>
      <c r="E568" s="22"/>
    </row>
    <row r="569" customHeight="1" spans="2:5">
      <c r="B569" s="22"/>
      <c r="C569" s="22"/>
      <c r="D569" s="22"/>
      <c r="E569" s="22"/>
    </row>
    <row r="570" customHeight="1" spans="2:5">
      <c r="B570" s="22"/>
      <c r="C570" s="22"/>
      <c r="D570" s="22"/>
      <c r="E570" s="22"/>
    </row>
    <row r="571" customHeight="1" spans="2:5">
      <c r="B571" s="22"/>
      <c r="C571" s="22"/>
      <c r="D571" s="22"/>
      <c r="E571" s="22"/>
    </row>
    <row r="572" customHeight="1" spans="2:5">
      <c r="B572" s="22"/>
      <c r="C572" s="22"/>
      <c r="D572" s="22"/>
      <c r="E572" s="22"/>
    </row>
    <row r="573" customHeight="1" spans="2:5">
      <c r="B573" s="22"/>
      <c r="C573" s="22"/>
      <c r="D573" s="22"/>
      <c r="E573" s="22"/>
    </row>
    <row r="574" customHeight="1" spans="2:5">
      <c r="B574" s="22"/>
      <c r="C574" s="22"/>
      <c r="D574" s="22"/>
      <c r="E574" s="22"/>
    </row>
    <row r="575" customHeight="1" spans="2:5">
      <c r="B575" s="22"/>
      <c r="C575" s="22"/>
      <c r="D575" s="22"/>
      <c r="E575" s="22"/>
    </row>
    <row r="576" customHeight="1" spans="2:5">
      <c r="B576" s="22"/>
      <c r="C576" s="22"/>
      <c r="D576" s="22"/>
      <c r="E576" s="22"/>
    </row>
    <row r="577" customHeight="1" spans="2:5">
      <c r="B577" s="22"/>
      <c r="C577" s="22"/>
      <c r="D577" s="22"/>
      <c r="E577" s="22"/>
    </row>
    <row r="578" customHeight="1" spans="2:5">
      <c r="B578" s="22"/>
      <c r="C578" s="22"/>
      <c r="D578" s="22"/>
      <c r="E578" s="22"/>
    </row>
    <row r="579" customHeight="1" spans="2:5">
      <c r="B579" s="22"/>
      <c r="C579" s="22"/>
      <c r="D579" s="22"/>
      <c r="E579" s="22"/>
    </row>
    <row r="580" customHeight="1" spans="2:5">
      <c r="B580" s="22"/>
      <c r="C580" s="22"/>
      <c r="D580" s="22"/>
      <c r="E580" s="22"/>
    </row>
    <row r="581" customHeight="1" spans="2:5">
      <c r="B581" s="22"/>
      <c r="C581" s="22"/>
      <c r="D581" s="22"/>
      <c r="E581" s="22"/>
    </row>
    <row r="582" customHeight="1" spans="2:5">
      <c r="B582" s="22"/>
      <c r="C582" s="22"/>
      <c r="D582" s="22"/>
      <c r="E582" s="22"/>
    </row>
    <row r="583" customHeight="1" spans="2:5">
      <c r="B583" s="22"/>
      <c r="C583" s="22"/>
      <c r="D583" s="22"/>
      <c r="E583" s="22"/>
    </row>
    <row r="584" customHeight="1" spans="2:5">
      <c r="B584" s="22"/>
      <c r="C584" s="22"/>
      <c r="D584" s="22"/>
      <c r="E584" s="22"/>
    </row>
    <row r="585" customHeight="1" spans="2:5">
      <c r="B585" s="22"/>
      <c r="C585" s="22"/>
      <c r="D585" s="22"/>
      <c r="E585" s="22"/>
    </row>
    <row r="586" customHeight="1" spans="2:5">
      <c r="B586" s="22"/>
      <c r="C586" s="22"/>
      <c r="D586" s="22"/>
      <c r="E586" s="22"/>
    </row>
    <row r="587" customHeight="1" spans="2:5">
      <c r="B587" s="22"/>
      <c r="C587" s="22"/>
      <c r="D587" s="22"/>
      <c r="E587" s="22"/>
    </row>
    <row r="588" customHeight="1" spans="2:5">
      <c r="B588" s="22"/>
      <c r="C588" s="22"/>
      <c r="D588" s="22"/>
      <c r="E588" s="22"/>
    </row>
    <row r="589" customHeight="1" spans="2:5">
      <c r="B589" s="22"/>
      <c r="C589" s="22"/>
      <c r="D589" s="22"/>
      <c r="E589" s="22"/>
    </row>
    <row r="590" customHeight="1" spans="2:5">
      <c r="B590" s="22"/>
      <c r="C590" s="22"/>
      <c r="D590" s="22"/>
      <c r="E590" s="22"/>
    </row>
    <row r="591" customHeight="1" spans="2:5">
      <c r="B591" s="22"/>
      <c r="C591" s="22"/>
      <c r="D591" s="22"/>
      <c r="E591" s="22"/>
    </row>
    <row r="592" customHeight="1" spans="2:5">
      <c r="B592" s="22"/>
      <c r="C592" s="22"/>
      <c r="D592" s="22"/>
      <c r="E592" s="22"/>
    </row>
    <row r="593" customHeight="1" spans="2:5">
      <c r="B593" s="22"/>
      <c r="C593" s="22"/>
      <c r="D593" s="22"/>
      <c r="E593" s="22"/>
    </row>
    <row r="594" customHeight="1" spans="2:5">
      <c r="B594" s="22"/>
      <c r="C594" s="22"/>
      <c r="D594" s="22"/>
      <c r="E594" s="22"/>
    </row>
    <row r="595" customHeight="1" spans="2:5">
      <c r="B595" s="22"/>
      <c r="C595" s="22"/>
      <c r="D595" s="22"/>
      <c r="E595" s="22"/>
    </row>
    <row r="596" customHeight="1" spans="2:5">
      <c r="B596" s="22"/>
      <c r="C596" s="22"/>
      <c r="D596" s="22"/>
      <c r="E596" s="22"/>
    </row>
    <row r="597" customHeight="1" spans="2:5">
      <c r="B597" s="22"/>
      <c r="C597" s="22"/>
      <c r="D597" s="22"/>
      <c r="E597" s="22"/>
    </row>
    <row r="598" customHeight="1" spans="2:5">
      <c r="B598" s="22"/>
      <c r="C598" s="22"/>
      <c r="D598" s="22"/>
      <c r="E598" s="22"/>
    </row>
    <row r="599" customHeight="1" spans="2:5">
      <c r="B599" s="22"/>
      <c r="C599" s="22"/>
      <c r="D599" s="22"/>
      <c r="E599" s="22"/>
    </row>
    <row r="600" customHeight="1" spans="2:5">
      <c r="B600" s="22"/>
      <c r="C600" s="22"/>
      <c r="D600" s="22"/>
      <c r="E600" s="22"/>
    </row>
    <row r="601" customHeight="1" spans="2:5">
      <c r="B601" s="22"/>
      <c r="C601" s="22"/>
      <c r="D601" s="22"/>
      <c r="E601" s="22"/>
    </row>
    <row r="602" customHeight="1" spans="2:5">
      <c r="B602" s="22"/>
      <c r="C602" s="22"/>
      <c r="D602" s="22"/>
      <c r="E602" s="22"/>
    </row>
    <row r="603" customHeight="1" spans="2:5">
      <c r="B603" s="22"/>
      <c r="C603" s="22"/>
      <c r="D603" s="22"/>
      <c r="E603" s="22"/>
    </row>
    <row r="604" customHeight="1" spans="2:5">
      <c r="B604" s="22"/>
      <c r="C604" s="22"/>
      <c r="D604" s="22"/>
      <c r="E604" s="22"/>
    </row>
    <row r="605" customHeight="1" spans="2:5">
      <c r="B605" s="22"/>
      <c r="C605" s="22"/>
      <c r="D605" s="22"/>
      <c r="E605" s="22"/>
    </row>
    <row r="606" customHeight="1" spans="2:5">
      <c r="B606" s="22"/>
      <c r="C606" s="22"/>
      <c r="D606" s="22"/>
      <c r="E606" s="22"/>
    </row>
    <row r="607" customHeight="1" spans="2:5">
      <c r="B607" s="22"/>
      <c r="C607" s="22"/>
      <c r="D607" s="22"/>
      <c r="E607" s="22"/>
    </row>
    <row r="608" customHeight="1" spans="2:5">
      <c r="B608" s="22"/>
      <c r="C608" s="22"/>
      <c r="D608" s="22"/>
      <c r="E608" s="22"/>
    </row>
    <row r="609" customHeight="1" spans="2:5">
      <c r="B609" s="22"/>
      <c r="C609" s="22"/>
      <c r="D609" s="22"/>
      <c r="E609" s="22"/>
    </row>
    <row r="610" customHeight="1" spans="2:5">
      <c r="B610" s="22"/>
      <c r="C610" s="22"/>
      <c r="D610" s="22"/>
      <c r="E610" s="22"/>
    </row>
    <row r="611" customHeight="1" spans="2:5">
      <c r="B611" s="22"/>
      <c r="C611" s="22"/>
      <c r="D611" s="22"/>
      <c r="E611" s="22"/>
    </row>
    <row r="612" customHeight="1" spans="2:5">
      <c r="B612" s="22"/>
      <c r="C612" s="22"/>
      <c r="D612" s="22"/>
      <c r="E612" s="22"/>
    </row>
    <row r="613" customHeight="1" spans="2:5">
      <c r="B613" s="22"/>
      <c r="C613" s="22"/>
      <c r="D613" s="22"/>
      <c r="E613" s="22"/>
    </row>
    <row r="614" customHeight="1" spans="2:5">
      <c r="B614" s="22"/>
      <c r="C614" s="22"/>
      <c r="D614" s="22"/>
      <c r="E614" s="22"/>
    </row>
    <row r="615" customHeight="1" spans="2:5">
      <c r="B615" s="22"/>
      <c r="C615" s="22"/>
      <c r="D615" s="22"/>
      <c r="E615" s="22"/>
    </row>
    <row r="616" customHeight="1" spans="2:5">
      <c r="B616" s="22"/>
      <c r="C616" s="22"/>
      <c r="D616" s="22"/>
      <c r="E616" s="22"/>
    </row>
    <row r="617" customHeight="1" spans="2:5">
      <c r="B617" s="22"/>
      <c r="C617" s="22"/>
      <c r="D617" s="22"/>
      <c r="E617" s="22"/>
    </row>
    <row r="618" customHeight="1" spans="2:5">
      <c r="B618" s="22"/>
      <c r="C618" s="22"/>
      <c r="D618" s="22"/>
      <c r="E618" s="22"/>
    </row>
    <row r="619" customHeight="1" spans="2:5">
      <c r="B619" s="22"/>
      <c r="C619" s="22"/>
      <c r="D619" s="22"/>
      <c r="E619" s="22"/>
    </row>
    <row r="620" customHeight="1" spans="2:5">
      <c r="B620" s="22"/>
      <c r="C620" s="22"/>
      <c r="D620" s="22"/>
      <c r="E620" s="22"/>
    </row>
    <row r="621" customHeight="1" spans="2:5">
      <c r="B621" s="22"/>
      <c r="C621" s="22"/>
      <c r="D621" s="22"/>
      <c r="E621" s="22"/>
    </row>
    <row r="622" customHeight="1" spans="2:5">
      <c r="B622" s="22"/>
      <c r="C622" s="22"/>
      <c r="D622" s="22"/>
      <c r="E622" s="22"/>
    </row>
    <row r="623" customHeight="1" spans="2:5">
      <c r="B623" s="22"/>
      <c r="C623" s="22"/>
      <c r="D623" s="22"/>
      <c r="E623" s="22"/>
    </row>
    <row r="624" customHeight="1" spans="2:5">
      <c r="B624" s="22"/>
      <c r="C624" s="22"/>
      <c r="D624" s="22"/>
      <c r="E624" s="22"/>
    </row>
    <row r="625" customHeight="1" spans="2:5">
      <c r="B625" s="22"/>
      <c r="C625" s="22"/>
      <c r="D625" s="22"/>
      <c r="E625" s="22"/>
    </row>
    <row r="626" customHeight="1" spans="2:5">
      <c r="B626" s="22"/>
      <c r="C626" s="22"/>
      <c r="D626" s="22"/>
      <c r="E626" s="22"/>
    </row>
    <row r="627" customHeight="1" spans="2:5">
      <c r="B627" s="22"/>
      <c r="C627" s="22"/>
      <c r="D627" s="22"/>
      <c r="E627" s="22"/>
    </row>
    <row r="628" customHeight="1" spans="2:5">
      <c r="B628" s="22"/>
      <c r="C628" s="22"/>
      <c r="D628" s="22"/>
      <c r="E628" s="22"/>
    </row>
    <row r="629" customHeight="1" spans="2:5">
      <c r="B629" s="22"/>
      <c r="C629" s="22"/>
      <c r="D629" s="22"/>
      <c r="E629" s="22"/>
    </row>
    <row r="630" customHeight="1" spans="2:5">
      <c r="B630" s="22"/>
      <c r="C630" s="22"/>
      <c r="D630" s="22"/>
      <c r="E630" s="22"/>
    </row>
    <row r="631" customHeight="1" spans="2:5">
      <c r="B631" s="22"/>
      <c r="C631" s="22"/>
      <c r="D631" s="22"/>
      <c r="E631" s="22"/>
    </row>
    <row r="632" customHeight="1" spans="2:5">
      <c r="B632" s="22"/>
      <c r="C632" s="22"/>
      <c r="D632" s="22"/>
      <c r="E632" s="22"/>
    </row>
    <row r="633" customHeight="1" spans="2:5">
      <c r="B633" s="22"/>
      <c r="C633" s="22"/>
      <c r="D633" s="22"/>
      <c r="E633" s="22"/>
    </row>
    <row r="634" customHeight="1" spans="2:5">
      <c r="B634" s="22"/>
      <c r="C634" s="22"/>
      <c r="D634" s="22"/>
      <c r="E634" s="22"/>
    </row>
    <row r="635" customHeight="1" spans="2:5">
      <c r="B635" s="22"/>
      <c r="C635" s="22"/>
      <c r="D635" s="22"/>
      <c r="E635" s="22"/>
    </row>
    <row r="636" customHeight="1" spans="2:5">
      <c r="B636" s="22"/>
      <c r="C636" s="22"/>
      <c r="D636" s="22"/>
      <c r="E636" s="22"/>
    </row>
    <row r="637" customHeight="1" spans="2:5">
      <c r="B637" s="22"/>
      <c r="C637" s="22"/>
      <c r="D637" s="22"/>
      <c r="E637" s="22"/>
    </row>
    <row r="638" customHeight="1" spans="2:5">
      <c r="B638" s="22"/>
      <c r="C638" s="22"/>
      <c r="D638" s="22"/>
      <c r="E638" s="22"/>
    </row>
    <row r="639" customHeight="1" spans="2:5">
      <c r="B639" s="22"/>
      <c r="C639" s="22"/>
      <c r="D639" s="22"/>
      <c r="E639" s="22"/>
    </row>
    <row r="640" customHeight="1" spans="2:5">
      <c r="B640" s="22"/>
      <c r="C640" s="22"/>
      <c r="D640" s="22"/>
      <c r="E640" s="22"/>
    </row>
    <row r="641" customHeight="1" spans="2:5">
      <c r="B641" s="22"/>
      <c r="C641" s="22"/>
      <c r="D641" s="22"/>
      <c r="E641" s="22"/>
    </row>
    <row r="642" customHeight="1" spans="2:5">
      <c r="B642" s="22"/>
      <c r="C642" s="22"/>
      <c r="D642" s="22"/>
      <c r="E642" s="22"/>
    </row>
    <row r="643" customHeight="1" spans="2:5">
      <c r="B643" s="22"/>
      <c r="C643" s="22"/>
      <c r="D643" s="22"/>
      <c r="E643" s="22"/>
    </row>
    <row r="644" customHeight="1" spans="2:5">
      <c r="B644" s="22"/>
      <c r="C644" s="22"/>
      <c r="D644" s="22"/>
      <c r="E644" s="22"/>
    </row>
    <row r="645" customHeight="1" spans="2:5">
      <c r="B645" s="22"/>
      <c r="C645" s="22"/>
      <c r="D645" s="22"/>
      <c r="E645" s="22"/>
    </row>
    <row r="646" customHeight="1" spans="2:5">
      <c r="B646" s="22"/>
      <c r="C646" s="22"/>
      <c r="D646" s="22"/>
      <c r="E646" s="22"/>
    </row>
    <row r="647" customHeight="1" spans="2:5">
      <c r="B647" s="22"/>
      <c r="C647" s="22"/>
      <c r="D647" s="22"/>
      <c r="E647" s="22"/>
    </row>
    <row r="648" customHeight="1" spans="2:5">
      <c r="B648" s="22"/>
      <c r="C648" s="22"/>
      <c r="D648" s="22"/>
      <c r="E648" s="22"/>
    </row>
    <row r="649" customHeight="1" spans="2:5">
      <c r="B649" s="22"/>
      <c r="C649" s="22"/>
      <c r="D649" s="22"/>
      <c r="E649" s="22"/>
    </row>
    <row r="650" customHeight="1" spans="2:5">
      <c r="B650" s="22"/>
      <c r="C650" s="22"/>
      <c r="D650" s="22"/>
      <c r="E650" s="22"/>
    </row>
    <row r="651" customHeight="1" spans="2:5">
      <c r="B651" s="22"/>
      <c r="C651" s="22"/>
      <c r="D651" s="22"/>
      <c r="E651" s="22"/>
    </row>
    <row r="652" customHeight="1" spans="2:5">
      <c r="B652" s="22"/>
      <c r="C652" s="22"/>
      <c r="D652" s="22"/>
      <c r="E652" s="22"/>
    </row>
    <row r="653" customHeight="1" spans="2:5">
      <c r="B653" s="22"/>
      <c r="C653" s="22"/>
      <c r="D653" s="22"/>
      <c r="E653" s="22"/>
    </row>
    <row r="654" customHeight="1" spans="2:5">
      <c r="B654" s="22"/>
      <c r="C654" s="22"/>
      <c r="D654" s="22"/>
      <c r="E654" s="22"/>
    </row>
    <row r="655" customHeight="1" spans="2:5">
      <c r="B655" s="22"/>
      <c r="C655" s="22"/>
      <c r="D655" s="22"/>
      <c r="E655" s="22"/>
    </row>
    <row r="656" customHeight="1" spans="2:5">
      <c r="B656" s="22"/>
      <c r="C656" s="22"/>
      <c r="D656" s="22"/>
      <c r="E656" s="22"/>
    </row>
    <row r="657" customHeight="1" spans="2:5">
      <c r="B657" s="22"/>
      <c r="C657" s="22"/>
      <c r="D657" s="22"/>
      <c r="E657" s="22"/>
    </row>
    <row r="658" customHeight="1" spans="2:5">
      <c r="B658" s="22"/>
      <c r="C658" s="22"/>
      <c r="D658" s="22"/>
      <c r="E658" s="22"/>
    </row>
    <row r="659" customHeight="1" spans="2:5">
      <c r="B659" s="22"/>
      <c r="C659" s="22"/>
      <c r="D659" s="22"/>
      <c r="E659" s="22"/>
    </row>
    <row r="660" customHeight="1" spans="2:5">
      <c r="B660" s="22"/>
      <c r="C660" s="22"/>
      <c r="D660" s="22"/>
      <c r="E660" s="22"/>
    </row>
    <row r="661" customHeight="1" spans="2:5">
      <c r="B661" s="22"/>
      <c r="C661" s="22"/>
      <c r="D661" s="22"/>
      <c r="E661" s="22"/>
    </row>
    <row r="662" customHeight="1" spans="2:5">
      <c r="B662" s="22"/>
      <c r="C662" s="22"/>
      <c r="D662" s="22"/>
      <c r="E662" s="22"/>
    </row>
    <row r="663" customHeight="1" spans="2:5">
      <c r="B663" s="22"/>
      <c r="C663" s="22"/>
      <c r="D663" s="22"/>
      <c r="E663" s="22"/>
    </row>
    <row r="664" customHeight="1" spans="2:5">
      <c r="B664" s="22"/>
      <c r="C664" s="22"/>
      <c r="D664" s="22"/>
      <c r="E664" s="22"/>
    </row>
    <row r="665" customHeight="1" spans="2:5">
      <c r="B665" s="22"/>
      <c r="C665" s="22"/>
      <c r="D665" s="22"/>
      <c r="E665" s="22"/>
    </row>
    <row r="666" customHeight="1" spans="2:5">
      <c r="B666" s="22"/>
      <c r="C666" s="22"/>
      <c r="D666" s="22"/>
      <c r="E666" s="22"/>
    </row>
    <row r="667" customHeight="1" spans="2:5">
      <c r="B667" s="22"/>
      <c r="C667" s="22"/>
      <c r="D667" s="22"/>
      <c r="E667" s="22"/>
    </row>
    <row r="668" customHeight="1" spans="2:5">
      <c r="B668" s="22"/>
      <c r="C668" s="22"/>
      <c r="D668" s="22"/>
      <c r="E668" s="22"/>
    </row>
    <row r="669" customHeight="1" spans="2:5">
      <c r="B669" s="22"/>
      <c r="C669" s="22"/>
      <c r="D669" s="22"/>
      <c r="E669" s="22"/>
    </row>
    <row r="670" customHeight="1" spans="2:5">
      <c r="B670" s="22"/>
      <c r="C670" s="22"/>
      <c r="D670" s="22"/>
      <c r="E670" s="22"/>
    </row>
    <row r="671" customHeight="1" spans="2:5">
      <c r="B671" s="22"/>
      <c r="C671" s="22"/>
      <c r="D671" s="22"/>
      <c r="E671" s="22"/>
    </row>
    <row r="672" customHeight="1" spans="2:5">
      <c r="B672" s="22"/>
      <c r="C672" s="22"/>
      <c r="D672" s="22"/>
      <c r="E672" s="22"/>
    </row>
    <row r="673" customHeight="1" spans="2:5">
      <c r="B673" s="22"/>
      <c r="C673" s="22"/>
      <c r="D673" s="22"/>
      <c r="E673" s="22"/>
    </row>
    <row r="674" customHeight="1" spans="2:5">
      <c r="B674" s="22"/>
      <c r="C674" s="22"/>
      <c r="D674" s="22"/>
      <c r="E674" s="22"/>
    </row>
    <row r="675" customHeight="1" spans="2:5">
      <c r="B675" s="22"/>
      <c r="C675" s="22"/>
      <c r="D675" s="22"/>
      <c r="E675" s="22"/>
    </row>
    <row r="676" customHeight="1" spans="2:5">
      <c r="B676" s="22"/>
      <c r="C676" s="22"/>
      <c r="D676" s="22"/>
      <c r="E676" s="22"/>
    </row>
    <row r="677" customHeight="1" spans="2:5">
      <c r="B677" s="22"/>
      <c r="C677" s="22"/>
      <c r="D677" s="22"/>
      <c r="E677" s="22"/>
    </row>
    <row r="678" customHeight="1" spans="2:5">
      <c r="B678" s="22"/>
      <c r="C678" s="22"/>
      <c r="D678" s="22"/>
      <c r="E678" s="22"/>
    </row>
    <row r="679" customHeight="1" spans="2:5">
      <c r="B679" s="22"/>
      <c r="C679" s="22"/>
      <c r="D679" s="22"/>
      <c r="E679" s="22"/>
    </row>
    <row r="680" customHeight="1" spans="2:5">
      <c r="B680" s="22"/>
      <c r="C680" s="22"/>
      <c r="D680" s="22"/>
      <c r="E680" s="22"/>
    </row>
    <row r="681" customHeight="1" spans="2:5">
      <c r="B681" s="22"/>
      <c r="C681" s="22"/>
      <c r="D681" s="22"/>
      <c r="E681" s="22"/>
    </row>
    <row r="682" customHeight="1" spans="2:5">
      <c r="B682" s="22"/>
      <c r="C682" s="22"/>
      <c r="D682" s="22"/>
      <c r="E682" s="22"/>
    </row>
    <row r="683" customHeight="1" spans="2:5">
      <c r="B683" s="22"/>
      <c r="C683" s="22"/>
      <c r="D683" s="22"/>
      <c r="E683" s="22"/>
    </row>
    <row r="684" customHeight="1" spans="2:5">
      <c r="B684" s="22"/>
      <c r="C684" s="22"/>
      <c r="D684" s="22"/>
      <c r="E684" s="22"/>
    </row>
    <row r="685" customHeight="1" spans="2:5">
      <c r="B685" s="22"/>
      <c r="C685" s="22"/>
      <c r="D685" s="22"/>
      <c r="E685" s="22"/>
    </row>
    <row r="686" customHeight="1" spans="2:5">
      <c r="B686" s="22"/>
      <c r="C686" s="22"/>
      <c r="D686" s="22"/>
      <c r="E686" s="22"/>
    </row>
    <row r="687" customHeight="1" spans="2:5">
      <c r="B687" s="22"/>
      <c r="C687" s="22"/>
      <c r="D687" s="22"/>
      <c r="E687" s="22"/>
    </row>
    <row r="688" customHeight="1" spans="2:5">
      <c r="B688" s="22"/>
      <c r="C688" s="22"/>
      <c r="D688" s="22"/>
      <c r="E688" s="22"/>
    </row>
    <row r="689" customHeight="1" spans="2:5">
      <c r="B689" s="22"/>
      <c r="C689" s="22"/>
      <c r="D689" s="22"/>
      <c r="E689" s="22"/>
    </row>
    <row r="690" customHeight="1" spans="2:5">
      <c r="B690" s="22"/>
      <c r="C690" s="22"/>
      <c r="D690" s="22"/>
      <c r="E690" s="22"/>
    </row>
    <row r="691" customHeight="1" spans="2:5">
      <c r="B691" s="22"/>
      <c r="C691" s="22"/>
      <c r="D691" s="22"/>
      <c r="E691" s="22"/>
    </row>
    <row r="692" customHeight="1" spans="2:5">
      <c r="B692" s="22"/>
      <c r="C692" s="22"/>
      <c r="D692" s="22"/>
      <c r="E692" s="22"/>
    </row>
    <row r="693" customHeight="1" spans="2:5">
      <c r="B693" s="22"/>
      <c r="C693" s="22"/>
      <c r="D693" s="22"/>
      <c r="E693" s="22"/>
    </row>
    <row r="694" customHeight="1" spans="2:5">
      <c r="B694" s="22"/>
      <c r="C694" s="22"/>
      <c r="D694" s="22"/>
      <c r="E694" s="22"/>
    </row>
    <row r="695" customHeight="1" spans="2:5">
      <c r="B695" s="22"/>
      <c r="C695" s="22"/>
      <c r="D695" s="22"/>
      <c r="E695" s="22"/>
    </row>
    <row r="696" customHeight="1" spans="2:5">
      <c r="B696" s="22"/>
      <c r="C696" s="22"/>
      <c r="D696" s="22"/>
      <c r="E696" s="22"/>
    </row>
    <row r="697" customHeight="1" spans="2:5">
      <c r="B697" s="22"/>
      <c r="C697" s="22"/>
      <c r="D697" s="22"/>
      <c r="E697" s="22"/>
    </row>
    <row r="698" customHeight="1" spans="2:5">
      <c r="B698" s="22"/>
      <c r="C698" s="22"/>
      <c r="D698" s="22"/>
      <c r="E698" s="22"/>
    </row>
    <row r="699" customHeight="1" spans="2:5">
      <c r="B699" s="22"/>
      <c r="C699" s="22"/>
      <c r="D699" s="22"/>
      <c r="E699" s="22"/>
    </row>
    <row r="700" customHeight="1" spans="2:5">
      <c r="B700" s="22"/>
      <c r="C700" s="22"/>
      <c r="D700" s="22"/>
      <c r="E700" s="22"/>
    </row>
    <row r="701" customHeight="1" spans="2:5">
      <c r="B701" s="22"/>
      <c r="C701" s="22"/>
      <c r="D701" s="22"/>
      <c r="E701" s="22"/>
    </row>
    <row r="702" customHeight="1" spans="2:5">
      <c r="B702" s="22"/>
      <c r="C702" s="22"/>
      <c r="D702" s="22"/>
      <c r="E702" s="22"/>
    </row>
    <row r="703" customHeight="1" spans="2:5">
      <c r="B703" s="22"/>
      <c r="C703" s="22"/>
      <c r="D703" s="22"/>
      <c r="E703" s="22"/>
    </row>
    <row r="704" customHeight="1" spans="2:5">
      <c r="B704" s="22"/>
      <c r="C704" s="22"/>
      <c r="D704" s="22"/>
      <c r="E704" s="22"/>
    </row>
    <row r="705" customHeight="1" spans="2:5">
      <c r="B705" s="22"/>
      <c r="C705" s="22"/>
      <c r="D705" s="22"/>
      <c r="E705" s="22"/>
    </row>
    <row r="706" customHeight="1" spans="2:5">
      <c r="B706" s="22"/>
      <c r="C706" s="22"/>
      <c r="D706" s="22"/>
      <c r="E706" s="22"/>
    </row>
    <row r="707" customHeight="1" spans="2:5">
      <c r="B707" s="22"/>
      <c r="C707" s="22"/>
      <c r="D707" s="22"/>
      <c r="E707" s="22"/>
    </row>
    <row r="708" customHeight="1" spans="2:5">
      <c r="B708" s="22"/>
      <c r="C708" s="22"/>
      <c r="D708" s="22"/>
      <c r="E708" s="22"/>
    </row>
    <row r="709" customHeight="1" spans="2:5">
      <c r="B709" s="22"/>
      <c r="C709" s="22"/>
      <c r="D709" s="22"/>
      <c r="E709" s="22"/>
    </row>
    <row r="710" customHeight="1" spans="2:5">
      <c r="B710" s="22"/>
      <c r="C710" s="22"/>
      <c r="D710" s="22"/>
      <c r="E710" s="22"/>
    </row>
    <row r="711" customHeight="1" spans="2:5">
      <c r="B711" s="22"/>
      <c r="C711" s="22"/>
      <c r="D711" s="22"/>
      <c r="E711" s="22"/>
    </row>
    <row r="712" customHeight="1" spans="2:5">
      <c r="B712" s="22"/>
      <c r="C712" s="22"/>
      <c r="D712" s="22"/>
      <c r="E712" s="22"/>
    </row>
    <row r="713" customHeight="1" spans="2:5">
      <c r="B713" s="22"/>
      <c r="C713" s="22"/>
      <c r="D713" s="22"/>
      <c r="E713" s="22"/>
    </row>
    <row r="714" customHeight="1" spans="2:5">
      <c r="B714" s="22"/>
      <c r="C714" s="22"/>
      <c r="D714" s="22"/>
      <c r="E714" s="22"/>
    </row>
    <row r="715" customHeight="1" spans="2:5">
      <c r="B715" s="22"/>
      <c r="C715" s="22"/>
      <c r="D715" s="22"/>
      <c r="E715" s="22"/>
    </row>
    <row r="716" customHeight="1" spans="2:5">
      <c r="B716" s="22"/>
      <c r="C716" s="22"/>
      <c r="D716" s="22"/>
      <c r="E716" s="22"/>
    </row>
    <row r="717" customHeight="1" spans="2:5">
      <c r="B717" s="22"/>
      <c r="C717" s="22"/>
      <c r="D717" s="22"/>
      <c r="E717" s="22"/>
    </row>
    <row r="718" customHeight="1" spans="2:5">
      <c r="B718" s="22"/>
      <c r="C718" s="22"/>
      <c r="D718" s="22"/>
      <c r="E718" s="22"/>
    </row>
    <row r="719" customHeight="1" spans="2:5">
      <c r="B719" s="22"/>
      <c r="C719" s="22"/>
      <c r="D719" s="22"/>
      <c r="E719" s="22"/>
    </row>
    <row r="720" customHeight="1" spans="2:5">
      <c r="B720" s="22"/>
      <c r="C720" s="22"/>
      <c r="D720" s="22"/>
      <c r="E720" s="22"/>
    </row>
    <row r="721" customHeight="1" spans="2:5">
      <c r="B721" s="22"/>
      <c r="C721" s="22"/>
      <c r="D721" s="22"/>
      <c r="E721" s="22"/>
    </row>
    <row r="722" customHeight="1" spans="2:5">
      <c r="B722" s="22"/>
      <c r="C722" s="22"/>
      <c r="D722" s="22"/>
      <c r="E722" s="22"/>
    </row>
    <row r="723" customHeight="1" spans="2:5">
      <c r="B723" s="22"/>
      <c r="C723" s="22"/>
      <c r="D723" s="22"/>
      <c r="E723" s="22"/>
    </row>
    <row r="724" customHeight="1" spans="2:5">
      <c r="B724" s="22"/>
      <c r="C724" s="22"/>
      <c r="D724" s="22"/>
      <c r="E724" s="22"/>
    </row>
    <row r="725" customHeight="1" spans="2:5">
      <c r="B725" s="22"/>
      <c r="C725" s="22"/>
      <c r="D725" s="22"/>
      <c r="E725" s="22"/>
    </row>
    <row r="726" customHeight="1" spans="2:5">
      <c r="B726" s="22"/>
      <c r="C726" s="22"/>
      <c r="D726" s="22"/>
      <c r="E726" s="22"/>
    </row>
    <row r="727" customHeight="1" spans="2:5">
      <c r="B727" s="22"/>
      <c r="C727" s="22"/>
      <c r="D727" s="22"/>
      <c r="E727" s="22"/>
    </row>
    <row r="728" customHeight="1" spans="2:5">
      <c r="B728" s="22"/>
      <c r="C728" s="22"/>
      <c r="D728" s="22"/>
      <c r="E728" s="22"/>
    </row>
    <row r="729" customHeight="1" spans="2:5">
      <c r="B729" s="22"/>
      <c r="C729" s="22"/>
      <c r="D729" s="22"/>
      <c r="E729" s="22"/>
    </row>
    <row r="730" customHeight="1" spans="2:5">
      <c r="B730" s="22"/>
      <c r="C730" s="22"/>
      <c r="D730" s="22"/>
      <c r="E730" s="22"/>
    </row>
    <row r="731" customHeight="1" spans="2:5">
      <c r="B731" s="22"/>
      <c r="C731" s="22"/>
      <c r="D731" s="22"/>
      <c r="E731" s="22"/>
    </row>
    <row r="732" customHeight="1" spans="2:5">
      <c r="B732" s="22"/>
      <c r="C732" s="22"/>
      <c r="D732" s="22"/>
      <c r="E732" s="22"/>
    </row>
    <row r="733" customHeight="1" spans="2:5">
      <c r="B733" s="22"/>
      <c r="C733" s="22"/>
      <c r="D733" s="22"/>
      <c r="E733" s="22"/>
    </row>
    <row r="734" customHeight="1" spans="2:5">
      <c r="B734" s="22"/>
      <c r="C734" s="22"/>
      <c r="D734" s="22"/>
      <c r="E734" s="22"/>
    </row>
    <row r="735" customHeight="1" spans="2:5">
      <c r="B735" s="22"/>
      <c r="C735" s="22"/>
      <c r="D735" s="22"/>
      <c r="E735" s="22"/>
    </row>
    <row r="736" customHeight="1" spans="2:5">
      <c r="B736" s="22"/>
      <c r="C736" s="22"/>
      <c r="D736" s="22"/>
      <c r="E736" s="22"/>
    </row>
    <row r="737" customHeight="1" spans="2:5">
      <c r="B737" s="22"/>
      <c r="C737" s="22"/>
      <c r="D737" s="22"/>
      <c r="E737" s="22"/>
    </row>
    <row r="738" customHeight="1" spans="2:5">
      <c r="B738" s="22"/>
      <c r="C738" s="22"/>
      <c r="D738" s="22"/>
      <c r="E738" s="22"/>
    </row>
    <row r="739" customHeight="1" spans="2:5">
      <c r="B739" s="22"/>
      <c r="C739" s="22"/>
      <c r="D739" s="22"/>
      <c r="E739" s="22"/>
    </row>
    <row r="740" customHeight="1" spans="2:5">
      <c r="B740" s="22"/>
      <c r="C740" s="22"/>
      <c r="D740" s="22"/>
      <c r="E740" s="22"/>
    </row>
    <row r="741" customHeight="1" spans="2:5">
      <c r="B741" s="22"/>
      <c r="C741" s="22"/>
      <c r="D741" s="22"/>
      <c r="E741" s="22"/>
    </row>
    <row r="742" customHeight="1" spans="2:5">
      <c r="B742" s="22"/>
      <c r="C742" s="22"/>
      <c r="D742" s="22"/>
      <c r="E742" s="22"/>
    </row>
    <row r="743" customHeight="1" spans="2:5">
      <c r="B743" s="22"/>
      <c r="C743" s="22"/>
      <c r="D743" s="22"/>
      <c r="E743" s="22"/>
    </row>
    <row r="744" customHeight="1" spans="2:5">
      <c r="B744" s="22"/>
      <c r="C744" s="22"/>
      <c r="D744" s="22"/>
      <c r="E744" s="22"/>
    </row>
    <row r="745" customHeight="1" spans="2:5">
      <c r="B745" s="22"/>
      <c r="C745" s="22"/>
      <c r="D745" s="22"/>
      <c r="E745" s="22"/>
    </row>
    <row r="746" customHeight="1" spans="2:5">
      <c r="B746" s="22"/>
      <c r="C746" s="22"/>
      <c r="D746" s="22"/>
      <c r="E746" s="22"/>
    </row>
    <row r="747" customHeight="1" spans="2:5">
      <c r="B747" s="22"/>
      <c r="C747" s="22"/>
      <c r="D747" s="22"/>
      <c r="E747" s="22"/>
    </row>
    <row r="748" customHeight="1" spans="2:5">
      <c r="B748" s="22"/>
      <c r="C748" s="22"/>
      <c r="D748" s="22"/>
      <c r="E748" s="22"/>
    </row>
    <row r="749" customHeight="1" spans="2:5">
      <c r="B749" s="22"/>
      <c r="C749" s="22"/>
      <c r="D749" s="22"/>
      <c r="E749" s="22"/>
    </row>
    <row r="750" customHeight="1" spans="2:5">
      <c r="B750" s="22"/>
      <c r="C750" s="22"/>
      <c r="D750" s="22"/>
      <c r="E750" s="22"/>
    </row>
    <row r="751" customHeight="1" spans="2:5">
      <c r="B751" s="22"/>
      <c r="C751" s="22"/>
      <c r="D751" s="22"/>
      <c r="E751" s="22"/>
    </row>
    <row r="752" customHeight="1" spans="2:5">
      <c r="B752" s="22"/>
      <c r="C752" s="22"/>
      <c r="D752" s="22"/>
      <c r="E752" s="22"/>
    </row>
    <row r="753" customHeight="1" spans="2:5">
      <c r="B753" s="22"/>
      <c r="C753" s="22"/>
      <c r="D753" s="22"/>
      <c r="E753" s="22"/>
    </row>
    <row r="754" customHeight="1" spans="2:5">
      <c r="B754" s="22"/>
      <c r="C754" s="22"/>
      <c r="D754" s="22"/>
      <c r="E754" s="22"/>
    </row>
    <row r="755" customHeight="1" spans="2:5">
      <c r="B755" s="22"/>
      <c r="C755" s="22"/>
      <c r="D755" s="22"/>
      <c r="E755" s="22"/>
    </row>
    <row r="756" customHeight="1" spans="2:5">
      <c r="B756" s="22"/>
      <c r="C756" s="22"/>
      <c r="D756" s="22"/>
      <c r="E756" s="22"/>
    </row>
    <row r="757" customHeight="1" spans="2:5">
      <c r="B757" s="22"/>
      <c r="C757" s="22"/>
      <c r="D757" s="22"/>
      <c r="E757" s="22"/>
    </row>
    <row r="758" customHeight="1" spans="2:5">
      <c r="B758" s="22"/>
      <c r="C758" s="22"/>
      <c r="D758" s="22"/>
      <c r="E758" s="22"/>
    </row>
    <row r="759" customHeight="1" spans="2:5">
      <c r="B759" s="22"/>
      <c r="C759" s="22"/>
      <c r="D759" s="22"/>
      <c r="E759" s="22"/>
    </row>
    <row r="760" customHeight="1" spans="2:5">
      <c r="B760" s="22"/>
      <c r="C760" s="22"/>
      <c r="D760" s="22"/>
      <c r="E760" s="22"/>
    </row>
    <row r="761" customHeight="1" spans="2:5">
      <c r="B761" s="22"/>
      <c r="C761" s="22"/>
      <c r="D761" s="22"/>
      <c r="E761" s="22"/>
    </row>
    <row r="762" customHeight="1" spans="2:5">
      <c r="B762" s="22"/>
      <c r="C762" s="22"/>
      <c r="D762" s="22"/>
      <c r="E762" s="22"/>
    </row>
    <row r="763" customHeight="1" spans="2:5">
      <c r="B763" s="22"/>
      <c r="C763" s="22"/>
      <c r="D763" s="22"/>
      <c r="E763" s="22"/>
    </row>
    <row r="764" customHeight="1" spans="2:5">
      <c r="B764" s="22"/>
      <c r="C764" s="22"/>
      <c r="D764" s="22"/>
      <c r="E764" s="22"/>
    </row>
    <row r="765" customHeight="1" spans="2:5">
      <c r="B765" s="22"/>
      <c r="C765" s="22"/>
      <c r="D765" s="22"/>
      <c r="E765" s="22"/>
    </row>
    <row r="766" customHeight="1" spans="2:5">
      <c r="B766" s="22"/>
      <c r="C766" s="22"/>
      <c r="D766" s="22"/>
      <c r="E766" s="22"/>
    </row>
    <row r="767" customHeight="1" spans="2:5">
      <c r="B767" s="22"/>
      <c r="C767" s="22"/>
      <c r="D767" s="22"/>
      <c r="E767" s="22"/>
    </row>
    <row r="768" customHeight="1" spans="2:5">
      <c r="B768" s="22"/>
      <c r="C768" s="22"/>
      <c r="D768" s="22"/>
      <c r="E768" s="22"/>
    </row>
    <row r="769" customHeight="1" spans="2:5">
      <c r="B769" s="22"/>
      <c r="C769" s="22"/>
      <c r="D769" s="22"/>
      <c r="E769" s="22"/>
    </row>
    <row r="770" customHeight="1" spans="2:5">
      <c r="B770" s="22"/>
      <c r="C770" s="22"/>
      <c r="D770" s="22"/>
      <c r="E770" s="22"/>
    </row>
    <row r="771" customHeight="1" spans="2:5">
      <c r="B771" s="22"/>
      <c r="C771" s="22"/>
      <c r="D771" s="22"/>
      <c r="E771" s="22"/>
    </row>
    <row r="772" customHeight="1" spans="2:5">
      <c r="B772" s="22"/>
      <c r="C772" s="22"/>
      <c r="D772" s="22"/>
      <c r="E772" s="22"/>
    </row>
    <row r="773" customHeight="1" spans="2:5">
      <c r="B773" s="22"/>
      <c r="C773" s="22"/>
      <c r="D773" s="22"/>
      <c r="E773" s="22"/>
    </row>
    <row r="774" customHeight="1" spans="2:5">
      <c r="B774" s="22"/>
      <c r="C774" s="22"/>
      <c r="D774" s="22"/>
      <c r="E774" s="22"/>
    </row>
    <row r="775" customHeight="1" spans="2:5">
      <c r="B775" s="22"/>
      <c r="C775" s="22"/>
      <c r="D775" s="22"/>
      <c r="E775" s="22"/>
    </row>
    <row r="776" customHeight="1" spans="2:5">
      <c r="B776" s="22"/>
      <c r="C776" s="22"/>
      <c r="D776" s="22"/>
      <c r="E776" s="22"/>
    </row>
    <row r="777" customHeight="1" spans="2:5">
      <c r="B777" s="22"/>
      <c r="C777" s="22"/>
      <c r="D777" s="22"/>
      <c r="E777" s="22"/>
    </row>
    <row r="778" customHeight="1" spans="2:5">
      <c r="B778" s="22"/>
      <c r="C778" s="22"/>
      <c r="D778" s="22"/>
      <c r="E778" s="22"/>
    </row>
    <row r="779" customHeight="1" spans="2:5">
      <c r="B779" s="22"/>
      <c r="C779" s="22"/>
      <c r="D779" s="22"/>
      <c r="E779" s="22"/>
    </row>
    <row r="780" customHeight="1" spans="2:5">
      <c r="B780" s="22"/>
      <c r="C780" s="22"/>
      <c r="D780" s="22"/>
      <c r="E780" s="22"/>
    </row>
    <row r="781" customHeight="1" spans="2:5">
      <c r="B781" s="22"/>
      <c r="C781" s="22"/>
      <c r="D781" s="22"/>
      <c r="E781" s="22"/>
    </row>
    <row r="782" customHeight="1" spans="2:5">
      <c r="B782" s="22"/>
      <c r="C782" s="22"/>
      <c r="D782" s="22"/>
      <c r="E782" s="22"/>
    </row>
    <row r="783" customHeight="1" spans="2:5">
      <c r="B783" s="22"/>
      <c r="C783" s="22"/>
      <c r="D783" s="22"/>
      <c r="E783" s="22"/>
    </row>
    <row r="784" customHeight="1" spans="2:5">
      <c r="B784" s="22"/>
      <c r="C784" s="22"/>
      <c r="D784" s="22"/>
      <c r="E784" s="22"/>
    </row>
    <row r="785" customHeight="1" spans="2:5">
      <c r="B785" s="22"/>
      <c r="C785" s="22"/>
      <c r="D785" s="22"/>
      <c r="E785" s="22"/>
    </row>
    <row r="786" customHeight="1" spans="2:5">
      <c r="B786" s="22"/>
      <c r="C786" s="22"/>
      <c r="D786" s="22"/>
      <c r="E786" s="22"/>
    </row>
    <row r="787" customHeight="1" spans="2:5">
      <c r="B787" s="22"/>
      <c r="C787" s="22"/>
      <c r="D787" s="22"/>
      <c r="E787" s="22"/>
    </row>
    <row r="788" customHeight="1" spans="2:5">
      <c r="B788" s="22"/>
      <c r="C788" s="22"/>
      <c r="D788" s="22"/>
      <c r="E788" s="22"/>
    </row>
    <row r="789" customHeight="1" spans="2:5">
      <c r="B789" s="22"/>
      <c r="C789" s="22"/>
      <c r="D789" s="22"/>
      <c r="E789" s="22"/>
    </row>
    <row r="790" customHeight="1" spans="2:5">
      <c r="B790" s="22"/>
      <c r="C790" s="22"/>
      <c r="D790" s="22"/>
      <c r="E790" s="22"/>
    </row>
    <row r="791" customHeight="1" spans="2:5">
      <c r="B791" s="22"/>
      <c r="C791" s="22"/>
      <c r="D791" s="22"/>
      <c r="E791" s="22"/>
    </row>
    <row r="792" customHeight="1" spans="2:5">
      <c r="B792" s="22"/>
      <c r="C792" s="22"/>
      <c r="D792" s="22"/>
      <c r="E792" s="22"/>
    </row>
    <row r="793" customHeight="1" spans="2:5">
      <c r="B793" s="22"/>
      <c r="C793" s="22"/>
      <c r="D793" s="22"/>
      <c r="E793" s="22"/>
    </row>
    <row r="794" customHeight="1" spans="2:5">
      <c r="B794" s="22"/>
      <c r="C794" s="22"/>
      <c r="D794" s="22"/>
      <c r="E794" s="22"/>
    </row>
    <row r="795" customHeight="1" spans="2:5">
      <c r="B795" s="22"/>
      <c r="C795" s="22"/>
      <c r="D795" s="22"/>
      <c r="E795" s="22"/>
    </row>
    <row r="796" customHeight="1" spans="2:5">
      <c r="B796" s="22"/>
      <c r="C796" s="22"/>
      <c r="D796" s="22"/>
      <c r="E796" s="22"/>
    </row>
    <row r="797" customHeight="1" spans="2:5">
      <c r="B797" s="22"/>
      <c r="C797" s="22"/>
      <c r="D797" s="22"/>
      <c r="E797" s="22"/>
    </row>
    <row r="798" customHeight="1" spans="2:5">
      <c r="B798" s="22"/>
      <c r="C798" s="22"/>
      <c r="D798" s="22"/>
      <c r="E798" s="22"/>
    </row>
    <row r="799" customHeight="1" spans="2:5">
      <c r="B799" s="22"/>
      <c r="C799" s="22"/>
      <c r="D799" s="22"/>
      <c r="E799" s="22"/>
    </row>
    <row r="800" customHeight="1" spans="2:5">
      <c r="B800" s="22"/>
      <c r="C800" s="22"/>
      <c r="D800" s="22"/>
      <c r="E800" s="22"/>
    </row>
    <row r="801" customHeight="1" spans="2:5">
      <c r="B801" s="22"/>
      <c r="C801" s="22"/>
      <c r="D801" s="22"/>
      <c r="E801" s="22"/>
    </row>
    <row r="802" customHeight="1" spans="2:5">
      <c r="B802" s="22"/>
      <c r="C802" s="22"/>
      <c r="D802" s="22"/>
      <c r="E802" s="22"/>
    </row>
    <row r="803" customHeight="1" spans="2:5">
      <c r="B803" s="22"/>
      <c r="C803" s="22"/>
      <c r="D803" s="22"/>
      <c r="E803" s="22"/>
    </row>
    <row r="804" customHeight="1" spans="2:5">
      <c r="B804" s="22"/>
      <c r="C804" s="22"/>
      <c r="D804" s="22"/>
      <c r="E804" s="22"/>
    </row>
    <row r="805" customHeight="1" spans="2:5">
      <c r="B805" s="22"/>
      <c r="C805" s="22"/>
      <c r="D805" s="22"/>
      <c r="E805" s="22"/>
    </row>
    <row r="806" customHeight="1" spans="2:5">
      <c r="B806" s="22"/>
      <c r="C806" s="22"/>
      <c r="D806" s="22"/>
      <c r="E806" s="22"/>
    </row>
    <row r="807" customHeight="1" spans="2:5">
      <c r="B807" s="22"/>
      <c r="C807" s="22"/>
      <c r="D807" s="22"/>
      <c r="E807" s="22"/>
    </row>
    <row r="808" customHeight="1" spans="2:5">
      <c r="B808" s="22"/>
      <c r="C808" s="22"/>
      <c r="D808" s="22"/>
      <c r="E808" s="22"/>
    </row>
    <row r="809" customHeight="1" spans="2:5">
      <c r="B809" s="22"/>
      <c r="C809" s="22"/>
      <c r="D809" s="22"/>
      <c r="E809" s="22"/>
    </row>
    <row r="810" customHeight="1" spans="2:5">
      <c r="B810" s="22"/>
      <c r="C810" s="22"/>
      <c r="D810" s="22"/>
      <c r="E810" s="22"/>
    </row>
    <row r="811" customHeight="1" spans="2:5">
      <c r="B811" s="22"/>
      <c r="C811" s="22"/>
      <c r="D811" s="22"/>
      <c r="E811" s="22"/>
    </row>
    <row r="812" customHeight="1" spans="2:5">
      <c r="B812" s="22"/>
      <c r="C812" s="22"/>
      <c r="D812" s="22"/>
      <c r="E812" s="22"/>
    </row>
    <row r="813" customHeight="1" spans="2:5">
      <c r="B813" s="22"/>
      <c r="C813" s="22"/>
      <c r="D813" s="22"/>
      <c r="E813" s="22"/>
    </row>
    <row r="814" customHeight="1" spans="2:5">
      <c r="B814" s="22"/>
      <c r="C814" s="22"/>
      <c r="D814" s="22"/>
      <c r="E814" s="22"/>
    </row>
    <row r="815" customHeight="1" spans="2:5">
      <c r="B815" s="22"/>
      <c r="C815" s="22"/>
      <c r="D815" s="22"/>
      <c r="E815" s="22"/>
    </row>
    <row r="816" customHeight="1" spans="2:5">
      <c r="B816" s="22"/>
      <c r="C816" s="22"/>
      <c r="D816" s="22"/>
      <c r="E816" s="22"/>
    </row>
    <row r="817" customHeight="1" spans="2:5">
      <c r="B817" s="22"/>
      <c r="C817" s="22"/>
      <c r="D817" s="22"/>
      <c r="E817" s="22"/>
    </row>
    <row r="818" customHeight="1" spans="2:5">
      <c r="B818" s="22"/>
      <c r="C818" s="22"/>
      <c r="D818" s="22"/>
      <c r="E818" s="22"/>
    </row>
    <row r="819" customHeight="1" spans="2:5">
      <c r="B819" s="22"/>
      <c r="C819" s="22"/>
      <c r="D819" s="22"/>
      <c r="E819" s="22"/>
    </row>
    <row r="820" customHeight="1" spans="2:5">
      <c r="B820" s="22"/>
      <c r="C820" s="22"/>
      <c r="D820" s="22"/>
      <c r="E820" s="22"/>
    </row>
    <row r="821" customHeight="1" spans="2:5">
      <c r="B821" s="22"/>
      <c r="C821" s="22"/>
      <c r="D821" s="22"/>
      <c r="E821" s="22"/>
    </row>
    <row r="822" customHeight="1" spans="2:5">
      <c r="B822" s="22"/>
      <c r="C822" s="22"/>
      <c r="D822" s="22"/>
      <c r="E822" s="22"/>
    </row>
    <row r="823" customHeight="1" spans="2:5">
      <c r="B823" s="22"/>
      <c r="C823" s="22"/>
      <c r="D823" s="22"/>
      <c r="E823" s="22"/>
    </row>
    <row r="824" customHeight="1" spans="2:5">
      <c r="B824" s="22"/>
      <c r="C824" s="22"/>
      <c r="D824" s="22"/>
      <c r="E824" s="22"/>
    </row>
    <row r="825" customHeight="1" spans="2:5">
      <c r="B825" s="22"/>
      <c r="C825" s="22"/>
      <c r="D825" s="22"/>
      <c r="E825" s="22"/>
    </row>
    <row r="826" customHeight="1" spans="2:5">
      <c r="B826" s="22"/>
      <c r="C826" s="22"/>
      <c r="D826" s="22"/>
      <c r="E826" s="22"/>
    </row>
    <row r="827" customHeight="1" spans="2:5">
      <c r="B827" s="22"/>
      <c r="C827" s="22"/>
      <c r="D827" s="22"/>
      <c r="E827" s="22"/>
    </row>
    <row r="828" customHeight="1" spans="2:5">
      <c r="B828" s="22"/>
      <c r="C828" s="22"/>
      <c r="D828" s="22"/>
      <c r="E828" s="22"/>
    </row>
    <row r="829" customHeight="1" spans="2:5">
      <c r="B829" s="22"/>
      <c r="C829" s="22"/>
      <c r="D829" s="22"/>
      <c r="E829" s="22"/>
    </row>
    <row r="830" customHeight="1" spans="2:5">
      <c r="B830" s="22"/>
      <c r="C830" s="22"/>
      <c r="D830" s="22"/>
      <c r="E830" s="22"/>
    </row>
    <row r="831" customHeight="1" spans="2:5">
      <c r="B831" s="22"/>
      <c r="C831" s="22"/>
      <c r="D831" s="22"/>
      <c r="E831" s="22"/>
    </row>
    <row r="832" customHeight="1" spans="2:5">
      <c r="B832" s="22"/>
      <c r="C832" s="22"/>
      <c r="D832" s="22"/>
      <c r="E832" s="22"/>
    </row>
    <row r="833" customHeight="1" spans="2:5">
      <c r="B833" s="22"/>
      <c r="C833" s="22"/>
      <c r="D833" s="22"/>
      <c r="E833" s="22"/>
    </row>
    <row r="834" customHeight="1" spans="2:5">
      <c r="B834" s="22"/>
      <c r="C834" s="22"/>
      <c r="D834" s="22"/>
      <c r="E834" s="22"/>
    </row>
    <row r="835" customHeight="1" spans="2:5">
      <c r="B835" s="22"/>
      <c r="C835" s="22"/>
      <c r="D835" s="22"/>
      <c r="E835" s="22"/>
    </row>
    <row r="836" customHeight="1" spans="2:5">
      <c r="B836" s="22"/>
      <c r="C836" s="22"/>
      <c r="D836" s="22"/>
      <c r="E836" s="22"/>
    </row>
    <row r="837" customHeight="1" spans="2:5">
      <c r="B837" s="22"/>
      <c r="C837" s="22"/>
      <c r="D837" s="22"/>
      <c r="E837" s="22"/>
    </row>
    <row r="838" customHeight="1" spans="2:5">
      <c r="B838" s="22"/>
      <c r="C838" s="22"/>
      <c r="D838" s="22"/>
      <c r="E838" s="22"/>
    </row>
    <row r="839" customHeight="1" spans="2:5">
      <c r="B839" s="22"/>
      <c r="C839" s="22"/>
      <c r="D839" s="22"/>
      <c r="E839" s="22"/>
    </row>
    <row r="840" customHeight="1" spans="2:5">
      <c r="B840" s="22"/>
      <c r="C840" s="22"/>
      <c r="D840" s="22"/>
      <c r="E840" s="22"/>
    </row>
    <row r="841" customHeight="1" spans="2:5">
      <c r="B841" s="22"/>
      <c r="C841" s="22"/>
      <c r="D841" s="22"/>
      <c r="E841" s="22"/>
    </row>
    <row r="842" customHeight="1" spans="2:5">
      <c r="B842" s="22"/>
      <c r="C842" s="22"/>
      <c r="D842" s="22"/>
      <c r="E842" s="22"/>
    </row>
    <row r="843" customHeight="1" spans="2:5">
      <c r="B843" s="22"/>
      <c r="C843" s="22"/>
      <c r="D843" s="22"/>
      <c r="E843" s="22"/>
    </row>
    <row r="844" customHeight="1" spans="2:5">
      <c r="B844" s="22"/>
      <c r="C844" s="22"/>
      <c r="D844" s="22"/>
      <c r="E844" s="22"/>
    </row>
    <row r="845" customHeight="1" spans="2:5">
      <c r="B845" s="22"/>
      <c r="C845" s="22"/>
      <c r="D845" s="22"/>
      <c r="E845" s="22"/>
    </row>
    <row r="846" customHeight="1" spans="2:5">
      <c r="B846" s="22"/>
      <c r="C846" s="22"/>
      <c r="D846" s="22"/>
      <c r="E846" s="22"/>
    </row>
    <row r="847" customHeight="1" spans="2:5">
      <c r="B847" s="22"/>
      <c r="C847" s="22"/>
      <c r="D847" s="22"/>
      <c r="E847" s="22"/>
    </row>
    <row r="848" customHeight="1" spans="2:5">
      <c r="B848" s="22"/>
      <c r="C848" s="22"/>
      <c r="D848" s="22"/>
      <c r="E848" s="22"/>
    </row>
    <row r="849" customHeight="1" spans="2:5">
      <c r="B849" s="22"/>
      <c r="C849" s="22"/>
      <c r="D849" s="22"/>
      <c r="E849" s="22"/>
    </row>
    <row r="850" customHeight="1" spans="2:5">
      <c r="B850" s="22"/>
      <c r="C850" s="22"/>
      <c r="D850" s="22"/>
      <c r="E850" s="22"/>
    </row>
    <row r="851" customHeight="1" spans="2:5">
      <c r="B851" s="22"/>
      <c r="C851" s="22"/>
      <c r="D851" s="22"/>
      <c r="E851" s="22"/>
    </row>
    <row r="852" customHeight="1" spans="2:5">
      <c r="B852" s="22"/>
      <c r="C852" s="22"/>
      <c r="D852" s="22"/>
      <c r="E852" s="22"/>
    </row>
    <row r="853" customHeight="1" spans="2:5">
      <c r="B853" s="22"/>
      <c r="C853" s="22"/>
      <c r="D853" s="22"/>
      <c r="E853" s="22"/>
    </row>
    <row r="854" customHeight="1" spans="2:5">
      <c r="B854" s="22"/>
      <c r="C854" s="22"/>
      <c r="D854" s="22"/>
      <c r="E854" s="22"/>
    </row>
    <row r="855" customHeight="1" spans="2:5">
      <c r="B855" s="22"/>
      <c r="C855" s="22"/>
      <c r="D855" s="22"/>
      <c r="E855" s="22"/>
    </row>
    <row r="856" customHeight="1" spans="2:5">
      <c r="B856" s="22"/>
      <c r="C856" s="22"/>
      <c r="D856" s="22"/>
      <c r="E856" s="22"/>
    </row>
    <row r="857" customHeight="1" spans="2:5">
      <c r="B857" s="22"/>
      <c r="C857" s="22"/>
      <c r="D857" s="22"/>
      <c r="E857" s="22"/>
    </row>
    <row r="858" customHeight="1" spans="2:5">
      <c r="B858" s="22"/>
      <c r="C858" s="22"/>
      <c r="D858" s="22"/>
      <c r="E858" s="22"/>
    </row>
    <row r="859" customHeight="1" spans="2:5">
      <c r="B859" s="22"/>
      <c r="C859" s="22"/>
      <c r="D859" s="22"/>
      <c r="E859" s="22"/>
    </row>
    <row r="860" customHeight="1" spans="2:5">
      <c r="B860" s="22"/>
      <c r="C860" s="22"/>
      <c r="D860" s="22"/>
      <c r="E860" s="22"/>
    </row>
    <row r="861" customHeight="1" spans="2:5">
      <c r="B861" s="22"/>
      <c r="C861" s="22"/>
      <c r="D861" s="22"/>
      <c r="E861" s="22"/>
    </row>
    <row r="862" customHeight="1" spans="2:5">
      <c r="B862" s="22"/>
      <c r="C862" s="22"/>
      <c r="D862" s="22"/>
      <c r="E862" s="22"/>
    </row>
    <row r="863" customHeight="1" spans="2:5">
      <c r="B863" s="22"/>
      <c r="C863" s="22"/>
      <c r="D863" s="22"/>
      <c r="E863" s="22"/>
    </row>
    <row r="864" customHeight="1" spans="2:5">
      <c r="B864" s="22"/>
      <c r="C864" s="22"/>
      <c r="D864" s="22"/>
      <c r="E864" s="22"/>
    </row>
    <row r="865" customHeight="1" spans="2:5">
      <c r="B865" s="22"/>
      <c r="C865" s="22"/>
      <c r="D865" s="22"/>
      <c r="E865" s="22"/>
    </row>
    <row r="866" customHeight="1" spans="2:5">
      <c r="B866" s="22"/>
      <c r="C866" s="22"/>
      <c r="D866" s="22"/>
      <c r="E866" s="22"/>
    </row>
    <row r="867" customHeight="1" spans="2:5">
      <c r="B867" s="22"/>
      <c r="C867" s="22"/>
      <c r="D867" s="22"/>
      <c r="E867" s="22"/>
    </row>
    <row r="868" customHeight="1" spans="2:5">
      <c r="B868" s="22"/>
      <c r="C868" s="22"/>
      <c r="D868" s="22"/>
      <c r="E868" s="22"/>
    </row>
    <row r="869" customHeight="1" spans="2:5">
      <c r="B869" s="22"/>
      <c r="C869" s="22"/>
      <c r="D869" s="22"/>
      <c r="E869" s="22"/>
    </row>
    <row r="870" customHeight="1" spans="2:5">
      <c r="B870" s="22"/>
      <c r="C870" s="22"/>
      <c r="D870" s="22"/>
      <c r="E870" s="22"/>
    </row>
    <row r="871" customHeight="1" spans="2:5">
      <c r="B871" s="22"/>
      <c r="C871" s="22"/>
      <c r="D871" s="22"/>
      <c r="E871" s="22"/>
    </row>
    <row r="872" customHeight="1" spans="2:5">
      <c r="B872" s="22"/>
      <c r="C872" s="22"/>
      <c r="D872" s="22"/>
      <c r="E872" s="22"/>
    </row>
    <row r="873" customHeight="1" spans="2:5">
      <c r="B873" s="22"/>
      <c r="C873" s="22"/>
      <c r="D873" s="22"/>
      <c r="E873" s="22"/>
    </row>
    <row r="874" customHeight="1" spans="2:5">
      <c r="B874" s="22"/>
      <c r="C874" s="22"/>
      <c r="D874" s="22"/>
      <c r="E874" s="22"/>
    </row>
    <row r="875" customHeight="1" spans="2:5">
      <c r="B875" s="22"/>
      <c r="C875" s="22"/>
      <c r="D875" s="22"/>
      <c r="E875" s="22"/>
    </row>
    <row r="876" customHeight="1" spans="2:5">
      <c r="B876" s="22"/>
      <c r="C876" s="22"/>
      <c r="D876" s="22"/>
      <c r="E876" s="22"/>
    </row>
    <row r="877" customHeight="1" spans="2:5">
      <c r="B877" s="22"/>
      <c r="C877" s="22"/>
      <c r="D877" s="22"/>
      <c r="E877" s="22"/>
    </row>
    <row r="878" customHeight="1" spans="2:5">
      <c r="B878" s="22"/>
      <c r="C878" s="22"/>
      <c r="D878" s="22"/>
      <c r="E878" s="22"/>
    </row>
    <row r="879" customHeight="1" spans="2:5">
      <c r="B879" s="22"/>
      <c r="C879" s="22"/>
      <c r="D879" s="22"/>
      <c r="E879" s="22"/>
    </row>
    <row r="880" customHeight="1" spans="2:5">
      <c r="B880" s="22"/>
      <c r="C880" s="22"/>
      <c r="D880" s="22"/>
      <c r="E880" s="22"/>
    </row>
    <row r="881" customHeight="1" spans="2:5">
      <c r="B881" s="22"/>
      <c r="C881" s="22"/>
      <c r="D881" s="22"/>
      <c r="E881" s="22"/>
    </row>
    <row r="882" customHeight="1" spans="2:5">
      <c r="B882" s="22"/>
      <c r="C882" s="22"/>
      <c r="D882" s="22"/>
      <c r="E882" s="22"/>
    </row>
    <row r="883" customHeight="1" spans="2:5">
      <c r="B883" s="22"/>
      <c r="C883" s="22"/>
      <c r="D883" s="22"/>
      <c r="E883" s="22"/>
    </row>
    <row r="884" customHeight="1" spans="2:5">
      <c r="B884" s="22"/>
      <c r="C884" s="22"/>
      <c r="D884" s="22"/>
      <c r="E884" s="22"/>
    </row>
    <row r="885" customHeight="1" spans="2:5">
      <c r="B885" s="22"/>
      <c r="C885" s="22"/>
      <c r="D885" s="22"/>
      <c r="E885" s="22"/>
    </row>
    <row r="886" customHeight="1" spans="2:5">
      <c r="B886" s="22"/>
      <c r="C886" s="22"/>
      <c r="D886" s="22"/>
      <c r="E886" s="22"/>
    </row>
    <row r="887" customHeight="1" spans="2:5">
      <c r="B887" s="22"/>
      <c r="C887" s="22"/>
      <c r="D887" s="22"/>
      <c r="E887" s="22"/>
    </row>
    <row r="888" customHeight="1" spans="2:5">
      <c r="B888" s="22"/>
      <c r="C888" s="22"/>
      <c r="D888" s="22"/>
      <c r="E888" s="22"/>
    </row>
    <row r="889" customHeight="1" spans="2:5">
      <c r="B889" s="22"/>
      <c r="C889" s="22"/>
      <c r="D889" s="22"/>
      <c r="E889" s="22"/>
    </row>
    <row r="890" customHeight="1" spans="2:5">
      <c r="B890" s="22"/>
      <c r="C890" s="22"/>
      <c r="D890" s="22"/>
      <c r="E890" s="22"/>
    </row>
    <row r="891" customHeight="1" spans="2:5">
      <c r="B891" s="22"/>
      <c r="C891" s="22"/>
      <c r="D891" s="22"/>
      <c r="E891" s="22"/>
    </row>
    <row r="892" customHeight="1" spans="2:5">
      <c r="B892" s="22"/>
      <c r="C892" s="22"/>
      <c r="D892" s="22"/>
      <c r="E892" s="22"/>
    </row>
    <row r="893" customHeight="1" spans="2:5">
      <c r="B893" s="22"/>
      <c r="C893" s="22"/>
      <c r="D893" s="22"/>
      <c r="E893" s="22"/>
    </row>
    <row r="894" customHeight="1" spans="2:5">
      <c r="B894" s="22"/>
      <c r="C894" s="22"/>
      <c r="D894" s="22"/>
      <c r="E894" s="22"/>
    </row>
    <row r="895" customHeight="1" spans="2:5">
      <c r="B895" s="22"/>
      <c r="C895" s="22"/>
      <c r="D895" s="22"/>
      <c r="E895" s="22"/>
    </row>
    <row r="896" customHeight="1" spans="2:5">
      <c r="B896" s="22"/>
      <c r="C896" s="22"/>
      <c r="D896" s="22"/>
      <c r="E896" s="22"/>
    </row>
    <row r="897" customHeight="1" spans="2:5">
      <c r="B897" s="22"/>
      <c r="C897" s="22"/>
      <c r="D897" s="22"/>
      <c r="E897" s="22"/>
    </row>
    <row r="898" customHeight="1" spans="2:5">
      <c r="B898" s="22"/>
      <c r="C898" s="22"/>
      <c r="D898" s="22"/>
      <c r="E898" s="22"/>
    </row>
    <row r="899" customHeight="1" spans="2:5">
      <c r="B899" s="22"/>
      <c r="C899" s="22"/>
      <c r="D899" s="22"/>
      <c r="E899" s="22"/>
    </row>
    <row r="900" customHeight="1" spans="2:5">
      <c r="B900" s="22"/>
      <c r="C900" s="22"/>
      <c r="D900" s="22"/>
      <c r="E900" s="22"/>
    </row>
    <row r="901" customHeight="1" spans="2:5">
      <c r="B901" s="22"/>
      <c r="C901" s="22"/>
      <c r="D901" s="22"/>
      <c r="E901" s="22"/>
    </row>
    <row r="902" customHeight="1" spans="2:5">
      <c r="B902" s="22"/>
      <c r="C902" s="22"/>
      <c r="D902" s="22"/>
      <c r="E902" s="22"/>
    </row>
    <row r="903" customHeight="1" spans="2:5">
      <c r="B903" s="22"/>
      <c r="C903" s="22"/>
      <c r="D903" s="22"/>
      <c r="E903" s="22"/>
    </row>
    <row r="904" customHeight="1" spans="2:5">
      <c r="B904" s="22"/>
      <c r="C904" s="22"/>
      <c r="D904" s="22"/>
      <c r="E904" s="22"/>
    </row>
    <row r="905" customHeight="1" spans="2:5">
      <c r="B905" s="22"/>
      <c r="C905" s="22"/>
      <c r="D905" s="22"/>
      <c r="E905" s="22"/>
    </row>
    <row r="906" customHeight="1" spans="2:5">
      <c r="B906" s="22"/>
      <c r="C906" s="22"/>
      <c r="D906" s="22"/>
      <c r="E906" s="22"/>
    </row>
    <row r="907" customHeight="1" spans="2:5">
      <c r="B907" s="22"/>
      <c r="C907" s="22"/>
      <c r="D907" s="22"/>
      <c r="E907" s="22"/>
    </row>
    <row r="908" customHeight="1" spans="2:5">
      <c r="B908" s="22"/>
      <c r="C908" s="22"/>
      <c r="D908" s="22"/>
      <c r="E908" s="22"/>
    </row>
    <row r="909" customHeight="1" spans="2:5">
      <c r="B909" s="22"/>
      <c r="C909" s="22"/>
      <c r="D909" s="22"/>
      <c r="E909" s="22"/>
    </row>
    <row r="910" customHeight="1" spans="2:5">
      <c r="B910" s="22"/>
      <c r="C910" s="22"/>
      <c r="D910" s="22"/>
      <c r="E910" s="22"/>
    </row>
    <row r="911" customHeight="1" spans="2:5">
      <c r="B911" s="22"/>
      <c r="C911" s="22"/>
      <c r="D911" s="22"/>
      <c r="E911" s="22"/>
    </row>
    <row r="912" customHeight="1" spans="2:5">
      <c r="B912" s="22"/>
      <c r="C912" s="22"/>
      <c r="D912" s="22"/>
      <c r="E912" s="22"/>
    </row>
    <row r="913" customHeight="1" spans="2:5">
      <c r="B913" s="22"/>
      <c r="C913" s="22"/>
      <c r="D913" s="22"/>
      <c r="E913" s="22"/>
    </row>
    <row r="914" customHeight="1" spans="2:5">
      <c r="B914" s="22"/>
      <c r="C914" s="22"/>
      <c r="D914" s="22"/>
      <c r="E914" s="22"/>
    </row>
    <row r="915" customHeight="1" spans="2:5">
      <c r="B915" s="22"/>
      <c r="C915" s="22"/>
      <c r="D915" s="22"/>
      <c r="E915" s="22"/>
    </row>
    <row r="916" customHeight="1" spans="2:5">
      <c r="B916" s="22"/>
      <c r="C916" s="22"/>
      <c r="D916" s="22"/>
      <c r="E916" s="22"/>
    </row>
    <row r="917" customHeight="1" spans="2:5">
      <c r="B917" s="22"/>
      <c r="C917" s="22"/>
      <c r="D917" s="22"/>
      <c r="E917" s="22"/>
    </row>
    <row r="918" customHeight="1" spans="2:5">
      <c r="B918" s="22"/>
      <c r="C918" s="22"/>
      <c r="D918" s="22"/>
      <c r="E918" s="22"/>
    </row>
    <row r="919" customHeight="1" spans="2:5">
      <c r="B919" s="22"/>
      <c r="C919" s="22"/>
      <c r="D919" s="22"/>
      <c r="E919" s="22"/>
    </row>
    <row r="920" customHeight="1" spans="2:5">
      <c r="B920" s="22"/>
      <c r="C920" s="22"/>
      <c r="D920" s="22"/>
      <c r="E920" s="22"/>
    </row>
    <row r="921" customHeight="1" spans="2:5">
      <c r="B921" s="22"/>
      <c r="C921" s="22"/>
      <c r="D921" s="22"/>
      <c r="E921" s="22"/>
    </row>
    <row r="922" customHeight="1" spans="2:5">
      <c r="B922" s="22"/>
      <c r="C922" s="22"/>
      <c r="D922" s="22"/>
      <c r="E922" s="22"/>
    </row>
    <row r="923" customHeight="1" spans="2:5">
      <c r="B923" s="22"/>
      <c r="C923" s="22"/>
      <c r="D923" s="22"/>
      <c r="E923" s="22"/>
    </row>
    <row r="924" customHeight="1" spans="2:5">
      <c r="B924" s="22"/>
      <c r="C924" s="22"/>
      <c r="D924" s="22"/>
      <c r="E924" s="22"/>
    </row>
    <row r="925" customHeight="1" spans="2:5">
      <c r="B925" s="22"/>
      <c r="C925" s="22"/>
      <c r="D925" s="22"/>
      <c r="E925" s="22"/>
    </row>
    <row r="926" customHeight="1" spans="2:5">
      <c r="B926" s="22"/>
      <c r="C926" s="22"/>
      <c r="D926" s="22"/>
      <c r="E926" s="22"/>
    </row>
    <row r="927" customHeight="1" spans="2:5">
      <c r="B927" s="22"/>
      <c r="C927" s="22"/>
      <c r="D927" s="22"/>
      <c r="E927" s="22"/>
    </row>
    <row r="928" customHeight="1" spans="2:5">
      <c r="B928" s="22"/>
      <c r="C928" s="22"/>
      <c r="D928" s="22"/>
      <c r="E928" s="22"/>
    </row>
    <row r="929" customHeight="1" spans="2:5">
      <c r="B929" s="22"/>
      <c r="C929" s="22"/>
      <c r="D929" s="22"/>
      <c r="E929" s="22"/>
    </row>
    <row r="930" customHeight="1" spans="2:5">
      <c r="B930" s="22"/>
      <c r="C930" s="22"/>
      <c r="D930" s="22"/>
      <c r="E930" s="22"/>
    </row>
    <row r="931" customHeight="1" spans="2:5">
      <c r="B931" s="22"/>
      <c r="C931" s="22"/>
      <c r="D931" s="22"/>
      <c r="E931" s="22"/>
    </row>
    <row r="932" customHeight="1" spans="2:5">
      <c r="B932" s="22"/>
      <c r="C932" s="22"/>
      <c r="D932" s="22"/>
      <c r="E932" s="22"/>
    </row>
    <row r="933" customHeight="1" spans="2:5">
      <c r="B933" s="22"/>
      <c r="C933" s="22"/>
      <c r="D933" s="22"/>
      <c r="E933" s="22"/>
    </row>
    <row r="934" customHeight="1" spans="2:5">
      <c r="B934" s="22"/>
      <c r="C934" s="22"/>
      <c r="D934" s="22"/>
      <c r="E934" s="22"/>
    </row>
    <row r="935" customHeight="1" spans="2:5">
      <c r="B935" s="22"/>
      <c r="C935" s="22"/>
      <c r="D935" s="22"/>
      <c r="E935" s="22"/>
    </row>
    <row r="936" customHeight="1" spans="2:5">
      <c r="B936" s="22"/>
      <c r="C936" s="22"/>
      <c r="D936" s="22"/>
      <c r="E936" s="22"/>
    </row>
    <row r="937" customHeight="1" spans="2:5">
      <c r="B937" s="22"/>
      <c r="C937" s="22"/>
      <c r="D937" s="22"/>
      <c r="E937" s="22"/>
    </row>
    <row r="938" customHeight="1" spans="2:5">
      <c r="B938" s="22"/>
      <c r="C938" s="22"/>
      <c r="D938" s="22"/>
      <c r="E938" s="22"/>
    </row>
    <row r="939" customHeight="1" spans="2:5">
      <c r="B939" s="22"/>
      <c r="C939" s="22"/>
      <c r="D939" s="22"/>
      <c r="E939" s="22"/>
    </row>
    <row r="940" customHeight="1" spans="2:5">
      <c r="B940" s="22"/>
      <c r="C940" s="22"/>
      <c r="D940" s="22"/>
      <c r="E940" s="22"/>
    </row>
    <row r="941" customHeight="1" spans="2:5">
      <c r="B941" s="22"/>
      <c r="C941" s="22"/>
      <c r="D941" s="22"/>
      <c r="E941" s="22"/>
    </row>
    <row r="942" customHeight="1" spans="2:5">
      <c r="B942" s="22"/>
      <c r="C942" s="22"/>
      <c r="D942" s="22"/>
      <c r="E942" s="22"/>
    </row>
    <row r="943" customHeight="1" spans="2:5">
      <c r="B943" s="22"/>
      <c r="C943" s="22"/>
      <c r="D943" s="22"/>
      <c r="E943" s="22"/>
    </row>
    <row r="944" customHeight="1" spans="2:5">
      <c r="B944" s="22"/>
      <c r="C944" s="22"/>
      <c r="D944" s="22"/>
      <c r="E944" s="22"/>
    </row>
    <row r="945" customHeight="1" spans="2:5">
      <c r="B945" s="22"/>
      <c r="C945" s="22"/>
      <c r="D945" s="22"/>
      <c r="E945" s="22"/>
    </row>
    <row r="946" customHeight="1" spans="2:5">
      <c r="B946" s="22"/>
      <c r="C946" s="22"/>
      <c r="D946" s="22"/>
      <c r="E946" s="22"/>
    </row>
    <row r="947" customHeight="1" spans="2:5">
      <c r="B947" s="22"/>
      <c r="C947" s="22"/>
      <c r="D947" s="22"/>
      <c r="E947" s="22"/>
    </row>
    <row r="948" customHeight="1" spans="2:5">
      <c r="B948" s="22"/>
      <c r="C948" s="22"/>
      <c r="D948" s="22"/>
      <c r="E948" s="22"/>
    </row>
    <row r="949" customHeight="1" spans="2:5">
      <c r="B949" s="22"/>
      <c r="C949" s="22"/>
      <c r="D949" s="22"/>
      <c r="E949" s="22"/>
    </row>
    <row r="950" customHeight="1" spans="2:5">
      <c r="B950" s="22"/>
      <c r="C950" s="22"/>
      <c r="D950" s="22"/>
      <c r="E950" s="22"/>
    </row>
    <row r="951" customHeight="1" spans="2:5">
      <c r="B951" s="22"/>
      <c r="C951" s="22"/>
      <c r="D951" s="22"/>
      <c r="E951" s="22"/>
    </row>
    <row r="952" customHeight="1" spans="2:5">
      <c r="B952" s="22"/>
      <c r="C952" s="22"/>
      <c r="D952" s="22"/>
      <c r="E952" s="22"/>
    </row>
    <row r="953" customHeight="1" spans="2:5">
      <c r="B953" s="22"/>
      <c r="C953" s="22"/>
      <c r="D953" s="22"/>
      <c r="E953" s="22"/>
    </row>
    <row r="954" customHeight="1" spans="2:5">
      <c r="B954" s="22"/>
      <c r="C954" s="22"/>
      <c r="D954" s="22"/>
      <c r="E954" s="22"/>
    </row>
    <row r="955" customHeight="1" spans="2:5">
      <c r="B955" s="22"/>
      <c r="C955" s="22"/>
      <c r="D955" s="22"/>
      <c r="E955" s="22"/>
    </row>
    <row r="956" customHeight="1" spans="2:5">
      <c r="B956" s="22"/>
      <c r="C956" s="22"/>
      <c r="D956" s="22"/>
      <c r="E956" s="22"/>
    </row>
    <row r="957" customHeight="1" spans="2:5">
      <c r="B957" s="22"/>
      <c r="C957" s="22"/>
      <c r="D957" s="22"/>
      <c r="E957" s="22"/>
    </row>
    <row r="958" customHeight="1" spans="2:5">
      <c r="B958" s="22"/>
      <c r="C958" s="22"/>
      <c r="D958" s="22"/>
      <c r="E958" s="22"/>
    </row>
    <row r="959" customHeight="1" spans="2:5">
      <c r="B959" s="22"/>
      <c r="C959" s="22"/>
      <c r="D959" s="22"/>
      <c r="E959" s="22"/>
    </row>
    <row r="960" customHeight="1" spans="2:5">
      <c r="B960" s="22"/>
      <c r="C960" s="22"/>
      <c r="D960" s="22"/>
      <c r="E960" s="22"/>
    </row>
    <row r="961" customHeight="1" spans="2:5">
      <c r="B961" s="22"/>
      <c r="C961" s="22"/>
      <c r="D961" s="22"/>
      <c r="E961" s="22"/>
    </row>
    <row r="962" customHeight="1" spans="2:5">
      <c r="B962" s="22"/>
      <c r="C962" s="22"/>
      <c r="D962" s="22"/>
      <c r="E962" s="22"/>
    </row>
    <row r="963" customHeight="1" spans="2:5">
      <c r="B963" s="22"/>
      <c r="C963" s="22"/>
      <c r="D963" s="22"/>
      <c r="E963" s="22"/>
    </row>
    <row r="964" customHeight="1" spans="2:5">
      <c r="B964" s="22"/>
      <c r="C964" s="22"/>
      <c r="D964" s="22"/>
      <c r="E964" s="22"/>
    </row>
    <row r="965" customHeight="1" spans="2:5">
      <c r="B965" s="22"/>
      <c r="C965" s="22"/>
      <c r="D965" s="22"/>
      <c r="E965" s="22"/>
    </row>
    <row r="966" customHeight="1" spans="2:5">
      <c r="B966" s="22"/>
      <c r="C966" s="22"/>
      <c r="D966" s="22"/>
      <c r="E966" s="22"/>
    </row>
    <row r="967" customHeight="1" spans="2:5">
      <c r="B967" s="22"/>
      <c r="C967" s="22"/>
      <c r="D967" s="22"/>
      <c r="E967" s="22"/>
    </row>
    <row r="968" customHeight="1" spans="2:5">
      <c r="B968" s="22"/>
      <c r="C968" s="22"/>
      <c r="D968" s="22"/>
      <c r="E968" s="22"/>
    </row>
    <row r="969" customHeight="1" spans="2:5">
      <c r="B969" s="22"/>
      <c r="C969" s="22"/>
      <c r="D969" s="22"/>
      <c r="E969" s="22"/>
    </row>
    <row r="970" customHeight="1" spans="2:5">
      <c r="B970" s="22"/>
      <c r="C970" s="22"/>
      <c r="D970" s="22"/>
      <c r="E970" s="22"/>
    </row>
    <row r="971" customHeight="1" spans="2:5">
      <c r="B971" s="22"/>
      <c r="C971" s="22"/>
      <c r="D971" s="22"/>
      <c r="E971" s="22"/>
    </row>
    <row r="972" customHeight="1" spans="2:5">
      <c r="B972" s="22"/>
      <c r="C972" s="22"/>
      <c r="D972" s="22"/>
      <c r="E972" s="22"/>
    </row>
    <row r="973" customHeight="1" spans="2:5">
      <c r="B973" s="22"/>
      <c r="C973" s="22"/>
      <c r="D973" s="22"/>
      <c r="E973" s="22"/>
    </row>
    <row r="974" customHeight="1" spans="2:5">
      <c r="B974" s="22"/>
      <c r="C974" s="22"/>
      <c r="D974" s="22"/>
      <c r="E974" s="22"/>
    </row>
    <row r="975" customHeight="1" spans="2:5">
      <c r="B975" s="22"/>
      <c r="C975" s="22"/>
      <c r="D975" s="22"/>
      <c r="E975" s="22"/>
    </row>
    <row r="976" customHeight="1" spans="2:5">
      <c r="B976" s="22"/>
      <c r="C976" s="22"/>
      <c r="D976" s="22"/>
      <c r="E976" s="22"/>
    </row>
    <row r="977" customHeight="1" spans="2:5">
      <c r="B977" s="22"/>
      <c r="C977" s="22"/>
      <c r="D977" s="22"/>
      <c r="E977" s="22"/>
    </row>
    <row r="978" customHeight="1" spans="2:5">
      <c r="B978" s="22"/>
      <c r="C978" s="22"/>
      <c r="D978" s="22"/>
      <c r="E978" s="22"/>
    </row>
    <row r="979" customHeight="1" spans="2:5">
      <c r="B979" s="22"/>
      <c r="C979" s="22"/>
      <c r="D979" s="22"/>
      <c r="E979" s="22"/>
    </row>
    <row r="980" customHeight="1" spans="2:5">
      <c r="B980" s="22"/>
      <c r="C980" s="22"/>
      <c r="D980" s="22"/>
      <c r="E980" s="22"/>
    </row>
    <row r="981" customHeight="1" spans="2:5">
      <c r="B981" s="22"/>
      <c r="C981" s="22"/>
      <c r="D981" s="22"/>
      <c r="E981" s="22"/>
    </row>
    <row r="982" customHeight="1" spans="2:5">
      <c r="B982" s="22"/>
      <c r="C982" s="22"/>
      <c r="D982" s="22"/>
      <c r="E982" s="22"/>
    </row>
    <row r="983" customHeight="1" spans="2:5">
      <c r="B983" s="22"/>
      <c r="C983" s="22"/>
      <c r="D983" s="22"/>
      <c r="E983" s="22"/>
    </row>
    <row r="984" customHeight="1" spans="2:5">
      <c r="B984" s="22"/>
      <c r="C984" s="22"/>
      <c r="D984" s="22"/>
      <c r="E984" s="22"/>
    </row>
    <row r="985" customHeight="1" spans="2:5">
      <c r="B985" s="22"/>
      <c r="C985" s="22"/>
      <c r="D985" s="22"/>
      <c r="E985" s="22"/>
    </row>
    <row r="986" customHeight="1" spans="2:5">
      <c r="B986" s="22"/>
      <c r="C986" s="22"/>
      <c r="D986" s="22"/>
      <c r="E986" s="22"/>
    </row>
    <row r="987" customHeight="1" spans="2:5">
      <c r="B987" s="22"/>
      <c r="C987" s="22"/>
      <c r="D987" s="22"/>
      <c r="E987" s="22"/>
    </row>
    <row r="988" customHeight="1" spans="2:5">
      <c r="B988" s="22"/>
      <c r="C988" s="22"/>
      <c r="D988" s="22"/>
      <c r="E988" s="22"/>
    </row>
    <row r="989" customHeight="1" spans="2:5">
      <c r="B989" s="22"/>
      <c r="C989" s="22"/>
      <c r="D989" s="22"/>
      <c r="E989" s="22"/>
    </row>
    <row r="990" customHeight="1" spans="2:5">
      <c r="B990" s="22"/>
      <c r="C990" s="22"/>
      <c r="D990" s="22"/>
      <c r="E990" s="22"/>
    </row>
    <row r="991" customHeight="1" spans="2:5">
      <c r="B991" s="22"/>
      <c r="C991" s="22"/>
      <c r="D991" s="22"/>
      <c r="E991" s="22"/>
    </row>
    <row r="992" customHeight="1" spans="2:5">
      <c r="B992" s="22"/>
      <c r="C992" s="22"/>
      <c r="D992" s="22"/>
      <c r="E992" s="22"/>
    </row>
    <row r="993" customHeight="1" spans="2:5">
      <c r="B993" s="22"/>
      <c r="C993" s="22"/>
      <c r="D993" s="22"/>
      <c r="E993" s="22"/>
    </row>
    <row r="994" customHeight="1" spans="2:5">
      <c r="B994" s="22"/>
      <c r="C994" s="22"/>
      <c r="D994" s="22"/>
      <c r="E994" s="22"/>
    </row>
    <row r="995" customHeight="1" spans="2:5">
      <c r="B995" s="22"/>
      <c r="C995" s="22"/>
      <c r="D995" s="22"/>
      <c r="E995" s="22"/>
    </row>
    <row r="996" customHeight="1" spans="2:5">
      <c r="B996" s="22"/>
      <c r="C996" s="22"/>
      <c r="D996" s="22"/>
      <c r="E996" s="22"/>
    </row>
    <row r="997" customHeight="1" spans="2:5">
      <c r="B997" s="22"/>
      <c r="C997" s="22"/>
      <c r="D997" s="22"/>
      <c r="E997" s="22"/>
    </row>
    <row r="998" customHeight="1" spans="2:5">
      <c r="B998" s="22"/>
      <c r="C998" s="22"/>
      <c r="D998" s="22"/>
      <c r="E998" s="22"/>
    </row>
    <row r="999" customHeight="1" spans="2:5">
      <c r="B999" s="22"/>
      <c r="C999" s="22"/>
      <c r="D999" s="22"/>
      <c r="E999" s="22"/>
    </row>
    <row r="1000" customHeight="1" spans="2:5">
      <c r="B1000" s="22"/>
      <c r="C1000" s="22"/>
      <c r="D1000" s="22"/>
      <c r="E1000" s="22"/>
    </row>
    <row r="1001" customHeight="1" spans="2:5">
      <c r="B1001" s="22"/>
      <c r="C1001" s="22"/>
      <c r="D1001" s="22"/>
      <c r="E1001" s="22"/>
    </row>
    <row r="1002" customHeight="1" spans="2:5">
      <c r="B1002" s="22"/>
      <c r="C1002" s="22"/>
      <c r="D1002" s="22"/>
      <c r="E1002" s="22"/>
    </row>
    <row r="1003" customHeight="1" spans="2:5">
      <c r="B1003" s="22"/>
      <c r="C1003" s="22"/>
      <c r="D1003" s="22"/>
      <c r="E1003" s="22"/>
    </row>
    <row r="1004" customHeight="1" spans="2:5">
      <c r="B1004" s="22"/>
      <c r="C1004" s="22"/>
      <c r="D1004" s="22"/>
      <c r="E1004" s="22"/>
    </row>
    <row r="1005" customHeight="1" spans="2:5">
      <c r="B1005" s="22"/>
      <c r="C1005" s="22"/>
      <c r="D1005" s="22"/>
      <c r="E1005" s="22"/>
    </row>
    <row r="1006" customHeight="1" spans="2:5">
      <c r="B1006" s="22"/>
      <c r="C1006" s="22"/>
      <c r="D1006" s="22"/>
      <c r="E1006" s="22"/>
    </row>
    <row r="1007" customHeight="1" spans="2:5">
      <c r="B1007" s="22"/>
      <c r="C1007" s="22"/>
      <c r="D1007" s="22"/>
      <c r="E1007" s="22"/>
    </row>
    <row r="1008" customHeight="1" spans="2:5">
      <c r="B1008" s="22"/>
      <c r="C1008" s="22"/>
      <c r="D1008" s="22"/>
      <c r="E1008" s="22"/>
    </row>
    <row r="1009" customHeight="1" spans="2:5">
      <c r="B1009" s="22"/>
      <c r="C1009" s="22"/>
      <c r="D1009" s="22"/>
      <c r="E1009" s="22"/>
    </row>
    <row r="1010" customHeight="1" spans="2:5">
      <c r="B1010" s="22"/>
      <c r="C1010" s="22"/>
      <c r="D1010" s="22"/>
      <c r="E1010" s="22"/>
    </row>
    <row r="1011" customHeight="1" spans="2:5">
      <c r="B1011" s="22"/>
      <c r="C1011" s="22"/>
      <c r="D1011" s="22"/>
      <c r="E1011" s="22"/>
    </row>
    <row r="1012" customHeight="1" spans="2:5">
      <c r="B1012" s="22"/>
      <c r="C1012" s="22"/>
      <c r="D1012" s="22"/>
      <c r="E1012" s="22"/>
    </row>
    <row r="1013" customHeight="1" spans="2:5">
      <c r="B1013" s="22"/>
      <c r="C1013" s="22"/>
      <c r="D1013" s="22"/>
      <c r="E1013" s="22"/>
    </row>
    <row r="1014" customHeight="1" spans="2:5">
      <c r="B1014" s="22"/>
      <c r="C1014" s="22"/>
      <c r="D1014" s="22"/>
      <c r="E1014" s="22"/>
    </row>
    <row r="1015" customHeight="1" spans="2:5">
      <c r="B1015" s="22"/>
      <c r="C1015" s="22"/>
      <c r="D1015" s="22"/>
      <c r="E1015" s="22"/>
    </row>
    <row r="1016" customHeight="1" spans="2:5">
      <c r="B1016" s="22"/>
      <c r="C1016" s="22"/>
      <c r="D1016" s="22"/>
      <c r="E1016" s="22"/>
    </row>
  </sheetData>
  <hyperlinks>
    <hyperlink ref="E2" r:id="rId3" display="https://arxiv.org/ftp/arxiv/papers/2005/2005.04305.pdf"/>
    <hyperlink ref="E3" r:id="rId4" display="https://arxiv.org/pdf/1712.00409.pdf"/>
    <hyperlink ref="E4" r:id="rId5" location="miri" display="https://www.gwern.net/docs/ai/2013-grace.pdf#miri"/>
    <hyperlink ref="E5" r:id="rId6" display="https://www.alignmentforum.org/posts/k2SNji3jXaLGhBeYP/extrapolating-gpt-n-performance"/>
    <hyperlink ref="E7" r:id="rId7" display="https://www.gwern.net/notes/Scaling"/>
    <hyperlink ref="E8" r:id="rId8" display="https://openai.com/blog/ai-and-compute/"/>
    <hyperlink ref="E9" r:id="rId9" location="gid=0" display="https://docs.google.com/spreadsheets/d/1gc6yse74XCwBx028HV_cvdxwXkmXejVjkO-Mz2uwE0k/edit#gid=0"/>
    <hyperlink ref="E10" r:id="rId10" display="https://lair.lighton.ai/akronomicon/"/>
    <hyperlink ref="E11" r:id="rId11" display="https://www.aitracker.org/"/>
    <hyperlink ref="E12" r:id="rId12" display="https://www.alignmentforum.org/posts/wfpdejMWog4vEDLDg/ai-and-compute-trend-isn-t-predictive-of-what-is-happening"/>
    <hyperlink ref="E13" r:id="rId13" display="https://arxiv.org/abs/2109.05472"/>
    <hyperlink ref="E14" r:id="rId14" display="https://computerprogress.com/"/>
    <hyperlink ref="E15" r:id="rId15" display="https://nlpprogress.com/english/language_modeling.html"/>
    <hyperlink ref="E16" r:id="rId16" display="https://openai.com/blog/image-gpt/"/>
    <hyperlink ref="E17" r:id="rId17" display="https://github.com/albanie/convnet-burden"/>
    <hyperlink ref="E18" r:id="rId18" display="https://openai.com/blog/ai-and-efficiency/"/>
    <hyperlink ref="E19" r:id="rId19" display="https://arxiv.org/pdf/2007.05558.pdf"/>
    <hyperlink ref="E20" r:id="rId20" display="https://twitter.com/draecomino/status/1362051082273386500?s=20"/>
    <hyperlink ref="E21" r:id="rId21" display="https://arxiv.org/pdf/1910.01108.pdf"/>
    <hyperlink ref="E22" r:id="rId22" display="https://arxiv.org/abs/1611.01578"/>
    <hyperlink ref="E23" r:id="rId23" display="http://faculty.washington.edu/ebender/papers/Stochastic_Parrots.pdf"/>
    <hyperlink ref="E24" r:id="rId24" display="https://paperswithcode.com/paper/simplifying-neural-machine-translation-with/review/"/>
    <hyperlink ref="E25" r:id="rId25" display="https://arxiv.org/pdf/1911.09070.pdf"/>
    <hyperlink ref="E26" r:id="rId26" display="https://towardsdatascience.com/illustrated-10-cnn-architectures-95d78ace614d"/>
    <hyperlink ref="E27" r:id="rId27" display="https://paperswithcode.com/paper/self-training-with-noisy-student-improves/review/"/>
    <hyperlink ref="E28" r:id="rId28" display="https://arxiv.org/pdf/2104.05158.pdf"/>
    <hyperlink ref="E29" r:id="rId29" display="https://openreview.net/pdf?id=Bygq-H9eg"/>
    <hyperlink ref="E30" r:id="rId30" display="https://github.com/kingoflolz/mesh-transformer-jax/"/>
    <hyperlink ref="E31" r:id="rId31" display="https://arxiv.org/pdf/2103.00020.pdf"/>
    <hyperlink ref="E32" r:id="rId32" display="https://spectrum.ieee.org/deep-learning-computational-cost"/>
    <hyperlink ref="E34" r:id="rId33" display="https://github.com/terryum/awesome-deep-learning-papers"/>
    <hyperlink ref="E35" r:id="rId34" display="https://scholar.google.com/citations?view_op=top_venues&amp;hl=en&amp;vq=en"/>
    <hyperlink ref="E36" r:id="rId35" display="http://yann.lecun.com/exdb/mnist/"/>
    <hyperlink ref="E37" r:id="rId36" display="https://people.idsia.ch/~juergen/deep-learning-conspiracy.html"/>
    <hyperlink ref="E38" r:id="rId37" display="https://www.sciencedirect.com/science/article/pii/S0893608014002135"/>
    <hyperlink ref="E39" r:id="rId38" display="https://scholar.google.com/citations?view_op=top_venues&amp;hl=en&amp;vq=eng_artificialintelligence"/>
    <hyperlink ref="E40" r:id="rId39" display="https://scholar.google.com/citations?view_op=top_venues&amp;hl=en&amp;vq=eng_computervisionpatternrecognition"/>
    <hyperlink ref="E41" r:id="rId40" display="https://en.wikipedia.org/wiki/Timeline_of_machine_learning"/>
    <hyperlink ref="E42" r:id="rId41" display="https://en.wikipedia.org/wiki/Timeline_of_artificial_intelligence"/>
    <hyperlink ref="E43" r:id="rId42" display="https://sebastianraschka.com/pdf/lecture-notes/stat479ss19/L02_dl-history_slides.pdf"/>
    <hyperlink ref="E44" r:id="rId43" display="https://www.davidsilver.uk/wp-content/uploads/2020/03/games.pdf"/>
    <hyperlink ref="E45" r:id="rId44" display="https://www.quora.com/Which-are-the-most-famous-and-the-most-cited-machine-learning-papers-in-the-last-five-decades-Which-of-these-papers-lay-down-the-fundamentals-of-machine-learning-itself"/>
    <hyperlink ref="E46" r:id="rId45" display="https://www.microsoft.com/en-us/research/publication/achieving-human-parity-on-automatic-chinese-to-english-news-translation/"/>
    <hyperlink ref="E47" r:id="rId46" display="https://people.idsia.ch//~juergen/who-invented-backpropagation.html"/>
    <hyperlink ref="E48" r:id="rId47" display="https://80000hours.org/podcast/episodes/brian-christian-the-alignment-problem/"/>
    <hyperlink ref="E49" r:id="rId48" display="https://towardsdatascience.com/history-of-ai-research-90a6cc8adc9c"/>
    <hyperlink ref="E50" r:id="rId49" display="https://www.semanticscholar.org/paper/Artificial-Intelligence-Nilsson/b886f2c097b635ee9550ca29fff7dcbbb7727ff7"/>
    <hyperlink ref="E51" r:id="rId50" display="https://www.eff.org/ai/metrics"/>
    <hyperlink ref="E52" r:id="rId51" display="https://en.wikipedia.org/wiki/DARPA_Grand_Challenge"/>
    <hyperlink ref="E53" r:id="rId52" display="http://incompleteideas.net/book/first/ebook/node12.html"/>
    <hyperlink ref="E54" r:id="rId53" location=":~:text=Each%20year%2C%20the%20ACL%20Test,papers%20from%2010%20years%20earlier.&amp;text=The%20winners%20were%20announced%20at%20ACL%202020." display="https://www.aclweb.org/portal/content/announcement-2020-acl-test-time-awards-tot#:~:text=Each%20year%2C%20the%20ACL%20Test,papers%20from%2010%20years%20earlier.&amp;text=The%20winners%20were%20announced%20at%20ACL%202020."/>
    <hyperlink ref="E55" r:id="rId54" display="https://aclweb.org/aclwiki/Best_paper_awards"/>
    <hyperlink ref="E56" r:id="rId55" display="https://www.aclweb.org/anthology/2020.acl-main.464.pdf"/>
    <hyperlink ref="E57" r:id="rId56" display="https://huggingface.co/course/chapter1/4?fw=pt"/>
    <hyperlink ref="E58" r:id="rId57" display="https://www.thecvf.com/?page_id=413"/>
    <hyperlink ref="E59" r:id="rId58" display="https://www.bnlearn.com/bnrepository/"/>
    <hyperlink ref="E60" r:id="rId59" display="https://arxiv.org/pdf/1708.02709.pdf"/>
    <hyperlink ref="E61" r:id="rId60" display="http://www.cis.jhu.edu/~rvidal/talks/Keynotes/AI-Frontiers-APL19.pdf"/>
    <hyperlink ref="E62" r:id="rId61" display="https://ieeexplore.ieee.org/xpl/conhome/6118259/proceeding"/>
    <hyperlink ref="E63" r:id="rId62" display="https://mobile.twitter.com/tamaybes/status/1330506035811987458"/>
    <hyperlink ref="E64" r:id="rId63" display="https://www.researchgate.net/publication/264023918_A_Literature_Review_and_Classification_of_Recommender_Systems_on_Academic_Journals"/>
    <hyperlink ref="E65" r:id="rId64" display="https://link.springer.com/article/10.1023/A:1009804230409"/>
    <hyperlink ref="E66" r:id="rId65" display="http://files.grouplens.org/papers/ec00.pdf"/>
    <hyperlink ref="E67" r:id="rId66" display="https://www.netflixprize.com/leaderboard.html"/>
    <hyperlink ref="A68" r:id="rId67" display="Two Decades of Recommender Systems at Amazon.com"/>
    <hyperlink ref="E68" r:id="rId68" display="https://assets.amazon.science/76/9e/7eac89c14a838746e91dde0a5e9f/two-decades-of-recommender-systems-at-amazon.pdf"/>
    <hyperlink ref="E69" r:id="rId69" display="https://github.com/microsoft/recommenders"/>
    <hyperlink ref="E70" r:id="rId70" display="http://www.vc-challenge.org/"/>
    <hyperlink ref="E71" r:id="rId71" display="https://github.com/jeffalstott/technologytimeseries_forecasting"/>
    <hyperlink ref="E72" r:id="rId72" display="https://www.openphilanthropy.org/brain-computation-report"/>
    <hyperlink ref="E73" r:id="rId73" display="https://www.sciencedirect.com/science/article/pii/S0896627321005018"/>
    <hyperlink ref="E74" r:id="rId74" display="https://github.com/tensorflow/tensorflow/blob/master/tensorflow/core/profiler/g3doc/profile_model_architecture.md"/>
    <hyperlink ref="E75" r:id="rId75" display="https://www.nature.com/articles/s42256-021-00339-6"/>
    <hyperlink ref="E76" r:id="rId76" display="https://ai100.stanford.edu/sites/g/files/sbiybj18871/files/media/file/AI100Report_MT_10.pdf"/>
    <hyperlink ref="E77" r:id="rId77" display="https://docs.google.com/document/d/1WP71tXiLb4oX2Bs5xZ5-rzeobhA7SYQdKtbRwd5FoRI/edit"/>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
  <sheetViews>
    <sheetView workbookViewId="0">
      <selection activeCell="A1" sqref="A1"/>
    </sheetView>
  </sheetViews>
  <sheetFormatPr defaultColWidth="12.6285714285714" defaultRowHeight="15.75" customHeight="1" outlineLevelRow="4"/>
  <cols>
    <col min="1" max="1" width="116.752380952381" customWidth="1"/>
  </cols>
  <sheetData>
    <row r="1" customHeight="1" spans="1:1">
      <c r="A1" s="315" t="s">
        <v>2696</v>
      </c>
    </row>
    <row r="2" customHeight="1" spans="1:1">
      <c r="A2" s="22" t="s">
        <v>2697</v>
      </c>
    </row>
    <row r="4" customHeight="1" spans="1:1">
      <c r="A4" s="22" t="s">
        <v>2698</v>
      </c>
    </row>
    <row r="5" customHeight="1" spans="1:1">
      <c r="A5" s="268" t="s">
        <v>2699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327"/>
  <sheetViews>
    <sheetView workbookViewId="0">
      <pane xSplit="1" ySplit="1" topLeftCell="B2" activePane="bottomRight" state="frozen"/>
      <selection/>
      <selection pane="topRight"/>
      <selection pane="bottomLeft"/>
      <selection pane="bottomRight" activeCell="B2" sqref="B2"/>
    </sheetView>
  </sheetViews>
  <sheetFormatPr defaultColWidth="12.6285714285714" defaultRowHeight="15.75" customHeight="1"/>
  <sheetData>
    <row r="1" customHeight="1" spans="1:11">
      <c r="A1" s="150" t="s">
        <v>0</v>
      </c>
      <c r="B1" s="150" t="s">
        <v>1</v>
      </c>
      <c r="C1" s="150" t="s">
        <v>2</v>
      </c>
      <c r="D1" s="150" t="s">
        <v>3</v>
      </c>
      <c r="E1" s="150" t="s">
        <v>5</v>
      </c>
      <c r="F1" s="150" t="s">
        <v>6</v>
      </c>
      <c r="G1" s="151" t="s">
        <v>7</v>
      </c>
      <c r="H1" s="150" t="s">
        <v>8</v>
      </c>
      <c r="I1" s="150" t="s">
        <v>9</v>
      </c>
      <c r="J1" s="150" t="s">
        <v>10</v>
      </c>
      <c r="K1" s="162" t="s">
        <v>2700</v>
      </c>
    </row>
    <row r="2" customHeight="1" spans="1:11">
      <c r="A2" s="114" t="s">
        <v>2701</v>
      </c>
      <c r="B2" s="114"/>
      <c r="C2" s="114"/>
      <c r="D2" s="114"/>
      <c r="E2" s="114"/>
      <c r="F2" s="114"/>
      <c r="G2" s="152"/>
      <c r="H2" s="114"/>
      <c r="I2" s="123" t="s">
        <v>2702</v>
      </c>
      <c r="J2" s="33"/>
      <c r="K2" s="178"/>
    </row>
    <row r="3" customHeight="1" spans="1:11">
      <c r="A3" s="114"/>
      <c r="B3" s="114"/>
      <c r="C3" s="114"/>
      <c r="D3" s="114"/>
      <c r="E3" s="114"/>
      <c r="F3" s="114"/>
      <c r="G3" s="152"/>
      <c r="H3" s="114" t="s">
        <v>2703</v>
      </c>
      <c r="I3" s="123" t="s">
        <v>2704</v>
      </c>
      <c r="J3" s="33"/>
      <c r="K3" s="178"/>
    </row>
    <row r="4" customHeight="1" spans="1:11">
      <c r="A4" s="114"/>
      <c r="B4" s="114"/>
      <c r="C4" s="114"/>
      <c r="D4" s="114" t="s">
        <v>2705</v>
      </c>
      <c r="E4" s="114" t="s">
        <v>2706</v>
      </c>
      <c r="F4" s="114" t="s">
        <v>2707</v>
      </c>
      <c r="G4" s="152" t="e">
        <f t="shared" ref="G4:G6" si="0">IF(INT(RIGHT(F4,4))&lt;1,"",INT(RIGHT(F4,4)))</f>
        <v>#VALUE!</v>
      </c>
      <c r="H4" s="114" t="s">
        <v>2708</v>
      </c>
      <c r="I4" s="123" t="s">
        <v>2709</v>
      </c>
      <c r="J4" s="33">
        <v>157</v>
      </c>
      <c r="K4" s="178"/>
    </row>
    <row r="5" customHeight="1" spans="1:11">
      <c r="A5" s="114" t="s">
        <v>2710</v>
      </c>
      <c r="B5" s="114" t="s">
        <v>434</v>
      </c>
      <c r="C5" s="114"/>
      <c r="D5" s="114"/>
      <c r="E5" s="114"/>
      <c r="F5" s="114" t="s">
        <v>2711</v>
      </c>
      <c r="G5" s="152" t="e">
        <f t="shared" si="0"/>
        <v>#VALUE!</v>
      </c>
      <c r="H5" s="114"/>
      <c r="I5" s="114"/>
      <c r="J5" s="236"/>
      <c r="K5" s="178"/>
    </row>
    <row r="6" customHeight="1" spans="1:11">
      <c r="A6" s="114" t="s">
        <v>2712</v>
      </c>
      <c r="B6" s="114" t="s">
        <v>1910</v>
      </c>
      <c r="C6" s="114"/>
      <c r="D6" s="114" t="s">
        <v>2713</v>
      </c>
      <c r="E6" s="114"/>
      <c r="F6" s="153" t="s">
        <v>2714</v>
      </c>
      <c r="G6" s="152" t="e">
        <f t="shared" si="0"/>
        <v>#VALUE!</v>
      </c>
      <c r="H6" s="114"/>
      <c r="I6" s="114"/>
      <c r="J6" s="236"/>
      <c r="K6" s="178"/>
    </row>
    <row r="7" customHeight="1" spans="1:11">
      <c r="A7" s="114"/>
      <c r="B7" s="114"/>
      <c r="C7" s="114"/>
      <c r="D7" s="114"/>
      <c r="E7" s="114"/>
      <c r="F7" s="153"/>
      <c r="G7" s="152"/>
      <c r="H7" s="114"/>
      <c r="I7" s="114"/>
      <c r="J7" s="33"/>
      <c r="K7" s="164"/>
    </row>
    <row r="8" customHeight="1" spans="1:11">
      <c r="A8" s="114" t="s">
        <v>2715</v>
      </c>
      <c r="B8" s="114" t="s">
        <v>51</v>
      </c>
      <c r="C8" s="114"/>
      <c r="D8" s="114" t="s">
        <v>1392</v>
      </c>
      <c r="E8" s="227" t="s">
        <v>2716</v>
      </c>
      <c r="F8" s="114" t="s">
        <v>2717</v>
      </c>
      <c r="G8" s="152">
        <f t="shared" ref="G8:G16" si="1">IF(INT(RIGHT(F8,4))&lt;1,"",INT(RIGHT(F8,4)))</f>
        <v>2021</v>
      </c>
      <c r="H8" s="227" t="s">
        <v>2718</v>
      </c>
      <c r="I8" s="123" t="s">
        <v>2719</v>
      </c>
      <c r="J8" s="33"/>
      <c r="K8" s="164"/>
    </row>
    <row r="9" customHeight="1" spans="1:11">
      <c r="A9" s="114" t="s">
        <v>2720</v>
      </c>
      <c r="B9" s="114"/>
      <c r="C9" s="114"/>
      <c r="D9" s="114"/>
      <c r="E9" s="114"/>
      <c r="F9" s="153"/>
      <c r="G9" s="152" t="e">
        <f t="shared" si="1"/>
        <v>#VALUE!</v>
      </c>
      <c r="H9" s="114"/>
      <c r="I9" s="114"/>
      <c r="J9" s="33"/>
      <c r="K9" s="164"/>
    </row>
    <row r="10" customHeight="1" spans="1:11">
      <c r="A10" s="114" t="s">
        <v>2721</v>
      </c>
      <c r="B10" s="114"/>
      <c r="C10" s="114"/>
      <c r="D10" s="114"/>
      <c r="E10" s="114"/>
      <c r="F10" s="153"/>
      <c r="G10" s="152" t="e">
        <f t="shared" si="1"/>
        <v>#VALUE!</v>
      </c>
      <c r="H10" s="114"/>
      <c r="I10" s="114"/>
      <c r="J10" s="33"/>
      <c r="K10" s="164"/>
    </row>
    <row r="11" customHeight="1" spans="1:11">
      <c r="A11" s="114" t="s">
        <v>2722</v>
      </c>
      <c r="B11" s="114"/>
      <c r="C11" s="114"/>
      <c r="D11" s="114" t="s">
        <v>2417</v>
      </c>
      <c r="E11" s="114" t="s">
        <v>2723</v>
      </c>
      <c r="F11" s="114">
        <v>1986</v>
      </c>
      <c r="G11" s="152">
        <f t="shared" si="1"/>
        <v>1986</v>
      </c>
      <c r="H11" s="114"/>
      <c r="I11" s="114"/>
      <c r="J11" s="290"/>
      <c r="K11" s="163"/>
    </row>
    <row r="12" customHeight="1" spans="1:11">
      <c r="A12" s="114" t="s">
        <v>2724</v>
      </c>
      <c r="B12" s="114" t="s">
        <v>1910</v>
      </c>
      <c r="C12" s="114"/>
      <c r="D12" s="114"/>
      <c r="E12" s="114"/>
      <c r="F12" s="114">
        <v>2014</v>
      </c>
      <c r="G12" s="152">
        <f t="shared" si="1"/>
        <v>2014</v>
      </c>
      <c r="H12" s="220"/>
      <c r="I12" s="114"/>
      <c r="J12" s="290"/>
      <c r="K12" s="163"/>
    </row>
    <row r="13" customHeight="1" spans="1:11">
      <c r="A13" s="156" t="s">
        <v>2725</v>
      </c>
      <c r="B13" s="114" t="s">
        <v>256</v>
      </c>
      <c r="C13" s="114" t="s">
        <v>2726</v>
      </c>
      <c r="D13" s="114"/>
      <c r="E13" s="114"/>
      <c r="F13" s="114">
        <v>1997</v>
      </c>
      <c r="G13" s="152">
        <f t="shared" si="1"/>
        <v>1997</v>
      </c>
      <c r="H13" s="114"/>
      <c r="I13" s="114"/>
      <c r="J13" s="290"/>
      <c r="K13" s="163"/>
    </row>
    <row r="14" customHeight="1" spans="1:11">
      <c r="A14" s="163" t="s">
        <v>2727</v>
      </c>
      <c r="B14" s="114" t="s">
        <v>51</v>
      </c>
      <c r="C14" s="114"/>
      <c r="D14" s="114"/>
      <c r="E14" s="114"/>
      <c r="F14" s="114">
        <v>2009</v>
      </c>
      <c r="G14" s="152">
        <f t="shared" si="1"/>
        <v>2009</v>
      </c>
      <c r="H14" s="114"/>
      <c r="I14" s="114"/>
      <c r="J14" s="290"/>
      <c r="K14" s="163"/>
    </row>
    <row r="15" customHeight="1" spans="1:11">
      <c r="A15" s="114" t="s">
        <v>2728</v>
      </c>
      <c r="B15" s="114"/>
      <c r="C15" s="114"/>
      <c r="D15" s="114"/>
      <c r="E15" s="114"/>
      <c r="F15" s="114"/>
      <c r="G15" s="152" t="e">
        <f t="shared" si="1"/>
        <v>#VALUE!</v>
      </c>
      <c r="H15" s="220"/>
      <c r="I15" s="114"/>
      <c r="J15" s="290"/>
      <c r="K15" s="163"/>
    </row>
    <row r="16" customHeight="1" spans="1:11">
      <c r="A16" s="114" t="s">
        <v>2729</v>
      </c>
      <c r="B16" s="114"/>
      <c r="C16" s="114"/>
      <c r="D16" s="114"/>
      <c r="E16" s="114"/>
      <c r="F16" s="114"/>
      <c r="G16" s="152" t="e">
        <f t="shared" si="1"/>
        <v>#VALUE!</v>
      </c>
      <c r="H16" s="114"/>
      <c r="I16" s="114"/>
      <c r="J16" s="290"/>
      <c r="K16" s="163"/>
    </row>
    <row r="17" customHeight="1" spans="1:11">
      <c r="A17" s="22"/>
      <c r="B17" s="114"/>
      <c r="C17" s="114"/>
      <c r="D17" s="114"/>
      <c r="E17" s="114"/>
      <c r="F17" s="167"/>
      <c r="G17" s="152"/>
      <c r="H17" s="114"/>
      <c r="I17" s="123" t="s">
        <v>2730</v>
      </c>
      <c r="J17" s="33"/>
      <c r="K17" s="164"/>
    </row>
    <row r="18" customHeight="1" spans="1:11">
      <c r="A18" s="114"/>
      <c r="B18" s="114"/>
      <c r="C18" s="114"/>
      <c r="D18" s="114"/>
      <c r="E18" s="114"/>
      <c r="F18" s="182"/>
      <c r="G18" s="152"/>
      <c r="H18" s="114" t="s">
        <v>217</v>
      </c>
      <c r="I18" s="123" t="s">
        <v>2731</v>
      </c>
      <c r="J18" s="33"/>
      <c r="K18" s="164"/>
    </row>
    <row r="19" customHeight="1" spans="1:11">
      <c r="A19" s="114"/>
      <c r="B19" s="114" t="s">
        <v>51</v>
      </c>
      <c r="C19" s="114"/>
      <c r="D19" s="114" t="s">
        <v>2732</v>
      </c>
      <c r="E19" s="114"/>
      <c r="F19" s="306">
        <v>44531</v>
      </c>
      <c r="G19" s="152">
        <v>2021</v>
      </c>
      <c r="H19" s="114" t="s">
        <v>2733</v>
      </c>
      <c r="I19" s="123" t="s">
        <v>2734</v>
      </c>
      <c r="J19" s="33"/>
      <c r="K19" s="178" t="s">
        <v>2552</v>
      </c>
    </row>
    <row r="20" customHeight="1" spans="1:11">
      <c r="A20" s="114"/>
      <c r="B20" s="114" t="s">
        <v>51</v>
      </c>
      <c r="C20" s="114"/>
      <c r="D20" s="114" t="s">
        <v>65</v>
      </c>
      <c r="E20" s="114"/>
      <c r="F20" s="306">
        <v>44550</v>
      </c>
      <c r="G20" s="152">
        <v>2021</v>
      </c>
      <c r="H20" s="114" t="s">
        <v>2735</v>
      </c>
      <c r="I20" s="123" t="s">
        <v>2736</v>
      </c>
      <c r="J20" s="33"/>
      <c r="K20" s="178" t="s">
        <v>2552</v>
      </c>
    </row>
    <row r="21" customHeight="1" spans="1:11">
      <c r="A21" s="143" t="s">
        <v>111</v>
      </c>
      <c r="B21" s="307" t="s">
        <v>51</v>
      </c>
      <c r="C21" s="307"/>
      <c r="D21" s="307" t="s">
        <v>2737</v>
      </c>
      <c r="E21" s="307"/>
      <c r="F21" s="308"/>
      <c r="G21" s="309"/>
      <c r="H21" s="307" t="s">
        <v>2738</v>
      </c>
      <c r="I21" s="310" t="s">
        <v>2739</v>
      </c>
      <c r="J21" s="311"/>
      <c r="K21" s="312" t="s">
        <v>2552</v>
      </c>
    </row>
    <row r="22" customHeight="1" spans="1:11">
      <c r="A22" s="22" t="s">
        <v>2740</v>
      </c>
      <c r="B22" s="114" t="s">
        <v>51</v>
      </c>
      <c r="C22" s="114"/>
      <c r="D22" s="114" t="s">
        <v>2741</v>
      </c>
      <c r="E22" s="114"/>
      <c r="F22" s="306"/>
      <c r="G22" s="152"/>
      <c r="H22" s="114"/>
      <c r="I22" s="123" t="s">
        <v>2742</v>
      </c>
      <c r="J22" s="33"/>
      <c r="K22" s="178"/>
    </row>
    <row r="23" customHeight="1" spans="1:11">
      <c r="A23" s="22" t="s">
        <v>2743</v>
      </c>
      <c r="B23" s="114" t="s">
        <v>51</v>
      </c>
      <c r="C23" s="114"/>
      <c r="D23" s="114" t="s">
        <v>85</v>
      </c>
      <c r="E23" s="114"/>
      <c r="F23" s="306"/>
      <c r="G23" s="152">
        <v>2020</v>
      </c>
      <c r="H23" s="114" t="s">
        <v>2744</v>
      </c>
      <c r="I23" s="123" t="s">
        <v>2745</v>
      </c>
      <c r="J23" s="33"/>
      <c r="K23" s="178"/>
    </row>
    <row r="24" customHeight="1" spans="1:11">
      <c r="A24" s="22" t="s">
        <v>2746</v>
      </c>
      <c r="B24" s="114" t="s">
        <v>51</v>
      </c>
      <c r="C24" s="114"/>
      <c r="D24" s="114" t="s">
        <v>85</v>
      </c>
      <c r="E24" s="114"/>
      <c r="F24" s="306"/>
      <c r="G24" s="152">
        <v>2021</v>
      </c>
      <c r="H24" s="114" t="s">
        <v>2747</v>
      </c>
      <c r="I24" s="123" t="s">
        <v>2748</v>
      </c>
      <c r="J24" s="33"/>
      <c r="K24" s="178"/>
    </row>
    <row r="25" customHeight="1" spans="1:11">
      <c r="A25" s="22" t="s">
        <v>2749</v>
      </c>
      <c r="B25" s="114"/>
      <c r="C25" s="114"/>
      <c r="D25" s="114" t="s">
        <v>85</v>
      </c>
      <c r="E25" s="114"/>
      <c r="F25" s="306"/>
      <c r="G25" s="152">
        <v>2019</v>
      </c>
      <c r="H25" s="114" t="s">
        <v>773</v>
      </c>
      <c r="I25" s="123" t="s">
        <v>774</v>
      </c>
      <c r="J25" s="33"/>
      <c r="K25" s="178"/>
    </row>
    <row r="26" customHeight="1" spans="1:11">
      <c r="A26" s="22"/>
      <c r="B26" s="114"/>
      <c r="C26" s="114"/>
      <c r="D26" s="114"/>
      <c r="E26" s="114"/>
      <c r="F26" s="306"/>
      <c r="G26" s="152"/>
      <c r="H26" s="114"/>
      <c r="I26" s="114"/>
      <c r="J26" s="33"/>
      <c r="K26" s="178"/>
    </row>
    <row r="27" customHeight="1" spans="1:11">
      <c r="A27" s="22" t="s">
        <v>2750</v>
      </c>
      <c r="B27" s="114" t="s">
        <v>51</v>
      </c>
      <c r="C27" s="114"/>
      <c r="D27" s="114" t="s">
        <v>2751</v>
      </c>
      <c r="E27" s="114"/>
      <c r="F27" s="306">
        <v>44669</v>
      </c>
      <c r="G27" s="152">
        <v>2022</v>
      </c>
      <c r="H27" s="114"/>
      <c r="I27" s="123" t="s">
        <v>2752</v>
      </c>
      <c r="J27" s="33"/>
      <c r="K27" s="313" t="s">
        <v>2753</v>
      </c>
    </row>
    <row r="28" customHeight="1" spans="1:11">
      <c r="A28" s="22" t="s">
        <v>2754</v>
      </c>
      <c r="B28" s="114" t="s">
        <v>51</v>
      </c>
      <c r="C28" s="114"/>
      <c r="D28" s="114" t="s">
        <v>2755</v>
      </c>
      <c r="E28" s="114"/>
      <c r="F28" s="306">
        <v>44666</v>
      </c>
      <c r="G28" s="152">
        <v>2022</v>
      </c>
      <c r="H28" s="114" t="s">
        <v>2756</v>
      </c>
      <c r="I28" s="123" t="s">
        <v>2757</v>
      </c>
      <c r="J28" s="33"/>
      <c r="K28" s="313" t="s">
        <v>2753</v>
      </c>
    </row>
    <row r="29" customHeight="1" spans="1:11">
      <c r="A29" s="22" t="s">
        <v>2758</v>
      </c>
      <c r="B29" s="114" t="s">
        <v>51</v>
      </c>
      <c r="C29" s="114"/>
      <c r="D29" s="114" t="s">
        <v>2759</v>
      </c>
      <c r="E29" s="114"/>
      <c r="F29" s="306">
        <v>44665</v>
      </c>
      <c r="G29" s="152">
        <v>2022</v>
      </c>
      <c r="H29" s="114"/>
      <c r="I29" s="123" t="s">
        <v>2760</v>
      </c>
      <c r="J29" s="33"/>
      <c r="K29" s="313" t="s">
        <v>2753</v>
      </c>
    </row>
    <row r="30" customHeight="1" spans="1:11">
      <c r="A30" s="22" t="s">
        <v>2761</v>
      </c>
      <c r="B30" s="114" t="s">
        <v>51</v>
      </c>
      <c r="C30" s="114"/>
      <c r="D30" s="114" t="s">
        <v>2762</v>
      </c>
      <c r="E30" s="114"/>
      <c r="F30" s="306">
        <v>44664</v>
      </c>
      <c r="G30" s="152">
        <v>2022</v>
      </c>
      <c r="H30" s="114"/>
      <c r="I30" s="123" t="s">
        <v>2763</v>
      </c>
      <c r="J30" s="33"/>
      <c r="K30" s="313" t="s">
        <v>2753</v>
      </c>
    </row>
    <row r="31" customHeight="1" spans="1:11">
      <c r="A31" s="22" t="s">
        <v>2764</v>
      </c>
      <c r="B31" s="114" t="s">
        <v>51</v>
      </c>
      <c r="C31" s="114"/>
      <c r="D31" s="114" t="s">
        <v>2765</v>
      </c>
      <c r="E31" s="114"/>
      <c r="F31" s="306">
        <v>44663</v>
      </c>
      <c r="G31" s="152">
        <v>2022</v>
      </c>
      <c r="H31" s="114"/>
      <c r="I31" s="123" t="s">
        <v>2766</v>
      </c>
      <c r="J31" s="33"/>
      <c r="K31" s="313" t="s">
        <v>2753</v>
      </c>
    </row>
    <row r="32" customHeight="1" spans="1:11">
      <c r="A32" s="22" t="s">
        <v>2767</v>
      </c>
      <c r="B32" s="114" t="s">
        <v>51</v>
      </c>
      <c r="C32" s="114"/>
      <c r="D32" s="114" t="s">
        <v>1310</v>
      </c>
      <c r="E32" s="114"/>
      <c r="F32" s="306">
        <v>44645</v>
      </c>
      <c r="G32" s="152">
        <v>2022</v>
      </c>
      <c r="H32" s="114"/>
      <c r="I32" s="123" t="s">
        <v>2768</v>
      </c>
      <c r="J32" s="33"/>
      <c r="K32" s="313" t="s">
        <v>2753</v>
      </c>
    </row>
    <row r="33" customHeight="1" spans="1:11">
      <c r="A33" s="22" t="s">
        <v>2769</v>
      </c>
      <c r="B33" s="114" t="s">
        <v>51</v>
      </c>
      <c r="C33" s="114"/>
      <c r="D33" s="114" t="s">
        <v>2765</v>
      </c>
      <c r="E33" s="114"/>
      <c r="F33" s="306">
        <v>44485</v>
      </c>
      <c r="G33" s="152">
        <v>2021</v>
      </c>
      <c r="H33" s="114"/>
      <c r="I33" s="114"/>
      <c r="J33" s="33"/>
      <c r="K33" s="178" t="s">
        <v>2552</v>
      </c>
    </row>
    <row r="34" customHeight="1" spans="1:11">
      <c r="A34" s="22" t="s">
        <v>161</v>
      </c>
      <c r="B34" s="114" t="s">
        <v>51</v>
      </c>
      <c r="C34" s="114"/>
      <c r="D34" s="114" t="s">
        <v>2770</v>
      </c>
      <c r="E34" s="114"/>
      <c r="F34" s="306">
        <v>44607</v>
      </c>
      <c r="G34" s="152">
        <v>2022</v>
      </c>
      <c r="H34" s="114"/>
      <c r="I34" s="114"/>
      <c r="J34" s="33"/>
      <c r="K34" s="178" t="s">
        <v>2552</v>
      </c>
    </row>
    <row r="35" customHeight="1" spans="1:11">
      <c r="A35" s="22" t="s">
        <v>555</v>
      </c>
      <c r="B35" s="114" t="s">
        <v>51</v>
      </c>
      <c r="C35" s="114"/>
      <c r="D35" s="114" t="s">
        <v>65</v>
      </c>
      <c r="E35" s="114"/>
      <c r="F35" s="306">
        <v>44550</v>
      </c>
      <c r="G35" s="152">
        <v>2021</v>
      </c>
      <c r="H35" s="114"/>
      <c r="I35" s="114"/>
      <c r="J35" s="33"/>
      <c r="K35" s="178" t="s">
        <v>2552</v>
      </c>
    </row>
    <row r="36" customHeight="1" spans="1:11">
      <c r="A36" s="22" t="s">
        <v>2771</v>
      </c>
      <c r="B36" s="114" t="s">
        <v>51</v>
      </c>
      <c r="C36" s="114"/>
      <c r="D36" s="114" t="s">
        <v>65</v>
      </c>
      <c r="E36" s="114"/>
      <c r="F36" s="306">
        <v>43949</v>
      </c>
      <c r="G36" s="152">
        <v>2020</v>
      </c>
      <c r="H36" s="114"/>
      <c r="I36" s="114"/>
      <c r="J36" s="33"/>
      <c r="K36" s="178" t="s">
        <v>2552</v>
      </c>
    </row>
    <row r="37" customHeight="1" spans="1:11">
      <c r="A37" s="22" t="s">
        <v>2772</v>
      </c>
      <c r="B37" s="114" t="s">
        <v>51</v>
      </c>
      <c r="C37" s="114"/>
      <c r="D37" s="114" t="s">
        <v>2765</v>
      </c>
      <c r="E37" s="114"/>
      <c r="F37" s="306"/>
      <c r="G37" s="152"/>
      <c r="H37" s="114"/>
      <c r="I37" s="114"/>
      <c r="J37" s="33"/>
      <c r="K37" s="178" t="s">
        <v>2552</v>
      </c>
    </row>
    <row r="38" customHeight="1" spans="1:11">
      <c r="A38" s="22" t="s">
        <v>2773</v>
      </c>
      <c r="B38" s="114" t="s">
        <v>51</v>
      </c>
      <c r="C38" s="114"/>
      <c r="D38" s="114" t="s">
        <v>766</v>
      </c>
      <c r="E38" s="114"/>
      <c r="F38" s="306">
        <v>43924</v>
      </c>
      <c r="G38" s="152">
        <v>2020</v>
      </c>
      <c r="H38" s="114"/>
      <c r="I38" s="114"/>
      <c r="J38" s="33"/>
      <c r="K38" s="178" t="s">
        <v>2552</v>
      </c>
    </row>
    <row r="39" customHeight="1" spans="1:11">
      <c r="A39" s="22" t="s">
        <v>2774</v>
      </c>
      <c r="B39" s="114" t="s">
        <v>51</v>
      </c>
      <c r="C39" s="114"/>
      <c r="D39" s="114" t="s">
        <v>2775</v>
      </c>
      <c r="E39" s="114"/>
      <c r="F39" s="306">
        <v>44367</v>
      </c>
      <c r="G39" s="152">
        <v>2021</v>
      </c>
      <c r="H39" s="114"/>
      <c r="I39" s="114"/>
      <c r="J39" s="33"/>
      <c r="K39" s="178" t="s">
        <v>2552</v>
      </c>
    </row>
    <row r="40" customHeight="1" spans="1:11">
      <c r="A40" s="22" t="s">
        <v>2776</v>
      </c>
      <c r="B40" s="114" t="s">
        <v>51</v>
      </c>
      <c r="C40" s="114"/>
      <c r="D40" s="114" t="s">
        <v>65</v>
      </c>
      <c r="E40" s="114"/>
      <c r="F40" s="306">
        <v>44550</v>
      </c>
      <c r="G40" s="152">
        <v>2021</v>
      </c>
      <c r="H40" s="114"/>
      <c r="I40" s="114"/>
      <c r="J40" s="178"/>
      <c r="K40" s="178" t="s">
        <v>2552</v>
      </c>
    </row>
    <row r="41" customHeight="1" spans="1:11">
      <c r="A41" s="22" t="s">
        <v>103</v>
      </c>
      <c r="B41" s="114" t="s">
        <v>51</v>
      </c>
      <c r="C41" s="114"/>
      <c r="D41" s="114" t="s">
        <v>2777</v>
      </c>
      <c r="E41" s="114"/>
      <c r="F41" s="306">
        <v>44582</v>
      </c>
      <c r="G41" s="152">
        <v>2022</v>
      </c>
      <c r="H41" s="114"/>
      <c r="I41" s="114"/>
      <c r="J41" s="33"/>
      <c r="K41" s="178" t="s">
        <v>2552</v>
      </c>
    </row>
    <row r="42" customHeight="1" spans="1:11">
      <c r="A42" s="22"/>
      <c r="B42" s="114"/>
      <c r="C42" s="114"/>
      <c r="D42" s="114"/>
      <c r="E42" s="114"/>
      <c r="F42" s="306"/>
      <c r="G42" s="152"/>
      <c r="H42" s="114"/>
      <c r="I42" s="114"/>
      <c r="J42" s="33"/>
      <c r="K42" s="178"/>
    </row>
    <row r="43" customHeight="1" spans="1:11">
      <c r="A43" s="22"/>
      <c r="B43" s="114"/>
      <c r="C43" s="114"/>
      <c r="D43" s="114"/>
      <c r="E43" s="114"/>
      <c r="F43" s="306"/>
      <c r="G43" s="152"/>
      <c r="H43" s="114"/>
      <c r="I43" s="114"/>
      <c r="J43" s="33"/>
      <c r="K43" s="178"/>
    </row>
    <row r="44" customHeight="1" spans="1:11">
      <c r="A44" s="114" t="s">
        <v>2778</v>
      </c>
      <c r="B44" s="114"/>
      <c r="C44" s="114"/>
      <c r="D44" s="123" t="s">
        <v>2576</v>
      </c>
      <c r="E44" s="114"/>
      <c r="F44" s="182"/>
      <c r="G44" s="152" t="e">
        <f t="shared" ref="G44:G82" si="2">IF(INT(RIGHT(F44,4))&lt;1,"",INT(RIGHT(F44,4)))</f>
        <v>#VALUE!</v>
      </c>
      <c r="H44" s="114"/>
      <c r="I44" s="114"/>
      <c r="J44" s="33"/>
      <c r="K44" s="164"/>
    </row>
    <row r="45" customHeight="1" spans="1:11">
      <c r="A45" s="114"/>
      <c r="B45" s="114"/>
      <c r="C45" s="114"/>
      <c r="D45" s="114"/>
      <c r="E45" s="114"/>
      <c r="F45" s="153"/>
      <c r="G45" s="152" t="e">
        <f t="shared" si="2"/>
        <v>#VALUE!</v>
      </c>
      <c r="H45" s="114"/>
      <c r="I45" s="114"/>
      <c r="J45" s="33"/>
      <c r="K45" s="164"/>
    </row>
    <row r="46" customHeight="1" spans="1:11">
      <c r="A46" s="114"/>
      <c r="B46" s="114"/>
      <c r="D46" s="114" t="s">
        <v>2779</v>
      </c>
      <c r="E46" s="221" t="s">
        <v>2780</v>
      </c>
      <c r="F46" s="153">
        <v>43257</v>
      </c>
      <c r="G46" s="152">
        <f t="shared" si="2"/>
        <v>3257</v>
      </c>
      <c r="H46" s="114" t="s">
        <v>2781</v>
      </c>
      <c r="I46" s="123" t="s">
        <v>2782</v>
      </c>
      <c r="J46" s="33">
        <v>557</v>
      </c>
      <c r="K46" s="164" t="s">
        <v>2783</v>
      </c>
    </row>
    <row r="47" customHeight="1" spans="1:11">
      <c r="A47" s="114"/>
      <c r="B47" s="114"/>
      <c r="D47" s="114" t="s">
        <v>2784</v>
      </c>
      <c r="E47" s="221" t="s">
        <v>2785</v>
      </c>
      <c r="F47" s="153">
        <v>44054</v>
      </c>
      <c r="G47" s="152">
        <f t="shared" si="2"/>
        <v>4054</v>
      </c>
      <c r="H47" s="114" t="s">
        <v>2786</v>
      </c>
      <c r="I47" s="123" t="s">
        <v>2787</v>
      </c>
      <c r="J47" s="33">
        <v>16</v>
      </c>
      <c r="K47" s="164" t="s">
        <v>2783</v>
      </c>
    </row>
    <row r="48" customHeight="1" spans="1:11">
      <c r="A48" s="114"/>
      <c r="B48" s="114"/>
      <c r="D48" s="114" t="s">
        <v>2788</v>
      </c>
      <c r="E48" s="221" t="s">
        <v>2789</v>
      </c>
      <c r="F48" s="169">
        <v>33938</v>
      </c>
      <c r="G48" s="152">
        <f t="shared" si="2"/>
        <v>3938</v>
      </c>
      <c r="H48" s="114" t="s">
        <v>2790</v>
      </c>
      <c r="I48" s="123" t="s">
        <v>2791</v>
      </c>
      <c r="J48" s="33">
        <v>264</v>
      </c>
      <c r="K48" s="164" t="s">
        <v>2783</v>
      </c>
    </row>
    <row r="49" customHeight="1" spans="1:11">
      <c r="A49" s="114"/>
      <c r="B49" s="114"/>
      <c r="D49" s="114" t="s">
        <v>2792</v>
      </c>
      <c r="E49" s="221" t="s">
        <v>2793</v>
      </c>
      <c r="F49" s="153">
        <v>43670</v>
      </c>
      <c r="G49" s="152">
        <f t="shared" si="2"/>
        <v>3670</v>
      </c>
      <c r="H49" s="114" t="s">
        <v>2794</v>
      </c>
      <c r="I49" s="123" t="s">
        <v>2795</v>
      </c>
      <c r="J49" s="172">
        <v>660</v>
      </c>
      <c r="K49" s="164" t="s">
        <v>2783</v>
      </c>
    </row>
    <row r="50" customHeight="1" spans="1:11">
      <c r="A50" s="114"/>
      <c r="B50" s="114"/>
      <c r="D50" s="114" t="s">
        <v>2796</v>
      </c>
      <c r="E50" s="221" t="s">
        <v>2797</v>
      </c>
      <c r="F50" s="169">
        <v>43399</v>
      </c>
      <c r="G50" s="152">
        <f t="shared" si="2"/>
        <v>3399</v>
      </c>
      <c r="H50" s="114" t="s">
        <v>2798</v>
      </c>
      <c r="I50" s="123" t="s">
        <v>2799</v>
      </c>
      <c r="J50" s="33">
        <v>165</v>
      </c>
      <c r="K50" s="164" t="s">
        <v>2783</v>
      </c>
    </row>
    <row r="51" customHeight="1" spans="1:11">
      <c r="A51" s="114"/>
      <c r="B51" s="114"/>
      <c r="D51" s="114" t="s">
        <v>2800</v>
      </c>
      <c r="E51" s="221" t="s">
        <v>2801</v>
      </c>
      <c r="F51" s="153">
        <v>43276</v>
      </c>
      <c r="G51" s="152">
        <f t="shared" si="2"/>
        <v>3276</v>
      </c>
      <c r="H51" s="114" t="s">
        <v>2802</v>
      </c>
      <c r="I51" s="123" t="s">
        <v>2803</v>
      </c>
      <c r="J51" s="33">
        <v>114</v>
      </c>
      <c r="K51" s="164" t="s">
        <v>2783</v>
      </c>
    </row>
    <row r="52" customHeight="1" spans="1:11">
      <c r="A52" s="114"/>
      <c r="B52" s="114"/>
      <c r="D52" s="114" t="s">
        <v>97</v>
      </c>
      <c r="E52" s="221" t="s">
        <v>2804</v>
      </c>
      <c r="F52" s="169">
        <v>43753</v>
      </c>
      <c r="G52" s="152">
        <f t="shared" si="2"/>
        <v>3753</v>
      </c>
      <c r="H52" s="114" t="s">
        <v>2805</v>
      </c>
      <c r="I52" s="123" t="s">
        <v>2806</v>
      </c>
      <c r="J52" s="33">
        <v>21</v>
      </c>
      <c r="K52" s="164" t="s">
        <v>2783</v>
      </c>
    </row>
    <row r="53" customHeight="1" spans="1:11">
      <c r="A53" s="114"/>
      <c r="B53" s="114"/>
      <c r="D53" s="114" t="s">
        <v>2807</v>
      </c>
      <c r="E53" s="114"/>
      <c r="F53" s="153">
        <v>41791</v>
      </c>
      <c r="G53" s="152">
        <f t="shared" si="2"/>
        <v>1791</v>
      </c>
      <c r="H53" s="114" t="s">
        <v>2808</v>
      </c>
      <c r="I53" s="123" t="s">
        <v>2809</v>
      </c>
      <c r="J53" s="33">
        <v>859</v>
      </c>
      <c r="K53" s="164" t="s">
        <v>2783</v>
      </c>
    </row>
    <row r="54" customHeight="1" spans="1:11">
      <c r="A54" s="114"/>
      <c r="B54" s="114"/>
      <c r="D54" s="114" t="s">
        <v>2810</v>
      </c>
      <c r="E54" s="221" t="s">
        <v>2811</v>
      </c>
      <c r="F54" s="153">
        <v>41977</v>
      </c>
      <c r="G54" s="152">
        <f t="shared" si="2"/>
        <v>1977</v>
      </c>
      <c r="H54" s="114" t="s">
        <v>2812</v>
      </c>
      <c r="I54" s="123" t="s">
        <v>2813</v>
      </c>
      <c r="J54" s="33">
        <v>248</v>
      </c>
      <c r="K54" s="164" t="s">
        <v>2783</v>
      </c>
    </row>
    <row r="55" customHeight="1" spans="1:11">
      <c r="A55" s="114"/>
      <c r="B55" s="114"/>
      <c r="D55" s="114" t="s">
        <v>2814</v>
      </c>
      <c r="E55" s="221" t="s">
        <v>2815</v>
      </c>
      <c r="F55" s="153">
        <v>43677</v>
      </c>
      <c r="G55" s="152">
        <f t="shared" si="2"/>
        <v>3677</v>
      </c>
      <c r="H55" s="114" t="s">
        <v>2816</v>
      </c>
      <c r="I55" s="123" t="s">
        <v>2817</v>
      </c>
      <c r="J55" s="33">
        <v>44</v>
      </c>
      <c r="K55" s="164" t="s">
        <v>2783</v>
      </c>
    </row>
    <row r="56" customHeight="1" spans="1:11">
      <c r="A56" s="114"/>
      <c r="B56" s="114"/>
      <c r="D56" s="114" t="s">
        <v>2417</v>
      </c>
      <c r="E56" s="221" t="s">
        <v>2818</v>
      </c>
      <c r="F56" s="153">
        <v>43996</v>
      </c>
      <c r="G56" s="152">
        <f t="shared" si="2"/>
        <v>3996</v>
      </c>
      <c r="H56" s="114" t="s">
        <v>2819</v>
      </c>
      <c r="I56" s="123" t="s">
        <v>2820</v>
      </c>
      <c r="J56" s="33">
        <v>616</v>
      </c>
      <c r="K56" s="164" t="s">
        <v>2783</v>
      </c>
    </row>
    <row r="57" customHeight="1" spans="1:11">
      <c r="A57" s="114"/>
      <c r="B57" s="114"/>
      <c r="D57" s="114" t="s">
        <v>2821</v>
      </c>
      <c r="E57" s="221" t="s">
        <v>2822</v>
      </c>
      <c r="F57" s="153">
        <v>42795</v>
      </c>
      <c r="G57" s="152">
        <f t="shared" si="2"/>
        <v>2795</v>
      </c>
      <c r="H57" s="114" t="s">
        <v>2823</v>
      </c>
      <c r="I57" s="123" t="s">
        <v>2824</v>
      </c>
      <c r="J57" s="33">
        <v>818</v>
      </c>
      <c r="K57" s="164" t="s">
        <v>2783</v>
      </c>
    </row>
    <row r="58" customHeight="1" spans="1:11">
      <c r="A58" s="114"/>
      <c r="B58" s="114"/>
      <c r="D58" s="114" t="s">
        <v>2825</v>
      </c>
      <c r="E58" s="221" t="s">
        <v>2826</v>
      </c>
      <c r="F58" s="153">
        <v>37257</v>
      </c>
      <c r="G58" s="152">
        <f t="shared" si="2"/>
        <v>7257</v>
      </c>
      <c r="H58" s="114" t="s">
        <v>2827</v>
      </c>
      <c r="I58" s="123" t="s">
        <v>2828</v>
      </c>
      <c r="J58" s="33">
        <v>7</v>
      </c>
      <c r="K58" s="164" t="s">
        <v>2783</v>
      </c>
    </row>
    <row r="59" customHeight="1" spans="1:11">
      <c r="A59" s="114"/>
      <c r="B59" s="114"/>
      <c r="D59" s="114" t="s">
        <v>766</v>
      </c>
      <c r="E59" s="114" t="s">
        <v>766</v>
      </c>
      <c r="F59" s="154">
        <v>38869</v>
      </c>
      <c r="G59" s="152">
        <f t="shared" si="2"/>
        <v>8869</v>
      </c>
      <c r="H59" s="114" t="s">
        <v>2829</v>
      </c>
      <c r="I59" s="123" t="s">
        <v>2830</v>
      </c>
      <c r="J59" s="33">
        <v>11</v>
      </c>
      <c r="K59" s="164" t="s">
        <v>2783</v>
      </c>
    </row>
    <row r="60" customHeight="1" spans="1:11">
      <c r="A60" s="114"/>
      <c r="B60" s="114"/>
      <c r="D60" s="114" t="s">
        <v>2831</v>
      </c>
      <c r="E60" s="221" t="s">
        <v>2832</v>
      </c>
      <c r="F60" s="153">
        <v>43749</v>
      </c>
      <c r="G60" s="152">
        <f t="shared" si="2"/>
        <v>3749</v>
      </c>
      <c r="H60" s="114" t="s">
        <v>2833</v>
      </c>
      <c r="I60" s="123" t="s">
        <v>2834</v>
      </c>
      <c r="J60" s="33">
        <v>238</v>
      </c>
      <c r="K60" s="164" t="s">
        <v>2783</v>
      </c>
    </row>
    <row r="61" customHeight="1" spans="1:11">
      <c r="A61" s="114"/>
      <c r="B61" s="114"/>
      <c r="D61" s="114" t="s">
        <v>1392</v>
      </c>
      <c r="E61" s="221" t="s">
        <v>2835</v>
      </c>
      <c r="F61" s="167">
        <v>41000</v>
      </c>
      <c r="G61" s="152">
        <f t="shared" si="2"/>
        <v>1000</v>
      </c>
      <c r="H61" s="114" t="s">
        <v>2836</v>
      </c>
      <c r="I61" s="123" t="s">
        <v>2837</v>
      </c>
      <c r="J61" s="33">
        <v>186</v>
      </c>
      <c r="K61" s="164" t="s">
        <v>2783</v>
      </c>
    </row>
    <row r="62" customHeight="1" spans="1:11">
      <c r="A62" s="114"/>
      <c r="B62" s="114"/>
      <c r="D62" s="114" t="s">
        <v>2838</v>
      </c>
      <c r="E62" s="221" t="s">
        <v>2839</v>
      </c>
      <c r="F62" s="153">
        <v>43375</v>
      </c>
      <c r="G62" s="152">
        <f t="shared" si="2"/>
        <v>3375</v>
      </c>
      <c r="H62" s="114" t="s">
        <v>2840</v>
      </c>
      <c r="I62" s="123" t="s">
        <v>2841</v>
      </c>
      <c r="J62" s="33">
        <v>103</v>
      </c>
      <c r="K62" s="164" t="s">
        <v>2783</v>
      </c>
    </row>
    <row r="63" customHeight="1" spans="1:11">
      <c r="A63" s="114"/>
      <c r="B63" s="114"/>
      <c r="D63" s="114" t="s">
        <v>2842</v>
      </c>
      <c r="E63" s="114" t="s">
        <v>2843</v>
      </c>
      <c r="F63" s="153">
        <v>39989</v>
      </c>
      <c r="G63" s="152">
        <f t="shared" si="2"/>
        <v>9989</v>
      </c>
      <c r="H63" s="114" t="s">
        <v>2844</v>
      </c>
      <c r="I63" s="123" t="s">
        <v>2845</v>
      </c>
      <c r="J63" s="33">
        <v>1</v>
      </c>
      <c r="K63" s="164" t="s">
        <v>2783</v>
      </c>
    </row>
    <row r="64" customHeight="1" spans="1:11">
      <c r="A64" s="114"/>
      <c r="B64" s="114"/>
      <c r="D64" s="114" t="s">
        <v>2342</v>
      </c>
      <c r="E64" s="170" t="s">
        <v>2846</v>
      </c>
      <c r="F64" s="154">
        <v>39989</v>
      </c>
      <c r="G64" s="152">
        <f t="shared" si="2"/>
        <v>9989</v>
      </c>
      <c r="H64" s="114" t="s">
        <v>2847</v>
      </c>
      <c r="I64" s="123" t="s">
        <v>2848</v>
      </c>
      <c r="J64" s="33">
        <v>34322</v>
      </c>
      <c r="K64" s="164" t="s">
        <v>2783</v>
      </c>
    </row>
    <row r="65" customHeight="1" spans="1:11">
      <c r="A65" s="114"/>
      <c r="B65" s="114"/>
      <c r="D65" s="114" t="s">
        <v>2849</v>
      </c>
      <c r="E65" s="221" t="s">
        <v>2850</v>
      </c>
      <c r="F65" s="153">
        <v>42870</v>
      </c>
      <c r="G65" s="152">
        <f t="shared" si="2"/>
        <v>2870</v>
      </c>
      <c r="H65" s="114" t="s">
        <v>2851</v>
      </c>
      <c r="I65" s="123" t="s">
        <v>2852</v>
      </c>
      <c r="J65" s="33">
        <v>186</v>
      </c>
      <c r="K65" s="164" t="s">
        <v>2783</v>
      </c>
    </row>
    <row r="66" customHeight="1" spans="1:11">
      <c r="A66" s="114"/>
      <c r="B66" s="114"/>
      <c r="D66" s="114" t="s">
        <v>2853</v>
      </c>
      <c r="E66" s="221" t="s">
        <v>2854</v>
      </c>
      <c r="F66" s="153">
        <v>42594</v>
      </c>
      <c r="G66" s="152">
        <f t="shared" si="2"/>
        <v>2594</v>
      </c>
      <c r="H66" s="114" t="s">
        <v>2855</v>
      </c>
      <c r="I66" s="123" t="s">
        <v>2856</v>
      </c>
      <c r="J66" s="33">
        <v>381</v>
      </c>
      <c r="K66" s="164" t="s">
        <v>2783</v>
      </c>
    </row>
    <row r="67" customHeight="1" spans="1:11">
      <c r="A67" s="114"/>
      <c r="B67" s="114"/>
      <c r="D67" s="156" t="s">
        <v>2857</v>
      </c>
      <c r="E67" s="170" t="s">
        <v>2858</v>
      </c>
      <c r="F67" s="153">
        <v>41085</v>
      </c>
      <c r="G67" s="152">
        <f t="shared" si="2"/>
        <v>1085</v>
      </c>
      <c r="H67" s="114" t="s">
        <v>2859</v>
      </c>
      <c r="I67" s="123" t="s">
        <v>2860</v>
      </c>
      <c r="J67" s="33">
        <v>120</v>
      </c>
      <c r="K67" s="164" t="s">
        <v>2783</v>
      </c>
    </row>
    <row r="68" customHeight="1" spans="1:11">
      <c r="A68" s="114"/>
      <c r="B68" s="114"/>
      <c r="D68" s="156" t="s">
        <v>2861</v>
      </c>
      <c r="E68" s="170" t="s">
        <v>2862</v>
      </c>
      <c r="F68" s="114">
        <v>2003</v>
      </c>
      <c r="G68" s="152">
        <f t="shared" si="2"/>
        <v>2003</v>
      </c>
      <c r="H68" s="114" t="s">
        <v>2863</v>
      </c>
      <c r="I68" s="123" t="s">
        <v>2864</v>
      </c>
      <c r="J68" s="33">
        <v>667</v>
      </c>
      <c r="K68" s="164" t="s">
        <v>2783</v>
      </c>
    </row>
    <row r="69" customHeight="1" spans="1:11">
      <c r="A69" s="114"/>
      <c r="B69" s="114"/>
      <c r="D69" s="114" t="s">
        <v>2865</v>
      </c>
      <c r="E69" s="170" t="s">
        <v>2866</v>
      </c>
      <c r="F69" s="153">
        <v>42934</v>
      </c>
      <c r="G69" s="152">
        <f t="shared" si="2"/>
        <v>2934</v>
      </c>
      <c r="H69" s="114" t="s">
        <v>2867</v>
      </c>
      <c r="I69" s="123" t="s">
        <v>2868</v>
      </c>
      <c r="J69" s="33">
        <v>4923</v>
      </c>
      <c r="K69" s="164" t="s">
        <v>2783</v>
      </c>
    </row>
    <row r="70" customHeight="1" spans="1:11">
      <c r="A70" s="114"/>
      <c r="B70" s="114"/>
      <c r="D70" s="114" t="s">
        <v>2869</v>
      </c>
      <c r="E70" s="170" t="s">
        <v>2870</v>
      </c>
      <c r="F70" s="169">
        <v>43528</v>
      </c>
      <c r="G70" s="152">
        <f t="shared" si="2"/>
        <v>3528</v>
      </c>
      <c r="H70" s="114" t="s">
        <v>2871</v>
      </c>
      <c r="I70" s="123" t="s">
        <v>2872</v>
      </c>
      <c r="J70" s="33">
        <v>16</v>
      </c>
      <c r="K70" s="164" t="s">
        <v>2783</v>
      </c>
    </row>
    <row r="71" customHeight="1" spans="1:11">
      <c r="A71" s="114"/>
      <c r="B71" s="114"/>
      <c r="D71" s="114" t="s">
        <v>2873</v>
      </c>
      <c r="E71" s="241" t="s">
        <v>2874</v>
      </c>
      <c r="F71" s="114">
        <v>2014</v>
      </c>
      <c r="G71" s="152">
        <f t="shared" si="2"/>
        <v>2014</v>
      </c>
      <c r="H71" s="114" t="s">
        <v>2875</v>
      </c>
      <c r="I71" s="123" t="s">
        <v>2876</v>
      </c>
      <c r="J71" s="33">
        <v>2141</v>
      </c>
      <c r="K71" s="164" t="s">
        <v>2783</v>
      </c>
    </row>
    <row r="72" customHeight="1" spans="1:11">
      <c r="A72" s="114"/>
      <c r="B72" s="114"/>
      <c r="D72" s="156" t="s">
        <v>2877</v>
      </c>
      <c r="E72" s="170" t="s">
        <v>2878</v>
      </c>
      <c r="F72" s="153">
        <v>42844</v>
      </c>
      <c r="G72" s="152">
        <f t="shared" si="2"/>
        <v>2844</v>
      </c>
      <c r="H72" s="114" t="s">
        <v>2879</v>
      </c>
      <c r="I72" s="123" t="s">
        <v>2880</v>
      </c>
      <c r="J72" s="33">
        <v>2397</v>
      </c>
      <c r="K72" s="164" t="s">
        <v>2783</v>
      </c>
    </row>
    <row r="73" customHeight="1" spans="1:11">
      <c r="A73" s="114"/>
      <c r="B73" s="114"/>
      <c r="D73" s="114" t="s">
        <v>2881</v>
      </c>
      <c r="E73" s="170" t="s">
        <v>2882</v>
      </c>
      <c r="F73" s="153">
        <v>42415</v>
      </c>
      <c r="G73" s="152">
        <f t="shared" si="2"/>
        <v>2415</v>
      </c>
      <c r="H73" s="114" t="s">
        <v>2883</v>
      </c>
      <c r="I73" s="123" t="s">
        <v>2884</v>
      </c>
      <c r="J73" s="33">
        <v>6103</v>
      </c>
      <c r="K73" s="164" t="s">
        <v>2783</v>
      </c>
    </row>
    <row r="74" customHeight="1" spans="1:11">
      <c r="A74" s="114"/>
      <c r="B74" s="114"/>
      <c r="D74" s="114" t="s">
        <v>2885</v>
      </c>
      <c r="E74" s="170" t="s">
        <v>2886</v>
      </c>
      <c r="F74" s="153">
        <v>43476</v>
      </c>
      <c r="G74" s="152">
        <f t="shared" si="2"/>
        <v>3476</v>
      </c>
      <c r="H74" s="114" t="s">
        <v>2887</v>
      </c>
      <c r="I74" s="123" t="s">
        <v>2888</v>
      </c>
      <c r="J74" s="33">
        <v>51</v>
      </c>
      <c r="K74" s="164" t="s">
        <v>2783</v>
      </c>
    </row>
    <row r="75" customHeight="1" spans="1:11">
      <c r="A75" s="114"/>
      <c r="B75" s="114"/>
      <c r="D75" s="114" t="s">
        <v>2889</v>
      </c>
      <c r="E75" s="170" t="s">
        <v>2890</v>
      </c>
      <c r="F75" s="114">
        <v>1989</v>
      </c>
      <c r="G75" s="152">
        <f t="shared" si="2"/>
        <v>1989</v>
      </c>
      <c r="H75" s="114" t="s">
        <v>2891</v>
      </c>
      <c r="I75" s="123" t="s">
        <v>2892</v>
      </c>
      <c r="J75" s="33">
        <v>16900</v>
      </c>
      <c r="K75" s="164" t="s">
        <v>2783</v>
      </c>
    </row>
    <row r="76" customHeight="1" spans="1:11">
      <c r="A76" s="114"/>
      <c r="B76" s="114"/>
      <c r="D76" s="156" t="s">
        <v>379</v>
      </c>
      <c r="E76" s="170" t="s">
        <v>2893</v>
      </c>
      <c r="F76" s="153">
        <v>43956</v>
      </c>
      <c r="G76" s="152">
        <f t="shared" si="2"/>
        <v>3956</v>
      </c>
      <c r="H76" s="114" t="s">
        <v>2894</v>
      </c>
      <c r="I76" s="123" t="s">
        <v>2574</v>
      </c>
      <c r="J76" s="33">
        <v>50</v>
      </c>
      <c r="K76" s="164" t="s">
        <v>2783</v>
      </c>
    </row>
    <row r="77" customHeight="1" spans="1:11">
      <c r="A77" s="114"/>
      <c r="B77" s="114"/>
      <c r="D77" s="114" t="s">
        <v>2895</v>
      </c>
      <c r="E77" s="221" t="s">
        <v>2896</v>
      </c>
      <c r="F77" s="114">
        <v>2019</v>
      </c>
      <c r="G77" s="152">
        <f t="shared" si="2"/>
        <v>2019</v>
      </c>
      <c r="H77" s="114" t="s">
        <v>2897</v>
      </c>
      <c r="I77" s="123" t="s">
        <v>2898</v>
      </c>
      <c r="J77" s="33">
        <v>1422</v>
      </c>
      <c r="K77" s="164" t="s">
        <v>2783</v>
      </c>
    </row>
    <row r="78" customHeight="1" spans="1:11">
      <c r="A78" s="114"/>
      <c r="B78" s="114"/>
      <c r="D78" s="114" t="s">
        <v>815</v>
      </c>
      <c r="E78" s="114" t="s">
        <v>2899</v>
      </c>
      <c r="F78" s="153">
        <v>27851</v>
      </c>
      <c r="G78" s="152">
        <f t="shared" si="2"/>
        <v>7851</v>
      </c>
      <c r="H78" s="114" t="s">
        <v>2900</v>
      </c>
      <c r="I78" s="123" t="s">
        <v>2901</v>
      </c>
      <c r="J78" s="33">
        <v>1498</v>
      </c>
      <c r="K78" s="164" t="s">
        <v>2783</v>
      </c>
    </row>
    <row r="79" customHeight="1" spans="1:11">
      <c r="A79" s="114"/>
      <c r="B79" s="114"/>
      <c r="D79" s="114" t="s">
        <v>2265</v>
      </c>
      <c r="E79" s="221" t="s">
        <v>2902</v>
      </c>
      <c r="F79" s="153">
        <v>43625</v>
      </c>
      <c r="G79" s="152">
        <f t="shared" si="2"/>
        <v>3625</v>
      </c>
      <c r="H79" s="114" t="s">
        <v>2903</v>
      </c>
      <c r="I79" s="123" t="s">
        <v>2904</v>
      </c>
      <c r="J79" s="33">
        <v>34</v>
      </c>
      <c r="K79" s="164" t="s">
        <v>2783</v>
      </c>
    </row>
    <row r="80" customHeight="1" spans="1:11">
      <c r="A80" s="114"/>
      <c r="B80" s="114"/>
      <c r="D80" s="114" t="s">
        <v>2905</v>
      </c>
      <c r="E80" s="221" t="s">
        <v>2906</v>
      </c>
      <c r="F80" s="114">
        <v>2013</v>
      </c>
      <c r="G80" s="152">
        <f t="shared" si="2"/>
        <v>2013</v>
      </c>
      <c r="H80" s="114" t="s">
        <v>2907</v>
      </c>
      <c r="I80" s="123" t="s">
        <v>2908</v>
      </c>
      <c r="J80" s="33">
        <v>57</v>
      </c>
      <c r="K80" s="164" t="s">
        <v>2783</v>
      </c>
    </row>
    <row r="81" customHeight="1" spans="1:11">
      <c r="A81" s="114"/>
      <c r="B81" s="114"/>
      <c r="D81" s="114" t="s">
        <v>1660</v>
      </c>
      <c r="E81" s="221" t="s">
        <v>2909</v>
      </c>
      <c r="F81" s="153">
        <v>41030</v>
      </c>
      <c r="G81" s="152">
        <f t="shared" si="2"/>
        <v>1030</v>
      </c>
      <c r="H81" s="114" t="s">
        <v>2910</v>
      </c>
      <c r="I81" s="123" t="s">
        <v>2911</v>
      </c>
      <c r="J81" s="33">
        <v>559</v>
      </c>
      <c r="K81" s="164" t="s">
        <v>2783</v>
      </c>
    </row>
    <row r="82" customHeight="1" spans="1:11">
      <c r="A82" s="114"/>
      <c r="B82" s="114"/>
      <c r="D82" s="114" t="s">
        <v>1267</v>
      </c>
      <c r="E82" s="221" t="s">
        <v>2912</v>
      </c>
      <c r="F82" s="153">
        <v>41030</v>
      </c>
      <c r="G82" s="152">
        <f t="shared" si="2"/>
        <v>1030</v>
      </c>
      <c r="H82" s="114" t="s">
        <v>2913</v>
      </c>
      <c r="I82" s="123" t="s">
        <v>2914</v>
      </c>
      <c r="J82" s="33">
        <v>13479</v>
      </c>
      <c r="K82" s="164" t="s">
        <v>2783</v>
      </c>
    </row>
    <row r="83" customHeight="1" spans="1:11">
      <c r="A83" s="114"/>
      <c r="B83" s="114"/>
      <c r="D83" s="114" t="s">
        <v>1267</v>
      </c>
      <c r="E83" s="221" t="s">
        <v>2915</v>
      </c>
      <c r="F83" s="153"/>
      <c r="G83" s="152"/>
      <c r="H83" s="114" t="s">
        <v>2916</v>
      </c>
      <c r="I83" s="123" t="s">
        <v>2917</v>
      </c>
      <c r="J83" s="33">
        <v>190</v>
      </c>
      <c r="K83" s="164" t="s">
        <v>2783</v>
      </c>
    </row>
    <row r="84" customHeight="1" spans="1:11">
      <c r="A84" s="114"/>
      <c r="B84" s="114"/>
      <c r="D84" s="114" t="s">
        <v>2918</v>
      </c>
      <c r="E84" s="114" t="s">
        <v>2919</v>
      </c>
      <c r="F84" s="153">
        <v>43243</v>
      </c>
      <c r="G84" s="152">
        <f t="shared" ref="G84:G327" si="3">IF(INT(RIGHT(F84,4))&lt;1,"",INT(RIGHT(F84,4)))</f>
        <v>3243</v>
      </c>
      <c r="H84" s="114" t="s">
        <v>2920</v>
      </c>
      <c r="I84" s="123" t="s">
        <v>2921</v>
      </c>
      <c r="J84" s="33">
        <v>1109</v>
      </c>
      <c r="K84" s="164" t="s">
        <v>2783</v>
      </c>
    </row>
    <row r="85" customHeight="1" spans="1:11">
      <c r="A85" s="114"/>
      <c r="B85" s="114"/>
      <c r="D85" s="114" t="s">
        <v>2922</v>
      </c>
      <c r="E85" s="221" t="s">
        <v>2923</v>
      </c>
      <c r="F85" s="153">
        <v>43437</v>
      </c>
      <c r="G85" s="152">
        <f t="shared" si="3"/>
        <v>3437</v>
      </c>
      <c r="H85" s="114" t="s">
        <v>2924</v>
      </c>
      <c r="I85" s="123" t="s">
        <v>2925</v>
      </c>
      <c r="J85" s="33">
        <v>242</v>
      </c>
      <c r="K85" s="164" t="s">
        <v>2783</v>
      </c>
    </row>
    <row r="86" customHeight="1" spans="1:11">
      <c r="A86" s="114"/>
      <c r="B86" s="114"/>
      <c r="D86" s="114" t="s">
        <v>2926</v>
      </c>
      <c r="E86" s="221" t="s">
        <v>2927</v>
      </c>
      <c r="F86" s="153">
        <v>41197</v>
      </c>
      <c r="G86" s="152">
        <f t="shared" si="3"/>
        <v>1197</v>
      </c>
      <c r="H86" s="114" t="s">
        <v>2928</v>
      </c>
      <c r="I86" s="123" t="s">
        <v>2611</v>
      </c>
      <c r="J86" s="33">
        <v>4757</v>
      </c>
      <c r="K86" s="164" t="s">
        <v>2783</v>
      </c>
    </row>
    <row r="87" customHeight="1" spans="1:11">
      <c r="A87" s="114"/>
      <c r="B87" s="114"/>
      <c r="D87" s="114" t="s">
        <v>2929</v>
      </c>
      <c r="E87" s="221" t="s">
        <v>2930</v>
      </c>
      <c r="F87" s="153">
        <v>43987</v>
      </c>
      <c r="G87" s="152">
        <f t="shared" si="3"/>
        <v>3987</v>
      </c>
      <c r="H87" s="114" t="s">
        <v>2931</v>
      </c>
      <c r="I87" s="123" t="s">
        <v>2932</v>
      </c>
      <c r="J87" s="33">
        <v>89</v>
      </c>
      <c r="K87" s="164" t="s">
        <v>2783</v>
      </c>
    </row>
    <row r="88" customHeight="1" spans="1:11">
      <c r="A88" s="114"/>
      <c r="B88" s="114"/>
      <c r="D88" s="114" t="s">
        <v>2933</v>
      </c>
      <c r="E88" s="221" t="s">
        <v>2934</v>
      </c>
      <c r="F88" s="153">
        <v>42056</v>
      </c>
      <c r="G88" s="152">
        <f t="shared" si="3"/>
        <v>2056</v>
      </c>
      <c r="H88" s="114" t="s">
        <v>2935</v>
      </c>
      <c r="I88" s="123" t="s">
        <v>2936</v>
      </c>
      <c r="J88" s="33">
        <v>20005</v>
      </c>
      <c r="K88" s="164" t="s">
        <v>2783</v>
      </c>
    </row>
    <row r="89" customHeight="1" spans="1:11">
      <c r="A89" s="114"/>
      <c r="B89" s="114"/>
      <c r="D89" s="114" t="s">
        <v>2885</v>
      </c>
      <c r="E89" s="221" t="s">
        <v>2937</v>
      </c>
      <c r="F89" s="153">
        <v>43375</v>
      </c>
      <c r="G89" s="152">
        <f t="shared" si="3"/>
        <v>3375</v>
      </c>
      <c r="H89" s="114" t="s">
        <v>2938</v>
      </c>
      <c r="I89" s="123" t="s">
        <v>2939</v>
      </c>
      <c r="J89" s="33">
        <v>605</v>
      </c>
      <c r="K89" s="164" t="s">
        <v>2783</v>
      </c>
    </row>
    <row r="90" customHeight="1" spans="1:11">
      <c r="A90" s="114"/>
      <c r="B90" s="114"/>
      <c r="D90" s="114" t="s">
        <v>2940</v>
      </c>
      <c r="E90" s="221" t="s">
        <v>2941</v>
      </c>
      <c r="F90" s="169">
        <v>40719</v>
      </c>
      <c r="G90" s="152">
        <f t="shared" si="3"/>
        <v>719</v>
      </c>
      <c r="H90" s="114" t="s">
        <v>2942</v>
      </c>
      <c r="I90" s="123" t="s">
        <v>2943</v>
      </c>
      <c r="J90" s="33">
        <v>478</v>
      </c>
      <c r="K90" s="164" t="s">
        <v>2783</v>
      </c>
    </row>
    <row r="91" customHeight="1" spans="1:11">
      <c r="A91" s="114"/>
      <c r="B91" s="114"/>
      <c r="D91" s="114" t="s">
        <v>215</v>
      </c>
      <c r="E91" s="114" t="s">
        <v>2944</v>
      </c>
      <c r="F91" s="169">
        <v>42964</v>
      </c>
      <c r="G91" s="152">
        <f t="shared" si="3"/>
        <v>2964</v>
      </c>
      <c r="H91" s="114" t="s">
        <v>2945</v>
      </c>
      <c r="I91" s="123" t="s">
        <v>2946</v>
      </c>
      <c r="J91" s="33">
        <v>1261</v>
      </c>
      <c r="K91" s="164" t="s">
        <v>2783</v>
      </c>
    </row>
    <row r="92" customHeight="1" spans="1:11">
      <c r="A92" s="114"/>
      <c r="B92" s="114"/>
      <c r="D92" s="114" t="s">
        <v>2947</v>
      </c>
      <c r="E92" s="114" t="s">
        <v>2948</v>
      </c>
      <c r="F92" s="114">
        <v>2004</v>
      </c>
      <c r="G92" s="152">
        <f t="shared" si="3"/>
        <v>2004</v>
      </c>
      <c r="H92" s="114" t="s">
        <v>2949</v>
      </c>
      <c r="I92" s="123" t="s">
        <v>2950</v>
      </c>
      <c r="J92" s="33">
        <v>64552</v>
      </c>
      <c r="K92" s="164" t="s">
        <v>2783</v>
      </c>
    </row>
    <row r="93" customHeight="1" spans="1:11">
      <c r="A93" s="114"/>
      <c r="B93" s="114"/>
      <c r="D93" s="114" t="s">
        <v>2951</v>
      </c>
      <c r="E93" s="114" t="s">
        <v>2952</v>
      </c>
      <c r="F93" s="169">
        <v>43581</v>
      </c>
      <c r="G93" s="152">
        <f t="shared" si="3"/>
        <v>3581</v>
      </c>
      <c r="H93" s="114" t="s">
        <v>2953</v>
      </c>
      <c r="I93" s="123" t="s">
        <v>2954</v>
      </c>
      <c r="J93" s="33">
        <v>306</v>
      </c>
      <c r="K93" s="164" t="s">
        <v>2783</v>
      </c>
    </row>
    <row r="94" customHeight="1" spans="1:11">
      <c r="A94" s="114"/>
      <c r="B94" s="114"/>
      <c r="D94" s="114" t="s">
        <v>2955</v>
      </c>
      <c r="E94" s="114" t="s">
        <v>2956</v>
      </c>
      <c r="F94" s="153">
        <v>39874</v>
      </c>
      <c r="G94" s="152">
        <f t="shared" si="3"/>
        <v>9874</v>
      </c>
      <c r="H94" s="114" t="s">
        <v>2957</v>
      </c>
      <c r="I94" s="123" t="s">
        <v>2958</v>
      </c>
      <c r="J94" s="33">
        <v>914</v>
      </c>
      <c r="K94" s="164" t="s">
        <v>2783</v>
      </c>
    </row>
    <row r="95" customHeight="1" spans="1:11">
      <c r="A95" s="114"/>
      <c r="B95" s="114"/>
      <c r="D95" s="114" t="s">
        <v>815</v>
      </c>
      <c r="E95" s="222" t="s">
        <v>2959</v>
      </c>
      <c r="F95" s="169">
        <v>25204</v>
      </c>
      <c r="G95" s="152">
        <f t="shared" si="3"/>
        <v>5204</v>
      </c>
      <c r="H95" s="114" t="s">
        <v>2960</v>
      </c>
      <c r="I95" s="123" t="s">
        <v>2961</v>
      </c>
      <c r="J95" s="33">
        <v>10461</v>
      </c>
      <c r="K95" s="164" t="s">
        <v>2783</v>
      </c>
    </row>
    <row r="96" customHeight="1" spans="1:11">
      <c r="A96" s="114"/>
      <c r="B96" s="114"/>
      <c r="D96" s="114" t="s">
        <v>1392</v>
      </c>
      <c r="E96" s="221" t="s">
        <v>2962</v>
      </c>
      <c r="F96" s="153">
        <v>43231</v>
      </c>
      <c r="G96" s="152">
        <f t="shared" si="3"/>
        <v>3231</v>
      </c>
      <c r="H96" s="114" t="s">
        <v>2963</v>
      </c>
      <c r="I96" s="123" t="s">
        <v>2964</v>
      </c>
      <c r="J96" s="33">
        <v>13</v>
      </c>
      <c r="K96" s="164" t="s">
        <v>2783</v>
      </c>
    </row>
    <row r="97" customHeight="1" spans="1:11">
      <c r="A97" s="114"/>
      <c r="B97" s="114"/>
      <c r="D97" s="114" t="s">
        <v>2965</v>
      </c>
      <c r="E97" s="221" t="s">
        <v>2966</v>
      </c>
      <c r="F97" s="153">
        <v>44064</v>
      </c>
      <c r="G97" s="152">
        <f t="shared" si="3"/>
        <v>4064</v>
      </c>
      <c r="H97" s="114" t="s">
        <v>2967</v>
      </c>
      <c r="I97" s="123" t="s">
        <v>2968</v>
      </c>
      <c r="J97" s="33">
        <v>175</v>
      </c>
      <c r="K97" s="164" t="s">
        <v>2783</v>
      </c>
    </row>
    <row r="98" customHeight="1" spans="1:11">
      <c r="A98" s="114"/>
      <c r="B98" s="114"/>
      <c r="D98" s="114" t="s">
        <v>2969</v>
      </c>
      <c r="E98" s="221" t="s">
        <v>2970</v>
      </c>
      <c r="F98" s="153">
        <v>39250</v>
      </c>
      <c r="G98" s="152">
        <f t="shared" si="3"/>
        <v>9250</v>
      </c>
      <c r="H98" s="114" t="s">
        <v>2971</v>
      </c>
      <c r="I98" s="123" t="s">
        <v>2972</v>
      </c>
      <c r="J98" s="33">
        <v>1915</v>
      </c>
      <c r="K98" s="164" t="s">
        <v>2783</v>
      </c>
    </row>
    <row r="99" customHeight="1" spans="1:11">
      <c r="A99" s="114"/>
      <c r="B99" s="114"/>
      <c r="D99" s="114" t="s">
        <v>2973</v>
      </c>
      <c r="E99" s="221" t="s">
        <v>2974</v>
      </c>
      <c r="F99" s="153">
        <v>43143</v>
      </c>
      <c r="G99" s="152">
        <f t="shared" si="3"/>
        <v>3143</v>
      </c>
      <c r="H99" s="114" t="s">
        <v>2975</v>
      </c>
      <c r="I99" s="123" t="s">
        <v>2976</v>
      </c>
      <c r="J99" s="33">
        <v>1653</v>
      </c>
      <c r="K99" s="164" t="s">
        <v>2783</v>
      </c>
    </row>
    <row r="100" customHeight="1" spans="1:11">
      <c r="A100" s="114"/>
      <c r="B100" s="114"/>
      <c r="D100" s="114" t="s">
        <v>2977</v>
      </c>
      <c r="E100" s="222" t="s">
        <v>2978</v>
      </c>
      <c r="F100" s="153">
        <v>43427</v>
      </c>
      <c r="G100" s="152">
        <f t="shared" si="3"/>
        <v>3427</v>
      </c>
      <c r="H100" s="114" t="s">
        <v>2979</v>
      </c>
      <c r="I100" s="123" t="s">
        <v>2980</v>
      </c>
      <c r="J100" s="33">
        <v>52</v>
      </c>
      <c r="K100" s="164" t="s">
        <v>2783</v>
      </c>
    </row>
    <row r="101" customHeight="1" spans="1:11">
      <c r="A101" s="114"/>
      <c r="B101" s="114"/>
      <c r="D101" s="114" t="s">
        <v>2981</v>
      </c>
      <c r="E101" s="221" t="s">
        <v>2982</v>
      </c>
      <c r="F101" s="153">
        <v>42929</v>
      </c>
      <c r="G101" s="152">
        <f t="shared" si="3"/>
        <v>2929</v>
      </c>
      <c r="H101" s="114" t="s">
        <v>2983</v>
      </c>
      <c r="I101" s="123" t="s">
        <v>2984</v>
      </c>
      <c r="J101" s="33">
        <v>61</v>
      </c>
      <c r="K101" s="164" t="s">
        <v>2783</v>
      </c>
    </row>
    <row r="102" customHeight="1" spans="1:11">
      <c r="A102" s="114"/>
      <c r="B102" s="114"/>
      <c r="D102" s="114" t="s">
        <v>1392</v>
      </c>
      <c r="E102" s="221" t="s">
        <v>2985</v>
      </c>
      <c r="F102" s="153">
        <v>42654</v>
      </c>
      <c r="G102" s="152">
        <f t="shared" si="3"/>
        <v>2654</v>
      </c>
      <c r="H102" s="114" t="s">
        <v>2986</v>
      </c>
      <c r="I102" s="123" t="s">
        <v>2987</v>
      </c>
      <c r="J102" s="33">
        <v>3849</v>
      </c>
      <c r="K102" s="164" t="s">
        <v>2783</v>
      </c>
    </row>
    <row r="103" customHeight="1" spans="1:11">
      <c r="A103" s="114"/>
      <c r="B103" s="114"/>
      <c r="D103" s="114" t="s">
        <v>464</v>
      </c>
      <c r="E103" s="221" t="s">
        <v>2988</v>
      </c>
      <c r="F103" s="153">
        <v>43628</v>
      </c>
      <c r="G103" s="152">
        <f t="shared" si="3"/>
        <v>3628</v>
      </c>
      <c r="H103" s="114" t="s">
        <v>2989</v>
      </c>
      <c r="I103" s="123" t="s">
        <v>2990</v>
      </c>
      <c r="J103" s="33">
        <v>393</v>
      </c>
      <c r="K103" s="164" t="s">
        <v>2783</v>
      </c>
    </row>
    <row r="104" customHeight="1" spans="1:11">
      <c r="A104" s="114"/>
      <c r="B104" s="114"/>
      <c r="D104" s="114" t="s">
        <v>2991</v>
      </c>
      <c r="E104" s="114" t="s">
        <v>2992</v>
      </c>
      <c r="F104" s="153">
        <v>21976</v>
      </c>
      <c r="G104" s="152">
        <f t="shared" si="3"/>
        <v>1976</v>
      </c>
      <c r="H104" s="114" t="s">
        <v>2993</v>
      </c>
      <c r="I104" s="123" t="s">
        <v>2994</v>
      </c>
      <c r="J104" s="33">
        <v>243</v>
      </c>
      <c r="K104" s="164" t="s">
        <v>2783</v>
      </c>
    </row>
    <row r="105" customHeight="1" spans="1:11">
      <c r="A105" s="114"/>
      <c r="B105" s="114"/>
      <c r="D105" s="114" t="s">
        <v>2995</v>
      </c>
      <c r="E105" s="221" t="s">
        <v>2996</v>
      </c>
      <c r="F105" s="153">
        <v>42034</v>
      </c>
      <c r="G105" s="152">
        <f t="shared" si="3"/>
        <v>2034</v>
      </c>
      <c r="H105" s="114" t="s">
        <v>2997</v>
      </c>
      <c r="I105" s="123" t="s">
        <v>2998</v>
      </c>
      <c r="J105" s="33">
        <v>27033</v>
      </c>
      <c r="K105" s="164" t="s">
        <v>2783</v>
      </c>
    </row>
    <row r="106" customHeight="1" spans="1:11">
      <c r="A106" s="114"/>
      <c r="B106" s="114"/>
      <c r="D106" s="114" t="s">
        <v>815</v>
      </c>
      <c r="E106" s="221" t="s">
        <v>2999</v>
      </c>
      <c r="F106" s="169">
        <v>44459</v>
      </c>
      <c r="G106" s="152">
        <f t="shared" si="3"/>
        <v>4459</v>
      </c>
      <c r="H106" s="114" t="s">
        <v>3000</v>
      </c>
      <c r="I106" s="123" t="s">
        <v>3001</v>
      </c>
      <c r="J106" s="33">
        <v>2</v>
      </c>
      <c r="K106" s="164" t="s">
        <v>2783</v>
      </c>
    </row>
    <row r="107" customHeight="1" spans="1:11">
      <c r="A107" s="114"/>
      <c r="B107" s="114"/>
      <c r="D107" s="114" t="s">
        <v>3002</v>
      </c>
      <c r="E107" s="221" t="s">
        <v>3003</v>
      </c>
      <c r="F107" s="153">
        <v>43602</v>
      </c>
      <c r="G107" s="152">
        <f t="shared" si="3"/>
        <v>3602</v>
      </c>
      <c r="H107" s="114" t="s">
        <v>3004</v>
      </c>
      <c r="I107" s="123" t="s">
        <v>3005</v>
      </c>
      <c r="J107" s="33">
        <v>240</v>
      </c>
      <c r="K107" s="164" t="s">
        <v>2783</v>
      </c>
    </row>
    <row r="108" customHeight="1" spans="1:11">
      <c r="A108" s="114"/>
      <c r="B108" s="114"/>
      <c r="D108" s="114" t="s">
        <v>3006</v>
      </c>
      <c r="E108" s="222" t="s">
        <v>3007</v>
      </c>
      <c r="F108" s="153">
        <v>43412</v>
      </c>
      <c r="G108" s="152">
        <f t="shared" si="3"/>
        <v>3412</v>
      </c>
      <c r="H108" s="114" t="s">
        <v>3008</v>
      </c>
      <c r="I108" s="123" t="s">
        <v>3009</v>
      </c>
      <c r="J108" s="33">
        <v>300</v>
      </c>
      <c r="K108" s="164" t="s">
        <v>2783</v>
      </c>
    </row>
    <row r="109" customHeight="1" spans="1:11">
      <c r="A109" s="114"/>
      <c r="B109" s="114"/>
      <c r="D109" s="114" t="s">
        <v>3010</v>
      </c>
      <c r="E109" s="221" t="s">
        <v>3011</v>
      </c>
      <c r="F109" s="153">
        <v>43621</v>
      </c>
      <c r="G109" s="152">
        <f t="shared" si="3"/>
        <v>3621</v>
      </c>
      <c r="H109" s="114" t="s">
        <v>3012</v>
      </c>
      <c r="I109" s="123" t="s">
        <v>3013</v>
      </c>
      <c r="J109" s="33">
        <v>1013</v>
      </c>
      <c r="K109" s="164" t="s">
        <v>2783</v>
      </c>
    </row>
    <row r="110" customHeight="1" spans="1:11">
      <c r="A110" s="114"/>
      <c r="B110" s="114"/>
      <c r="D110" s="114" t="s">
        <v>815</v>
      </c>
      <c r="E110" s="221" t="s">
        <v>3014</v>
      </c>
      <c r="F110" s="153">
        <v>43621</v>
      </c>
      <c r="G110" s="152">
        <f t="shared" si="3"/>
        <v>3621</v>
      </c>
      <c r="H110" s="114" t="s">
        <v>3012</v>
      </c>
      <c r="I110" s="114"/>
      <c r="J110" s="33">
        <v>1013</v>
      </c>
      <c r="K110" s="164" t="s">
        <v>2783</v>
      </c>
    </row>
    <row r="111" customHeight="1" spans="1:11">
      <c r="A111" s="114"/>
      <c r="B111" s="114"/>
      <c r="D111" s="114" t="s">
        <v>815</v>
      </c>
      <c r="E111" s="221" t="s">
        <v>3015</v>
      </c>
      <c r="F111" s="169">
        <v>43446</v>
      </c>
      <c r="G111" s="152">
        <f t="shared" si="3"/>
        <v>3446</v>
      </c>
      <c r="H111" s="114" t="s">
        <v>3016</v>
      </c>
      <c r="I111" s="123" t="s">
        <v>3017</v>
      </c>
      <c r="J111" s="33">
        <v>28</v>
      </c>
      <c r="K111" s="164" t="s">
        <v>2783</v>
      </c>
    </row>
    <row r="112" customHeight="1" spans="1:11">
      <c r="A112" s="114"/>
      <c r="B112" s="114"/>
      <c r="D112" s="114" t="s">
        <v>1267</v>
      </c>
      <c r="E112" s="221" t="s">
        <v>3018</v>
      </c>
      <c r="F112" s="153">
        <v>34335</v>
      </c>
      <c r="G112" s="152">
        <f t="shared" si="3"/>
        <v>4335</v>
      </c>
      <c r="H112" s="114" t="s">
        <v>3019</v>
      </c>
      <c r="I112" s="123" t="s">
        <v>3020</v>
      </c>
      <c r="J112" s="33">
        <v>42790</v>
      </c>
      <c r="K112" s="164" t="s">
        <v>2783</v>
      </c>
    </row>
    <row r="113" customHeight="1" spans="1:11">
      <c r="A113" s="114"/>
      <c r="B113" s="114"/>
      <c r="D113" s="114" t="s">
        <v>815</v>
      </c>
      <c r="E113" s="222" t="s">
        <v>3021</v>
      </c>
      <c r="F113" s="153">
        <v>43675</v>
      </c>
      <c r="G113" s="152">
        <f t="shared" si="3"/>
        <v>3675</v>
      </c>
      <c r="H113" s="114" t="s">
        <v>3022</v>
      </c>
      <c r="I113" s="123" t="s">
        <v>3023</v>
      </c>
      <c r="J113" s="33">
        <v>17</v>
      </c>
      <c r="K113" s="164" t="s">
        <v>2783</v>
      </c>
    </row>
    <row r="114" customHeight="1" spans="1:11">
      <c r="A114" s="114"/>
      <c r="B114" s="114"/>
      <c r="D114" s="114" t="s">
        <v>3024</v>
      </c>
      <c r="E114" s="221" t="s">
        <v>3025</v>
      </c>
      <c r="F114" s="153">
        <v>43936</v>
      </c>
      <c r="G114" s="152">
        <f t="shared" si="3"/>
        <v>3936</v>
      </c>
      <c r="H114" s="114" t="s">
        <v>3026</v>
      </c>
      <c r="I114" s="123" t="s">
        <v>3027</v>
      </c>
      <c r="J114" s="33">
        <v>149</v>
      </c>
      <c r="K114" s="164" t="s">
        <v>2783</v>
      </c>
    </row>
    <row r="115" customHeight="1" spans="1:11">
      <c r="A115" s="114"/>
      <c r="B115" s="114"/>
      <c r="D115" s="114" t="s">
        <v>3028</v>
      </c>
      <c r="E115" s="221" t="s">
        <v>3029</v>
      </c>
      <c r="F115" s="153">
        <v>43200</v>
      </c>
      <c r="G115" s="152">
        <f t="shared" si="3"/>
        <v>3200</v>
      </c>
      <c r="H115" s="114" t="s">
        <v>3030</v>
      </c>
      <c r="I115" s="123" t="s">
        <v>3031</v>
      </c>
      <c r="J115" s="33">
        <v>261</v>
      </c>
      <c r="K115" s="164" t="s">
        <v>2783</v>
      </c>
    </row>
    <row r="116" customHeight="1" spans="1:11">
      <c r="A116" s="114"/>
      <c r="B116" s="114"/>
      <c r="D116" s="114" t="s">
        <v>3032</v>
      </c>
      <c r="E116" s="221" t="s">
        <v>3033</v>
      </c>
      <c r="F116" s="153">
        <v>43995</v>
      </c>
      <c r="G116" s="152">
        <f t="shared" si="3"/>
        <v>3995</v>
      </c>
      <c r="H116" s="114" t="s">
        <v>3034</v>
      </c>
      <c r="I116" s="123" t="s">
        <v>3035</v>
      </c>
      <c r="J116" s="33">
        <v>3840</v>
      </c>
      <c r="K116" s="164" t="s">
        <v>2783</v>
      </c>
    </row>
    <row r="117" customHeight="1" spans="1:11">
      <c r="A117" s="114"/>
      <c r="B117" s="114"/>
      <c r="D117" s="114" t="s">
        <v>2779</v>
      </c>
      <c r="E117" s="221" t="s">
        <v>3036</v>
      </c>
      <c r="F117" s="153">
        <v>43435</v>
      </c>
      <c r="G117" s="152">
        <f t="shared" si="3"/>
        <v>3435</v>
      </c>
      <c r="H117" s="114" t="s">
        <v>3037</v>
      </c>
      <c r="I117" s="123" t="s">
        <v>3038</v>
      </c>
      <c r="J117" s="33">
        <v>12</v>
      </c>
      <c r="K117" s="164" t="s">
        <v>2783</v>
      </c>
    </row>
    <row r="118" customHeight="1" spans="1:11">
      <c r="A118" s="114"/>
      <c r="B118" s="114"/>
      <c r="D118" s="114" t="s">
        <v>3039</v>
      </c>
      <c r="E118" s="221" t="s">
        <v>3040</v>
      </c>
      <c r="F118" s="153">
        <v>42941</v>
      </c>
      <c r="G118" s="152">
        <f t="shared" si="3"/>
        <v>2941</v>
      </c>
      <c r="H118" s="114" t="s">
        <v>3041</v>
      </c>
      <c r="I118" s="123" t="s">
        <v>3042</v>
      </c>
      <c r="J118" s="33">
        <v>118</v>
      </c>
      <c r="K118" s="164" t="s">
        <v>2783</v>
      </c>
    </row>
    <row r="119" customHeight="1" spans="1:11">
      <c r="A119" s="114"/>
      <c r="B119" s="114"/>
      <c r="D119" s="114" t="s">
        <v>3043</v>
      </c>
      <c r="E119" s="221" t="s">
        <v>3044</v>
      </c>
      <c r="F119" s="153">
        <v>43945</v>
      </c>
      <c r="G119" s="152">
        <f t="shared" si="3"/>
        <v>3945</v>
      </c>
      <c r="H119" s="114" t="s">
        <v>3045</v>
      </c>
      <c r="I119" s="123" t="s">
        <v>3046</v>
      </c>
      <c r="J119" s="33">
        <v>75</v>
      </c>
      <c r="K119" s="164" t="s">
        <v>2783</v>
      </c>
    </row>
    <row r="120" customHeight="1" spans="1:11">
      <c r="A120" s="114"/>
      <c r="B120" s="114"/>
      <c r="D120" s="114" t="s">
        <v>3047</v>
      </c>
      <c r="E120" s="221" t="s">
        <v>3048</v>
      </c>
      <c r="F120" s="153">
        <v>42993</v>
      </c>
      <c r="G120" s="152">
        <f t="shared" si="3"/>
        <v>2993</v>
      </c>
      <c r="H120" s="114" t="s">
        <v>3049</v>
      </c>
      <c r="I120" s="123" t="s">
        <v>3050</v>
      </c>
      <c r="J120" s="33">
        <v>3157</v>
      </c>
      <c r="K120" s="164" t="s">
        <v>2783</v>
      </c>
    </row>
    <row r="121" customHeight="1" spans="1:11">
      <c r="A121" s="114"/>
      <c r="B121" s="114"/>
      <c r="D121" s="114" t="s">
        <v>3051</v>
      </c>
      <c r="E121" s="221" t="s">
        <v>3052</v>
      </c>
      <c r="F121" s="153">
        <v>43479</v>
      </c>
      <c r="G121" s="152">
        <f t="shared" si="3"/>
        <v>3479</v>
      </c>
      <c r="H121" s="114" t="s">
        <v>3053</v>
      </c>
      <c r="I121" s="123" t="s">
        <v>3054</v>
      </c>
      <c r="J121" s="33">
        <v>282</v>
      </c>
      <c r="K121" s="164" t="s">
        <v>2783</v>
      </c>
    </row>
    <row r="122" customHeight="1" spans="1:11">
      <c r="A122" s="114"/>
      <c r="B122" s="114"/>
      <c r="D122" s="114" t="s">
        <v>3055</v>
      </c>
      <c r="E122" s="221" t="s">
        <v>3056</v>
      </c>
      <c r="F122" s="153">
        <v>40431</v>
      </c>
      <c r="G122" s="152">
        <f t="shared" si="3"/>
        <v>431</v>
      </c>
      <c r="H122" s="114" t="s">
        <v>3057</v>
      </c>
      <c r="I122" s="123" t="s">
        <v>3058</v>
      </c>
      <c r="J122" s="33">
        <v>685</v>
      </c>
      <c r="K122" s="164" t="s">
        <v>2783</v>
      </c>
    </row>
    <row r="123" customHeight="1" spans="1:11">
      <c r="A123" s="114"/>
      <c r="B123" s="114"/>
      <c r="D123" s="114"/>
      <c r="E123" s="221"/>
      <c r="F123" s="114"/>
      <c r="G123" s="152" t="e">
        <f t="shared" si="3"/>
        <v>#VALUE!</v>
      </c>
      <c r="H123" s="114"/>
      <c r="I123" s="114"/>
      <c r="J123" s="33"/>
      <c r="K123" s="164"/>
    </row>
    <row r="124" customHeight="1" spans="1:11">
      <c r="A124" s="114" t="s">
        <v>3059</v>
      </c>
      <c r="B124" s="114"/>
      <c r="D124" s="123" t="s">
        <v>3060</v>
      </c>
      <c r="E124" s="114"/>
      <c r="F124" s="182"/>
      <c r="G124" s="152" t="e">
        <f t="shared" si="3"/>
        <v>#VALUE!</v>
      </c>
      <c r="H124" s="114"/>
      <c r="I124" s="114"/>
      <c r="J124" s="33"/>
      <c r="K124" s="164" t="s">
        <v>428</v>
      </c>
    </row>
    <row r="125" customHeight="1" spans="1:11">
      <c r="A125" s="114"/>
      <c r="B125" s="114"/>
      <c r="D125" s="114"/>
      <c r="E125" s="221"/>
      <c r="F125" s="114"/>
      <c r="G125" s="152" t="e">
        <f t="shared" si="3"/>
        <v>#VALUE!</v>
      </c>
      <c r="H125" s="114"/>
      <c r="I125" s="114"/>
      <c r="J125" s="33"/>
      <c r="K125" s="164" t="s">
        <v>428</v>
      </c>
    </row>
    <row r="126" customHeight="1" spans="1:11">
      <c r="A126" s="114"/>
      <c r="B126" s="114"/>
      <c r="D126" s="114" t="s">
        <v>262</v>
      </c>
      <c r="E126" s="221" t="s">
        <v>3061</v>
      </c>
      <c r="F126" s="153">
        <v>44268</v>
      </c>
      <c r="G126" s="152">
        <f t="shared" si="3"/>
        <v>4268</v>
      </c>
      <c r="H126" s="114" t="s">
        <v>3062</v>
      </c>
      <c r="I126" s="123" t="s">
        <v>3063</v>
      </c>
      <c r="J126" s="33">
        <v>31</v>
      </c>
      <c r="K126" s="164" t="s">
        <v>428</v>
      </c>
    </row>
    <row r="127" customHeight="1" spans="1:11">
      <c r="A127" s="114"/>
      <c r="B127" s="114"/>
      <c r="D127" s="114" t="s">
        <v>3064</v>
      </c>
      <c r="E127" s="221" t="s">
        <v>3065</v>
      </c>
      <c r="F127" s="169">
        <v>44116</v>
      </c>
      <c r="G127" s="152">
        <f t="shared" si="3"/>
        <v>4116</v>
      </c>
      <c r="H127" s="114" t="s">
        <v>3066</v>
      </c>
      <c r="I127" s="123" t="s">
        <v>3067</v>
      </c>
      <c r="J127" s="33">
        <v>63</v>
      </c>
      <c r="K127" s="164" t="s">
        <v>428</v>
      </c>
    </row>
    <row r="128" customHeight="1" spans="1:11">
      <c r="A128" s="114"/>
      <c r="B128" s="114"/>
      <c r="D128" s="114" t="s">
        <v>504</v>
      </c>
      <c r="E128" s="221" t="s">
        <v>3068</v>
      </c>
      <c r="F128" s="153">
        <v>43979</v>
      </c>
      <c r="G128" s="152">
        <f t="shared" si="3"/>
        <v>3979</v>
      </c>
      <c r="H128" s="114" t="s">
        <v>3069</v>
      </c>
      <c r="I128" s="123" t="s">
        <v>3070</v>
      </c>
      <c r="J128" s="33">
        <v>1142</v>
      </c>
      <c r="K128" s="164" t="s">
        <v>428</v>
      </c>
    </row>
    <row r="129" customHeight="1" spans="1:11">
      <c r="A129" s="114"/>
      <c r="B129" s="114"/>
      <c r="D129" s="114" t="s">
        <v>3071</v>
      </c>
      <c r="E129" s="221" t="s">
        <v>3072</v>
      </c>
      <c r="F129" s="153">
        <v>43840</v>
      </c>
      <c r="G129" s="152">
        <f t="shared" si="3"/>
        <v>3840</v>
      </c>
      <c r="H129" s="114" t="s">
        <v>3073</v>
      </c>
      <c r="I129" s="123" t="s">
        <v>3074</v>
      </c>
      <c r="J129" s="33">
        <v>136</v>
      </c>
      <c r="K129" s="164" t="s">
        <v>428</v>
      </c>
    </row>
    <row r="130" customHeight="1" spans="1:11">
      <c r="A130" s="114"/>
      <c r="B130" s="114"/>
      <c r="D130" s="114" t="s">
        <v>3075</v>
      </c>
      <c r="E130" s="221" t="s">
        <v>3076</v>
      </c>
      <c r="F130" s="154">
        <v>34943</v>
      </c>
      <c r="G130" s="152">
        <f t="shared" si="3"/>
        <v>4943</v>
      </c>
      <c r="H130" s="114" t="s">
        <v>3077</v>
      </c>
      <c r="I130" s="123" t="s">
        <v>2247</v>
      </c>
      <c r="J130" s="33">
        <v>50986</v>
      </c>
      <c r="K130" s="164" t="s">
        <v>428</v>
      </c>
    </row>
    <row r="131" customHeight="1" spans="1:11">
      <c r="A131" s="114"/>
      <c r="B131" s="114"/>
      <c r="D131" s="114" t="s">
        <v>3078</v>
      </c>
      <c r="E131" s="222" t="s">
        <v>3079</v>
      </c>
      <c r="F131" s="153">
        <v>44084</v>
      </c>
      <c r="G131" s="152">
        <f t="shared" si="3"/>
        <v>4084</v>
      </c>
      <c r="H131" s="221" t="s">
        <v>3080</v>
      </c>
      <c r="I131" s="123" t="s">
        <v>3081</v>
      </c>
      <c r="J131" s="33">
        <v>737</v>
      </c>
      <c r="K131" s="164" t="s">
        <v>428</v>
      </c>
    </row>
    <row r="132" customHeight="1" spans="1:11">
      <c r="A132" s="114"/>
      <c r="B132" s="114"/>
      <c r="D132" s="114" t="s">
        <v>34</v>
      </c>
      <c r="E132" s="221" t="s">
        <v>3082</v>
      </c>
      <c r="F132" s="153">
        <v>44141</v>
      </c>
      <c r="G132" s="152">
        <f t="shared" si="3"/>
        <v>4141</v>
      </c>
      <c r="H132" s="221" t="s">
        <v>3083</v>
      </c>
      <c r="I132" s="123" t="s">
        <v>3084</v>
      </c>
      <c r="J132" s="33">
        <v>46</v>
      </c>
      <c r="K132" s="164" t="s">
        <v>428</v>
      </c>
    </row>
    <row r="133" customHeight="1" spans="1:11">
      <c r="A133" s="114"/>
      <c r="B133" s="114"/>
      <c r="D133" s="114" t="s">
        <v>3085</v>
      </c>
      <c r="E133" s="221" t="s">
        <v>3086</v>
      </c>
      <c r="F133" s="244">
        <v>43853</v>
      </c>
      <c r="G133" s="152">
        <f t="shared" si="3"/>
        <v>3853</v>
      </c>
      <c r="H133" s="221" t="s">
        <v>3087</v>
      </c>
      <c r="I133" s="123" t="s">
        <v>3088</v>
      </c>
      <c r="J133" s="33">
        <v>137</v>
      </c>
      <c r="K133" s="164" t="s">
        <v>428</v>
      </c>
    </row>
    <row r="134" customHeight="1" spans="1:11">
      <c r="A134" s="114"/>
      <c r="B134" s="114"/>
      <c r="D134" s="114" t="s">
        <v>3089</v>
      </c>
      <c r="E134" s="221" t="s">
        <v>3090</v>
      </c>
      <c r="F134" s="153">
        <v>43956</v>
      </c>
      <c r="G134" s="152">
        <f t="shared" si="3"/>
        <v>3956</v>
      </c>
      <c r="H134" s="221" t="s">
        <v>3091</v>
      </c>
      <c r="I134" s="123" t="s">
        <v>3092</v>
      </c>
      <c r="J134" s="33">
        <v>280</v>
      </c>
      <c r="K134" s="164" t="s">
        <v>428</v>
      </c>
    </row>
    <row r="135" customHeight="1" spans="1:11">
      <c r="A135" s="114"/>
      <c r="B135" s="114"/>
      <c r="D135" s="114" t="s">
        <v>3093</v>
      </c>
      <c r="E135" s="221" t="s">
        <v>3094</v>
      </c>
      <c r="F135" s="153">
        <v>43611</v>
      </c>
      <c r="G135" s="152">
        <f t="shared" si="3"/>
        <v>3611</v>
      </c>
      <c r="H135" s="222" t="s">
        <v>3095</v>
      </c>
      <c r="I135" s="123" t="s">
        <v>3096</v>
      </c>
      <c r="J135" s="33">
        <v>311</v>
      </c>
      <c r="K135" s="164" t="s">
        <v>428</v>
      </c>
    </row>
    <row r="136" customHeight="1" spans="1:11">
      <c r="A136" s="114"/>
      <c r="B136" s="114"/>
      <c r="D136" s="114" t="s">
        <v>85</v>
      </c>
      <c r="E136" s="221" t="s">
        <v>3097</v>
      </c>
      <c r="F136" s="153">
        <v>44012</v>
      </c>
      <c r="G136" s="152">
        <f t="shared" si="3"/>
        <v>4012</v>
      </c>
      <c r="H136" s="222" t="s">
        <v>3098</v>
      </c>
      <c r="I136" s="123" t="s">
        <v>3099</v>
      </c>
      <c r="J136" s="33">
        <v>132</v>
      </c>
      <c r="K136" s="164" t="s">
        <v>428</v>
      </c>
    </row>
    <row r="137" customHeight="1" spans="1:11">
      <c r="A137" s="114"/>
      <c r="B137" s="114"/>
      <c r="D137" s="114" t="s">
        <v>3100</v>
      </c>
      <c r="E137" s="222" t="s">
        <v>3101</v>
      </c>
      <c r="F137" s="153">
        <v>41081</v>
      </c>
      <c r="G137" s="152">
        <f t="shared" si="3"/>
        <v>1081</v>
      </c>
      <c r="H137" s="222" t="s">
        <v>3102</v>
      </c>
      <c r="I137" s="123" t="s">
        <v>3103</v>
      </c>
      <c r="J137" s="33">
        <v>608</v>
      </c>
      <c r="K137" s="164" t="s">
        <v>428</v>
      </c>
    </row>
    <row r="138" customHeight="1" spans="1:11">
      <c r="A138" s="114"/>
      <c r="B138" s="114"/>
      <c r="D138" s="114" t="s">
        <v>3104</v>
      </c>
      <c r="E138" s="221" t="s">
        <v>3105</v>
      </c>
      <c r="F138" s="153">
        <v>33084</v>
      </c>
      <c r="G138" s="152">
        <f t="shared" si="3"/>
        <v>3084</v>
      </c>
      <c r="H138" s="221" t="s">
        <v>3106</v>
      </c>
      <c r="I138" s="123" t="s">
        <v>3107</v>
      </c>
      <c r="J138" s="33">
        <v>1659</v>
      </c>
      <c r="K138" s="164" t="s">
        <v>428</v>
      </c>
    </row>
    <row r="139" customHeight="1" spans="1:11">
      <c r="A139" s="114"/>
      <c r="B139" s="114"/>
      <c r="D139" s="114" t="s">
        <v>464</v>
      </c>
      <c r="E139" s="221" t="s">
        <v>3108</v>
      </c>
      <c r="F139" s="153">
        <v>43201</v>
      </c>
      <c r="G139" s="152">
        <f t="shared" si="3"/>
        <v>3201</v>
      </c>
      <c r="H139" s="221" t="s">
        <v>3109</v>
      </c>
      <c r="I139" s="123" t="s">
        <v>3110</v>
      </c>
      <c r="J139" s="33">
        <v>191</v>
      </c>
      <c r="K139" s="164" t="s">
        <v>428</v>
      </c>
    </row>
    <row r="140" customHeight="1" spans="1:11">
      <c r="A140" s="114"/>
      <c r="B140" s="114"/>
      <c r="D140" s="114" t="s">
        <v>3111</v>
      </c>
      <c r="E140" s="221" t="s">
        <v>3112</v>
      </c>
      <c r="F140" s="153">
        <v>44410</v>
      </c>
      <c r="G140" s="152">
        <f t="shared" si="3"/>
        <v>4410</v>
      </c>
      <c r="H140" s="221" t="s">
        <v>3113</v>
      </c>
      <c r="I140" s="123" t="s">
        <v>3114</v>
      </c>
      <c r="J140" s="33">
        <v>125</v>
      </c>
      <c r="K140" s="164" t="s">
        <v>428</v>
      </c>
    </row>
    <row r="141" customHeight="1" spans="1:11">
      <c r="A141" s="114"/>
      <c r="B141" s="114"/>
      <c r="D141" s="114" t="s">
        <v>3115</v>
      </c>
      <c r="E141" s="221" t="s">
        <v>3116</v>
      </c>
      <c r="F141" s="153">
        <v>44211</v>
      </c>
      <c r="G141" s="152">
        <f t="shared" si="3"/>
        <v>4211</v>
      </c>
      <c r="H141" s="221" t="s">
        <v>3117</v>
      </c>
      <c r="I141" s="123" t="s">
        <v>3118</v>
      </c>
      <c r="J141" s="33">
        <v>448</v>
      </c>
      <c r="K141" s="164" t="s">
        <v>428</v>
      </c>
    </row>
    <row r="142" customHeight="1" spans="1:11">
      <c r="A142" s="114"/>
      <c r="B142" s="114"/>
      <c r="D142" s="114" t="s">
        <v>3119</v>
      </c>
      <c r="E142" s="222" t="s">
        <v>3120</v>
      </c>
      <c r="F142" s="153">
        <v>44354</v>
      </c>
      <c r="G142" s="152">
        <f t="shared" si="3"/>
        <v>4354</v>
      </c>
      <c r="H142" s="222" t="s">
        <v>3121</v>
      </c>
      <c r="I142" s="123" t="s">
        <v>3122</v>
      </c>
      <c r="J142" s="33">
        <v>45</v>
      </c>
      <c r="K142" s="164" t="s">
        <v>428</v>
      </c>
    </row>
    <row r="143" customHeight="1" spans="1:11">
      <c r="A143" s="114"/>
      <c r="B143" s="114"/>
      <c r="D143" s="114" t="s">
        <v>3123</v>
      </c>
      <c r="E143" s="221" t="s">
        <v>3124</v>
      </c>
      <c r="F143" s="153">
        <v>44419</v>
      </c>
      <c r="G143" s="152">
        <f t="shared" si="3"/>
        <v>4419</v>
      </c>
      <c r="H143" s="221" t="s">
        <v>3125</v>
      </c>
      <c r="I143" s="123" t="s">
        <v>3126</v>
      </c>
      <c r="J143" s="33">
        <v>183</v>
      </c>
      <c r="K143" s="164" t="s">
        <v>428</v>
      </c>
    </row>
    <row r="144" customHeight="1" spans="1:11">
      <c r="A144" s="114"/>
      <c r="B144" s="114"/>
      <c r="D144" s="114" t="s">
        <v>2877</v>
      </c>
      <c r="E144" s="221" t="s">
        <v>3127</v>
      </c>
      <c r="F144" s="169">
        <v>40842</v>
      </c>
      <c r="G144" s="152">
        <f t="shared" si="3"/>
        <v>842</v>
      </c>
      <c r="H144" s="221" t="s">
        <v>3128</v>
      </c>
      <c r="I144" s="123" t="s">
        <v>3129</v>
      </c>
      <c r="J144" s="33">
        <v>11</v>
      </c>
      <c r="K144" s="164" t="s">
        <v>428</v>
      </c>
    </row>
    <row r="145" customHeight="1" spans="1:11">
      <c r="A145" s="114"/>
      <c r="B145" s="114"/>
      <c r="D145" s="114" t="s">
        <v>3130</v>
      </c>
      <c r="E145" s="221" t="s">
        <v>3131</v>
      </c>
      <c r="F145" s="153">
        <v>44277</v>
      </c>
      <c r="G145" s="152">
        <f t="shared" si="3"/>
        <v>4277</v>
      </c>
      <c r="H145" s="221" t="s">
        <v>3132</v>
      </c>
      <c r="I145" s="123" t="s">
        <v>3133</v>
      </c>
      <c r="J145" s="33">
        <v>204</v>
      </c>
      <c r="K145" s="164" t="s">
        <v>428</v>
      </c>
    </row>
    <row r="146" customHeight="1" spans="1:11">
      <c r="A146" s="114"/>
      <c r="B146" s="114"/>
      <c r="D146" s="114" t="s">
        <v>3134</v>
      </c>
      <c r="E146" s="221" t="s">
        <v>3135</v>
      </c>
      <c r="F146" s="153">
        <v>43669</v>
      </c>
      <c r="G146" s="152">
        <f t="shared" si="3"/>
        <v>3669</v>
      </c>
      <c r="H146" s="222" t="s">
        <v>3136</v>
      </c>
      <c r="I146" s="123" t="s">
        <v>3137</v>
      </c>
      <c r="J146" s="33">
        <v>350</v>
      </c>
      <c r="K146" s="164" t="s">
        <v>428</v>
      </c>
    </row>
    <row r="147" customHeight="1" spans="1:11">
      <c r="A147" s="114"/>
      <c r="B147" s="114"/>
      <c r="D147" s="114" t="s">
        <v>3089</v>
      </c>
      <c r="E147" s="221" t="s">
        <v>3138</v>
      </c>
      <c r="F147" s="153">
        <v>43882</v>
      </c>
      <c r="G147" s="152">
        <f t="shared" si="3"/>
        <v>3882</v>
      </c>
      <c r="H147" s="221" t="s">
        <v>3139</v>
      </c>
      <c r="I147" s="123" t="s">
        <v>3140</v>
      </c>
      <c r="J147" s="33">
        <v>48</v>
      </c>
      <c r="K147" s="164" t="s">
        <v>428</v>
      </c>
    </row>
    <row r="148" customHeight="1" spans="1:11">
      <c r="A148" s="114"/>
      <c r="B148" s="114"/>
      <c r="C148" s="114"/>
      <c r="D148" s="114"/>
      <c r="E148" s="221"/>
      <c r="F148" s="153"/>
      <c r="G148" s="152" t="e">
        <f t="shared" si="3"/>
        <v>#VALUE!</v>
      </c>
      <c r="H148" s="221"/>
      <c r="I148" s="114"/>
      <c r="J148" s="33"/>
      <c r="K148" s="164"/>
    </row>
    <row r="149" customHeight="1" spans="1:11">
      <c r="A149" s="114" t="s">
        <v>3141</v>
      </c>
      <c r="B149" s="114"/>
      <c r="C149" s="246" t="s">
        <v>3142</v>
      </c>
      <c r="D149" s="114"/>
      <c r="E149" s="247"/>
      <c r="F149" s="188"/>
      <c r="G149" s="152" t="e">
        <f t="shared" si="3"/>
        <v>#VALUE!</v>
      </c>
      <c r="H149" s="247" t="s">
        <v>3143</v>
      </c>
      <c r="I149" s="114"/>
      <c r="J149" s="33">
        <v>25</v>
      </c>
      <c r="K149" s="164"/>
    </row>
    <row r="150" customHeight="1" spans="1:11">
      <c r="A150" s="114"/>
      <c r="B150" s="114"/>
      <c r="C150" s="114"/>
      <c r="D150" s="114"/>
      <c r="E150" s="226"/>
      <c r="F150" s="153"/>
      <c r="G150" s="152" t="e">
        <f t="shared" si="3"/>
        <v>#VALUE!</v>
      </c>
      <c r="H150" s="226"/>
      <c r="I150" s="114"/>
      <c r="J150" s="33"/>
      <c r="K150" s="164"/>
    </row>
    <row r="151" customHeight="1" spans="1:11">
      <c r="A151" s="114"/>
      <c r="B151" s="114"/>
      <c r="D151" s="22" t="s">
        <v>3144</v>
      </c>
      <c r="E151" s="221" t="s">
        <v>3145</v>
      </c>
      <c r="F151" s="153">
        <v>44268</v>
      </c>
      <c r="G151" s="152">
        <f t="shared" si="3"/>
        <v>4268</v>
      </c>
      <c r="H151" s="221" t="s">
        <v>3146</v>
      </c>
      <c r="I151" s="123" t="s">
        <v>3147</v>
      </c>
      <c r="J151" s="33">
        <v>47</v>
      </c>
      <c r="K151" s="164" t="s">
        <v>3142</v>
      </c>
    </row>
    <row r="152" customHeight="1" spans="1:11">
      <c r="A152" s="114"/>
      <c r="B152" s="114"/>
      <c r="D152" s="114" t="s">
        <v>299</v>
      </c>
      <c r="E152" s="221" t="s">
        <v>3148</v>
      </c>
      <c r="F152" s="153">
        <v>43347</v>
      </c>
      <c r="G152" s="152">
        <f t="shared" si="3"/>
        <v>3347</v>
      </c>
      <c r="H152" s="222" t="s">
        <v>3149</v>
      </c>
      <c r="I152" s="123" t="s">
        <v>3150</v>
      </c>
      <c r="J152" s="33">
        <v>60</v>
      </c>
      <c r="K152" s="164" t="s">
        <v>3142</v>
      </c>
    </row>
    <row r="153" customHeight="1" spans="1:11">
      <c r="A153" s="114"/>
      <c r="B153" s="114"/>
      <c r="D153" s="114" t="s">
        <v>1479</v>
      </c>
      <c r="E153" s="221" t="s">
        <v>3151</v>
      </c>
      <c r="F153" s="154">
        <v>43678</v>
      </c>
      <c r="G153" s="152">
        <f t="shared" si="3"/>
        <v>3678</v>
      </c>
      <c r="H153" s="250" t="s">
        <v>3152</v>
      </c>
      <c r="I153" s="123" t="s">
        <v>3153</v>
      </c>
      <c r="J153" s="33">
        <v>17</v>
      </c>
      <c r="K153" s="164" t="s">
        <v>3142</v>
      </c>
    </row>
    <row r="154" customHeight="1" spans="1:11">
      <c r="A154" s="114"/>
      <c r="B154" s="114"/>
      <c r="D154" s="114" t="s">
        <v>3154</v>
      </c>
      <c r="E154" s="221" t="s">
        <v>3155</v>
      </c>
      <c r="F154" s="153">
        <v>43479</v>
      </c>
      <c r="G154" s="152">
        <f t="shared" si="3"/>
        <v>3479</v>
      </c>
      <c r="H154" s="222" t="s">
        <v>3156</v>
      </c>
      <c r="I154" s="123" t="s">
        <v>3157</v>
      </c>
      <c r="J154" s="33">
        <v>275</v>
      </c>
      <c r="K154" s="164" t="s">
        <v>3142</v>
      </c>
    </row>
    <row r="155" customHeight="1" spans="1:11">
      <c r="A155" s="114"/>
      <c r="B155" s="114"/>
      <c r="D155" s="114" t="s">
        <v>299</v>
      </c>
      <c r="E155" s="221" t="s">
        <v>3158</v>
      </c>
      <c r="F155" s="153">
        <v>43217</v>
      </c>
      <c r="G155" s="152">
        <f t="shared" si="3"/>
        <v>3217</v>
      </c>
      <c r="H155" s="221" t="s">
        <v>3159</v>
      </c>
      <c r="I155" s="123" t="s">
        <v>3160</v>
      </c>
      <c r="J155" s="33">
        <v>328</v>
      </c>
      <c r="K155" s="164" t="s">
        <v>3142</v>
      </c>
    </row>
    <row r="156" customHeight="1" spans="1:11">
      <c r="A156" s="114"/>
      <c r="B156" s="114"/>
      <c r="D156" s="114" t="s">
        <v>299</v>
      </c>
      <c r="E156" s="221" t="s">
        <v>3161</v>
      </c>
      <c r="F156" s="153">
        <v>43622</v>
      </c>
      <c r="G156" s="152">
        <f t="shared" si="3"/>
        <v>3622</v>
      </c>
      <c r="H156" s="221" t="s">
        <v>3162</v>
      </c>
      <c r="I156" s="123" t="s">
        <v>3163</v>
      </c>
      <c r="J156" s="33">
        <v>128</v>
      </c>
      <c r="K156" s="164" t="s">
        <v>3142</v>
      </c>
    </row>
    <row r="157" customHeight="1" spans="1:11">
      <c r="A157" s="114"/>
      <c r="B157" s="114"/>
      <c r="D157" s="114" t="s">
        <v>3164</v>
      </c>
      <c r="E157" s="221" t="s">
        <v>3165</v>
      </c>
      <c r="F157" s="153">
        <v>40713</v>
      </c>
      <c r="G157" s="152">
        <f t="shared" si="3"/>
        <v>713</v>
      </c>
      <c r="H157" s="222" t="s">
        <v>3166</v>
      </c>
      <c r="I157" s="123" t="s">
        <v>3167</v>
      </c>
      <c r="J157" s="33">
        <v>495</v>
      </c>
      <c r="K157" s="164" t="s">
        <v>3142</v>
      </c>
    </row>
    <row r="158" customHeight="1" spans="1:11">
      <c r="A158" s="114"/>
      <c r="B158" s="114"/>
      <c r="D158" s="114" t="s">
        <v>400</v>
      </c>
      <c r="E158" s="221" t="s">
        <v>3168</v>
      </c>
      <c r="F158" s="153">
        <v>42762</v>
      </c>
      <c r="G158" s="152">
        <f t="shared" si="3"/>
        <v>2762</v>
      </c>
      <c r="H158" s="222" t="s">
        <v>3169</v>
      </c>
      <c r="I158" s="123" t="s">
        <v>3170</v>
      </c>
      <c r="J158" s="33">
        <v>830</v>
      </c>
      <c r="K158" s="164" t="s">
        <v>3142</v>
      </c>
    </row>
    <row r="159" customHeight="1" spans="1:11">
      <c r="A159" s="114"/>
      <c r="B159" s="114"/>
      <c r="D159" s="114" t="s">
        <v>97</v>
      </c>
      <c r="E159" s="221" t="s">
        <v>3171</v>
      </c>
      <c r="F159" s="154">
        <v>43282</v>
      </c>
      <c r="G159" s="152">
        <f t="shared" si="3"/>
        <v>3282</v>
      </c>
      <c r="H159" s="252" t="s">
        <v>3172</v>
      </c>
      <c r="I159" s="123" t="s">
        <v>3173</v>
      </c>
      <c r="J159" s="33">
        <v>53</v>
      </c>
      <c r="K159" s="164" t="s">
        <v>3142</v>
      </c>
    </row>
    <row r="160" customHeight="1" spans="1:11">
      <c r="A160" s="114"/>
      <c r="B160" s="114"/>
      <c r="D160" s="114" t="s">
        <v>3174</v>
      </c>
      <c r="E160" s="221" t="s">
        <v>3175</v>
      </c>
      <c r="F160" s="153">
        <v>43376</v>
      </c>
      <c r="G160" s="152">
        <f t="shared" si="3"/>
        <v>3376</v>
      </c>
      <c r="H160" s="221" t="s">
        <v>3176</v>
      </c>
      <c r="I160" s="123" t="s">
        <v>3177</v>
      </c>
      <c r="J160" s="33">
        <v>590</v>
      </c>
      <c r="K160" s="164" t="s">
        <v>3142</v>
      </c>
    </row>
    <row r="161" customHeight="1" spans="1:11">
      <c r="A161" s="114"/>
      <c r="B161" s="114"/>
      <c r="D161" s="114" t="s">
        <v>400</v>
      </c>
      <c r="E161" s="221" t="s">
        <v>3178</v>
      </c>
      <c r="F161" s="153">
        <v>42941</v>
      </c>
      <c r="G161" s="152">
        <f t="shared" si="3"/>
        <v>2941</v>
      </c>
      <c r="H161" s="221" t="s">
        <v>3179</v>
      </c>
      <c r="I161" s="123" t="s">
        <v>3180</v>
      </c>
      <c r="J161" s="33">
        <v>2532</v>
      </c>
      <c r="K161" s="164" t="s">
        <v>3142</v>
      </c>
    </row>
    <row r="162" customHeight="1" spans="1:11">
      <c r="A162" s="114"/>
      <c r="B162" s="114"/>
      <c r="D162" s="114" t="s">
        <v>3181</v>
      </c>
      <c r="E162" s="221" t="s">
        <v>3182</v>
      </c>
      <c r="F162" s="114">
        <v>2018</v>
      </c>
      <c r="G162" s="152">
        <f t="shared" si="3"/>
        <v>2018</v>
      </c>
      <c r="H162" s="222" t="s">
        <v>3183</v>
      </c>
      <c r="I162" s="123" t="s">
        <v>3184</v>
      </c>
      <c r="J162" s="33">
        <v>91</v>
      </c>
      <c r="K162" s="164" t="s">
        <v>3142</v>
      </c>
    </row>
    <row r="163" customHeight="1" spans="1:11">
      <c r="A163" s="114"/>
      <c r="B163" s="114"/>
      <c r="D163" s="114" t="s">
        <v>393</v>
      </c>
      <c r="E163" s="221" t="s">
        <v>3185</v>
      </c>
      <c r="F163" s="153">
        <v>43660</v>
      </c>
      <c r="G163" s="152">
        <f t="shared" si="3"/>
        <v>3660</v>
      </c>
      <c r="H163" s="221" t="s">
        <v>3186</v>
      </c>
      <c r="I163" s="123" t="s">
        <v>3187</v>
      </c>
      <c r="J163" s="33">
        <v>71</v>
      </c>
      <c r="K163" s="164" t="s">
        <v>3142</v>
      </c>
    </row>
    <row r="164" customHeight="1" spans="1:11">
      <c r="A164" s="114"/>
      <c r="B164" s="114"/>
      <c r="D164" s="114" t="s">
        <v>1822</v>
      </c>
      <c r="E164" s="221" t="s">
        <v>3188</v>
      </c>
      <c r="F164" s="153">
        <v>42635</v>
      </c>
      <c r="G164" s="152">
        <f t="shared" si="3"/>
        <v>2635</v>
      </c>
      <c r="H164" s="221" t="s">
        <v>3189</v>
      </c>
      <c r="I164" s="123" t="s">
        <v>3190</v>
      </c>
      <c r="J164" s="33">
        <v>548</v>
      </c>
      <c r="K164" s="164" t="s">
        <v>3142</v>
      </c>
    </row>
    <row r="165" customHeight="1" spans="1:11">
      <c r="A165" s="114"/>
      <c r="B165" s="114"/>
      <c r="D165" s="114" t="s">
        <v>3164</v>
      </c>
      <c r="E165" s="221" t="s">
        <v>3191</v>
      </c>
      <c r="F165" s="114">
        <v>2007</v>
      </c>
      <c r="G165" s="152">
        <f t="shared" si="3"/>
        <v>2007</v>
      </c>
      <c r="H165" s="222" t="s">
        <v>3192</v>
      </c>
      <c r="I165" s="123" t="s">
        <v>3193</v>
      </c>
      <c r="J165" s="33">
        <v>742</v>
      </c>
      <c r="K165" s="164" t="s">
        <v>3142</v>
      </c>
    </row>
    <row r="166" customHeight="1" spans="1:11">
      <c r="A166" s="114"/>
      <c r="B166" s="114"/>
      <c r="D166" s="114" t="s">
        <v>3194</v>
      </c>
      <c r="E166" s="221" t="s">
        <v>3195</v>
      </c>
      <c r="F166" s="153">
        <v>44495</v>
      </c>
      <c r="G166" s="152">
        <f t="shared" si="3"/>
        <v>4495</v>
      </c>
      <c r="H166" s="221" t="s">
        <v>3196</v>
      </c>
      <c r="I166" s="123" t="s">
        <v>3197</v>
      </c>
      <c r="J166" s="33">
        <v>741</v>
      </c>
      <c r="K166" s="164" t="s">
        <v>3142</v>
      </c>
    </row>
    <row r="167" customHeight="1" spans="1:11">
      <c r="A167" s="114"/>
      <c r="B167" s="114"/>
      <c r="D167" s="114" t="s">
        <v>3198</v>
      </c>
      <c r="E167" s="221" t="s">
        <v>3199</v>
      </c>
      <c r="F167" s="153">
        <v>44092</v>
      </c>
      <c r="G167" s="152">
        <f t="shared" si="3"/>
        <v>4092</v>
      </c>
      <c r="H167" s="221" t="s">
        <v>3200</v>
      </c>
      <c r="I167" s="123" t="s">
        <v>3201</v>
      </c>
      <c r="J167" s="33">
        <v>56</v>
      </c>
      <c r="K167" s="164" t="s">
        <v>3142</v>
      </c>
    </row>
    <row r="168" customHeight="1" spans="1:11">
      <c r="A168" s="114"/>
      <c r="B168" s="114"/>
      <c r="D168" s="114" t="s">
        <v>3202</v>
      </c>
      <c r="E168" s="221" t="s">
        <v>3203</v>
      </c>
      <c r="F168" s="153">
        <v>43950</v>
      </c>
      <c r="G168" s="152">
        <f t="shared" si="3"/>
        <v>3950</v>
      </c>
      <c r="H168" s="222" t="s">
        <v>3204</v>
      </c>
      <c r="I168" s="123" t="s">
        <v>3205</v>
      </c>
      <c r="J168" s="33">
        <v>48</v>
      </c>
      <c r="K168" s="164" t="s">
        <v>3142</v>
      </c>
    </row>
    <row r="169" customHeight="1" spans="1:11">
      <c r="A169" s="114"/>
      <c r="B169" s="114"/>
      <c r="D169" s="114" t="s">
        <v>3206</v>
      </c>
      <c r="E169" s="221" t="s">
        <v>3207</v>
      </c>
      <c r="F169" s="153">
        <v>44200</v>
      </c>
      <c r="G169" s="152">
        <f t="shared" si="3"/>
        <v>4200</v>
      </c>
      <c r="H169" s="253" t="s">
        <v>3208</v>
      </c>
      <c r="I169" s="123" t="s">
        <v>3209</v>
      </c>
      <c r="J169" s="33">
        <v>220</v>
      </c>
      <c r="K169" s="164" t="s">
        <v>3142</v>
      </c>
    </row>
    <row r="170" customHeight="1" spans="1:11">
      <c r="A170" s="114"/>
      <c r="B170" s="114"/>
      <c r="D170" s="114" t="s">
        <v>3164</v>
      </c>
      <c r="E170" s="221" t="s">
        <v>3210</v>
      </c>
      <c r="F170" s="153">
        <v>43727</v>
      </c>
      <c r="G170" s="152">
        <f t="shared" si="3"/>
        <v>3727</v>
      </c>
      <c r="H170" s="252" t="s">
        <v>3211</v>
      </c>
      <c r="I170" s="123" t="s">
        <v>3212</v>
      </c>
      <c r="J170" s="33" t="s">
        <v>3213</v>
      </c>
      <c r="K170" s="164" t="s">
        <v>3142</v>
      </c>
    </row>
    <row r="171" customHeight="1" spans="1:11">
      <c r="A171" s="114"/>
      <c r="B171" s="114"/>
      <c r="D171" s="114" t="s">
        <v>435</v>
      </c>
      <c r="E171" s="221" t="s">
        <v>3214</v>
      </c>
      <c r="F171" s="153">
        <v>43661</v>
      </c>
      <c r="G171" s="152">
        <f t="shared" si="3"/>
        <v>3661</v>
      </c>
      <c r="H171" s="221" t="s">
        <v>3215</v>
      </c>
      <c r="I171" s="123" t="s">
        <v>3216</v>
      </c>
      <c r="J171" s="33" t="s">
        <v>3213</v>
      </c>
      <c r="K171" s="164" t="s">
        <v>3142</v>
      </c>
    </row>
    <row r="172" customHeight="1" spans="1:11">
      <c r="A172" s="114"/>
      <c r="B172" s="114"/>
      <c r="D172" s="114" t="s">
        <v>3217</v>
      </c>
      <c r="E172" s="221" t="s">
        <v>3218</v>
      </c>
      <c r="F172" s="153">
        <v>43829</v>
      </c>
      <c r="G172" s="152">
        <f t="shared" si="3"/>
        <v>3829</v>
      </c>
      <c r="H172" s="222" t="s">
        <v>3219</v>
      </c>
      <c r="I172" s="123" t="s">
        <v>3220</v>
      </c>
      <c r="J172" s="33">
        <v>89</v>
      </c>
      <c r="K172" s="164" t="s">
        <v>3142</v>
      </c>
    </row>
    <row r="173" customHeight="1" spans="1:11">
      <c r="A173" s="114"/>
      <c r="B173" s="114"/>
      <c r="D173" s="114" t="s">
        <v>3221</v>
      </c>
      <c r="E173" s="221" t="s">
        <v>3222</v>
      </c>
      <c r="F173" s="153">
        <v>43556</v>
      </c>
      <c r="G173" s="152">
        <f t="shared" si="3"/>
        <v>3556</v>
      </c>
      <c r="H173" s="222" t="s">
        <v>3223</v>
      </c>
      <c r="I173" s="123" t="s">
        <v>3224</v>
      </c>
      <c r="J173" s="33">
        <v>1201</v>
      </c>
      <c r="K173" s="164" t="s">
        <v>3142</v>
      </c>
    </row>
    <row r="174" customHeight="1" spans="1:11">
      <c r="A174" s="114"/>
      <c r="B174" s="114"/>
      <c r="D174" s="114" t="s">
        <v>3225</v>
      </c>
      <c r="E174" s="221" t="s">
        <v>3226</v>
      </c>
      <c r="F174" s="153">
        <v>43347</v>
      </c>
      <c r="G174" s="152">
        <f t="shared" si="3"/>
        <v>3347</v>
      </c>
      <c r="H174" s="252" t="s">
        <v>3227</v>
      </c>
      <c r="I174" s="123" t="s">
        <v>3228</v>
      </c>
      <c r="J174" s="33">
        <v>395</v>
      </c>
      <c r="K174" s="164" t="s">
        <v>3142</v>
      </c>
    </row>
    <row r="175" customHeight="1" spans="1:11">
      <c r="A175" s="114"/>
      <c r="B175" s="114"/>
      <c r="D175" s="114" t="s">
        <v>3229</v>
      </c>
      <c r="E175" s="221" t="s">
        <v>3230</v>
      </c>
      <c r="F175" s="153">
        <v>43355</v>
      </c>
      <c r="G175" s="152">
        <f t="shared" si="3"/>
        <v>3355</v>
      </c>
      <c r="H175" s="250" t="s">
        <v>3231</v>
      </c>
      <c r="I175" s="123" t="s">
        <v>3232</v>
      </c>
      <c r="J175" s="33">
        <v>836</v>
      </c>
      <c r="K175" s="164" t="s">
        <v>3142</v>
      </c>
    </row>
    <row r="176" customHeight="1" spans="1:11">
      <c r="A176" s="114"/>
      <c r="B176" s="114"/>
      <c r="D176" s="114" t="s">
        <v>3233</v>
      </c>
      <c r="E176" s="221" t="s">
        <v>3234</v>
      </c>
      <c r="F176" s="114">
        <v>2006</v>
      </c>
      <c r="G176" s="152">
        <f t="shared" si="3"/>
        <v>2006</v>
      </c>
      <c r="H176" s="221" t="s">
        <v>3235</v>
      </c>
      <c r="I176" s="123" t="s">
        <v>3236</v>
      </c>
      <c r="J176" s="33">
        <v>2578</v>
      </c>
      <c r="K176" s="164" t="s">
        <v>3142</v>
      </c>
    </row>
    <row r="177" customHeight="1" spans="1:11">
      <c r="A177" s="114"/>
      <c r="B177" s="114"/>
      <c r="D177" s="114" t="s">
        <v>3237</v>
      </c>
      <c r="E177" s="221" t="s">
        <v>3238</v>
      </c>
      <c r="F177" s="153">
        <v>42331</v>
      </c>
      <c r="G177" s="152">
        <f t="shared" si="3"/>
        <v>2331</v>
      </c>
      <c r="H177" s="221" t="s">
        <v>3239</v>
      </c>
      <c r="I177" s="123" t="s">
        <v>3240</v>
      </c>
      <c r="J177" s="33">
        <v>1538</v>
      </c>
      <c r="K177" s="164" t="s">
        <v>3142</v>
      </c>
    </row>
    <row r="178" customHeight="1" spans="1:11">
      <c r="A178" s="114"/>
      <c r="B178" s="114"/>
      <c r="D178" s="114" t="s">
        <v>3241</v>
      </c>
      <c r="E178" s="221" t="s">
        <v>3242</v>
      </c>
      <c r="F178" s="153">
        <v>43621</v>
      </c>
      <c r="G178" s="152">
        <f t="shared" si="3"/>
        <v>3621</v>
      </c>
      <c r="H178" s="252" t="s">
        <v>3243</v>
      </c>
      <c r="I178" s="123" t="s">
        <v>3244</v>
      </c>
      <c r="J178" s="33">
        <v>204</v>
      </c>
      <c r="K178" s="164" t="s">
        <v>3142</v>
      </c>
    </row>
    <row r="179" customHeight="1" spans="1:11">
      <c r="A179" s="114"/>
      <c r="B179" s="114"/>
      <c r="D179" s="114" t="s">
        <v>3245</v>
      </c>
      <c r="E179" s="221" t="s">
        <v>3246</v>
      </c>
      <c r="F179" s="153">
        <v>43518</v>
      </c>
      <c r="G179" s="152">
        <f t="shared" si="3"/>
        <v>3518</v>
      </c>
      <c r="H179" s="222" t="s">
        <v>3247</v>
      </c>
      <c r="I179" s="123" t="s">
        <v>3248</v>
      </c>
      <c r="J179" s="33">
        <v>339</v>
      </c>
      <c r="K179" s="164" t="s">
        <v>3142</v>
      </c>
    </row>
    <row r="180" customHeight="1" spans="1:11">
      <c r="A180" s="114"/>
      <c r="B180" s="114"/>
      <c r="D180" s="114" t="s">
        <v>3249</v>
      </c>
      <c r="E180" s="221" t="s">
        <v>3250</v>
      </c>
      <c r="F180" s="153">
        <v>43649</v>
      </c>
      <c r="G180" s="152">
        <f t="shared" si="3"/>
        <v>3649</v>
      </c>
      <c r="H180" s="252" t="s">
        <v>3251</v>
      </c>
      <c r="I180" s="123" t="s">
        <v>3252</v>
      </c>
      <c r="J180" s="33">
        <v>23</v>
      </c>
      <c r="K180" s="164" t="s">
        <v>3142</v>
      </c>
    </row>
    <row r="181" customHeight="1" spans="1:11">
      <c r="A181" s="114"/>
      <c r="B181" s="114"/>
      <c r="D181" s="114" t="s">
        <v>3253</v>
      </c>
      <c r="E181" s="221" t="s">
        <v>3254</v>
      </c>
      <c r="F181" s="153">
        <v>43785</v>
      </c>
      <c r="G181" s="152">
        <f t="shared" si="3"/>
        <v>3785</v>
      </c>
      <c r="H181" s="221" t="s">
        <v>3255</v>
      </c>
      <c r="I181" s="123" t="s">
        <v>3256</v>
      </c>
      <c r="J181" s="33">
        <v>47</v>
      </c>
      <c r="K181" s="164" t="s">
        <v>3142</v>
      </c>
    </row>
    <row r="182" customHeight="1" spans="1:11">
      <c r="A182" s="114"/>
      <c r="B182" s="114"/>
      <c r="D182" s="114"/>
      <c r="E182" s="221"/>
      <c r="F182" s="153"/>
      <c r="G182" s="152" t="e">
        <f t="shared" si="3"/>
        <v>#VALUE!</v>
      </c>
      <c r="H182" s="221"/>
      <c r="I182" s="114"/>
      <c r="J182" s="33"/>
      <c r="K182" s="164"/>
    </row>
    <row r="183" customHeight="1" spans="1:11">
      <c r="A183" s="114" t="s">
        <v>3257</v>
      </c>
      <c r="B183" s="114"/>
      <c r="D183" s="114"/>
      <c r="E183" s="170"/>
      <c r="F183" s="153"/>
      <c r="G183" s="254" t="e">
        <f t="shared" si="3"/>
        <v>#VALUE!</v>
      </c>
      <c r="H183" s="255" t="s">
        <v>3258</v>
      </c>
      <c r="I183" s="114"/>
      <c r="J183" s="236">
        <v>7</v>
      </c>
      <c r="K183" s="164"/>
    </row>
    <row r="184" customHeight="1" spans="1:11">
      <c r="A184" s="114"/>
      <c r="B184" s="114"/>
      <c r="D184" s="256" t="s">
        <v>3259</v>
      </c>
      <c r="E184" s="170" t="s">
        <v>3260</v>
      </c>
      <c r="F184" s="154">
        <v>43466</v>
      </c>
      <c r="G184" s="152">
        <f t="shared" si="3"/>
        <v>3466</v>
      </c>
      <c r="H184" s="257" t="s">
        <v>3261</v>
      </c>
      <c r="I184" s="123" t="s">
        <v>3262</v>
      </c>
      <c r="J184" s="236">
        <v>204</v>
      </c>
      <c r="K184" s="164" t="s">
        <v>3263</v>
      </c>
    </row>
    <row r="185" customHeight="1" spans="1:11">
      <c r="A185" s="114"/>
      <c r="B185" s="114"/>
      <c r="D185" s="170" t="s">
        <v>3264</v>
      </c>
      <c r="E185" s="170" t="s">
        <v>3260</v>
      </c>
      <c r="F185" s="153">
        <v>43498</v>
      </c>
      <c r="G185" s="152">
        <f t="shared" si="3"/>
        <v>3498</v>
      </c>
      <c r="H185" s="258" t="s">
        <v>3265</v>
      </c>
      <c r="I185" s="123" t="s">
        <v>3266</v>
      </c>
      <c r="J185" s="236">
        <v>974</v>
      </c>
      <c r="K185" s="164" t="s">
        <v>3263</v>
      </c>
    </row>
    <row r="186" customHeight="1" spans="1:11">
      <c r="A186" s="114"/>
      <c r="B186" s="114"/>
      <c r="D186" s="170" t="s">
        <v>2796</v>
      </c>
      <c r="E186" s="170" t="s">
        <v>3267</v>
      </c>
      <c r="F186" s="153">
        <v>34335</v>
      </c>
      <c r="G186" s="152">
        <f t="shared" si="3"/>
        <v>4335</v>
      </c>
      <c r="H186" s="170" t="s">
        <v>3268</v>
      </c>
      <c r="I186" s="123" t="s">
        <v>3269</v>
      </c>
      <c r="J186" s="236">
        <v>1381</v>
      </c>
      <c r="K186" s="164" t="s">
        <v>3263</v>
      </c>
    </row>
    <row r="187" customHeight="1" spans="1:11">
      <c r="A187" s="114"/>
      <c r="B187" s="114"/>
      <c r="D187" s="114" t="s">
        <v>400</v>
      </c>
      <c r="E187" s="170" t="s">
        <v>3270</v>
      </c>
      <c r="F187" s="153">
        <v>43543</v>
      </c>
      <c r="G187" s="152">
        <f t="shared" si="3"/>
        <v>3543</v>
      </c>
      <c r="H187" s="258" t="s">
        <v>3271</v>
      </c>
      <c r="I187" s="123" t="s">
        <v>3272</v>
      </c>
      <c r="J187" s="236">
        <v>149</v>
      </c>
      <c r="K187" s="164" t="s">
        <v>3263</v>
      </c>
    </row>
    <row r="188" customHeight="1" spans="1:11">
      <c r="A188" s="114"/>
      <c r="B188" s="114"/>
      <c r="D188" s="114" t="s">
        <v>815</v>
      </c>
      <c r="E188" s="170" t="s">
        <v>3273</v>
      </c>
      <c r="F188" s="153">
        <v>42816</v>
      </c>
      <c r="G188" s="152">
        <f t="shared" si="3"/>
        <v>2816</v>
      </c>
      <c r="H188" s="170" t="s">
        <v>3274</v>
      </c>
      <c r="I188" s="123" t="s">
        <v>3275</v>
      </c>
      <c r="J188" s="236">
        <v>1018</v>
      </c>
      <c r="K188" s="164" t="s">
        <v>3263</v>
      </c>
    </row>
    <row r="189" customHeight="1" spans="1:11">
      <c r="A189" s="114"/>
      <c r="B189" s="114"/>
      <c r="D189" s="114" t="s">
        <v>3276</v>
      </c>
      <c r="E189" s="170" t="s">
        <v>3277</v>
      </c>
      <c r="F189" s="153">
        <v>38876</v>
      </c>
      <c r="G189" s="152">
        <f t="shared" si="3"/>
        <v>8876</v>
      </c>
      <c r="H189" s="258" t="s">
        <v>3278</v>
      </c>
      <c r="I189" s="123" t="s">
        <v>3279</v>
      </c>
      <c r="J189" s="236">
        <v>1131</v>
      </c>
      <c r="K189" s="164" t="s">
        <v>3263</v>
      </c>
    </row>
    <row r="190" customHeight="1" spans="1:11">
      <c r="A190" s="114"/>
      <c r="B190" s="114"/>
      <c r="D190" s="114" t="s">
        <v>3280</v>
      </c>
      <c r="E190" s="170" t="s">
        <v>3281</v>
      </c>
      <c r="F190" s="153">
        <v>44013</v>
      </c>
      <c r="G190" s="152">
        <f t="shared" si="3"/>
        <v>4013</v>
      </c>
      <c r="H190" s="257" t="s">
        <v>3282</v>
      </c>
      <c r="I190" s="123" t="s">
        <v>3283</v>
      </c>
      <c r="J190" s="236">
        <v>15</v>
      </c>
      <c r="K190" s="164" t="s">
        <v>3263</v>
      </c>
    </row>
    <row r="191" customHeight="1" spans="1:11">
      <c r="A191" s="114"/>
      <c r="B191" s="114"/>
      <c r="D191" s="114" t="s">
        <v>682</v>
      </c>
      <c r="E191" s="170" t="s">
        <v>3284</v>
      </c>
      <c r="F191" s="153">
        <v>43365</v>
      </c>
      <c r="G191" s="152">
        <f t="shared" si="3"/>
        <v>3365</v>
      </c>
      <c r="H191" s="258" t="s">
        <v>3285</v>
      </c>
      <c r="I191" s="123" t="s">
        <v>3286</v>
      </c>
      <c r="J191" s="236">
        <v>237</v>
      </c>
      <c r="K191" s="164" t="s">
        <v>3263</v>
      </c>
    </row>
    <row r="192" customHeight="1" spans="1:11">
      <c r="A192" s="114"/>
      <c r="B192" s="114"/>
      <c r="D192" s="114" t="s">
        <v>400</v>
      </c>
      <c r="E192" s="170" t="s">
        <v>3287</v>
      </c>
      <c r="F192" s="153">
        <v>43929</v>
      </c>
      <c r="G192" s="152">
        <f t="shared" si="3"/>
        <v>3929</v>
      </c>
      <c r="H192" s="258" t="s">
        <v>3288</v>
      </c>
      <c r="I192" s="123" t="s">
        <v>3289</v>
      </c>
      <c r="J192" s="236">
        <v>1177</v>
      </c>
      <c r="K192" s="164" t="s">
        <v>3263</v>
      </c>
    </row>
    <row r="193" customHeight="1" spans="1:11">
      <c r="A193" s="114"/>
      <c r="B193" s="114"/>
      <c r="D193" s="114" t="s">
        <v>3290</v>
      </c>
      <c r="E193" s="170" t="s">
        <v>3291</v>
      </c>
      <c r="F193" s="153">
        <v>32143</v>
      </c>
      <c r="G193" s="152">
        <f t="shared" si="3"/>
        <v>2143</v>
      </c>
      <c r="H193" s="258" t="s">
        <v>3292</v>
      </c>
      <c r="I193" s="123" t="s">
        <v>3293</v>
      </c>
      <c r="J193" s="236">
        <v>609</v>
      </c>
      <c r="K193" s="164" t="s">
        <v>3263</v>
      </c>
    </row>
    <row r="194" customHeight="1" spans="1:11">
      <c r="A194" s="114"/>
      <c r="B194" s="114"/>
      <c r="D194" s="114" t="s">
        <v>1166</v>
      </c>
      <c r="E194" s="170" t="s">
        <v>3294</v>
      </c>
      <c r="F194" s="153">
        <v>42804</v>
      </c>
      <c r="G194" s="152">
        <f t="shared" si="3"/>
        <v>2804</v>
      </c>
      <c r="H194" s="170" t="s">
        <v>3295</v>
      </c>
      <c r="I194" s="259" t="s">
        <v>3296</v>
      </c>
      <c r="J194" s="236">
        <v>734</v>
      </c>
      <c r="K194" s="164" t="s">
        <v>3263</v>
      </c>
    </row>
    <row r="195" customHeight="1" spans="1:11">
      <c r="A195" s="114"/>
      <c r="B195" s="114"/>
      <c r="D195" s="114" t="s">
        <v>1166</v>
      </c>
      <c r="E195" s="170" t="s">
        <v>3297</v>
      </c>
      <c r="F195" s="153">
        <v>43284</v>
      </c>
      <c r="G195" s="152">
        <f t="shared" si="3"/>
        <v>3284</v>
      </c>
      <c r="H195" s="258" t="s">
        <v>3298</v>
      </c>
      <c r="I195" s="123" t="s">
        <v>3299</v>
      </c>
      <c r="J195" s="236">
        <v>109</v>
      </c>
      <c r="K195" s="164" t="s">
        <v>3263</v>
      </c>
    </row>
    <row r="196" customHeight="1" spans="1:11">
      <c r="A196" s="114"/>
      <c r="B196" s="114"/>
      <c r="D196" s="114" t="s">
        <v>3300</v>
      </c>
      <c r="E196" s="170" t="s">
        <v>3301</v>
      </c>
      <c r="F196" s="153">
        <v>43052</v>
      </c>
      <c r="G196" s="152">
        <f t="shared" si="3"/>
        <v>3052</v>
      </c>
      <c r="H196" s="170" t="s">
        <v>3302</v>
      </c>
      <c r="I196" s="123" t="s">
        <v>3303</v>
      </c>
      <c r="J196" s="236">
        <v>165</v>
      </c>
      <c r="K196" s="164" t="s">
        <v>3263</v>
      </c>
    </row>
    <row r="197" customHeight="1" spans="1:11">
      <c r="A197" s="114"/>
      <c r="B197" s="114"/>
      <c r="D197" s="114" t="s">
        <v>3300</v>
      </c>
      <c r="E197" s="170" t="s">
        <v>3304</v>
      </c>
      <c r="F197" s="153">
        <v>43581</v>
      </c>
      <c r="G197" s="152">
        <f t="shared" si="3"/>
        <v>3581</v>
      </c>
      <c r="H197" s="170" t="s">
        <v>3305</v>
      </c>
      <c r="I197" s="123" t="s">
        <v>3306</v>
      </c>
      <c r="J197" s="236">
        <v>1207</v>
      </c>
      <c r="K197" s="164" t="s">
        <v>3263</v>
      </c>
    </row>
    <row r="198" customHeight="1" spans="1:11">
      <c r="A198" s="114"/>
      <c r="B198" s="114"/>
      <c r="D198" s="170" t="s">
        <v>3307</v>
      </c>
      <c r="E198" s="170" t="s">
        <v>3308</v>
      </c>
      <c r="F198" s="153">
        <v>43979</v>
      </c>
      <c r="G198" s="152">
        <f t="shared" si="3"/>
        <v>3979</v>
      </c>
      <c r="H198" s="258" t="s">
        <v>3309</v>
      </c>
      <c r="I198" s="123" t="s">
        <v>3310</v>
      </c>
      <c r="J198" s="236">
        <v>10</v>
      </c>
      <c r="K198" s="164" t="s">
        <v>3263</v>
      </c>
    </row>
    <row r="199" customHeight="1" spans="1:11">
      <c r="A199" s="114"/>
      <c r="B199" s="114"/>
      <c r="D199" s="114" t="s">
        <v>3311</v>
      </c>
      <c r="E199" s="170" t="s">
        <v>3312</v>
      </c>
      <c r="F199" s="153">
        <v>39457</v>
      </c>
      <c r="G199" s="152">
        <f t="shared" si="3"/>
        <v>9457</v>
      </c>
      <c r="H199" s="170" t="s">
        <v>3313</v>
      </c>
      <c r="I199" s="123" t="s">
        <v>3314</v>
      </c>
      <c r="J199" s="236">
        <v>696</v>
      </c>
      <c r="K199" s="164" t="s">
        <v>3263</v>
      </c>
    </row>
    <row r="200" customHeight="1" spans="1:11">
      <c r="A200" s="114"/>
      <c r="B200" s="114"/>
      <c r="D200" s="114" t="s">
        <v>262</v>
      </c>
      <c r="E200" s="170" t="s">
        <v>3315</v>
      </c>
      <c r="F200" s="153">
        <v>43571</v>
      </c>
      <c r="G200" s="152">
        <f t="shared" si="3"/>
        <v>3571</v>
      </c>
      <c r="H200" s="170" t="s">
        <v>3316</v>
      </c>
      <c r="I200" s="123" t="s">
        <v>3317</v>
      </c>
      <c r="J200" s="236">
        <v>586</v>
      </c>
      <c r="K200" s="164" t="s">
        <v>3263</v>
      </c>
    </row>
    <row r="201" customHeight="1" spans="1:11">
      <c r="A201" s="114"/>
      <c r="B201" s="114"/>
      <c r="D201" s="114" t="s">
        <v>3164</v>
      </c>
      <c r="E201" s="170" t="s">
        <v>3318</v>
      </c>
      <c r="F201" s="153">
        <v>40713</v>
      </c>
      <c r="G201" s="152">
        <f t="shared" si="3"/>
        <v>713</v>
      </c>
      <c r="H201" s="258" t="s">
        <v>3319</v>
      </c>
      <c r="I201" s="123" t="s">
        <v>3320</v>
      </c>
      <c r="J201" s="236">
        <v>1199</v>
      </c>
      <c r="K201" s="164" t="s">
        <v>3263</v>
      </c>
    </row>
    <row r="202" customHeight="1" spans="1:11">
      <c r="A202" s="114"/>
      <c r="B202" s="114"/>
      <c r="D202" s="114" t="s">
        <v>3321</v>
      </c>
      <c r="E202" s="170" t="s">
        <v>3322</v>
      </c>
      <c r="F202" s="114">
        <v>1991</v>
      </c>
      <c r="G202" s="152">
        <f t="shared" si="3"/>
        <v>1991</v>
      </c>
      <c r="H202" s="170" t="s">
        <v>3323</v>
      </c>
      <c r="I202" s="123" t="s">
        <v>3324</v>
      </c>
      <c r="J202" s="236">
        <v>3543</v>
      </c>
      <c r="K202" s="164" t="s">
        <v>3263</v>
      </c>
    </row>
    <row r="203" customHeight="1" spans="1:11">
      <c r="A203" s="114"/>
      <c r="B203" s="114"/>
      <c r="D203" s="114" t="s">
        <v>3325</v>
      </c>
      <c r="E203" s="170" t="s">
        <v>3326</v>
      </c>
      <c r="F203" s="153">
        <v>43374</v>
      </c>
      <c r="G203" s="152">
        <f t="shared" si="3"/>
        <v>3374</v>
      </c>
      <c r="H203" s="258" t="s">
        <v>3327</v>
      </c>
      <c r="I203" s="123" t="s">
        <v>3328</v>
      </c>
      <c r="J203" s="236">
        <v>9</v>
      </c>
      <c r="K203" s="164" t="s">
        <v>3263</v>
      </c>
    </row>
    <row r="204" customHeight="1" spans="1:11">
      <c r="A204" s="114"/>
      <c r="B204" s="114"/>
      <c r="D204" s="114" t="s">
        <v>3325</v>
      </c>
      <c r="E204" s="170" t="s">
        <v>3329</v>
      </c>
      <c r="F204" s="153">
        <v>42979</v>
      </c>
      <c r="G204" s="152">
        <f t="shared" si="3"/>
        <v>2979</v>
      </c>
      <c r="H204" s="258" t="s">
        <v>3330</v>
      </c>
      <c r="I204" s="123" t="s">
        <v>3331</v>
      </c>
      <c r="J204" s="236">
        <v>78</v>
      </c>
      <c r="K204" s="164" t="s">
        <v>3263</v>
      </c>
    </row>
    <row r="205" customHeight="1" spans="1:11">
      <c r="A205" s="114"/>
      <c r="B205" s="114"/>
      <c r="D205" s="114" t="s">
        <v>3332</v>
      </c>
      <c r="E205" s="170" t="s">
        <v>3333</v>
      </c>
      <c r="F205" s="153">
        <v>43974</v>
      </c>
      <c r="G205" s="152">
        <f t="shared" si="3"/>
        <v>3974</v>
      </c>
      <c r="H205" s="170" t="s">
        <v>3334</v>
      </c>
      <c r="I205" s="123" t="s">
        <v>3335</v>
      </c>
      <c r="J205" s="236">
        <v>22</v>
      </c>
      <c r="K205" s="164" t="s">
        <v>3263</v>
      </c>
    </row>
    <row r="206" customHeight="1" spans="1:11">
      <c r="A206" s="114"/>
      <c r="B206" s="114"/>
      <c r="D206" s="114" t="s">
        <v>3321</v>
      </c>
      <c r="E206" s="170" t="s">
        <v>3336</v>
      </c>
      <c r="F206" s="153">
        <v>38200</v>
      </c>
      <c r="G206" s="152">
        <f t="shared" si="3"/>
        <v>8200</v>
      </c>
      <c r="H206" s="114" t="s">
        <v>3337</v>
      </c>
      <c r="I206" s="123" t="s">
        <v>3338</v>
      </c>
      <c r="J206" s="236">
        <v>8716</v>
      </c>
      <c r="K206" s="164" t="s">
        <v>3263</v>
      </c>
    </row>
    <row r="207" customHeight="1" spans="1:11">
      <c r="A207" s="114"/>
      <c r="B207" s="114"/>
      <c r="D207" s="114" t="s">
        <v>3339</v>
      </c>
      <c r="E207" s="170" t="s">
        <v>3340</v>
      </c>
      <c r="F207" s="153">
        <v>43128</v>
      </c>
      <c r="G207" s="152">
        <f t="shared" si="3"/>
        <v>3128</v>
      </c>
      <c r="H207" s="170" t="s">
        <v>3341</v>
      </c>
      <c r="I207" s="123" t="s">
        <v>3342</v>
      </c>
      <c r="J207" s="236">
        <v>20343</v>
      </c>
      <c r="K207" s="164" t="s">
        <v>3263</v>
      </c>
    </row>
    <row r="208" customHeight="1" spans="1:11">
      <c r="A208" s="114"/>
      <c r="B208" s="114"/>
      <c r="D208" s="114" t="s">
        <v>3343</v>
      </c>
      <c r="E208" s="170" t="s">
        <v>3344</v>
      </c>
      <c r="F208" s="153">
        <v>44013</v>
      </c>
      <c r="G208" s="152">
        <f t="shared" si="3"/>
        <v>4013</v>
      </c>
      <c r="H208" s="258" t="s">
        <v>3345</v>
      </c>
      <c r="I208" s="123" t="s">
        <v>3346</v>
      </c>
      <c r="J208" s="236">
        <v>2</v>
      </c>
      <c r="K208" s="164" t="s">
        <v>3263</v>
      </c>
    </row>
    <row r="209" customHeight="1" spans="1:11">
      <c r="A209" s="114"/>
      <c r="B209" s="114"/>
      <c r="D209" s="114" t="s">
        <v>3347</v>
      </c>
      <c r="E209" s="170" t="s">
        <v>3348</v>
      </c>
      <c r="F209" s="153">
        <v>42191</v>
      </c>
      <c r="G209" s="152">
        <f t="shared" si="3"/>
        <v>2191</v>
      </c>
      <c r="H209" s="170" t="s">
        <v>3349</v>
      </c>
      <c r="I209" s="123" t="s">
        <v>3350</v>
      </c>
      <c r="J209" s="236">
        <v>1660</v>
      </c>
      <c r="K209" s="164" t="s">
        <v>3263</v>
      </c>
    </row>
    <row r="210" customHeight="1" spans="1:11">
      <c r="A210" s="114"/>
      <c r="B210" s="114"/>
      <c r="D210" s="114" t="s">
        <v>3351</v>
      </c>
      <c r="E210" s="170" t="s">
        <v>3352</v>
      </c>
      <c r="F210" s="153">
        <v>42765</v>
      </c>
      <c r="G210" s="152">
        <f t="shared" si="3"/>
        <v>2765</v>
      </c>
      <c r="H210" s="170" t="s">
        <v>3353</v>
      </c>
      <c r="I210" s="123" t="s">
        <v>3354</v>
      </c>
      <c r="J210" s="236">
        <v>91191</v>
      </c>
      <c r="K210" s="164" t="s">
        <v>3263</v>
      </c>
    </row>
    <row r="211" customHeight="1" spans="1:11">
      <c r="A211" s="114"/>
      <c r="B211" s="114"/>
      <c r="D211" s="114" t="s">
        <v>3355</v>
      </c>
      <c r="E211" s="170" t="s">
        <v>3356</v>
      </c>
      <c r="F211" s="153">
        <v>43702</v>
      </c>
      <c r="G211" s="152">
        <f t="shared" si="3"/>
        <v>3702</v>
      </c>
      <c r="H211" s="258" t="s">
        <v>3357</v>
      </c>
      <c r="I211" s="123" t="s">
        <v>3358</v>
      </c>
      <c r="J211" s="236">
        <v>144</v>
      </c>
      <c r="K211" s="164" t="s">
        <v>3263</v>
      </c>
    </row>
    <row r="212" customHeight="1" spans="1:11">
      <c r="A212" s="114"/>
      <c r="B212" s="114"/>
      <c r="D212" s="114" t="s">
        <v>3359</v>
      </c>
      <c r="E212" s="170" t="s">
        <v>3360</v>
      </c>
      <c r="F212" s="153">
        <v>42637</v>
      </c>
      <c r="G212" s="152">
        <f t="shared" si="3"/>
        <v>2637</v>
      </c>
      <c r="H212" s="170" t="s">
        <v>3361</v>
      </c>
      <c r="I212" s="170" t="s">
        <v>3362</v>
      </c>
      <c r="J212" s="236">
        <v>75</v>
      </c>
      <c r="K212" s="164" t="s">
        <v>3263</v>
      </c>
    </row>
    <row r="213" customHeight="1" spans="1:11">
      <c r="A213" s="114"/>
      <c r="B213" s="114"/>
      <c r="D213" s="114" t="s">
        <v>3363</v>
      </c>
      <c r="E213" s="170" t="s">
        <v>3364</v>
      </c>
      <c r="F213" s="153">
        <v>42467</v>
      </c>
      <c r="G213" s="152">
        <f t="shared" si="3"/>
        <v>2467</v>
      </c>
      <c r="H213" s="258" t="s">
        <v>3365</v>
      </c>
      <c r="I213" s="123" t="s">
        <v>3366</v>
      </c>
      <c r="J213" s="236">
        <v>3247</v>
      </c>
      <c r="K213" s="164" t="s">
        <v>3263</v>
      </c>
    </row>
    <row r="214" customHeight="1" spans="1:11">
      <c r="A214" s="114"/>
      <c r="B214" s="114"/>
      <c r="D214" s="114" t="s">
        <v>3367</v>
      </c>
      <c r="E214" s="170" t="s">
        <v>3368</v>
      </c>
      <c r="F214" s="153">
        <v>43676</v>
      </c>
      <c r="G214" s="152">
        <f t="shared" si="3"/>
        <v>3676</v>
      </c>
      <c r="H214" s="170" t="s">
        <v>3369</v>
      </c>
      <c r="I214" s="123" t="s">
        <v>3370</v>
      </c>
      <c r="J214" s="236" t="s">
        <v>3213</v>
      </c>
      <c r="K214" s="164" t="s">
        <v>3263</v>
      </c>
    </row>
    <row r="215" customHeight="1" spans="1:11">
      <c r="A215" s="114"/>
      <c r="B215" s="114"/>
      <c r="D215" s="114" t="s">
        <v>3371</v>
      </c>
      <c r="E215" s="170" t="s">
        <v>3372</v>
      </c>
      <c r="F215" s="153">
        <v>43742</v>
      </c>
      <c r="G215" s="152">
        <f t="shared" si="3"/>
        <v>3742</v>
      </c>
      <c r="H215" s="258" t="s">
        <v>3373</v>
      </c>
      <c r="I215" s="123" t="s">
        <v>3374</v>
      </c>
      <c r="J215" s="236">
        <v>93</v>
      </c>
      <c r="K215" s="164" t="s">
        <v>3263</v>
      </c>
    </row>
    <row r="216" customHeight="1" spans="1:11">
      <c r="A216" s="114"/>
      <c r="B216" s="114"/>
      <c r="D216" s="114" t="s">
        <v>3375</v>
      </c>
      <c r="E216" s="170" t="s">
        <v>3376</v>
      </c>
      <c r="F216" s="153">
        <v>43873</v>
      </c>
      <c r="G216" s="152">
        <f t="shared" si="3"/>
        <v>3873</v>
      </c>
      <c r="H216" s="170" t="s">
        <v>3377</v>
      </c>
      <c r="I216" s="123" t="s">
        <v>3378</v>
      </c>
      <c r="J216" s="236">
        <v>14</v>
      </c>
      <c r="K216" s="164" t="s">
        <v>3263</v>
      </c>
    </row>
    <row r="217" customHeight="1" spans="1:11">
      <c r="A217" s="114"/>
      <c r="B217" s="114"/>
      <c r="D217" s="114" t="s">
        <v>3379</v>
      </c>
      <c r="E217" s="170" t="s">
        <v>3380</v>
      </c>
      <c r="F217" s="153">
        <v>43561</v>
      </c>
      <c r="G217" s="152">
        <f t="shared" si="3"/>
        <v>3561</v>
      </c>
      <c r="H217" s="170" t="s">
        <v>3381</v>
      </c>
      <c r="I217" s="123" t="s">
        <v>3382</v>
      </c>
      <c r="J217" s="236">
        <v>608</v>
      </c>
      <c r="K217" s="164" t="s">
        <v>3263</v>
      </c>
    </row>
    <row r="218" customHeight="1" spans="1:11">
      <c r="A218" s="114"/>
      <c r="B218" s="114"/>
      <c r="D218" s="114" t="s">
        <v>3383</v>
      </c>
      <c r="E218" s="170" t="s">
        <v>3384</v>
      </c>
      <c r="F218" s="153">
        <v>43153</v>
      </c>
      <c r="G218" s="152">
        <f t="shared" si="3"/>
        <v>3153</v>
      </c>
      <c r="H218" s="170" t="s">
        <v>3385</v>
      </c>
      <c r="I218" s="123" t="s">
        <v>3386</v>
      </c>
      <c r="J218" s="236">
        <v>651</v>
      </c>
      <c r="K218" s="164" t="s">
        <v>3263</v>
      </c>
    </row>
    <row r="219" customHeight="1" spans="1:11">
      <c r="A219" s="114"/>
      <c r="B219" s="114"/>
      <c r="D219" s="114" t="s">
        <v>3387</v>
      </c>
      <c r="E219" s="170" t="s">
        <v>3388</v>
      </c>
      <c r="F219" s="153">
        <v>43213</v>
      </c>
      <c r="G219" s="152">
        <f t="shared" si="3"/>
        <v>3213</v>
      </c>
      <c r="H219" s="258" t="s">
        <v>3389</v>
      </c>
      <c r="I219" s="123" t="s">
        <v>3390</v>
      </c>
      <c r="J219" s="236">
        <v>49</v>
      </c>
      <c r="K219" s="164" t="s">
        <v>3263</v>
      </c>
    </row>
    <row r="220" customHeight="1" spans="1:11">
      <c r="A220" s="114"/>
      <c r="B220" s="114"/>
      <c r="D220" s="114" t="s">
        <v>3391</v>
      </c>
      <c r="E220" s="170" t="s">
        <v>3392</v>
      </c>
      <c r="F220" s="153">
        <v>43622</v>
      </c>
      <c r="G220" s="152">
        <f t="shared" si="3"/>
        <v>3622</v>
      </c>
      <c r="H220" s="258" t="s">
        <v>3393</v>
      </c>
      <c r="I220" s="123" t="s">
        <v>3394</v>
      </c>
      <c r="J220" s="236">
        <v>47</v>
      </c>
      <c r="K220" s="164" t="s">
        <v>3263</v>
      </c>
    </row>
    <row r="221" customHeight="1" spans="1:11">
      <c r="A221" s="114"/>
      <c r="B221" s="114"/>
      <c r="D221" s="114" t="s">
        <v>3395</v>
      </c>
      <c r="E221" s="170" t="s">
        <v>3396</v>
      </c>
      <c r="F221" s="153">
        <v>44182</v>
      </c>
      <c r="G221" s="152">
        <f t="shared" si="3"/>
        <v>4182</v>
      </c>
      <c r="H221" s="258" t="s">
        <v>3397</v>
      </c>
      <c r="I221" s="123" t="s">
        <v>3398</v>
      </c>
      <c r="J221" s="236">
        <v>17</v>
      </c>
      <c r="K221" s="164" t="s">
        <v>3263</v>
      </c>
    </row>
    <row r="222" customHeight="1" spans="1:11">
      <c r="A222" s="114"/>
      <c r="B222" s="114"/>
      <c r="D222" s="114" t="s">
        <v>3164</v>
      </c>
      <c r="E222" s="170" t="s">
        <v>3399</v>
      </c>
      <c r="F222" s="153">
        <v>42519</v>
      </c>
      <c r="G222" s="152">
        <f t="shared" si="3"/>
        <v>2519</v>
      </c>
      <c r="H222" s="258" t="s">
        <v>3400</v>
      </c>
      <c r="I222" s="123" t="s">
        <v>3401</v>
      </c>
      <c r="J222" s="236">
        <v>2214</v>
      </c>
      <c r="K222" s="164" t="s">
        <v>3263</v>
      </c>
    </row>
    <row r="223" customHeight="1" spans="1:11">
      <c r="A223" s="114"/>
      <c r="B223" s="114"/>
      <c r="D223" s="114" t="s">
        <v>3402</v>
      </c>
      <c r="E223" s="170" t="s">
        <v>3403</v>
      </c>
      <c r="F223" s="153">
        <v>43223</v>
      </c>
      <c r="G223" s="152">
        <f t="shared" si="3"/>
        <v>3223</v>
      </c>
      <c r="H223" s="258" t="s">
        <v>3404</v>
      </c>
      <c r="I223" s="123" t="s">
        <v>3405</v>
      </c>
      <c r="J223" s="236">
        <v>137</v>
      </c>
      <c r="K223" s="164" t="s">
        <v>3263</v>
      </c>
    </row>
    <row r="224" customHeight="1" spans="1:11">
      <c r="A224" s="114"/>
      <c r="B224" s="114"/>
      <c r="D224" s="114" t="s">
        <v>3406</v>
      </c>
      <c r="E224" s="170" t="s">
        <v>3407</v>
      </c>
      <c r="F224" s="153">
        <v>38631</v>
      </c>
      <c r="G224" s="152">
        <f t="shared" si="3"/>
        <v>8631</v>
      </c>
      <c r="H224" s="258" t="s">
        <v>3408</v>
      </c>
      <c r="I224" s="123" t="s">
        <v>3409</v>
      </c>
      <c r="J224" s="236">
        <v>1090</v>
      </c>
      <c r="K224" s="164" t="s">
        <v>3263</v>
      </c>
    </row>
    <row r="225" customHeight="1" spans="1:11">
      <c r="A225" s="114"/>
      <c r="B225" s="114"/>
      <c r="D225" s="114" t="s">
        <v>2310</v>
      </c>
      <c r="E225" s="170" t="s">
        <v>2311</v>
      </c>
      <c r="F225" s="153">
        <v>32509</v>
      </c>
      <c r="G225" s="152">
        <f t="shared" si="3"/>
        <v>2509</v>
      </c>
      <c r="H225" s="170" t="s">
        <v>2312</v>
      </c>
      <c r="I225" s="123" t="s">
        <v>2313</v>
      </c>
      <c r="J225" s="236">
        <v>1132</v>
      </c>
      <c r="K225" s="164" t="s">
        <v>3263</v>
      </c>
    </row>
    <row r="226" customHeight="1" spans="1:11">
      <c r="A226" s="114"/>
      <c r="B226" s="114"/>
      <c r="D226" s="114" t="s">
        <v>3410</v>
      </c>
      <c r="E226" s="170" t="s">
        <v>3411</v>
      </c>
      <c r="F226" s="153">
        <v>44133</v>
      </c>
      <c r="G226" s="152">
        <f t="shared" si="3"/>
        <v>4133</v>
      </c>
      <c r="H226" s="258" t="s">
        <v>3412</v>
      </c>
      <c r="I226" s="123" t="s">
        <v>3413</v>
      </c>
      <c r="J226" s="236">
        <v>22</v>
      </c>
      <c r="K226" s="164" t="s">
        <v>3263</v>
      </c>
    </row>
    <row r="227" customHeight="1" spans="1:11">
      <c r="A227" s="114"/>
      <c r="B227" s="114"/>
      <c r="D227" s="114" t="s">
        <v>3414</v>
      </c>
      <c r="E227" s="170" t="s">
        <v>3415</v>
      </c>
      <c r="F227" s="153">
        <v>44109</v>
      </c>
      <c r="G227" s="152">
        <f t="shared" si="3"/>
        <v>4109</v>
      </c>
      <c r="H227" s="170" t="s">
        <v>3416</v>
      </c>
      <c r="I227" s="123" t="s">
        <v>3417</v>
      </c>
      <c r="J227" s="236">
        <v>134</v>
      </c>
      <c r="K227" s="164" t="s">
        <v>3263</v>
      </c>
    </row>
    <row r="228" customHeight="1" spans="1:11">
      <c r="A228" s="114"/>
      <c r="B228" s="114"/>
      <c r="D228" s="114" t="s">
        <v>3418</v>
      </c>
      <c r="E228" s="170" t="s">
        <v>3419</v>
      </c>
      <c r="F228" s="153">
        <v>42156</v>
      </c>
      <c r="G228" s="152">
        <f t="shared" si="3"/>
        <v>2156</v>
      </c>
      <c r="H228" s="170" t="s">
        <v>3420</v>
      </c>
      <c r="I228" s="123" t="s">
        <v>3421</v>
      </c>
      <c r="J228" s="236">
        <v>199</v>
      </c>
      <c r="K228" s="164" t="s">
        <v>3263</v>
      </c>
    </row>
    <row r="229" customHeight="1" spans="1:11">
      <c r="A229" s="114"/>
      <c r="B229" s="114"/>
      <c r="D229" s="114" t="s">
        <v>3422</v>
      </c>
      <c r="E229" s="170" t="s">
        <v>3423</v>
      </c>
      <c r="F229" s="153"/>
      <c r="G229" s="152" t="e">
        <f t="shared" si="3"/>
        <v>#VALUE!</v>
      </c>
      <c r="H229" s="170" t="s">
        <v>3424</v>
      </c>
      <c r="I229" s="123" t="s">
        <v>3425</v>
      </c>
      <c r="J229" s="236" t="s">
        <v>3213</v>
      </c>
      <c r="K229" s="164" t="s">
        <v>3263</v>
      </c>
    </row>
    <row r="230" customHeight="1" spans="1:11">
      <c r="A230" s="114"/>
      <c r="B230" s="114"/>
      <c r="D230" s="114" t="s">
        <v>3426</v>
      </c>
      <c r="E230" s="170" t="s">
        <v>3427</v>
      </c>
      <c r="F230" s="153">
        <v>41426</v>
      </c>
      <c r="G230" s="152">
        <f t="shared" si="3"/>
        <v>1426</v>
      </c>
      <c r="H230" s="258" t="s">
        <v>3428</v>
      </c>
      <c r="I230" s="123" t="s">
        <v>3429</v>
      </c>
      <c r="J230" s="236">
        <v>879</v>
      </c>
      <c r="K230" s="164" t="s">
        <v>3263</v>
      </c>
    </row>
    <row r="231" customHeight="1" spans="1:11">
      <c r="A231" s="114"/>
      <c r="B231" s="114"/>
      <c r="D231" s="114" t="s">
        <v>3430</v>
      </c>
      <c r="E231" s="170" t="s">
        <v>3431</v>
      </c>
      <c r="F231" s="153">
        <v>43181</v>
      </c>
      <c r="G231" s="152">
        <f t="shared" si="3"/>
        <v>3181</v>
      </c>
      <c r="H231" s="258" t="s">
        <v>3432</v>
      </c>
      <c r="I231" s="123" t="s">
        <v>3433</v>
      </c>
      <c r="J231" s="236" t="s">
        <v>3213</v>
      </c>
      <c r="K231" s="164" t="s">
        <v>3263</v>
      </c>
    </row>
    <row r="232" customHeight="1" spans="1:11">
      <c r="A232" s="114"/>
      <c r="B232" s="114"/>
      <c r="D232" s="114" t="s">
        <v>53</v>
      </c>
      <c r="E232" s="170" t="s">
        <v>3434</v>
      </c>
      <c r="F232" s="153">
        <v>43620</v>
      </c>
      <c r="G232" s="152">
        <f t="shared" si="3"/>
        <v>3620</v>
      </c>
      <c r="H232" s="258" t="s">
        <v>3435</v>
      </c>
      <c r="I232" s="123" t="s">
        <v>3436</v>
      </c>
      <c r="J232" s="236">
        <v>565</v>
      </c>
      <c r="K232" s="164" t="s">
        <v>3263</v>
      </c>
    </row>
    <row r="233" customHeight="1" spans="1:11">
      <c r="A233" s="114"/>
      <c r="B233" s="114"/>
      <c r="D233" s="114" t="s">
        <v>3437</v>
      </c>
      <c r="E233" s="170" t="s">
        <v>3438</v>
      </c>
      <c r="F233" s="153">
        <v>42522</v>
      </c>
      <c r="G233" s="152">
        <f t="shared" si="3"/>
        <v>2522</v>
      </c>
      <c r="H233" s="258" t="s">
        <v>3439</v>
      </c>
      <c r="I233" s="123" t="s">
        <v>3440</v>
      </c>
      <c r="J233" s="236">
        <v>1400</v>
      </c>
      <c r="K233" s="164" t="s">
        <v>3263</v>
      </c>
    </row>
    <row r="234" customHeight="1" spans="1:11">
      <c r="A234" s="114"/>
      <c r="B234" s="114"/>
      <c r="D234" s="114" t="s">
        <v>3441</v>
      </c>
      <c r="E234" s="170" t="s">
        <v>3442</v>
      </c>
      <c r="F234" s="153">
        <v>41946</v>
      </c>
      <c r="G234" s="152">
        <f t="shared" si="3"/>
        <v>1946</v>
      </c>
      <c r="H234" s="258" t="s">
        <v>3443</v>
      </c>
      <c r="I234" s="123" t="s">
        <v>3444</v>
      </c>
      <c r="J234" s="236">
        <v>578</v>
      </c>
      <c r="K234" s="164" t="s">
        <v>3263</v>
      </c>
    </row>
    <row r="235" customHeight="1" spans="1:11">
      <c r="A235" s="114"/>
      <c r="B235" s="114"/>
      <c r="D235" s="192" t="s">
        <v>3445</v>
      </c>
      <c r="E235" s="170" t="s">
        <v>3446</v>
      </c>
      <c r="F235" s="153">
        <v>41852</v>
      </c>
      <c r="G235" s="152">
        <f t="shared" si="3"/>
        <v>1852</v>
      </c>
      <c r="H235" s="258" t="s">
        <v>3447</v>
      </c>
      <c r="I235" s="123" t="s">
        <v>3448</v>
      </c>
      <c r="J235" s="236">
        <v>1400</v>
      </c>
      <c r="K235" s="164" t="s">
        <v>3263</v>
      </c>
    </row>
    <row r="236" customHeight="1" spans="1:11">
      <c r="A236" s="114"/>
      <c r="B236" s="114"/>
      <c r="D236" s="114" t="s">
        <v>3449</v>
      </c>
      <c r="E236" s="170" t="s">
        <v>3450</v>
      </c>
      <c r="F236" s="153">
        <v>42897</v>
      </c>
      <c r="G236" s="152">
        <f t="shared" si="3"/>
        <v>2897</v>
      </c>
      <c r="H236" s="170" t="s">
        <v>3451</v>
      </c>
      <c r="I236" s="123" t="s">
        <v>3452</v>
      </c>
      <c r="J236" s="236">
        <v>1128</v>
      </c>
      <c r="K236" s="164" t="s">
        <v>3263</v>
      </c>
    </row>
    <row r="237" customHeight="1" spans="1:11">
      <c r="A237" s="114"/>
      <c r="B237" s="114"/>
      <c r="D237" s="114" t="s">
        <v>3453</v>
      </c>
      <c r="E237" s="170" t="s">
        <v>3454</v>
      </c>
      <c r="F237" s="153">
        <v>40751</v>
      </c>
      <c r="G237" s="152">
        <f t="shared" si="3"/>
        <v>751</v>
      </c>
      <c r="H237" s="170" t="s">
        <v>3455</v>
      </c>
      <c r="I237" s="123" t="s">
        <v>3456</v>
      </c>
      <c r="J237" s="236">
        <v>1382</v>
      </c>
      <c r="K237" s="164" t="s">
        <v>3263</v>
      </c>
    </row>
    <row r="238" customHeight="1" spans="1:11">
      <c r="A238" s="114"/>
      <c r="B238" s="114"/>
      <c r="D238" s="114" t="s">
        <v>3457</v>
      </c>
      <c r="E238" s="170" t="s">
        <v>3458</v>
      </c>
      <c r="F238" s="153">
        <v>41802</v>
      </c>
      <c r="G238" s="152">
        <f t="shared" si="3"/>
        <v>1802</v>
      </c>
      <c r="H238" s="170" t="s">
        <v>3459</v>
      </c>
      <c r="I238" s="123" t="s">
        <v>3460</v>
      </c>
      <c r="J238" s="236">
        <v>652</v>
      </c>
      <c r="K238" s="164" t="s">
        <v>3263</v>
      </c>
    </row>
    <row r="239" customHeight="1" spans="1:11">
      <c r="A239" s="114"/>
      <c r="B239" s="114"/>
      <c r="D239" s="114" t="s">
        <v>3355</v>
      </c>
      <c r="E239" s="170" t="s">
        <v>3461</v>
      </c>
      <c r="F239" s="153">
        <v>44062</v>
      </c>
      <c r="G239" s="152">
        <f t="shared" si="3"/>
        <v>4062</v>
      </c>
      <c r="H239" s="258" t="s">
        <v>3462</v>
      </c>
      <c r="I239" s="123" t="s">
        <v>3463</v>
      </c>
      <c r="J239" s="236">
        <v>123</v>
      </c>
      <c r="K239" s="164" t="s">
        <v>3263</v>
      </c>
    </row>
    <row r="240" customHeight="1" spans="1:11">
      <c r="A240" s="114"/>
      <c r="B240" s="114"/>
      <c r="D240" s="114" t="s">
        <v>3464</v>
      </c>
      <c r="E240" s="170" t="s">
        <v>3465</v>
      </c>
      <c r="F240" s="153">
        <v>42958</v>
      </c>
      <c r="G240" s="152">
        <f t="shared" si="3"/>
        <v>2958</v>
      </c>
      <c r="H240" s="170" t="s">
        <v>3466</v>
      </c>
      <c r="I240" s="123" t="s">
        <v>3467</v>
      </c>
      <c r="J240" s="236">
        <v>449</v>
      </c>
      <c r="K240" s="164" t="s">
        <v>3263</v>
      </c>
    </row>
    <row r="241" customHeight="1" spans="1:11">
      <c r="A241" s="114"/>
      <c r="B241" s="114"/>
      <c r="D241" s="114" t="s">
        <v>3468</v>
      </c>
      <c r="E241" s="170" t="s">
        <v>3469</v>
      </c>
      <c r="F241" s="153">
        <v>34959</v>
      </c>
      <c r="G241" s="152">
        <f t="shared" si="3"/>
        <v>4959</v>
      </c>
      <c r="H241" s="170" t="s">
        <v>3470</v>
      </c>
      <c r="I241" s="123" t="s">
        <v>3471</v>
      </c>
      <c r="J241" s="236" t="s">
        <v>3213</v>
      </c>
      <c r="K241" s="164" t="s">
        <v>3263</v>
      </c>
    </row>
    <row r="242" customHeight="1" spans="1:11">
      <c r="A242" s="114"/>
      <c r="B242" s="114"/>
      <c r="D242" s="114" t="s">
        <v>1392</v>
      </c>
      <c r="E242" s="260" t="s">
        <v>3472</v>
      </c>
      <c r="F242" s="153">
        <v>33755</v>
      </c>
      <c r="G242" s="152">
        <f t="shared" si="3"/>
        <v>3755</v>
      </c>
      <c r="H242" s="170" t="s">
        <v>3473</v>
      </c>
      <c r="I242" s="123" t="s">
        <v>3474</v>
      </c>
      <c r="J242" s="236">
        <v>47787</v>
      </c>
      <c r="K242" s="164" t="s">
        <v>3263</v>
      </c>
    </row>
    <row r="243" customHeight="1" spans="1:11">
      <c r="A243" s="114"/>
      <c r="B243" s="114"/>
      <c r="D243" s="261" t="s">
        <v>3475</v>
      </c>
      <c r="E243" s="170" t="s">
        <v>3476</v>
      </c>
      <c r="F243" s="114">
        <v>1969</v>
      </c>
      <c r="G243" s="152">
        <f t="shared" si="3"/>
        <v>1969</v>
      </c>
      <c r="H243" s="170" t="s">
        <v>3477</v>
      </c>
      <c r="I243" s="123" t="s">
        <v>3478</v>
      </c>
      <c r="J243" s="236" t="s">
        <v>3213</v>
      </c>
      <c r="K243" s="164" t="s">
        <v>3263</v>
      </c>
    </row>
    <row r="244" customHeight="1" spans="1:11">
      <c r="A244" s="114"/>
      <c r="B244" s="114"/>
      <c r="D244" s="170" t="s">
        <v>3479</v>
      </c>
      <c r="E244" s="170" t="s">
        <v>3480</v>
      </c>
      <c r="F244" s="153">
        <v>37504</v>
      </c>
      <c r="G244" s="152">
        <f t="shared" si="3"/>
        <v>7504</v>
      </c>
      <c r="H244" s="258" t="s">
        <v>3481</v>
      </c>
      <c r="I244" s="123" t="s">
        <v>3482</v>
      </c>
      <c r="J244" s="236">
        <v>3463</v>
      </c>
      <c r="K244" s="164" t="s">
        <v>3263</v>
      </c>
    </row>
    <row r="245" customHeight="1" spans="1:11">
      <c r="A245" s="114"/>
      <c r="B245" s="114"/>
      <c r="D245" s="170" t="s">
        <v>3483</v>
      </c>
      <c r="E245" s="170" t="s">
        <v>3484</v>
      </c>
      <c r="F245" s="153">
        <v>36782</v>
      </c>
      <c r="G245" s="152">
        <f t="shared" si="3"/>
        <v>6782</v>
      </c>
      <c r="H245" s="258" t="s">
        <v>3485</v>
      </c>
      <c r="I245" s="123" t="s">
        <v>3486</v>
      </c>
      <c r="J245" s="236">
        <v>1037</v>
      </c>
      <c r="K245" s="164" t="s">
        <v>3263</v>
      </c>
    </row>
    <row r="246" customHeight="1" spans="1:11">
      <c r="A246" s="114"/>
      <c r="B246" s="114"/>
      <c r="D246" s="170" t="s">
        <v>3479</v>
      </c>
      <c r="E246" s="170" t="s">
        <v>3487</v>
      </c>
      <c r="F246" s="153">
        <v>37772</v>
      </c>
      <c r="G246" s="152">
        <f t="shared" si="3"/>
        <v>7772</v>
      </c>
      <c r="H246" s="258" t="s">
        <v>3488</v>
      </c>
      <c r="I246" s="123" t="s">
        <v>3489</v>
      </c>
      <c r="J246" s="236">
        <v>3463</v>
      </c>
      <c r="K246" s="164" t="s">
        <v>3263</v>
      </c>
    </row>
    <row r="247" customHeight="1" spans="1:11">
      <c r="A247" s="114"/>
      <c r="B247" s="114"/>
      <c r="D247" s="170" t="s">
        <v>3490</v>
      </c>
      <c r="E247" s="170" t="s">
        <v>3491</v>
      </c>
      <c r="F247" s="153">
        <v>44251</v>
      </c>
      <c r="G247" s="152">
        <f t="shared" si="3"/>
        <v>4251</v>
      </c>
      <c r="H247" s="258" t="s">
        <v>3492</v>
      </c>
      <c r="I247" s="123" t="s">
        <v>3493</v>
      </c>
      <c r="J247" s="236">
        <v>27</v>
      </c>
      <c r="K247" s="164" t="s">
        <v>3263</v>
      </c>
    </row>
    <row r="248" customHeight="1" spans="1:11">
      <c r="A248" s="114"/>
      <c r="B248" s="114"/>
      <c r="D248" s="114" t="s">
        <v>3494</v>
      </c>
      <c r="E248" s="170" t="s">
        <v>3495</v>
      </c>
      <c r="F248" s="153">
        <v>43955</v>
      </c>
      <c r="G248" s="152">
        <f t="shared" si="3"/>
        <v>3955</v>
      </c>
      <c r="H248" s="258" t="s">
        <v>3496</v>
      </c>
      <c r="I248" s="123" t="s">
        <v>3497</v>
      </c>
      <c r="J248" s="236">
        <v>15</v>
      </c>
      <c r="K248" s="164" t="s">
        <v>3263</v>
      </c>
    </row>
    <row r="249" customHeight="1" spans="1:11">
      <c r="A249" s="114"/>
      <c r="B249" s="114"/>
      <c r="D249" s="114" t="s">
        <v>3498</v>
      </c>
      <c r="E249" s="170" t="s">
        <v>3499</v>
      </c>
      <c r="F249" s="153">
        <v>44349</v>
      </c>
      <c r="G249" s="152">
        <f t="shared" si="3"/>
        <v>4349</v>
      </c>
      <c r="H249" s="170" t="s">
        <v>3500</v>
      </c>
      <c r="I249" s="123" t="s">
        <v>3501</v>
      </c>
      <c r="J249" s="236">
        <v>4</v>
      </c>
      <c r="K249" s="164" t="s">
        <v>3263</v>
      </c>
    </row>
    <row r="250" customHeight="1" spans="1:11">
      <c r="A250" s="114"/>
      <c r="B250" s="114"/>
      <c r="D250" s="114" t="s">
        <v>3498</v>
      </c>
      <c r="E250" s="170" t="s">
        <v>3502</v>
      </c>
      <c r="F250" s="153">
        <v>44349</v>
      </c>
      <c r="G250" s="152">
        <f t="shared" si="3"/>
        <v>4349</v>
      </c>
      <c r="H250" s="170" t="s">
        <v>3503</v>
      </c>
      <c r="I250" s="123" t="s">
        <v>3504</v>
      </c>
      <c r="J250" s="236">
        <v>4</v>
      </c>
      <c r="K250" s="164" t="s">
        <v>3263</v>
      </c>
    </row>
    <row r="251" customHeight="1" spans="1:11">
      <c r="A251" s="114"/>
      <c r="B251" s="114"/>
      <c r="D251" s="114" t="s">
        <v>3498</v>
      </c>
      <c r="E251" s="170" t="s">
        <v>3505</v>
      </c>
      <c r="F251" s="153">
        <v>44349</v>
      </c>
      <c r="G251" s="152">
        <f t="shared" si="3"/>
        <v>4349</v>
      </c>
      <c r="H251" s="170" t="s">
        <v>3506</v>
      </c>
      <c r="I251" s="123" t="s">
        <v>3507</v>
      </c>
      <c r="J251" s="236">
        <v>7</v>
      </c>
      <c r="K251" s="164" t="s">
        <v>3263</v>
      </c>
    </row>
    <row r="252" customHeight="1" spans="1:11">
      <c r="A252" s="114"/>
      <c r="B252" s="114"/>
      <c r="D252" s="114" t="s">
        <v>3498</v>
      </c>
      <c r="E252" s="170" t="s">
        <v>3508</v>
      </c>
      <c r="F252" s="153">
        <v>44348</v>
      </c>
      <c r="G252" s="152">
        <f t="shared" si="3"/>
        <v>4348</v>
      </c>
      <c r="H252" s="170" t="s">
        <v>3263</v>
      </c>
      <c r="I252" s="123" t="s">
        <v>3258</v>
      </c>
      <c r="J252" s="236">
        <v>7</v>
      </c>
      <c r="K252" s="164" t="s">
        <v>3263</v>
      </c>
    </row>
    <row r="253" customHeight="1" spans="1:11">
      <c r="A253" s="114"/>
      <c r="B253" s="114"/>
      <c r="D253" s="114" t="s">
        <v>3509</v>
      </c>
      <c r="E253" s="257" t="s">
        <v>3510</v>
      </c>
      <c r="F253" s="153">
        <v>44013</v>
      </c>
      <c r="G253" s="152">
        <f t="shared" si="3"/>
        <v>4013</v>
      </c>
      <c r="H253" s="258" t="s">
        <v>3511</v>
      </c>
      <c r="I253" s="123" t="s">
        <v>3512</v>
      </c>
      <c r="J253" s="236" t="s">
        <v>3213</v>
      </c>
      <c r="K253" s="164" t="s">
        <v>3263</v>
      </c>
    </row>
    <row r="254" customHeight="1" spans="1:11">
      <c r="A254" s="114"/>
      <c r="B254" s="114"/>
      <c r="D254" s="114" t="s">
        <v>2869</v>
      </c>
      <c r="E254" s="170" t="s">
        <v>3513</v>
      </c>
      <c r="F254" s="153">
        <v>43488</v>
      </c>
      <c r="G254" s="152">
        <f t="shared" si="3"/>
        <v>3488</v>
      </c>
      <c r="H254" s="170" t="s">
        <v>3514</v>
      </c>
      <c r="I254" s="123" t="s">
        <v>3515</v>
      </c>
      <c r="J254" s="236">
        <v>39</v>
      </c>
      <c r="K254" s="164" t="s">
        <v>3263</v>
      </c>
    </row>
    <row r="255" customHeight="1" spans="1:11">
      <c r="A255" s="114"/>
      <c r="B255" s="114"/>
      <c r="D255" s="114" t="s">
        <v>2185</v>
      </c>
      <c r="E255" s="170" t="s">
        <v>3516</v>
      </c>
      <c r="F255" s="153">
        <v>43741</v>
      </c>
      <c r="G255" s="152">
        <f t="shared" si="3"/>
        <v>3741</v>
      </c>
      <c r="H255" s="258" t="s">
        <v>3517</v>
      </c>
      <c r="I255" s="123" t="s">
        <v>3518</v>
      </c>
      <c r="J255" s="236">
        <v>318</v>
      </c>
      <c r="K255" s="164" t="s">
        <v>3263</v>
      </c>
    </row>
    <row r="256" customHeight="1" spans="1:11">
      <c r="A256" s="114"/>
      <c r="B256" s="114"/>
      <c r="D256" s="114" t="s">
        <v>2185</v>
      </c>
      <c r="E256" s="170" t="s">
        <v>3519</v>
      </c>
      <c r="F256" s="153">
        <v>42798</v>
      </c>
      <c r="G256" s="152">
        <f t="shared" si="3"/>
        <v>2798</v>
      </c>
      <c r="H256" s="170" t="s">
        <v>3520</v>
      </c>
      <c r="I256" s="123" t="s">
        <v>3521</v>
      </c>
      <c r="J256" s="236">
        <v>570</v>
      </c>
      <c r="K256" s="164" t="s">
        <v>3263</v>
      </c>
    </row>
    <row r="257" customHeight="1" spans="1:11">
      <c r="A257" s="114"/>
      <c r="B257" s="114"/>
      <c r="D257" s="114" t="s">
        <v>3522</v>
      </c>
      <c r="E257" s="170" t="s">
        <v>3523</v>
      </c>
      <c r="F257" s="153">
        <v>43589</v>
      </c>
      <c r="G257" s="152">
        <f t="shared" si="3"/>
        <v>3589</v>
      </c>
      <c r="H257" s="258" t="s">
        <v>3524</v>
      </c>
      <c r="I257" s="123" t="s">
        <v>3525</v>
      </c>
      <c r="J257" s="236">
        <v>273</v>
      </c>
      <c r="K257" s="164" t="s">
        <v>3263</v>
      </c>
    </row>
    <row r="258" customHeight="1" spans="1:11">
      <c r="A258" s="114"/>
      <c r="B258" s="114"/>
      <c r="D258" s="114" t="s">
        <v>3526</v>
      </c>
      <c r="E258" s="170" t="s">
        <v>3527</v>
      </c>
      <c r="F258" s="153">
        <v>43231</v>
      </c>
      <c r="G258" s="152">
        <f t="shared" si="3"/>
        <v>3231</v>
      </c>
      <c r="H258" s="258" t="s">
        <v>3528</v>
      </c>
      <c r="I258" s="123" t="s">
        <v>3529</v>
      </c>
      <c r="J258" s="236">
        <v>218</v>
      </c>
      <c r="K258" s="164" t="s">
        <v>3263</v>
      </c>
    </row>
    <row r="259" customHeight="1" spans="1:11">
      <c r="A259" s="114"/>
      <c r="B259" s="114"/>
      <c r="D259" s="114" t="s">
        <v>3530</v>
      </c>
      <c r="E259" s="170" t="s">
        <v>3531</v>
      </c>
      <c r="F259" s="153">
        <v>44106</v>
      </c>
      <c r="G259" s="152">
        <f t="shared" si="3"/>
        <v>4106</v>
      </c>
      <c r="H259" s="258" t="s">
        <v>3532</v>
      </c>
      <c r="I259" s="123" t="s">
        <v>3533</v>
      </c>
      <c r="J259" s="236">
        <v>107</v>
      </c>
      <c r="K259" s="164" t="s">
        <v>3263</v>
      </c>
    </row>
    <row r="260" customHeight="1" spans="1:11">
      <c r="A260" s="114"/>
      <c r="B260" s="114"/>
      <c r="D260" s="114" t="s">
        <v>3534</v>
      </c>
      <c r="E260" s="170" t="s">
        <v>3535</v>
      </c>
      <c r="F260" s="153">
        <v>43995</v>
      </c>
      <c r="G260" s="152">
        <f t="shared" si="3"/>
        <v>3995</v>
      </c>
      <c r="H260" s="258" t="s">
        <v>3536</v>
      </c>
      <c r="I260" s="123" t="s">
        <v>3537</v>
      </c>
      <c r="J260" s="236">
        <v>63</v>
      </c>
      <c r="K260" s="164" t="s">
        <v>3263</v>
      </c>
    </row>
    <row r="261" customHeight="1" spans="1:11">
      <c r="A261" s="114"/>
      <c r="B261" s="114"/>
      <c r="D261" s="114" t="s">
        <v>3509</v>
      </c>
      <c r="E261" s="170" t="s">
        <v>3538</v>
      </c>
      <c r="F261" s="153">
        <v>44011</v>
      </c>
      <c r="G261" s="152">
        <f t="shared" si="3"/>
        <v>4011</v>
      </c>
      <c r="H261" s="258" t="s">
        <v>3539</v>
      </c>
      <c r="I261" s="123" t="s">
        <v>3540</v>
      </c>
      <c r="J261" s="236">
        <v>37</v>
      </c>
      <c r="K261" s="164" t="s">
        <v>3263</v>
      </c>
    </row>
    <row r="262" customHeight="1" spans="1:11">
      <c r="A262" s="114"/>
      <c r="B262" s="114"/>
      <c r="D262" s="114" t="s">
        <v>3541</v>
      </c>
      <c r="E262" s="170" t="s">
        <v>3542</v>
      </c>
      <c r="F262" s="153">
        <v>43234</v>
      </c>
      <c r="G262" s="152">
        <f t="shared" si="3"/>
        <v>3234</v>
      </c>
      <c r="H262" s="170" t="s">
        <v>3543</v>
      </c>
      <c r="I262" s="123" t="s">
        <v>3544</v>
      </c>
      <c r="J262" s="236">
        <v>332</v>
      </c>
      <c r="K262" s="164" t="s">
        <v>3263</v>
      </c>
    </row>
    <row r="263" customHeight="1" spans="1:11">
      <c r="A263" s="114"/>
      <c r="B263" s="114"/>
      <c r="D263" s="114" t="s">
        <v>3545</v>
      </c>
      <c r="E263" s="170" t="s">
        <v>3546</v>
      </c>
      <c r="F263" s="153">
        <v>43956</v>
      </c>
      <c r="G263" s="152">
        <f t="shared" si="3"/>
        <v>3956</v>
      </c>
      <c r="H263" s="258" t="s">
        <v>3547</v>
      </c>
      <c r="I263" s="123" t="s">
        <v>3548</v>
      </c>
      <c r="J263" s="236">
        <v>88</v>
      </c>
      <c r="K263" s="164" t="s">
        <v>3263</v>
      </c>
    </row>
    <row r="264" customHeight="1" spans="1:11">
      <c r="A264" s="114"/>
      <c r="B264" s="114"/>
      <c r="D264" s="114" t="s">
        <v>3549</v>
      </c>
      <c r="E264" s="170" t="s">
        <v>3550</v>
      </c>
      <c r="F264" s="153">
        <v>44475</v>
      </c>
      <c r="G264" s="152">
        <f t="shared" si="3"/>
        <v>4475</v>
      </c>
      <c r="H264" s="170" t="s">
        <v>3551</v>
      </c>
      <c r="I264" s="123" t="s">
        <v>3552</v>
      </c>
      <c r="J264" s="236">
        <v>6</v>
      </c>
      <c r="K264" s="164" t="s">
        <v>3263</v>
      </c>
    </row>
    <row r="265" customHeight="1" spans="1:11">
      <c r="A265" s="114"/>
      <c r="B265" s="114"/>
      <c r="D265" s="114"/>
      <c r="E265" s="226"/>
      <c r="F265" s="114"/>
      <c r="G265" s="152" t="e">
        <f t="shared" si="3"/>
        <v>#VALUE!</v>
      </c>
      <c r="H265" s="114"/>
      <c r="I265" s="114"/>
      <c r="J265" s="33"/>
      <c r="K265" s="164" t="s">
        <v>3263</v>
      </c>
    </row>
    <row r="266" customHeight="1" spans="1:11">
      <c r="A266" s="114"/>
      <c r="B266" s="114" t="s">
        <v>3553</v>
      </c>
      <c r="D266" s="123" t="s">
        <v>2600</v>
      </c>
      <c r="E266" s="226"/>
      <c r="F266" s="314"/>
      <c r="G266" s="152" t="e">
        <f t="shared" si="3"/>
        <v>#VALUE!</v>
      </c>
      <c r="H266" s="114"/>
      <c r="I266" s="114"/>
      <c r="J266" s="33" t="s">
        <v>3213</v>
      </c>
      <c r="K266" s="164" t="s">
        <v>3263</v>
      </c>
    </row>
    <row r="267" customHeight="1" spans="1:11">
      <c r="A267" s="114"/>
      <c r="B267" s="114"/>
      <c r="D267" s="114" t="s">
        <v>400</v>
      </c>
      <c r="E267" s="221" t="s">
        <v>3554</v>
      </c>
      <c r="F267" s="169">
        <v>43899</v>
      </c>
      <c r="G267" s="152">
        <f t="shared" si="3"/>
        <v>3899</v>
      </c>
      <c r="H267" s="221" t="s">
        <v>3555</v>
      </c>
      <c r="I267" s="123" t="s">
        <v>3556</v>
      </c>
      <c r="J267" s="33">
        <v>602</v>
      </c>
      <c r="K267" s="164" t="s">
        <v>3263</v>
      </c>
    </row>
    <row r="268" customHeight="1" spans="1:11">
      <c r="A268" s="114"/>
      <c r="B268" s="114"/>
      <c r="D268" s="114" t="s">
        <v>262</v>
      </c>
      <c r="E268" s="221" t="s">
        <v>3557</v>
      </c>
      <c r="F268" s="153">
        <v>43633</v>
      </c>
      <c r="G268" s="152">
        <f t="shared" si="3"/>
        <v>3633</v>
      </c>
      <c r="H268" s="221" t="s">
        <v>3558</v>
      </c>
      <c r="I268" s="123" t="s">
        <v>3559</v>
      </c>
      <c r="J268" s="33">
        <v>599</v>
      </c>
      <c r="K268" s="164" t="s">
        <v>3263</v>
      </c>
    </row>
    <row r="269" customHeight="1" spans="1:11">
      <c r="A269" s="114"/>
      <c r="B269" s="114"/>
      <c r="D269" s="114"/>
      <c r="E269" s="226"/>
      <c r="F269" s="114"/>
      <c r="G269" s="152" t="e">
        <f t="shared" si="3"/>
        <v>#VALUE!</v>
      </c>
      <c r="H269" s="114"/>
      <c r="I269" s="114"/>
      <c r="J269" s="33"/>
      <c r="K269" s="164"/>
    </row>
    <row r="270" customHeight="1" spans="1:11">
      <c r="A270" s="114" t="s">
        <v>3560</v>
      </c>
      <c r="B270" s="170" t="s">
        <v>3561</v>
      </c>
      <c r="D270" s="114"/>
      <c r="E270" s="170"/>
      <c r="F270" s="182"/>
      <c r="G270" s="152" t="e">
        <f t="shared" si="3"/>
        <v>#VALUE!</v>
      </c>
      <c r="H270" s="123" t="s">
        <v>3562</v>
      </c>
      <c r="I270" s="114"/>
      <c r="J270" s="236">
        <v>17</v>
      </c>
      <c r="K270" s="221"/>
    </row>
    <row r="271" customHeight="1" spans="1:11">
      <c r="A271" s="114"/>
      <c r="B271" s="114"/>
      <c r="D271" s="114" t="s">
        <v>3563</v>
      </c>
      <c r="E271" s="170" t="s">
        <v>3564</v>
      </c>
      <c r="F271" s="153">
        <v>43072</v>
      </c>
      <c r="G271" s="152">
        <f t="shared" si="3"/>
        <v>3072</v>
      </c>
      <c r="H271" s="170" t="s">
        <v>3565</v>
      </c>
      <c r="I271" s="123" t="s">
        <v>3566</v>
      </c>
      <c r="J271" s="236">
        <v>1826</v>
      </c>
      <c r="K271" s="221" t="s">
        <v>3561</v>
      </c>
    </row>
    <row r="272" customHeight="1" spans="1:11">
      <c r="A272" s="114"/>
      <c r="B272" s="114"/>
      <c r="D272" s="114" t="s">
        <v>3567</v>
      </c>
      <c r="E272" s="170" t="s">
        <v>3568</v>
      </c>
      <c r="F272" s="153">
        <v>44048</v>
      </c>
      <c r="G272" s="152">
        <f t="shared" si="3"/>
        <v>4048</v>
      </c>
      <c r="H272" s="170" t="s">
        <v>3569</v>
      </c>
      <c r="I272" s="123" t="s">
        <v>3570</v>
      </c>
      <c r="J272" s="236">
        <v>39</v>
      </c>
      <c r="K272" s="221" t="s">
        <v>3561</v>
      </c>
    </row>
    <row r="273" customHeight="1" spans="1:11">
      <c r="A273" s="114"/>
      <c r="B273" s="114"/>
      <c r="C273" s="114"/>
      <c r="D273" s="114" t="s">
        <v>3571</v>
      </c>
      <c r="E273" s="170" t="s">
        <v>3572</v>
      </c>
      <c r="F273" s="153">
        <v>44028</v>
      </c>
      <c r="G273" s="152">
        <f t="shared" si="3"/>
        <v>4028</v>
      </c>
      <c r="H273" s="170" t="s">
        <v>3573</v>
      </c>
      <c r="I273" s="123" t="s">
        <v>3574</v>
      </c>
      <c r="J273" s="236">
        <v>25</v>
      </c>
      <c r="K273" s="221" t="s">
        <v>3561</v>
      </c>
    </row>
    <row r="274" customHeight="1" spans="1:11">
      <c r="A274" s="114"/>
      <c r="B274" s="114"/>
      <c r="C274" s="114"/>
      <c r="D274" s="114" t="s">
        <v>3575</v>
      </c>
      <c r="E274" s="170" t="s">
        <v>3576</v>
      </c>
      <c r="F274" s="153">
        <v>44133</v>
      </c>
      <c r="G274" s="152">
        <f t="shared" si="3"/>
        <v>4133</v>
      </c>
      <c r="H274" s="170" t="s">
        <v>3577</v>
      </c>
      <c r="I274" s="123" t="s">
        <v>3578</v>
      </c>
      <c r="J274" s="236">
        <v>15</v>
      </c>
      <c r="K274" s="221" t="s">
        <v>3561</v>
      </c>
    </row>
    <row r="275" customHeight="1" spans="1:11">
      <c r="A275" s="114"/>
      <c r="B275" s="114"/>
      <c r="C275" s="114"/>
      <c r="D275" s="114" t="s">
        <v>3579</v>
      </c>
      <c r="E275" s="170" t="s">
        <v>3580</v>
      </c>
      <c r="F275" s="153">
        <v>42891</v>
      </c>
      <c r="G275" s="152">
        <f t="shared" si="3"/>
        <v>2891</v>
      </c>
      <c r="H275" s="170" t="s">
        <v>3581</v>
      </c>
      <c r="I275" s="123" t="s">
        <v>3582</v>
      </c>
      <c r="J275" s="236">
        <v>2313</v>
      </c>
      <c r="K275" s="221" t="s">
        <v>3561</v>
      </c>
    </row>
    <row r="276" customHeight="1" spans="1:11">
      <c r="A276" s="114"/>
      <c r="B276" s="114"/>
      <c r="C276" s="114"/>
      <c r="D276" s="114" t="s">
        <v>3089</v>
      </c>
      <c r="E276" s="170" t="s">
        <v>3583</v>
      </c>
      <c r="F276" s="153">
        <v>43999</v>
      </c>
      <c r="G276" s="152">
        <f t="shared" si="3"/>
        <v>3999</v>
      </c>
      <c r="H276" s="170" t="s">
        <v>3584</v>
      </c>
      <c r="I276" s="123" t="s">
        <v>3585</v>
      </c>
      <c r="J276" s="236">
        <v>90</v>
      </c>
      <c r="K276" s="221" t="s">
        <v>3561</v>
      </c>
    </row>
    <row r="277" customHeight="1" spans="1:11">
      <c r="A277" s="114"/>
      <c r="B277" s="114"/>
      <c r="C277" s="114"/>
      <c r="D277" s="114" t="s">
        <v>3586</v>
      </c>
      <c r="E277" s="170" t="s">
        <v>3587</v>
      </c>
      <c r="F277" s="153">
        <v>43574</v>
      </c>
      <c r="G277" s="152">
        <f t="shared" si="3"/>
        <v>3574</v>
      </c>
      <c r="H277" s="170" t="s">
        <v>3588</v>
      </c>
      <c r="I277" s="123" t="s">
        <v>3589</v>
      </c>
      <c r="J277" s="236">
        <v>780</v>
      </c>
      <c r="K277" s="221" t="s">
        <v>3561</v>
      </c>
    </row>
    <row r="278" customHeight="1" spans="1:11">
      <c r="A278" s="114"/>
      <c r="B278" s="114"/>
      <c r="C278" s="114"/>
      <c r="D278" s="114" t="s">
        <v>3590</v>
      </c>
      <c r="E278" s="170" t="s">
        <v>3591</v>
      </c>
      <c r="F278" s="153">
        <v>44370</v>
      </c>
      <c r="G278" s="152">
        <f t="shared" si="3"/>
        <v>4370</v>
      </c>
      <c r="H278" s="170" t="s">
        <v>3592</v>
      </c>
      <c r="I278" s="123" t="s">
        <v>3593</v>
      </c>
      <c r="J278" s="236">
        <v>81</v>
      </c>
      <c r="K278" s="221" t="s">
        <v>3561</v>
      </c>
    </row>
    <row r="279" customHeight="1" spans="1:11">
      <c r="A279" s="114"/>
      <c r="B279" s="114"/>
      <c r="C279" s="114"/>
      <c r="D279" s="114" t="s">
        <v>3594</v>
      </c>
      <c r="E279" s="170" t="s">
        <v>3595</v>
      </c>
      <c r="F279" s="153">
        <v>42844</v>
      </c>
      <c r="G279" s="152">
        <f t="shared" si="3"/>
        <v>2844</v>
      </c>
      <c r="H279" s="170" t="s">
        <v>3596</v>
      </c>
      <c r="I279" s="255" t="s">
        <v>3597</v>
      </c>
      <c r="J279" s="236">
        <v>9750</v>
      </c>
      <c r="K279" s="221" t="s">
        <v>3561</v>
      </c>
    </row>
    <row r="280" customHeight="1" spans="1:11">
      <c r="A280" s="114"/>
      <c r="B280" s="114"/>
      <c r="C280" s="114"/>
      <c r="D280" s="114" t="s">
        <v>3598</v>
      </c>
      <c r="E280" s="170" t="s">
        <v>3599</v>
      </c>
      <c r="F280" s="153">
        <v>43351</v>
      </c>
      <c r="G280" s="152">
        <f t="shared" si="3"/>
        <v>3351</v>
      </c>
      <c r="H280" s="170" t="s">
        <v>3600</v>
      </c>
      <c r="I280" s="123" t="s">
        <v>3601</v>
      </c>
      <c r="J280" s="236">
        <v>1491</v>
      </c>
      <c r="K280" s="221" t="s">
        <v>3561</v>
      </c>
    </row>
    <row r="281" customHeight="1" spans="1:11">
      <c r="A281" s="114"/>
      <c r="B281" s="114"/>
      <c r="C281" s="114"/>
      <c r="D281" s="114" t="s">
        <v>3602</v>
      </c>
      <c r="E281" s="170" t="s">
        <v>3603</v>
      </c>
      <c r="F281" s="169">
        <v>44415</v>
      </c>
      <c r="G281" s="152">
        <f t="shared" si="3"/>
        <v>4415</v>
      </c>
      <c r="H281" s="170" t="s">
        <v>3604</v>
      </c>
      <c r="I281" s="123" t="s">
        <v>3605</v>
      </c>
      <c r="J281" s="236">
        <v>406</v>
      </c>
      <c r="K281" s="221" t="s">
        <v>3561</v>
      </c>
    </row>
    <row r="282" customHeight="1" spans="1:11">
      <c r="A282" s="114"/>
      <c r="B282" s="114"/>
      <c r="C282" s="114"/>
      <c r="D282" s="114" t="s">
        <v>3606</v>
      </c>
      <c r="E282" s="170" t="s">
        <v>3607</v>
      </c>
      <c r="F282" s="169">
        <v>43559</v>
      </c>
      <c r="G282" s="152">
        <f t="shared" si="3"/>
        <v>3559</v>
      </c>
      <c r="H282" s="170" t="s">
        <v>3608</v>
      </c>
      <c r="I282" s="123" t="s">
        <v>3609</v>
      </c>
      <c r="J282" s="236">
        <v>527</v>
      </c>
      <c r="K282" s="221" t="s">
        <v>3561</v>
      </c>
    </row>
    <row r="283" customHeight="1" spans="1:11">
      <c r="A283" s="114"/>
      <c r="B283" s="114"/>
      <c r="C283" s="114"/>
      <c r="D283" s="114" t="s">
        <v>3610</v>
      </c>
      <c r="E283" s="170" t="s">
        <v>3611</v>
      </c>
      <c r="F283" s="153">
        <v>44295</v>
      </c>
      <c r="G283" s="152">
        <f t="shared" si="3"/>
        <v>4295</v>
      </c>
      <c r="H283" s="170" t="s">
        <v>3612</v>
      </c>
      <c r="I283" s="123" t="s">
        <v>3613</v>
      </c>
      <c r="J283" s="236">
        <v>40</v>
      </c>
      <c r="K283" s="221" t="s">
        <v>3561</v>
      </c>
    </row>
    <row r="284" customHeight="1" spans="1:11">
      <c r="A284" s="114"/>
      <c r="B284" s="114"/>
      <c r="C284" s="114"/>
      <c r="D284" s="114" t="s">
        <v>1756</v>
      </c>
      <c r="E284" s="170" t="s">
        <v>3614</v>
      </c>
      <c r="F284" s="153">
        <v>43245</v>
      </c>
      <c r="G284" s="152">
        <f t="shared" si="3"/>
        <v>3245</v>
      </c>
      <c r="H284" s="170" t="s">
        <v>3615</v>
      </c>
      <c r="I284" s="123" t="s">
        <v>3616</v>
      </c>
      <c r="J284" s="236">
        <v>481</v>
      </c>
      <c r="K284" s="221" t="s">
        <v>3561</v>
      </c>
    </row>
    <row r="285" customHeight="1" spans="1:11">
      <c r="A285" s="114"/>
      <c r="B285" s="114"/>
      <c r="C285" s="114"/>
      <c r="D285" s="114" t="s">
        <v>1756</v>
      </c>
      <c r="E285" s="170" t="s">
        <v>3617</v>
      </c>
      <c r="F285" s="153">
        <v>43447</v>
      </c>
      <c r="G285" s="152">
        <f t="shared" si="3"/>
        <v>3447</v>
      </c>
      <c r="H285" s="170" t="s">
        <v>3618</v>
      </c>
      <c r="I285" s="123" t="s">
        <v>3619</v>
      </c>
      <c r="J285" s="236">
        <v>330</v>
      </c>
      <c r="K285" s="221" t="s">
        <v>3561</v>
      </c>
    </row>
    <row r="286" customHeight="1" spans="1:11">
      <c r="A286" s="114"/>
      <c r="B286" s="114"/>
      <c r="C286" s="114"/>
      <c r="D286" s="114" t="s">
        <v>3620</v>
      </c>
      <c r="E286" s="170" t="s">
        <v>3621</v>
      </c>
      <c r="F286" s="153">
        <v>44312</v>
      </c>
      <c r="G286" s="152">
        <f t="shared" si="3"/>
        <v>4312</v>
      </c>
      <c r="H286" s="170" t="s">
        <v>3622</v>
      </c>
      <c r="I286" s="123" t="s">
        <v>3623</v>
      </c>
      <c r="J286" s="236">
        <v>62</v>
      </c>
      <c r="K286" s="221" t="s">
        <v>3561</v>
      </c>
    </row>
    <row r="287" customHeight="1" spans="1:11">
      <c r="A287" s="114"/>
      <c r="B287" s="114"/>
      <c r="C287" s="114"/>
      <c r="D287" s="114" t="s">
        <v>3624</v>
      </c>
      <c r="E287" s="170" t="s">
        <v>3625</v>
      </c>
      <c r="F287" s="153">
        <v>43697</v>
      </c>
      <c r="G287" s="152">
        <f t="shared" si="3"/>
        <v>3697</v>
      </c>
      <c r="H287" s="170" t="s">
        <v>3626</v>
      </c>
      <c r="I287" s="123" t="s">
        <v>3627</v>
      </c>
      <c r="J287" s="236">
        <v>1305</v>
      </c>
      <c r="K287" s="221" t="s">
        <v>3561</v>
      </c>
    </row>
    <row r="288" customHeight="1" spans="1:11">
      <c r="A288" s="114"/>
      <c r="B288" s="114"/>
      <c r="C288" s="114"/>
      <c r="D288" s="114" t="s">
        <v>3628</v>
      </c>
      <c r="E288" s="170" t="s">
        <v>3629</v>
      </c>
      <c r="F288" s="153">
        <v>43203</v>
      </c>
      <c r="G288" s="152">
        <f t="shared" si="3"/>
        <v>3203</v>
      </c>
      <c r="H288" s="170" t="s">
        <v>3630</v>
      </c>
      <c r="I288" s="123" t="s">
        <v>3631</v>
      </c>
      <c r="J288" s="236">
        <v>4139</v>
      </c>
      <c r="K288" s="221" t="s">
        <v>3561</v>
      </c>
    </row>
    <row r="289" customHeight="1" spans="1:11">
      <c r="A289" s="114"/>
      <c r="B289" s="114"/>
      <c r="C289" s="114"/>
      <c r="D289" s="114" t="s">
        <v>3632</v>
      </c>
      <c r="E289" s="170" t="s">
        <v>3633</v>
      </c>
      <c r="F289" s="153">
        <v>43957</v>
      </c>
      <c r="G289" s="152">
        <f t="shared" si="3"/>
        <v>3957</v>
      </c>
      <c r="H289" s="170" t="s">
        <v>3634</v>
      </c>
      <c r="I289" s="123" t="s">
        <v>3635</v>
      </c>
      <c r="J289" s="236">
        <v>33</v>
      </c>
      <c r="K289" s="221" t="s">
        <v>3561</v>
      </c>
    </row>
    <row r="290" customHeight="1" spans="1:11">
      <c r="A290" s="114"/>
      <c r="B290" s="114"/>
      <c r="C290" s="114"/>
      <c r="D290" s="114" t="s">
        <v>3636</v>
      </c>
      <c r="E290" s="170" t="s">
        <v>3637</v>
      </c>
      <c r="F290" s="153">
        <v>43696</v>
      </c>
      <c r="G290" s="152">
        <f t="shared" si="3"/>
        <v>3696</v>
      </c>
      <c r="H290" s="170" t="s">
        <v>3638</v>
      </c>
      <c r="I290" s="123" t="s">
        <v>3639</v>
      </c>
      <c r="J290" s="236">
        <v>263</v>
      </c>
      <c r="K290" s="221" t="s">
        <v>3561</v>
      </c>
    </row>
    <row r="291" customHeight="1" spans="1:11">
      <c r="A291" s="114"/>
      <c r="B291" s="114"/>
      <c r="C291" s="114"/>
      <c r="D291" s="114" t="s">
        <v>1490</v>
      </c>
      <c r="E291" s="170" t="s">
        <v>3640</v>
      </c>
      <c r="F291" s="169">
        <v>42490</v>
      </c>
      <c r="G291" s="152">
        <f t="shared" si="3"/>
        <v>2490</v>
      </c>
      <c r="H291" s="170" t="s">
        <v>3641</v>
      </c>
      <c r="I291" s="123" t="s">
        <v>3642</v>
      </c>
      <c r="J291" s="236">
        <v>5690</v>
      </c>
      <c r="K291" s="221" t="s">
        <v>3561</v>
      </c>
    </row>
    <row r="292" customHeight="1" spans="1:11">
      <c r="A292" s="114"/>
      <c r="B292" s="114"/>
      <c r="C292" s="114"/>
      <c r="D292" s="114" t="s">
        <v>3643</v>
      </c>
      <c r="E292" s="170" t="s">
        <v>3644</v>
      </c>
      <c r="F292" s="153">
        <v>44002</v>
      </c>
      <c r="G292" s="152">
        <f t="shared" si="3"/>
        <v>4002</v>
      </c>
      <c r="H292" s="170" t="s">
        <v>3645</v>
      </c>
      <c r="I292" s="123" t="s">
        <v>3646</v>
      </c>
      <c r="J292" s="236">
        <v>291</v>
      </c>
      <c r="K292" s="221" t="s">
        <v>3561</v>
      </c>
    </row>
    <row r="293" customHeight="1" spans="1:11">
      <c r="A293" s="114"/>
      <c r="B293" s="114"/>
      <c r="C293" s="114"/>
      <c r="D293" s="114" t="s">
        <v>3647</v>
      </c>
      <c r="E293" s="170" t="s">
        <v>3648</v>
      </c>
      <c r="F293" s="153">
        <v>44267</v>
      </c>
      <c r="G293" s="152">
        <f t="shared" si="3"/>
        <v>4267</v>
      </c>
      <c r="H293" s="170" t="s">
        <v>3649</v>
      </c>
      <c r="I293" s="123" t="s">
        <v>3650</v>
      </c>
      <c r="J293" s="236">
        <v>24</v>
      </c>
      <c r="K293" s="221" t="s">
        <v>3561</v>
      </c>
    </row>
    <row r="294" customHeight="1" spans="1:11">
      <c r="A294" s="114"/>
      <c r="B294" s="114"/>
      <c r="C294" s="114"/>
      <c r="D294" s="114" t="s">
        <v>3651</v>
      </c>
      <c r="E294" s="170" t="s">
        <v>3652</v>
      </c>
      <c r="F294" s="153">
        <v>43432</v>
      </c>
      <c r="G294" s="152">
        <f t="shared" si="3"/>
        <v>3432</v>
      </c>
      <c r="H294" s="170" t="s">
        <v>3653</v>
      </c>
      <c r="I294" s="123" t="s">
        <v>3654</v>
      </c>
      <c r="J294" s="236">
        <v>646</v>
      </c>
      <c r="K294" s="221" t="s">
        <v>3561</v>
      </c>
    </row>
    <row r="295" customHeight="1" spans="1:11">
      <c r="A295" s="114"/>
      <c r="B295" s="114"/>
      <c r="C295" s="114"/>
      <c r="D295" s="114" t="s">
        <v>3655</v>
      </c>
      <c r="E295" s="170" t="s">
        <v>3656</v>
      </c>
      <c r="F295" s="153">
        <v>44273</v>
      </c>
      <c r="G295" s="152">
        <f t="shared" si="3"/>
        <v>4273</v>
      </c>
      <c r="H295" s="170" t="s">
        <v>3657</v>
      </c>
      <c r="I295" s="123" t="s">
        <v>3658</v>
      </c>
      <c r="J295" s="236">
        <v>308</v>
      </c>
      <c r="K295" s="221" t="s">
        <v>3561</v>
      </c>
    </row>
    <row r="296" customHeight="1" spans="1:11">
      <c r="A296" s="114"/>
      <c r="B296" s="114"/>
      <c r="C296" s="114"/>
      <c r="D296" s="114" t="s">
        <v>205</v>
      </c>
      <c r="E296" s="170" t="s">
        <v>3659</v>
      </c>
      <c r="F296" s="153">
        <v>41883</v>
      </c>
      <c r="G296" s="152">
        <f t="shared" si="3"/>
        <v>1883</v>
      </c>
      <c r="H296" s="170" t="s">
        <v>3660</v>
      </c>
      <c r="I296" s="123" t="s">
        <v>3661</v>
      </c>
      <c r="J296" s="236">
        <v>2779</v>
      </c>
      <c r="K296" s="221" t="s">
        <v>3561</v>
      </c>
    </row>
    <row r="297" customHeight="1" spans="1:11">
      <c r="A297" s="114"/>
      <c r="B297" s="114"/>
      <c r="C297" s="114"/>
      <c r="D297" s="114" t="s">
        <v>3089</v>
      </c>
      <c r="E297" s="170" t="s">
        <v>3662</v>
      </c>
      <c r="F297" s="153">
        <v>44150</v>
      </c>
      <c r="G297" s="152">
        <f t="shared" si="3"/>
        <v>4150</v>
      </c>
      <c r="H297" s="170" t="s">
        <v>3663</v>
      </c>
      <c r="I297" s="123" t="s">
        <v>3664</v>
      </c>
      <c r="J297" s="236">
        <v>165</v>
      </c>
      <c r="K297" s="221" t="s">
        <v>3561</v>
      </c>
    </row>
    <row r="298" customHeight="1" spans="1:11">
      <c r="A298" s="114"/>
      <c r="B298" s="114"/>
      <c r="C298" s="114"/>
      <c r="D298" s="114" t="s">
        <v>3665</v>
      </c>
      <c r="E298" s="170" t="s">
        <v>3666</v>
      </c>
      <c r="F298" s="153">
        <v>43967</v>
      </c>
      <c r="G298" s="152">
        <f t="shared" si="3"/>
        <v>3967</v>
      </c>
      <c r="H298" s="170" t="s">
        <v>3667</v>
      </c>
      <c r="I298" s="123" t="s">
        <v>3668</v>
      </c>
      <c r="J298" s="236">
        <v>430</v>
      </c>
      <c r="K298" s="164"/>
    </row>
    <row r="299" customHeight="1" spans="1:11">
      <c r="A299" s="114"/>
      <c r="B299" s="114"/>
      <c r="C299" s="114"/>
      <c r="D299" s="114"/>
      <c r="E299" s="226"/>
      <c r="F299" s="114"/>
      <c r="G299" s="152" t="e">
        <f t="shared" si="3"/>
        <v>#VALUE!</v>
      </c>
      <c r="H299" s="114"/>
      <c r="I299" s="114"/>
      <c r="J299" s="33"/>
      <c r="K299" s="164"/>
    </row>
    <row r="300" customHeight="1" spans="1:11">
      <c r="A300" s="114" t="s">
        <v>3257</v>
      </c>
      <c r="B300" s="221" t="s">
        <v>3669</v>
      </c>
      <c r="D300" s="114"/>
      <c r="E300" s="226"/>
      <c r="F300" s="264"/>
      <c r="G300" s="183" t="e">
        <f t="shared" si="3"/>
        <v>#VALUE!</v>
      </c>
      <c r="H300" s="123" t="s">
        <v>3670</v>
      </c>
      <c r="I300" s="114"/>
      <c r="J300" s="33">
        <v>107</v>
      </c>
      <c r="K300" s="164"/>
    </row>
    <row r="301" customHeight="1" spans="1:11">
      <c r="A301" s="114"/>
      <c r="B301" s="114"/>
      <c r="C301" s="114"/>
      <c r="D301" s="114"/>
      <c r="E301" s="226"/>
      <c r="F301" s="114"/>
      <c r="G301" s="152" t="e">
        <f t="shared" si="3"/>
        <v>#VALUE!</v>
      </c>
      <c r="H301" s="114"/>
      <c r="I301" s="114"/>
      <c r="J301" s="33"/>
      <c r="K301" s="164"/>
    </row>
    <row r="302" customHeight="1" spans="1:11">
      <c r="A302" s="114"/>
      <c r="B302" s="114"/>
      <c r="C302" s="114"/>
      <c r="D302" s="114" t="s">
        <v>3671</v>
      </c>
      <c r="E302" s="170" t="s">
        <v>3672</v>
      </c>
      <c r="F302" s="153">
        <v>43623</v>
      </c>
      <c r="G302" s="152">
        <f t="shared" si="3"/>
        <v>3623</v>
      </c>
      <c r="H302" s="170" t="s">
        <v>3673</v>
      </c>
      <c r="I302" s="123" t="s">
        <v>3674</v>
      </c>
      <c r="J302" s="236">
        <v>274</v>
      </c>
      <c r="K302" s="221" t="s">
        <v>3669</v>
      </c>
    </row>
    <row r="303" customHeight="1" spans="1:11">
      <c r="A303" s="114"/>
      <c r="B303" s="114"/>
      <c r="D303" s="114" t="s">
        <v>3675</v>
      </c>
      <c r="E303" s="170" t="s">
        <v>3676</v>
      </c>
      <c r="F303" s="153">
        <v>42736</v>
      </c>
      <c r="G303" s="152">
        <f t="shared" si="3"/>
        <v>2736</v>
      </c>
      <c r="H303" s="170" t="s">
        <v>3677</v>
      </c>
      <c r="I303" s="123" t="s">
        <v>3678</v>
      </c>
      <c r="J303" s="236">
        <v>79</v>
      </c>
      <c r="K303" s="221" t="s">
        <v>3669</v>
      </c>
    </row>
    <row r="304" customHeight="1" spans="1:11">
      <c r="A304" s="114"/>
      <c r="B304" s="114"/>
      <c r="D304" s="114" t="s">
        <v>1404</v>
      </c>
      <c r="E304" s="170" t="s">
        <v>3679</v>
      </c>
      <c r="F304" s="153">
        <v>43294</v>
      </c>
      <c r="G304" s="152">
        <f t="shared" si="3"/>
        <v>3294</v>
      </c>
      <c r="H304" s="170" t="s">
        <v>3680</v>
      </c>
      <c r="I304" s="123" t="s">
        <v>3681</v>
      </c>
      <c r="J304" s="236">
        <v>105</v>
      </c>
      <c r="K304" s="221" t="s">
        <v>3669</v>
      </c>
    </row>
    <row r="305" customHeight="1" spans="1:11">
      <c r="A305" s="114"/>
      <c r="B305" s="114"/>
      <c r="D305" s="114" t="s">
        <v>1404</v>
      </c>
      <c r="E305" s="170" t="s">
        <v>3682</v>
      </c>
      <c r="F305" s="153">
        <v>43046</v>
      </c>
      <c r="G305" s="152">
        <f t="shared" si="3"/>
        <v>3046</v>
      </c>
      <c r="H305" s="170" t="s">
        <v>3683</v>
      </c>
      <c r="I305" s="123" t="s">
        <v>3684</v>
      </c>
      <c r="J305" s="236">
        <v>340</v>
      </c>
      <c r="K305" s="221" t="s">
        <v>3669</v>
      </c>
    </row>
    <row r="306" customHeight="1" spans="1:11">
      <c r="A306" s="114"/>
      <c r="B306" s="114"/>
      <c r="D306" s="114" t="s">
        <v>3685</v>
      </c>
      <c r="E306" s="170" t="s">
        <v>3686</v>
      </c>
      <c r="F306" s="153">
        <v>43627</v>
      </c>
      <c r="G306" s="152">
        <f t="shared" si="3"/>
        <v>3627</v>
      </c>
      <c r="H306" s="170" t="s">
        <v>3687</v>
      </c>
      <c r="I306" s="123" t="s">
        <v>3688</v>
      </c>
      <c r="J306" s="236" t="s">
        <v>3213</v>
      </c>
      <c r="K306" s="221" t="s">
        <v>3669</v>
      </c>
    </row>
    <row r="307" customHeight="1" spans="1:11">
      <c r="A307" s="114"/>
      <c r="B307" s="114"/>
      <c r="D307" s="114" t="s">
        <v>3689</v>
      </c>
      <c r="E307" s="170" t="s">
        <v>3690</v>
      </c>
      <c r="F307" s="154">
        <v>42947</v>
      </c>
      <c r="G307" s="152">
        <f t="shared" si="3"/>
        <v>2947</v>
      </c>
      <c r="H307" s="170" t="s">
        <v>3691</v>
      </c>
      <c r="I307" s="123" t="s">
        <v>3692</v>
      </c>
      <c r="J307" s="236">
        <v>230</v>
      </c>
      <c r="K307" s="221" t="s">
        <v>3669</v>
      </c>
    </row>
    <row r="308" customHeight="1" spans="1:11">
      <c r="A308" s="114"/>
      <c r="B308" s="114"/>
      <c r="D308" s="114" t="s">
        <v>3693</v>
      </c>
      <c r="E308" s="170"/>
      <c r="F308" s="153">
        <v>44020</v>
      </c>
      <c r="G308" s="152">
        <f t="shared" si="3"/>
        <v>4020</v>
      </c>
      <c r="H308" s="170" t="s">
        <v>3694</v>
      </c>
      <c r="I308" s="123" t="s">
        <v>3695</v>
      </c>
      <c r="J308" s="236">
        <v>604</v>
      </c>
      <c r="K308" s="221" t="s">
        <v>3669</v>
      </c>
    </row>
    <row r="309" customHeight="1" spans="1:11">
      <c r="A309" s="114"/>
      <c r="B309" s="114"/>
      <c r="C309" s="114"/>
      <c r="D309" s="114" t="s">
        <v>3696</v>
      </c>
      <c r="E309" s="170" t="s">
        <v>3697</v>
      </c>
      <c r="F309" s="153">
        <v>43848</v>
      </c>
      <c r="G309" s="152">
        <f t="shared" si="3"/>
        <v>3848</v>
      </c>
      <c r="H309" s="170" t="s">
        <v>3698</v>
      </c>
      <c r="I309" s="123" t="s">
        <v>3699</v>
      </c>
      <c r="J309" s="236">
        <v>696</v>
      </c>
      <c r="K309" s="221" t="s">
        <v>3669</v>
      </c>
    </row>
    <row r="310" customHeight="1" spans="1:11">
      <c r="A310" s="114"/>
      <c r="B310" s="114"/>
      <c r="D310" s="170" t="s">
        <v>3700</v>
      </c>
      <c r="E310" s="170" t="s">
        <v>3701</v>
      </c>
      <c r="F310" s="167">
        <v>43770</v>
      </c>
      <c r="G310" s="152">
        <f t="shared" si="3"/>
        <v>3770</v>
      </c>
      <c r="H310" s="170" t="s">
        <v>3702</v>
      </c>
      <c r="I310" s="123" t="s">
        <v>3703</v>
      </c>
      <c r="J310" s="236">
        <v>7</v>
      </c>
      <c r="K310" s="221" t="s">
        <v>3669</v>
      </c>
    </row>
    <row r="311" customHeight="1" spans="1:11">
      <c r="A311" s="114"/>
      <c r="B311" s="114"/>
      <c r="D311" s="114" t="s">
        <v>3671</v>
      </c>
      <c r="E311" s="170" t="s">
        <v>3704</v>
      </c>
      <c r="F311" s="169">
        <v>43841</v>
      </c>
      <c r="G311" s="152">
        <f t="shared" si="3"/>
        <v>3841</v>
      </c>
      <c r="H311" s="170" t="s">
        <v>3705</v>
      </c>
      <c r="I311" s="123" t="s">
        <v>3706</v>
      </c>
      <c r="J311" s="236">
        <v>11</v>
      </c>
      <c r="K311" s="221" t="s">
        <v>3669</v>
      </c>
    </row>
    <row r="312" customHeight="1" spans="1:11">
      <c r="A312" s="114"/>
      <c r="B312" s="114"/>
      <c r="D312" s="114" t="s">
        <v>3707</v>
      </c>
      <c r="E312" s="170" t="s">
        <v>3708</v>
      </c>
      <c r="F312" s="153">
        <v>43770</v>
      </c>
      <c r="G312" s="152">
        <f t="shared" si="3"/>
        <v>3770</v>
      </c>
      <c r="H312" s="170" t="s">
        <v>3709</v>
      </c>
      <c r="I312" s="259" t="s">
        <v>3710</v>
      </c>
      <c r="J312" s="236">
        <v>6</v>
      </c>
      <c r="K312" s="221" t="s">
        <v>3669</v>
      </c>
    </row>
    <row r="313" customHeight="1" spans="1:11">
      <c r="A313" s="114"/>
      <c r="B313" s="114"/>
      <c r="D313" s="114" t="s">
        <v>3711</v>
      </c>
      <c r="E313" s="170" t="s">
        <v>3712</v>
      </c>
      <c r="F313" s="153">
        <v>43769</v>
      </c>
      <c r="G313" s="152">
        <f t="shared" si="3"/>
        <v>3769</v>
      </c>
      <c r="H313" s="170" t="s">
        <v>3713</v>
      </c>
      <c r="I313" s="123" t="s">
        <v>3714</v>
      </c>
      <c r="J313" s="236">
        <v>280</v>
      </c>
      <c r="K313" s="221" t="s">
        <v>3669</v>
      </c>
    </row>
    <row r="314" customHeight="1" spans="1:11">
      <c r="A314" s="114"/>
      <c r="B314" s="114"/>
      <c r="D314" s="114" t="s">
        <v>262</v>
      </c>
      <c r="E314" s="170" t="s">
        <v>3715</v>
      </c>
      <c r="F314" s="153">
        <v>43766</v>
      </c>
      <c r="G314" s="152">
        <f t="shared" si="3"/>
        <v>3766</v>
      </c>
      <c r="H314" s="170" t="s">
        <v>3716</v>
      </c>
      <c r="I314" s="123" t="s">
        <v>3717</v>
      </c>
      <c r="J314" s="236">
        <v>196</v>
      </c>
      <c r="K314" s="221" t="s">
        <v>3669</v>
      </c>
    </row>
    <row r="315" customHeight="1" spans="1:11">
      <c r="A315" s="114"/>
      <c r="B315" s="114"/>
      <c r="D315" s="114" t="s">
        <v>1404</v>
      </c>
      <c r="E315" s="170" t="s">
        <v>3718</v>
      </c>
      <c r="F315" s="169">
        <v>43272</v>
      </c>
      <c r="G315" s="152">
        <f t="shared" si="3"/>
        <v>3272</v>
      </c>
      <c r="H315" s="170" t="s">
        <v>3719</v>
      </c>
      <c r="I315" s="123" t="s">
        <v>3720</v>
      </c>
      <c r="J315" s="236">
        <v>1570</v>
      </c>
      <c r="K315" s="221" t="s">
        <v>3669</v>
      </c>
    </row>
    <row r="316" customHeight="1" spans="1:11">
      <c r="A316" s="114"/>
      <c r="B316" s="114"/>
      <c r="D316" s="114" t="s">
        <v>3721</v>
      </c>
      <c r="E316" s="170" t="s">
        <v>3722</v>
      </c>
      <c r="F316" s="169">
        <v>43374</v>
      </c>
      <c r="G316" s="152">
        <f t="shared" si="3"/>
        <v>3374</v>
      </c>
      <c r="H316" s="170" t="s">
        <v>3723</v>
      </c>
      <c r="I316" s="123" t="s">
        <v>3724</v>
      </c>
      <c r="J316" s="236">
        <v>74</v>
      </c>
      <c r="K316" s="221" t="s">
        <v>3669</v>
      </c>
    </row>
    <row r="317" customHeight="1" spans="1:11">
      <c r="A317" s="114"/>
      <c r="B317" s="114"/>
      <c r="D317" s="114" t="s">
        <v>3725</v>
      </c>
      <c r="E317" s="170" t="s">
        <v>3726</v>
      </c>
      <c r="F317" s="169">
        <v>42541</v>
      </c>
      <c r="G317" s="152">
        <f t="shared" si="3"/>
        <v>2541</v>
      </c>
      <c r="H317" s="170" t="s">
        <v>3727</v>
      </c>
      <c r="I317" s="123" t="s">
        <v>3728</v>
      </c>
      <c r="J317" s="236">
        <v>1255</v>
      </c>
      <c r="K317" s="221" t="s">
        <v>3669</v>
      </c>
    </row>
    <row r="318" customHeight="1" spans="1:11">
      <c r="A318" s="114"/>
      <c r="B318" s="114"/>
      <c r="D318" s="114" t="s">
        <v>3729</v>
      </c>
      <c r="E318" s="170" t="s">
        <v>3730</v>
      </c>
      <c r="F318" s="167">
        <v>43874</v>
      </c>
      <c r="G318" s="152">
        <f t="shared" si="3"/>
        <v>3874</v>
      </c>
      <c r="H318" s="170" t="s">
        <v>3731</v>
      </c>
      <c r="I318" s="123" t="s">
        <v>3732</v>
      </c>
      <c r="J318" s="236">
        <v>608</v>
      </c>
      <c r="K318" s="221" t="s">
        <v>3669</v>
      </c>
    </row>
    <row r="319" customHeight="1" spans="1:11">
      <c r="A319" s="114"/>
      <c r="B319" s="114"/>
      <c r="D319" s="114" t="s">
        <v>3733</v>
      </c>
      <c r="E319" s="170" t="s">
        <v>3734</v>
      </c>
      <c r="F319" s="167">
        <v>44193</v>
      </c>
      <c r="G319" s="152">
        <f t="shared" si="3"/>
        <v>4193</v>
      </c>
      <c r="H319" s="170" t="s">
        <v>3735</v>
      </c>
      <c r="I319" s="123" t="s">
        <v>3736</v>
      </c>
      <c r="J319" s="236">
        <v>102</v>
      </c>
      <c r="K319" s="221" t="s">
        <v>3669</v>
      </c>
    </row>
    <row r="320" customHeight="1" spans="1:11">
      <c r="A320" s="114"/>
      <c r="B320" s="114"/>
      <c r="D320" s="114" t="s">
        <v>3737</v>
      </c>
      <c r="E320" s="170" t="s">
        <v>3738</v>
      </c>
      <c r="F320" s="153">
        <v>43841</v>
      </c>
      <c r="G320" s="152">
        <f t="shared" si="3"/>
        <v>3841</v>
      </c>
      <c r="H320" s="170" t="s">
        <v>3739</v>
      </c>
      <c r="I320" s="123" t="s">
        <v>3740</v>
      </c>
      <c r="J320" s="236">
        <v>60</v>
      </c>
      <c r="K320" s="221" t="s">
        <v>3669</v>
      </c>
    </row>
    <row r="321" customHeight="1" spans="1:11">
      <c r="A321" s="114"/>
      <c r="B321" s="114"/>
      <c r="D321" s="114" t="s">
        <v>3741</v>
      </c>
      <c r="E321" s="170" t="s">
        <v>3742</v>
      </c>
      <c r="F321" s="153">
        <v>42531</v>
      </c>
      <c r="G321" s="152">
        <f t="shared" si="3"/>
        <v>2531</v>
      </c>
      <c r="H321" s="170" t="s">
        <v>3743</v>
      </c>
      <c r="I321" s="123" t="s">
        <v>3744</v>
      </c>
      <c r="J321" s="236">
        <v>285</v>
      </c>
      <c r="K321" s="221" t="s">
        <v>3669</v>
      </c>
    </row>
    <row r="322" customHeight="1" spans="1:11">
      <c r="A322" s="114"/>
      <c r="B322" s="114"/>
      <c r="D322" s="114" t="s">
        <v>3741</v>
      </c>
      <c r="E322" s="170" t="s">
        <v>3742</v>
      </c>
      <c r="F322" s="153">
        <v>43046</v>
      </c>
      <c r="G322" s="152">
        <f t="shared" si="3"/>
        <v>3046</v>
      </c>
      <c r="H322" s="170" t="s">
        <v>3745</v>
      </c>
      <c r="I322" s="123" t="s">
        <v>3746</v>
      </c>
      <c r="J322" s="236">
        <v>72</v>
      </c>
      <c r="K322" s="221" t="s">
        <v>3669</v>
      </c>
    </row>
    <row r="323" customHeight="1" spans="1:11">
      <c r="A323" s="114"/>
      <c r="B323" s="114"/>
      <c r="D323" s="114" t="s">
        <v>3747</v>
      </c>
      <c r="E323" s="170" t="s">
        <v>3748</v>
      </c>
      <c r="F323" s="153">
        <v>42245</v>
      </c>
      <c r="G323" s="152">
        <f t="shared" si="3"/>
        <v>2245</v>
      </c>
      <c r="H323" s="170" t="s">
        <v>3749</v>
      </c>
      <c r="I323" s="123" t="s">
        <v>3750</v>
      </c>
      <c r="J323" s="236">
        <v>1413</v>
      </c>
      <c r="K323" s="221" t="s">
        <v>3669</v>
      </c>
    </row>
    <row r="324" customHeight="1" spans="1:11">
      <c r="A324" s="114"/>
      <c r="B324" s="114"/>
      <c r="D324" s="114" t="s">
        <v>3751</v>
      </c>
      <c r="E324" s="170" t="s">
        <v>3752</v>
      </c>
      <c r="F324" s="153">
        <v>43403</v>
      </c>
      <c r="G324" s="152">
        <f t="shared" si="3"/>
        <v>3403</v>
      </c>
      <c r="H324" s="170" t="s">
        <v>3753</v>
      </c>
      <c r="I324" s="123" t="s">
        <v>3754</v>
      </c>
      <c r="J324" s="236">
        <v>112</v>
      </c>
      <c r="K324" s="221" t="s">
        <v>3669</v>
      </c>
    </row>
    <row r="325" customHeight="1" spans="1:11">
      <c r="A325" s="114"/>
      <c r="B325" s="114"/>
      <c r="D325" s="114" t="s">
        <v>3685</v>
      </c>
      <c r="E325" s="170" t="s">
        <v>3755</v>
      </c>
      <c r="F325" s="153">
        <v>43369</v>
      </c>
      <c r="G325" s="152">
        <f t="shared" si="3"/>
        <v>3369</v>
      </c>
      <c r="H325" s="170" t="s">
        <v>3756</v>
      </c>
      <c r="I325" s="123" t="s">
        <v>3757</v>
      </c>
      <c r="J325" s="236">
        <v>451</v>
      </c>
      <c r="K325" s="221" t="s">
        <v>3669</v>
      </c>
    </row>
    <row r="326" customHeight="1" spans="1:11">
      <c r="A326" s="114"/>
      <c r="B326" s="114"/>
      <c r="D326" s="114" t="s">
        <v>1166</v>
      </c>
      <c r="E326" s="170" t="s">
        <v>3758</v>
      </c>
      <c r="F326" s="169">
        <v>42979</v>
      </c>
      <c r="G326" s="152">
        <f t="shared" si="3"/>
        <v>2979</v>
      </c>
      <c r="H326" s="170" t="s">
        <v>3759</v>
      </c>
      <c r="I326" s="123" t="s">
        <v>3760</v>
      </c>
      <c r="J326" s="236">
        <v>369</v>
      </c>
      <c r="K326" s="221" t="s">
        <v>3669</v>
      </c>
    </row>
    <row r="327" customHeight="1" spans="1:11">
      <c r="A327" s="114"/>
      <c r="B327" s="114"/>
      <c r="D327" s="114" t="s">
        <v>3761</v>
      </c>
      <c r="E327" s="170" t="s">
        <v>3758</v>
      </c>
      <c r="F327" s="169">
        <v>43620</v>
      </c>
      <c r="G327" s="152">
        <f t="shared" si="3"/>
        <v>3620</v>
      </c>
      <c r="H327" s="170" t="s">
        <v>3762</v>
      </c>
      <c r="I327" s="123" t="s">
        <v>3763</v>
      </c>
      <c r="J327" s="236">
        <v>517</v>
      </c>
      <c r="K327" s="221" t="s">
        <v>3669</v>
      </c>
    </row>
  </sheetData>
  <conditionalFormatting sqref="J1">
    <cfRule type="cellIs" dxfId="0" priority="25" operator="lessThan">
      <formula>100</formula>
    </cfRule>
    <cfRule type="cellIs" dxfId="1" priority="26" operator="between">
      <formula>100</formula>
      <formula>1000</formula>
    </cfRule>
    <cfRule type="cellIs" dxfId="2" priority="27" operator="between">
      <formula>1000</formula>
      <formula>10000</formula>
    </cfRule>
    <cfRule type="cellIs" dxfId="3" priority="28" operator="greaterThan">
      <formula>10000</formula>
    </cfRule>
  </conditionalFormatting>
  <conditionalFormatting sqref="J12">
    <cfRule type="cellIs" dxfId="2" priority="9" operator="between">
      <formula>1000</formula>
      <formula>10000</formula>
    </cfRule>
    <cfRule type="cellIs" dxfId="1" priority="10" operator="between">
      <formula>100</formula>
      <formula>1000</formula>
    </cfRule>
    <cfRule type="cellIs" dxfId="0" priority="11" operator="lessThan">
      <formula>100</formula>
    </cfRule>
    <cfRule type="cellIs" dxfId="3" priority="12" operator="greaterThan">
      <formula>10000</formula>
    </cfRule>
  </conditionalFormatting>
  <conditionalFormatting sqref="J13">
    <cfRule type="cellIs" dxfId="3" priority="1" operator="greaterThan">
      <formula>10000</formula>
    </cfRule>
    <cfRule type="cellIs" dxfId="2" priority="2" operator="between">
      <formula>1000</formula>
      <formula>10000</formula>
    </cfRule>
    <cfRule type="cellIs" dxfId="1" priority="3" operator="between">
      <formula>100</formula>
      <formula>1000</formula>
    </cfRule>
    <cfRule type="cellIs" dxfId="0" priority="4" operator="lessThan">
      <formula>100</formula>
    </cfRule>
  </conditionalFormatting>
  <conditionalFormatting sqref="J14">
    <cfRule type="cellIs" dxfId="3" priority="5" operator="greaterThan">
      <formula>10000</formula>
    </cfRule>
    <cfRule type="cellIs" dxfId="2" priority="6" operator="between">
      <formula>1000</formula>
      <formula>10000</formula>
    </cfRule>
    <cfRule type="cellIs" dxfId="1" priority="7" operator="between">
      <formula>100</formula>
      <formula>1000</formula>
    </cfRule>
    <cfRule type="cellIs" dxfId="0" priority="8" operator="lessThan">
      <formula>100</formula>
    </cfRule>
  </conditionalFormatting>
  <conditionalFormatting sqref="J17">
    <cfRule type="cellIs" dxfId="0" priority="17" operator="lessThan">
      <formula>100</formula>
    </cfRule>
    <cfRule type="cellIs" dxfId="1" priority="18" operator="between">
      <formula>100</formula>
      <formula>1000</formula>
    </cfRule>
    <cfRule type="cellIs" dxfId="2" priority="19" operator="between">
      <formula>1000</formula>
      <formula>10000</formula>
    </cfRule>
    <cfRule type="cellIs" dxfId="3" priority="20" operator="greaterThan">
      <formula>10000</formula>
    </cfRule>
  </conditionalFormatting>
  <conditionalFormatting sqref="J2:J10 J18:J39 J41:J327">
    <cfRule type="cellIs" dxfId="0" priority="21" operator="lessThan">
      <formula>100</formula>
    </cfRule>
    <cfRule type="cellIs" dxfId="1" priority="22" operator="between">
      <formula>100</formula>
      <formula>1000</formula>
    </cfRule>
    <cfRule type="cellIs" dxfId="2" priority="23" operator="between">
      <formula>1000</formula>
      <formula>10000</formula>
    </cfRule>
    <cfRule type="cellIs" dxfId="3" priority="24" operator="greaterThan">
      <formula>10000</formula>
    </cfRule>
  </conditionalFormatting>
  <conditionalFormatting sqref="J11 J15:J16">
    <cfRule type="cellIs" dxfId="3" priority="13" operator="greaterThan">
      <formula>10000</formula>
    </cfRule>
    <cfRule type="cellIs" dxfId="2" priority="14" operator="between">
      <formula>1000</formula>
      <formula>10000</formula>
    </cfRule>
    <cfRule type="cellIs" dxfId="1" priority="15" operator="between">
      <formula>100</formula>
      <formula>1000</formula>
    </cfRule>
    <cfRule type="cellIs" dxfId="0" priority="16" operator="lessThan">
      <formula>100</formula>
    </cfRule>
  </conditionalFormatting>
  <hyperlinks>
    <hyperlink ref="I2" r:id="rId3" display="https://www.theguardian.com/technology/2022/mar/29/artificial-intelligence-beats-eight-world-champions-at-bridge"/>
    <hyperlink ref="I3" r:id="rId4" display="https://arxiv.org/abs/2202.06991"/>
    <hyperlink ref="I4" r:id="rId5" display="http://www.jmlr.org/papers/volume18/17-468/17-468.pdf"/>
    <hyperlink ref="I8" r:id="rId6" display="https://arxiv.org/pdf/2111.00396.pdf"/>
    <hyperlink ref="I17" r:id="rId7" display="https://www.nature.com/articles/381607a0"/>
    <hyperlink ref="I18" r:id="rId8" display="https://keg.cs.tsinghua.edu.cn/jietang/publications/PPOPP22-Ma%20et%20al.-BaGuaLu%20Targeting%20Brain%20Scale%20Pretrained%20Models%20w.pdf"/>
    <hyperlink ref="I19" r:id="rId9" display="https://arxiv.org/abs/2112.00861"/>
    <hyperlink ref="I20" r:id="rId10" display="https://arxiv.org/abs/2112.10684"/>
    <hyperlink ref="I21" r:id="rId11" display="http://eaidata.bmk.sh/data/GPT_NeoX_20B.pdf"/>
    <hyperlink ref="I22" r:id="rId12" display="https://bigscience.huggingface.co/blog/model-training-launched"/>
    <hyperlink ref="I23" r:id="rId13" display="https://aclanthology.org/2021.naacl-main.41/"/>
    <hyperlink ref="I24" r:id="rId14" display="https://arxiv.org/abs/2105.13626"/>
    <hyperlink ref="I25" r:id="rId15" display="https://arxiv.org/abs/1910.10683"/>
    <hyperlink ref="I27" r:id="rId16" display="https://studio.ai21.com/pricing"/>
    <hyperlink ref="K27" r:id="rId17" display="https://www.reddit.com/r/GPT3/comments/ub7g19/7_new_large_language_models_released_in_the_last/"/>
    <hyperlink ref="I28" r:id="rId18" display="https://arxiv.org/abs/2204.07580#"/>
    <hyperlink ref="K28" r:id="rId17" display="https://www.reddit.com/r/GPT3/comments/ub7g19/7_new_large_language_models_released_in_the_last/"/>
    <hyperlink ref="I29" r:id="rId19" display="https://www.aleph-alpha.com/research"/>
    <hyperlink ref="K29" r:id="rId17" display="https://www.reddit.com/r/GPT3/comments/ub7g19/7_new_large_language_models_released_in_the_last/"/>
    <hyperlink ref="I30" r:id="rId20" display="https://www.tii.ae/news/technology-innovation-institute-announces-launch-noor-worlds-largest-arabic-nlp-model"/>
    <hyperlink ref="K30" r:id="rId17" display="https://www.reddit.com/r/GPT3/comments/ub7g19/7_new_large_language_models_released_in_the_last/"/>
    <hyperlink ref="I31" r:id="rId21" display="https://lighton.ai/blog/lighton-publicly-launches-muse-an-api-to-vlm-4-large-language-models-trained-natively-in-five-european-languages/"/>
    <hyperlink ref="K31" r:id="rId17" display="https://www.reddit.com/r/GPT3/comments/ub7g19/7_new_large_language_models_released_in_the_last/"/>
    <hyperlink ref="I32" r:id="rId22" display="https://blog.salesforceairesearch.com/codegen/"/>
    <hyperlink ref="K32" r:id="rId17" display="https://www.reddit.com/r/GPT3/comments/ub7g19/7_new_large_language_models_released_in_the_last/"/>
    <hyperlink ref="D44" r:id="rId23" display="https://arxiv.org/pdf/2007.05558.pdf"/>
    <hyperlink ref="I46" r:id="rId24" display="https://www.nature.com/articles/s41586-018-0180-5"/>
    <hyperlink ref="I47" r:id="rId25" display="https://arxiv.org/pdf/2004.12850.pdf"/>
    <hyperlink ref="I48" r:id="rId26" display="https://mitpress.mit.edu/books/advances-neural-information-processing-systems"/>
    <hyperlink ref="I49" r:id="rId27" display="https://www.pnas.org/content/116/32/15849"/>
    <hyperlink ref="I50" r:id="rId28" display="https://arxiv.org/pdf/1806.05161.pdf"/>
    <hyperlink ref="I51" r:id="rId29" display="https://arxiv.org/pdf/1806.09471.pdf"/>
    <hyperlink ref="I52" r:id="rId30" display="https://arxiv.org/pdf/1910.07419.pdf"/>
    <hyperlink ref="I53" r:id="rId31" display="https://www.semanticscholar.org/paper/Findings-of-the-2014-Workshop-on-Statistical-Bojar-Buck/5ec85a0d88adcc4344bb5cc81b0d1aef9bcd8dcc"/>
    <hyperlink ref="I54" r:id="rId32" display="https://aclanthology.org/2014.iwslt-evaluation.1.pdf"/>
    <hyperlink ref="I55" r:id="rId33" display="https://arxiv.org/pdf/1807.03848.pdf"/>
    <hyperlink ref="I56" r:id="rId34" display="https://arxiv.org/pdf/1710.09282.pdf"/>
    <hyperlink ref="I57" r:id="rId35" display="https://arxiv.org/pdf/1702.05373.pdf"/>
    <hyperlink ref="I58" r:id="rId36" display="https://catalog.ldc.upenn.edu/LDC2002T43"/>
    <hyperlink ref="I59" r:id="rId37" display="https://www.nvidia.com/en-us/data-center/tesla-p100/"/>
    <hyperlink ref="I60" r:id="rId38" display="https://arxiv.org/pdf/1811.12926.pdf"/>
    <hyperlink ref="I61" r:id="rId39" display="https://dl.acm.org/doi/10.1145/2181796.2181798"/>
    <hyperlink ref="I62" r:id="rId40" display="https://arxiv.org/pdf/1810.03505.pdf"/>
    <hyperlink ref="I63" r:id="rId41" location="authors" display="https://ieeexplore.ieee.org/document/8804672/authors#authors"/>
    <hyperlink ref="I64" r:id="rId42" display="https://ieeexplore.ieee.org/document/5206848"/>
    <hyperlink ref="I65" r:id="rId43" display="https://arxiv.org/pdf/1703.08651.pdf"/>
    <hyperlink ref="I66" r:id="rId44" display="https://arxiv.org/pdf/1603.08575.pdf"/>
    <hyperlink ref="I67" r:id="rId45" display="https://homepages.inf.ed.ac.uk/ckiw/postscript/ijcv_voc09.pdf"/>
    <hyperlink ref="I68" r:id="rId46" display="http://vision.stanford.edu/documents/Fei-Fei_ICCV03.pdf"/>
    <hyperlink ref="I69" r:id="rId47" display="https://arxiv.org/pdf/1703.03400.pdf"/>
    <hyperlink ref="I70" r:id="rId48" display="https://www.ibm.com/blogs/research/2019/03/power-quantum-device/"/>
    <hyperlink ref="I71" r:id="rId49" display="https://proceedings.mlr.press/v32/graves14.html"/>
    <hyperlink ref="I72" r:id="rId50" display="https://authors.library.caltech.edu/7694/1/CNS-TR-2007-001.pdf"/>
    <hyperlink ref="I73" r:id="rId51" display="https://arxiv.org/pdf/1510.00149.pdf"/>
    <hyperlink ref="I74" r:id="rId52" display="https://arxiv.org/pdf/1901.03446.pdf"/>
    <hyperlink ref="I75" r:id="rId53" display="http://acs.pub.ro/~cpop/SMPA/Computer%20Architecture%20A%20Quantitative%20Approach%20(5th%20edition).pdf"/>
    <hyperlink ref="I76" r:id="rId54" display="https://openai.com/blog/ai-and-efficiency/"/>
    <hyperlink ref="I77" r:id="rId55" display="https://papers.nips.cc/paper/2016/file/d8330f857a17c53d217014ee776bfd50-Paper.pdf"/>
    <hyperlink ref="I78" r:id="rId56" display="https://ieeexplore.ieee.org/document/1454428"/>
    <hyperlink ref="I79" r:id="rId57" display="https://ieeexplore.ieee.org/document/8776551"/>
    <hyperlink ref="I80" r:id="rId58" display="https://ai.stanford.edu/~jkrause/papers/fgvc13.pdf"/>
    <hyperlink ref="I81" r:id="rId59" display="https://www.cs.toronto.edu/~kriz/conv-cifar10-aug2010.pdf"/>
    <hyperlink ref="I82" r:id="rId60" display="https://www.cs.toronto.edu/~kriz/learning-features-2009-TR.pdf"/>
    <hyperlink ref="I83" r:id="rId61" display="https://www.cs.toronto.edu/~kriz/cifar.html"/>
    <hyperlink ref="I84" r:id="rId62" display="https://medium.com/datamob/clearing-the-buzzwords-in-machine-learning-e395ad73178b"/>
    <hyperlink ref="I85" r:id="rId63" display="https://arxiv.org/pdf/1812.01718.pdf"/>
    <hyperlink ref="I86" r:id="rId64" display="http://yann.lecun.com/exdb/mnist/"/>
    <hyperlink ref="I87" r:id="rId65" display="https://pubmed.ncbi.nlm.nih.gov/32499413/"/>
    <hyperlink ref="I88" r:id="rId66" display="https://arxiv.org/pdf/1405.0312.pdf"/>
    <hyperlink ref="I89" r:id="rId67" display="https://arxiv.org/pdf/1804.08711.pdf"/>
    <hyperlink ref="I90" r:id="rId68" display="https://link.springer.com/chapter/10.1007/978-3-319-02999-3_9"/>
    <hyperlink ref="I91" r:id="rId69" display="https://arxiv.org/pdf/1605.06636.pdf"/>
    <hyperlink ref="I92" r:id="rId70" display="https://www.cs.ubc.ca/~lowe/papers/ijcv04.pdf"/>
    <hyperlink ref="I93" r:id="rId71" display="https://arxiv.org/pdf/1904.12584.pdf"/>
    <hyperlink ref="I94" r:id="rId72" display="https://arxiv.org/pdf/0806.0145.pdf"/>
    <hyperlink ref="I95" r:id="rId73" display="https://mitpress.mit.edu/books/perceptrons"/>
    <hyperlink ref="I96" r:id="rId74" display="http://ufldl.stanford.edu/housenumbers/"/>
    <hyperlink ref="I97" r:id="rId75" display="https://arxiv.org/pdf/1810.05148.pdf"/>
    <hyperlink ref="I98" r:id="rId76" display="https://citeseerx.ist.psu.edu/viewdoc/download?doi=10.1.1.71.7388&amp;rep=rep1&amp;type=pdf"/>
    <hyperlink ref="I99" r:id="rId77" display="https://arxiv.org/pdf/1802.03268.pdf"/>
    <hyperlink ref="I100" r:id="rId78" display="https://arxiv.org/pdf/1805.10074.pdf"/>
    <hyperlink ref="I101" r:id="rId79" display="https://arxiv.org/pdf/1703.05364.pdf"/>
    <hyperlink ref="I102" r:id="rId80" display="https://arxiv.org/pdf/1606.05250.pdf"/>
    <hyperlink ref="I103" r:id="rId81" display="https://arxiv.org/pdf/1902.10811.pdf"/>
    <hyperlink ref="I104" r:id="rId82" display="https://www.semanticscholar.org/paper/Perceptron-Simulation-Experiments-Rosenblatt/ae76ce1ba27ac29addce4aab93b927e9bc7f7c67"/>
    <hyperlink ref="I105" r:id="rId83" display="https://arxiv.org/pdf/1409.0575.pdf"/>
    <hyperlink ref="I106" r:id="rId84" display="https://ieeexplore.ieee.org/document/9540991"/>
    <hyperlink ref="I107" r:id="rId85" display="https://arxiv.org/pdf/1901.11117.pdf"/>
    <hyperlink ref="I108" r:id="rId86" display="https://arxiv.org/pdf/1707.04926.pdf"/>
    <hyperlink ref="I109" r:id="rId87" display="https://arxiv.org/pdf/1906.02243.pdf"/>
    <hyperlink ref="I111" r:id="rId88" display="https://papers.ssrn.com/sol3/papers.cfm?abstract_id=3287769"/>
    <hyperlink ref="I112" r:id="rId89" display="https://www.jstor.org/stable/2346178"/>
    <hyperlink ref="I113" r:id="rId90" display="https://arxiv.org/pdf/1903.11683.pdf"/>
    <hyperlink ref="I114" r:id="rId91" display="https://arxiv.org/pdf/1905.11481.pdf"/>
    <hyperlink ref="I115" r:id="rId92" display="https://arxiv.org/pdf/1707.06642.pdf"/>
    <hyperlink ref="I116" r:id="rId93" display="http://people.ee.duke.edu/~lcarin/cvpr2010_0618.pdf"/>
    <hyperlink ref="I117" r:id="rId94" display="https://ieeexplore.ieee.org/document/8614482"/>
    <hyperlink ref="I118" r:id="rId95" display="https://arxiv.org/pdf/1703.09746.pdf"/>
    <hyperlink ref="I119" r:id="rId96" display="https://arxiv.org/pdf/2004.11886.pdf"/>
    <hyperlink ref="I120" r:id="rId97" display="https://arxiv.org/pdf/1708.07747.pdf"/>
    <hyperlink ref="I121" r:id="rId98" display="https://arxiv.org/pdf/1810.02338.pdf"/>
    <hyperlink ref="I122" r:id="rId99" display="http://tongzhang-ml.org/papers/eccv10_supervect.pdf"/>
    <hyperlink ref="D124" r:id="rId100" display="https://arxiv.org/pdf/2106.04560v1.pdf"/>
    <hyperlink ref="I126" r:id="rId101" display="https://arxiv.org/pdf/2103.07579.pdf"/>
    <hyperlink ref="I127" r:id="rId102" display="https://arxiv.org/pdf/2006.07159.pdf"/>
    <hyperlink ref="I128" r:id="rId103" display="https://arxiv.org/pdf/2005.12872.pdf"/>
    <hyperlink ref="I129" r:id="rId104" display="https://arxiv.org/pdf/1911.03584.pdf"/>
    <hyperlink ref="I130" r:id="rId105" display="https://link.springer.com/article/10.1007/BF00994018"/>
    <hyperlink ref="I131" r:id="rId106" display="https://arxiv.org/pdf/2006.07733.pdf"/>
    <hyperlink ref="I132" r:id="rId107" display="https://arxiv.org/pdf/2010.14701.pdf"/>
    <hyperlink ref="I133" r:id="rId108" display="https://arxiv.org/pdf/2001.08361.pdf"/>
    <hyperlink ref="I134" r:id="rId109" display="https://arxiv.org/pdf/1912.11370.pdf"/>
    <hyperlink ref="I135" r:id="rId110" display="https://arxiv.org/pdf/1810.00825.pdf"/>
    <hyperlink ref="I136" r:id="rId111" display="https://arxiv.org/pdf/2006.16668.pdf"/>
    <hyperlink ref="I137" r:id="rId112" display="https://www.robots.ox.ac.uk/~vgg/publications/2012/parkhi12a/"/>
    <hyperlink ref="I138" r:id="rId113" display="https://epubs.siam.org/doi/10.1137/0330046"/>
    <hyperlink ref="I139" r:id="rId114" display="https://arxiv.org/pdf/1804.04235.pdf"/>
    <hyperlink ref="I140" r:id="rId115" display="https://arxiv.org/pdf/2101.11605.pdf"/>
    <hyperlink ref="I141" r:id="rId116" display="https://arxiv.org/pdf/2012.12877.pdf"/>
    <hyperlink ref="I142" r:id="rId117" display="https://arxiv.org/pdf/2103.12731.pdf"/>
    <hyperlink ref="I143" r:id="rId118" display="https://arxiv.org/pdf/2102.12122.pdf"/>
    <hyperlink ref="I144" r:id="rId119" display="http://www.vision.caltech.edu/visipedia/CUB-200.html"/>
    <hyperlink ref="I145" r:id="rId120" display="https://arxiv.org/pdf/2101.11986.pdf"/>
    <hyperlink ref="I146" r:id="rId121" display="https://arxiv.org/pdf/1905.03670.pdf"/>
    <hyperlink ref="I147" r:id="rId122" display="https://arxiv.org/pdf/1910.04867.pdf"/>
    <hyperlink ref="H149" r:id="rId123" display="https://arxiv.org/pdf/2008.07772v2.pdf"/>
    <hyperlink ref="I151" r:id="rId124" display="https://arxiv.org/pdf/2001.04413.pdf"/>
    <hyperlink ref="I152" r:id="rId125" display="https://arxiv.org/pdf/1808.07561.pdf"/>
    <hyperlink ref="I153" r:id="rId126" display="https://aclanthology.org/W19-5304.pdf"/>
    <hyperlink ref="I154" r:id="rId127" display="https://arxiv.org/pdf/1812.08951.pdf"/>
    <hyperlink ref="I155" r:id="rId128" display="https://arxiv.org/pdf/1804.09849.pdf"/>
    <hyperlink ref="I156" r:id="rId129" display="https://arxiv.org/pdf/1906.02443.pdf"/>
    <hyperlink ref="I157" r:id="rId130" display="https://dl.acm.org/doi/pdf/10.5555/2002736.2002774"/>
    <hyperlink ref="I158" r:id="rId131" display="https://arxiv.org/pdf/1606.01781.pdf"/>
    <hyperlink ref="I159" r:id="rId132" display="https://aclanthology.org/P18-1167.pdf"/>
    <hyperlink ref="I160" r:id="rId133" display="https://arxiv.org/pdf/1808.09381.pdf"/>
    <hyperlink ref="I161" r:id="rId134" display="https://arxiv.org/pdf/1705.03122.pdf"/>
    <hyperlink ref="I162" r:id="rId135" display="https://dl.acm.org/doi/pdf/10.5555/3327757.3327891"/>
    <hyperlink ref="I163" r:id="rId136" display="https://arxiv.org/pdf/1907.06170.pdf"/>
    <hyperlink ref="I164" r:id="rId137" display="https://arxiv.org/pdf/1606.07947.pdf"/>
    <hyperlink ref="I165" r:id="rId138" display="https://aclanthology.org/W07-0734.pdf"/>
    <hyperlink ref="I166" r:id="rId139" display="https://arxiv.org/pdf/1908.03265.pdf"/>
    <hyperlink ref="I167" r:id="rId140" display="https://arxiv.org/pdf/2004.08249.pdf"/>
    <hyperlink ref="I168" r:id="rId141" display="https://arxiv.org/pdf/2004.08994.pdf"/>
    <hyperlink ref="I169" r:id="rId142" display="https://arxiv.org/pdf/2004.03705.pdf"/>
    <hyperlink ref="I170" r:id="rId143" display="https://arxiv.org/pdf/1903.07926.pdf"/>
    <hyperlink ref="I171" r:id="rId144" display="https://arxiv.org/pdf/1907.06616.pdf"/>
    <hyperlink ref="I172" r:id="rId145" display="https://arxiv.org/pdf/1910.05895.pdf"/>
    <hyperlink ref="I173" r:id="rId146" display="https://arxiv.org/pdf/1904.01038.pdf"/>
    <hyperlink ref="I174" r:id="rId147" display="https://arxiv.org/pdf/1806.00187.pdf"/>
    <hyperlink ref="I175" r:id="rId148" display="https://arxiv.org/pdf/1804.08771.pdf"/>
    <hyperlink ref="I176" r:id="rId149" display="https://www.cs.umd.edu/~snover/pub/amta06/ter_amta.pdf"/>
    <hyperlink ref="I177" r:id="rId150" display="https://arxiv.org/pdf/1507.06228.pdf"/>
    <hyperlink ref="I178" r:id="rId151" display="https://arxiv.org/pdf/1906.01787.pdf"/>
    <hyperlink ref="I179" r:id="rId152" display="https://arxiv.org/pdf/1901.10430.pdf"/>
    <hyperlink ref="I180" r:id="rId153" display="https://arxiv.org/pdf/1907.01968.pdf"/>
    <hyperlink ref="I181" r:id="rId154" display="https://arxiv.org/pdf/1911.07013.pdf"/>
    <hyperlink ref="H183" r:id="rId155" display="https://arxiv.org/pdf/2010.05006v4.pdf"/>
    <hyperlink ref="H184" r:id="rId156" display="Pooled Contextualized Embeddings for Named Entity Recognition"/>
    <hyperlink ref="I184" r:id="rId156" display="https://aclanthology.org/N19-1078.pdf"/>
    <hyperlink ref="I185" r:id="rId157" display="https://aclanthology.org/C18-1139.pdf"/>
    <hyperlink ref="I186" r:id="rId158" location="authors" display="https://ieeexplore.ieee.org/document/265960/authors#authors"/>
    <hyperlink ref="I187" r:id="rId159" display="https://arxiv.org/pdf/1903.07785.pdf"/>
    <hyperlink ref="I188" r:id="rId160" display="https://arxiv.org/pdf/1611.02167.pdf"/>
    <hyperlink ref="I189" r:id="rId161" display="https://dl.acm.org/doi/pdf/10.5555/1596276.1596305"/>
    <hyperlink ref="H190" r:id="rId162" display="SeqVAT: Virtual Adversarial Training for Semi-Supervised Sequence Labeling"/>
    <hyperlink ref="I190" r:id="rId162" display="https://aclanthology.org/2020.acl-main.777.pdf"/>
    <hyperlink ref="I191" r:id="rId163" display="https://arxiv.org/pdf/1809.08370.pdf"/>
    <hyperlink ref="I192" r:id="rId164" display="https://arxiv.org/pdf/1911.02116.pdf"/>
    <hyperlink ref="I193" r:id="rId165" display="https://citeseerx.ist.psu.edu/viewdoc/download?doi=10.1.1.13.8915&amp;rep=rep1&amp;type=pdf"/>
    <hyperlink ref="I194" r:id="rId166" display="https://arxiv.org/pdf/1611.01734.pdf"/>
    <hyperlink ref="I195" r:id="rId167" display="https://arxiv.org/pdf/1807.01396.pdf"/>
    <hyperlink ref="I196" r:id="rId168" display="https://arxiv.org/pdf/1711.04528.pdf"/>
    <hyperlink ref="I197" r:id="rId169" display="https://arxiv.org/pdf/1808.05377.pdf"/>
    <hyperlink ref="I198" r:id="rId170" display="https://arxiv.org/pdf/2005.13344.pdf"/>
    <hyperlink ref="I199" r:id="rId171" display="https://link.springer.com/article/10.1007/s12065-007-0002-4"/>
    <hyperlink ref="I200" r:id="rId172" display="https://arxiv.org/pdf/1904.07392.pdf"/>
    <hyperlink ref="I201" r:id="rId173" display="https://aclanthology.org/P11-2008.pdf"/>
    <hyperlink ref="I202" r:id="rId174" display="http://citeseerx.ist.psu.edu/viewdoc/download;jsessionid=23745DCF717C2A230DE9EB643E4C168C?doi=10.1.1.101.9494&amp;rep=rep1&amp;type=pdf"/>
    <hyperlink ref="I203" r:id="rId175" display="https://aclanthology.org/D18-1275.pdf"/>
    <hyperlink ref="I204" r:id="rId176" display="https://aclanthology.org/D17-1256.pdf"/>
    <hyperlink ref="I205" r:id="rId177" display="https://arxiv.org/pdf/1908.04943.pdf"/>
    <hyperlink ref="I206" r:id="rId178" display="https://dl.acm.org/doi/10.1145/1014052.1014073"/>
    <hyperlink ref="I207" r:id="rId179" display="https://arxiv.org/pdf/1608.06993.pdf"/>
    <hyperlink ref="I208" r:id="rId180" display="https://aclanthology.org/2020.acl-main.607.pdf"/>
    <hyperlink ref="I209" r:id="rId181" display="http://proceedings.mlr.press/v37/jozefowicz15.pdf"/>
    <hyperlink ref="I210" r:id="rId182" display="https://arxiv.org/pdf/1412.6980.pdf"/>
    <hyperlink ref="I211" r:id="rId183" display="https://arxiv.org/pdf/1904.02099.pdf"/>
    <hyperlink ref="I212" r:id="rId184" display="https://arxiv.org/pdf/1609.07561.pdf"/>
    <hyperlink ref="I213" r:id="rId185" display="https://arxiv.org/pdf/1603.01360.pdf"/>
    <hyperlink ref="I214" r:id="rId186" display="https://arxiv.org/pdf/1902.07638.pdf"/>
    <hyperlink ref="I215" r:id="rId187" display="https://arxiv.org/pdf/1910.00883.pdf"/>
    <hyperlink ref="I216" r:id="rId188" display="https://arxiv.org/pdf/1911.08673.pdf"/>
    <hyperlink ref="I217" r:id="rId189" display="https://arxiv.org/pdf/1901.02985.pdf"/>
    <hyperlink ref="I218" r:id="rId190" display="https://arxiv.org/pdf/1711.00436.pdf"/>
    <hyperlink ref="I219" r:id="rId191" display="https://arxiv.org/pdf/1804.08228.pdf"/>
    <hyperlink ref="I220" r:id="rId192" display="https://arxiv.org/pdf/1906.02437.pdf"/>
    <hyperlink ref="I221" r:id="rId193" display="https://arxiv.org/pdf/2006.01563.pdf"/>
    <hyperlink ref="I222" r:id="rId194" display="https://arxiv.org/pdf/1603.01354.pdf"/>
    <hyperlink ref="I223" r:id="rId195" display="https://arxiv.org/pdf/1805.01087.pdf"/>
    <hyperlink ref="I224" r:id="rId196" display="https://www.seas.upenn.edu/~strctlrn/bib/PDF/nonprojectiveHLT-EMNLP2005.pdf"/>
    <hyperlink ref="I225" r:id="rId197" display="https://www.researchgate.net/publication/220885651_Designing_Neural_Networks_using_Genetic_Algorithms"/>
    <hyperlink ref="I226" r:id="rId198" display="https://arxiv.org/pdf/1911.03875.pdf"/>
    <hyperlink ref="I227" r:id="rId199" display="https://arxiv.org/pdf/2005.10200.pdf"/>
    <hyperlink ref="I228" r:id="rId200" display="https://aclanthology.org/S15-2153.pdf"/>
    <hyperlink ref="I229" r:id="rId201" display="https://aclanthology.org/S14-2008.pdf"/>
    <hyperlink ref="I230" r:id="rId202" display="https://aclanthology.org/N13-1039.pdf"/>
    <hyperlink ref="I231" r:id="rId203" display="https://arxiv.org/pdf/1802.05365.pdf"/>
    <hyperlink ref="I232" r:id="rId204" display="https://arxiv.org/pdf/1906.01502.pdf"/>
    <hyperlink ref="I233" r:id="rId205" display="https://aclanthology.org/S16-1002.pdf"/>
    <hyperlink ref="I234" r:id="rId206" display="https://aclanthology.org/S15-2082.pdf"/>
    <hyperlink ref="I235" r:id="rId207" display="https://aclanthology.org/S14-2004.pdf"/>
    <hyperlink ref="I236" r:id="rId208" display="https://arxiv.org/pdf/1703.01041.pdf"/>
    <hyperlink ref="I237" r:id="rId209" display="https://aclanthology.org/D11-1141.pdf"/>
    <hyperlink ref="I238" r:id="rId210" display="http://proceedings.mlr.press/v32/santos14.pdf"/>
    <hyperlink ref="I239" r:id="rId211" display="https://arxiv.org/pdf/1908.06926.pdf"/>
    <hyperlink ref="I240" r:id="rId212" display="https://arxiv.org/pdf/1704.00764.pdf"/>
    <hyperlink ref="I241" r:id="rId213" display="https://www-nlpir.nist.gov/related_projects/muc/proceedings/ne_task.html"/>
    <hyperlink ref="I242" r:id="rId214" display="https://web.stanford.edu/class/psych209/Readings/SuttonBartoIPRLBook2ndEd.pdf"/>
    <hyperlink ref="I243" r:id="rId215" display="https://www.persee.fr/doc/lfr_0023-8368_1969_num_1_1_5395"/>
    <hyperlink ref="I244" r:id="rId216" display="https://arxiv.org/pdf/cs/0209010.pdf"/>
    <hyperlink ref="I245" r:id="rId217" display="https://aclanthology.org/W00-0726.pdf"/>
    <hyperlink ref="I246" r:id="rId218" display="https://aclanthology.org/W03-0419.pdf"/>
    <hyperlink ref="I247" r:id="rId219" display="https://arxiv.org/pdf/1906.07880.pdf"/>
    <hyperlink ref="I248" r:id="rId220" display="https://arxiv.org/pdf/2004.03846.pdf"/>
    <hyperlink ref="I249" r:id="rId221" display="https://arxiv.org/pdf/2105.03654.pdf"/>
    <hyperlink ref="I250" r:id="rId222" display="https://arxiv.org/pdf/2009.08330.pdf"/>
    <hyperlink ref="I251" r:id="rId223" display="https://arxiv.org/pdf/2010.05003.pdf"/>
    <hyperlink ref="I252" r:id="rId155" display="https://arxiv.org/pdf/2010.05006v4.pdf"/>
    <hyperlink ref="E253" r:id="rId224" display="Zhenkai Wei, Yu Hong, Bowei Zou, Meng Cheng, Jianmin Yao"/>
    <hyperlink ref="I253" r:id="rId225" display="https://aclanthology.org/2020.acl-main.339.pdf"/>
    <hyperlink ref="I254" r:id="rId226" display="http://www.ecmlpkdd2018.org/wp-content/uploads/2018/09/108.pdf"/>
    <hyperlink ref="I255" r:id="rId227" display="https://arxiv.org/pdf/1904.09077.pdf"/>
    <hyperlink ref="I256" r:id="rId228" display="https://arxiv.org/pdf/1703.01513.pdf"/>
    <hyperlink ref="I257" r:id="rId229" display="https://arxiv.org/pdf/1904.02232.pdf"/>
    <hyperlink ref="I258" r:id="rId230" display="https://arxiv.org/pdf/1805.04601.pdf"/>
    <hyperlink ref="I259" r:id="rId231" display="https://arxiv.org/pdf/2010.01057.pdf"/>
    <hyperlink ref="I260" r:id="rId232" display="https://arxiv.org/pdf/2005.07150.pdf"/>
    <hyperlink ref="I261" r:id="rId233" display="https://arxiv.org/pdf/2005.00975.pdf"/>
    <hyperlink ref="I262" r:id="rId234" display="https://arxiv.org/pdf/1708.05552.pdf"/>
    <hyperlink ref="I263" r:id="rId235" display="https://arxiv.org/pdf/1907.02684.pdf"/>
    <hyperlink ref="I264" r:id="rId236" display="https://link.springer.com/chapter/10.1007/978-3-030-88480-2_14"/>
    <hyperlink ref="D266" r:id="rId237" display="https://arxiv.org/pdf/2103.00020.pdf"/>
    <hyperlink ref="I267" r:id="rId238" display="https://arxiv.org/pdf/2003.04297.pdf"/>
    <hyperlink ref="I268" r:id="rId239" display="https://arxiv.org/pdf/1805.08974.pdf"/>
    <hyperlink ref="H270" r:id="rId240" display="https://arxiv.org/pdf/2106.08322.pdf"/>
    <hyperlink ref="I271" r:id="rId241" display="https://arxiv.org/pdf/1712.00726.pdf"/>
    <hyperlink ref="I272" r:id="rId242" display="https://arxiv.org/pdf/2003.10027.pdf"/>
    <hyperlink ref="I273" r:id="rId243" display="https://arxiv.org/pdf/2007.08508.pdf"/>
    <hyperlink ref="I274" r:id="rId244" display="https://arxiv.org/pdf/2010.15831.pdf"/>
    <hyperlink ref="I275" r:id="rId245" display="https://arxiv.org/pdf/1703.06211.pdf"/>
    <hyperlink ref="I276" r:id="rId246" display="https://arxiv.org/pdf/1912.05027.pdf"/>
    <hyperlink ref="I277" r:id="rId247" display="https://arxiv.org/pdf/1904.08189.pdf"/>
    <hyperlink ref="I278" r:id="rId248" display="https://arxiv.org/pdf/2012.07177.pdf"/>
    <hyperlink ref="I279" r:id="rId249" display="https://arxiv.org/pdf/1612.03144.pdf"/>
    <hyperlink ref="I280" r:id="rId250" display="https://arxiv.org/pdf/1803.01534.pdf"/>
    <hyperlink ref="I281" r:id="rId251" display="https://arxiv.org/pdf/2103.14030.pdf"/>
    <hyperlink ref="I282" r:id="rId252" display="https://arxiv.org/pdf/1904.02701.pdf"/>
    <hyperlink ref="I283" r:id="rId253" display="https://arxiv.org/pdf/2007.11056.pdf"/>
    <hyperlink ref="I284" r:id="rId254" display="https://arxiv.org/pdf/1711.08189.pdf"/>
    <hyperlink ref="I285" r:id="rId255" display="https://arxiv.org/pdf/1805.09300.pdf"/>
    <hyperlink ref="I286" r:id="rId256" display="https://arxiv.org/pdf/2011.12450.pdf"/>
    <hyperlink ref="I287" r:id="rId257" display="https://arxiv.org/pdf/1904.01355.pdf"/>
    <hyperlink ref="I288" r:id="rId258" display="https://arxiv.org/pdf/1711.07971.pdf"/>
    <hyperlink ref="I289" r:id="rId259" display="https://arxiv.org/pdf/2005.03101.pdf"/>
    <hyperlink ref="I290" r:id="rId260" display="https://arxiv.org/pdf/1904.11490.pdf"/>
    <hyperlink ref="I291" r:id="rId261" display="https://arxiv.org/pdf/1511.07122.pdf"/>
    <hyperlink ref="I292" r:id="rId262" display="https://arxiv.org/pdf/1912.02424.pdf"/>
    <hyperlink ref="I293" r:id="rId263" display="https://arxiv.org/pdf/2103.07461.pdf"/>
    <hyperlink ref="I294" r:id="rId264" display="https://arxiv.org/pdf/1811.11168.pdf"/>
    <hyperlink ref="I295" r:id="rId265" display="https://arxiv.org/pdf/2010.04159.pdf"/>
    <hyperlink ref="I296" r:id="rId266" display="https://pdollar.github.io/files/papers/ZitnickDollarECCV14edgeBoxes.pdf"/>
    <hyperlink ref="I297" r:id="rId267" display="https://arxiv.org/pdf/2006.06882.pdf"/>
    <hyperlink ref="I298" r:id="rId268" display="https://arxiv.org/pdf/1905.05055.pdf"/>
    <hyperlink ref="H300" r:id="rId269" display="https://arxiv.org/pdf/2010.01057v1.pdf"/>
    <hyperlink ref="I302" r:id="rId270" display="https://arxiv.org/pdf/1906.03158.pdf"/>
    <hyperlink ref="I303" r:id="rId271" display="https://aclanthology.org/P17-1149.pdf"/>
    <hyperlink ref="I304" r:id="rId272" display="https://arxiv.org/pdf/1807.04905.pdf"/>
    <hyperlink ref="I305" r:id="rId273" display="https://arxiv.org/pdf/1710.10723.pdf"/>
    <hyperlink ref="I306" r:id="rId274" display="https://arxiv.org/pdf/1906.04341.pdf"/>
    <hyperlink ref="I307" r:id="rId275" display="https://arxiv.org/pdf/1704.04920.pdf"/>
    <hyperlink ref="I308" r:id="rId276" display="https://arxiv.org/pdf/1606.08415.pdf"/>
    <hyperlink ref="I309" r:id="rId277" display="https://arxiv.org/pdf/1907.10529.pdf"/>
    <hyperlink ref="I310" r:id="rId278" display="https://aclanthology.org/D19-6011.pdf"/>
    <hyperlink ref="I311" r:id="rId279" display="https://arxiv.org/pdf/2001.03765.pdf"/>
    <hyperlink ref="I312" r:id="rId280" display="https://aclanthology.org/D19-6007.pdf"/>
    <hyperlink ref="I313" r:id="rId281" display="https://arxiv.org/pdf/1909.04164.pdf"/>
    <hyperlink ref="I314" r:id="rId282" display="https://arxiv.org/pdf/1906.02715.pdf"/>
    <hyperlink ref="I315" r:id="rId283" display="https://arxiv.org/pdf/1611.01603.pdf"/>
    <hyperlink ref="I316" r:id="rId284" display="https://aclanthology.org/D18-1309.pdf"/>
    <hyperlink ref="I317" r:id="rId285" display="https://arxiv.org/pdf/1606.06357.pdf"/>
    <hyperlink ref="I318" r:id="rId286" display="https://arxiv.org/pdf/1905.00537.pdf"/>
    <hyperlink ref="I319" r:id="rId287" display="https://arxiv.org/pdf/2002.01808.pdf"/>
    <hyperlink ref="I320" r:id="rId288" display="https://arxiv.org/pdf/1912.09637.pdf"/>
    <hyperlink ref="I321" r:id="rId289" display="https://arxiv.org/pdf/1601.01343.pdf"/>
    <hyperlink ref="I322" r:id="rId290" display="https://arxiv.org/pdf/1705.02494.pdf"/>
    <hyperlink ref="I323" r:id="rId291" display="https://arxiv.org/pdf/1412.6575.pdf"/>
    <hyperlink ref="I324" r:id="rId292" display="https://arxiv.org/pdf/1810.12885.pdf"/>
    <hyperlink ref="I325" r:id="rId293" display="https://arxiv.org/pdf/1809.10185.pdf"/>
    <hyperlink ref="I326" r:id="rId294" display="https://nlp.stanford.edu/pubs/zhang2017tacred.pdf"/>
    <hyperlink ref="I327" r:id="rId295" display="https://arxiv.org/pdf/1905.07129.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R89"/>
  <sheetViews>
    <sheetView workbookViewId="0">
      <pane ySplit="1" topLeftCell="A2" activePane="bottomLeft" state="frozen"/>
      <selection/>
      <selection pane="bottomLeft" activeCell="B3" sqref="B3"/>
    </sheetView>
  </sheetViews>
  <sheetFormatPr defaultColWidth="12.6285714285714" defaultRowHeight="15.75" customHeight="1"/>
  <sheetData>
    <row r="1" ht="12.75" spans="1:44">
      <c r="A1" s="280" t="s">
        <v>0</v>
      </c>
      <c r="B1" s="280" t="s">
        <v>1</v>
      </c>
      <c r="C1" s="280" t="s">
        <v>2</v>
      </c>
      <c r="D1" s="280" t="s">
        <v>3</v>
      </c>
      <c r="E1" s="280"/>
      <c r="F1" s="280" t="s">
        <v>5</v>
      </c>
      <c r="G1" s="280" t="s">
        <v>6</v>
      </c>
      <c r="H1" s="281" t="s">
        <v>7</v>
      </c>
      <c r="I1" s="280" t="s">
        <v>8</v>
      </c>
      <c r="J1" s="280" t="s">
        <v>9</v>
      </c>
      <c r="K1" s="280" t="s">
        <v>10</v>
      </c>
      <c r="L1" s="280" t="s">
        <v>3764</v>
      </c>
      <c r="M1" s="280"/>
      <c r="N1" s="289" t="s">
        <v>13</v>
      </c>
      <c r="O1" s="280" t="s">
        <v>2512</v>
      </c>
      <c r="P1" s="280" t="s">
        <v>15</v>
      </c>
      <c r="Q1" s="289" t="s">
        <v>16</v>
      </c>
      <c r="R1" s="280" t="s">
        <v>17</v>
      </c>
      <c r="S1" s="289" t="s">
        <v>2513</v>
      </c>
      <c r="T1" s="280" t="s">
        <v>20</v>
      </c>
      <c r="U1" s="280" t="s">
        <v>21</v>
      </c>
      <c r="V1" s="280" t="s">
        <v>22</v>
      </c>
      <c r="W1" s="280" t="s">
        <v>23</v>
      </c>
      <c r="X1" s="280" t="s">
        <v>25</v>
      </c>
      <c r="Y1" s="280" t="s">
        <v>2514</v>
      </c>
      <c r="Z1" s="163"/>
      <c r="AA1" s="163"/>
      <c r="AB1" s="163"/>
      <c r="AC1" s="163"/>
      <c r="AD1" s="163"/>
      <c r="AE1" s="163"/>
      <c r="AF1" s="163"/>
      <c r="AG1" s="163"/>
      <c r="AH1" s="163"/>
      <c r="AI1" s="163"/>
      <c r="AJ1" s="163"/>
      <c r="AK1" s="163"/>
      <c r="AL1" s="163"/>
      <c r="AM1" s="163"/>
      <c r="AN1" s="163"/>
      <c r="AO1" s="163"/>
      <c r="AP1" s="163"/>
      <c r="AQ1" s="163"/>
      <c r="AR1" s="163"/>
    </row>
    <row r="2" ht="12.75" spans="1:44">
      <c r="A2" s="114"/>
      <c r="B2" s="114"/>
      <c r="C2" s="114"/>
      <c r="D2" s="114" t="s">
        <v>1392</v>
      </c>
      <c r="E2" s="114"/>
      <c r="F2" s="114" t="s">
        <v>3765</v>
      </c>
      <c r="G2" s="282">
        <v>35886</v>
      </c>
      <c r="H2" s="152">
        <f t="shared" ref="H2:H19" si="0">IF(INT(RIGHT(G2,4))&lt;1,"",INT(RIGHT(G2,4)))</f>
        <v>5886</v>
      </c>
      <c r="I2" s="114" t="s">
        <v>3766</v>
      </c>
      <c r="J2" s="123" t="s">
        <v>3767</v>
      </c>
      <c r="K2" s="124">
        <v>64</v>
      </c>
      <c r="L2" s="114" t="s">
        <v>3768</v>
      </c>
      <c r="M2" s="114"/>
      <c r="N2" s="124"/>
      <c r="O2" s="114"/>
      <c r="P2" s="114"/>
      <c r="Q2" s="124"/>
      <c r="R2" s="114"/>
      <c r="S2" s="12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row>
    <row r="3" ht="12.75" spans="1:44">
      <c r="A3" s="114"/>
      <c r="B3" s="114"/>
      <c r="C3" s="114"/>
      <c r="D3" s="114" t="s">
        <v>2199</v>
      </c>
      <c r="E3" s="114"/>
      <c r="F3" s="114" t="s">
        <v>3769</v>
      </c>
      <c r="G3" s="114">
        <v>1993</v>
      </c>
      <c r="H3" s="152">
        <f t="shared" si="0"/>
        <v>1993</v>
      </c>
      <c r="I3" s="114" t="s">
        <v>3770</v>
      </c>
      <c r="J3" s="123" t="s">
        <v>3771</v>
      </c>
      <c r="K3" s="124">
        <v>5</v>
      </c>
      <c r="L3" s="114" t="s">
        <v>3768</v>
      </c>
      <c r="M3" s="114"/>
      <c r="N3" s="124"/>
      <c r="O3" s="114"/>
      <c r="P3" s="159"/>
      <c r="Q3" s="124"/>
      <c r="R3" s="114"/>
      <c r="S3" s="12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row>
    <row r="4" ht="12.75" spans="1:44">
      <c r="A4" s="114"/>
      <c r="B4" s="114"/>
      <c r="C4" s="114"/>
      <c r="D4" s="114" t="s">
        <v>1882</v>
      </c>
      <c r="E4" s="114" t="s">
        <v>327</v>
      </c>
      <c r="F4" s="114" t="s">
        <v>3772</v>
      </c>
      <c r="G4" s="114">
        <v>2010</v>
      </c>
      <c r="H4" s="152">
        <f t="shared" si="0"/>
        <v>2010</v>
      </c>
      <c r="I4" s="114" t="s">
        <v>3773</v>
      </c>
      <c r="J4" s="123" t="s">
        <v>3774</v>
      </c>
      <c r="K4" s="290">
        <v>2647</v>
      </c>
      <c r="L4" s="114" t="s">
        <v>454</v>
      </c>
      <c r="M4" s="163"/>
      <c r="N4" s="124"/>
      <c r="O4" s="114"/>
      <c r="P4" s="291"/>
      <c r="Q4" s="124"/>
      <c r="R4" s="114"/>
      <c r="S4" s="12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row>
    <row r="5" ht="12.75" spans="1:44">
      <c r="A5" s="114" t="s">
        <v>3775</v>
      </c>
      <c r="B5" s="114" t="s">
        <v>199</v>
      </c>
      <c r="C5" s="114"/>
      <c r="D5" s="114" t="s">
        <v>3776</v>
      </c>
      <c r="E5" s="114"/>
      <c r="F5" s="114" t="s">
        <v>3777</v>
      </c>
      <c r="G5" s="114">
        <v>1997</v>
      </c>
      <c r="H5" s="152">
        <f t="shared" si="0"/>
        <v>1997</v>
      </c>
      <c r="I5" s="114" t="s">
        <v>3778</v>
      </c>
      <c r="J5" s="123" t="s">
        <v>3779</v>
      </c>
      <c r="K5" s="124">
        <v>15</v>
      </c>
      <c r="L5" s="114" t="s">
        <v>3768</v>
      </c>
      <c r="M5" s="114"/>
      <c r="N5" s="124">
        <v>114005</v>
      </c>
      <c r="O5" s="114"/>
      <c r="P5" s="159"/>
      <c r="Q5" s="124"/>
      <c r="R5" s="114"/>
      <c r="S5" s="12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row>
    <row r="6" ht="12.75" spans="1:44">
      <c r="A6" s="114" t="s">
        <v>2029</v>
      </c>
      <c r="B6" s="114" t="s">
        <v>51</v>
      </c>
      <c r="C6" s="114" t="s">
        <v>144</v>
      </c>
      <c r="D6" s="114" t="s">
        <v>1756</v>
      </c>
      <c r="E6" s="114"/>
      <c r="F6" s="114" t="s">
        <v>3780</v>
      </c>
      <c r="G6" s="114">
        <v>2005</v>
      </c>
      <c r="H6" s="152">
        <f t="shared" si="0"/>
        <v>2005</v>
      </c>
      <c r="I6" s="114" t="s">
        <v>3781</v>
      </c>
      <c r="J6" s="123" t="s">
        <v>3782</v>
      </c>
      <c r="K6" s="124">
        <v>65</v>
      </c>
      <c r="L6" s="114" t="s">
        <v>3783</v>
      </c>
      <c r="M6" s="114"/>
      <c r="N6" s="124"/>
      <c r="O6" s="114"/>
      <c r="P6" s="114"/>
      <c r="Q6" s="124"/>
      <c r="R6" s="114"/>
      <c r="S6" s="12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row>
    <row r="7" ht="12.75" spans="1:44">
      <c r="A7" s="114" t="s">
        <v>3784</v>
      </c>
      <c r="B7" s="114" t="s">
        <v>199</v>
      </c>
      <c r="C7" s="114" t="s">
        <v>3785</v>
      </c>
      <c r="D7" s="114"/>
      <c r="E7" s="114"/>
      <c r="F7" s="114" t="s">
        <v>3786</v>
      </c>
      <c r="G7" s="114">
        <v>2018</v>
      </c>
      <c r="H7" s="152">
        <f t="shared" si="0"/>
        <v>2018</v>
      </c>
      <c r="I7" s="114" t="s">
        <v>3787</v>
      </c>
      <c r="J7" s="123" t="s">
        <v>3788</v>
      </c>
      <c r="K7" s="124">
        <v>26</v>
      </c>
      <c r="L7" s="114" t="s">
        <v>3768</v>
      </c>
      <c r="M7" s="114"/>
      <c r="N7" s="124">
        <v>324423</v>
      </c>
      <c r="O7" s="114"/>
      <c r="P7" s="114"/>
      <c r="Q7" s="124"/>
      <c r="R7" s="114"/>
      <c r="S7" s="193"/>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row>
    <row r="8" ht="15" customHeight="1" spans="1:44">
      <c r="A8" s="114" t="s">
        <v>1546</v>
      </c>
      <c r="B8" s="114" t="s">
        <v>3789</v>
      </c>
      <c r="C8" s="114" t="s">
        <v>1546</v>
      </c>
      <c r="D8" s="114" t="s">
        <v>3790</v>
      </c>
      <c r="E8" s="114"/>
      <c r="F8" s="114" t="s">
        <v>3791</v>
      </c>
      <c r="G8" s="153">
        <v>16041</v>
      </c>
      <c r="H8" s="152">
        <f t="shared" si="0"/>
        <v>6041</v>
      </c>
      <c r="I8" s="114" t="s">
        <v>3792</v>
      </c>
      <c r="J8" s="123" t="s">
        <v>3793</v>
      </c>
      <c r="K8" s="124">
        <v>22034</v>
      </c>
      <c r="L8" s="114" t="s">
        <v>3794</v>
      </c>
      <c r="M8" s="114"/>
      <c r="N8" s="124" t="s">
        <v>1546</v>
      </c>
      <c r="O8" s="114" t="s">
        <v>1546</v>
      </c>
      <c r="P8" s="114" t="s">
        <v>1546</v>
      </c>
      <c r="Q8" s="114" t="s">
        <v>1546</v>
      </c>
      <c r="R8" s="114" t="s">
        <v>1546</v>
      </c>
      <c r="S8" s="124" t="s">
        <v>1546</v>
      </c>
      <c r="T8" s="114" t="s">
        <v>1546</v>
      </c>
      <c r="U8" s="114" t="s">
        <v>1546</v>
      </c>
      <c r="V8" s="114" t="s">
        <v>1546</v>
      </c>
      <c r="W8" s="114"/>
      <c r="X8" s="114"/>
      <c r="Y8" s="114"/>
      <c r="Z8" s="114"/>
      <c r="AA8" s="114"/>
      <c r="AB8" s="114"/>
      <c r="AC8" s="114"/>
      <c r="AD8" s="114"/>
      <c r="AE8" s="114"/>
      <c r="AF8" s="114"/>
      <c r="AG8" s="114"/>
      <c r="AH8" s="114"/>
      <c r="AI8" s="114"/>
      <c r="AJ8" s="114"/>
      <c r="AK8" s="114"/>
      <c r="AL8" s="114"/>
      <c r="AM8" s="114"/>
      <c r="AN8" s="114"/>
      <c r="AO8" s="114"/>
      <c r="AP8" s="114"/>
      <c r="AQ8" s="114"/>
      <c r="AR8" s="114"/>
    </row>
    <row r="9" ht="12.75" spans="1:44">
      <c r="A9" s="114" t="s">
        <v>1546</v>
      </c>
      <c r="B9" s="114" t="s">
        <v>3789</v>
      </c>
      <c r="C9" s="114" t="s">
        <v>1546</v>
      </c>
      <c r="D9" s="114" t="s">
        <v>3790</v>
      </c>
      <c r="E9" s="114"/>
      <c r="F9" s="114" t="s">
        <v>3791</v>
      </c>
      <c r="G9" s="153">
        <v>17411</v>
      </c>
      <c r="H9" s="152">
        <f t="shared" si="0"/>
        <v>7411</v>
      </c>
      <c r="I9" s="114" t="s">
        <v>3795</v>
      </c>
      <c r="J9" s="123" t="s">
        <v>3796</v>
      </c>
      <c r="K9" s="124">
        <v>1053</v>
      </c>
      <c r="L9" s="114" t="s">
        <v>3794</v>
      </c>
      <c r="M9" s="114"/>
      <c r="N9" s="124" t="s">
        <v>1546</v>
      </c>
      <c r="O9" s="114" t="s">
        <v>1546</v>
      </c>
      <c r="P9" s="114" t="s">
        <v>1546</v>
      </c>
      <c r="Q9" s="114" t="s">
        <v>1546</v>
      </c>
      <c r="R9" s="114" t="s">
        <v>1546</v>
      </c>
      <c r="S9" s="124" t="s">
        <v>1546</v>
      </c>
      <c r="T9" s="114" t="s">
        <v>1546</v>
      </c>
      <c r="U9" s="114" t="s">
        <v>1546</v>
      </c>
      <c r="V9" s="114" t="s">
        <v>1546</v>
      </c>
      <c r="W9" s="114"/>
      <c r="X9" s="114"/>
      <c r="Y9" s="114"/>
      <c r="Z9" s="114"/>
      <c r="AA9" s="114"/>
      <c r="AB9" s="114"/>
      <c r="AC9" s="114"/>
      <c r="AD9" s="114"/>
      <c r="AE9" s="114"/>
      <c r="AF9" s="114"/>
      <c r="AG9" s="114"/>
      <c r="AH9" s="114"/>
      <c r="AI9" s="114"/>
      <c r="AJ9" s="114"/>
      <c r="AK9" s="114"/>
      <c r="AL9" s="114"/>
      <c r="AM9" s="114"/>
      <c r="AN9" s="114"/>
      <c r="AO9" s="114"/>
      <c r="AP9" s="114"/>
      <c r="AQ9" s="114"/>
      <c r="AR9" s="114"/>
    </row>
    <row r="10" ht="12.75" spans="1:44">
      <c r="A10" s="114" t="s">
        <v>1546</v>
      </c>
      <c r="B10" s="114" t="s">
        <v>3789</v>
      </c>
      <c r="C10" s="114" t="s">
        <v>1546</v>
      </c>
      <c r="D10" s="114" t="s">
        <v>3797</v>
      </c>
      <c r="E10" s="114"/>
      <c r="F10" s="114" t="s">
        <v>3798</v>
      </c>
      <c r="G10" s="114">
        <v>1949</v>
      </c>
      <c r="H10" s="152">
        <f t="shared" si="0"/>
        <v>1949</v>
      </c>
      <c r="I10" s="114" t="s">
        <v>3799</v>
      </c>
      <c r="J10" s="123" t="s">
        <v>3800</v>
      </c>
      <c r="K10" s="124">
        <v>34463</v>
      </c>
      <c r="L10" s="114" t="s">
        <v>3794</v>
      </c>
      <c r="M10" s="114"/>
      <c r="N10" s="124" t="s">
        <v>1546</v>
      </c>
      <c r="O10" s="114" t="s">
        <v>1546</v>
      </c>
      <c r="P10" s="114" t="s">
        <v>1546</v>
      </c>
      <c r="Q10" s="114" t="s">
        <v>1546</v>
      </c>
      <c r="R10" s="114" t="s">
        <v>1546</v>
      </c>
      <c r="S10" s="124" t="s">
        <v>1546</v>
      </c>
      <c r="T10" s="114" t="s">
        <v>1546</v>
      </c>
      <c r="U10" s="114" t="s">
        <v>1546</v>
      </c>
      <c r="V10" s="114" t="s">
        <v>1546</v>
      </c>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row>
    <row r="11" ht="12.75" spans="1:44">
      <c r="A11" s="114" t="s">
        <v>1546</v>
      </c>
      <c r="B11" s="114" t="s">
        <v>3789</v>
      </c>
      <c r="C11" s="114" t="s">
        <v>1546</v>
      </c>
      <c r="D11" s="114" t="s">
        <v>3801</v>
      </c>
      <c r="E11" s="114"/>
      <c r="F11" s="114" t="s">
        <v>3802</v>
      </c>
      <c r="G11" s="114">
        <v>1952</v>
      </c>
      <c r="H11" s="152">
        <f t="shared" si="0"/>
        <v>1952</v>
      </c>
      <c r="I11" s="114" t="s">
        <v>3803</v>
      </c>
      <c r="J11" s="123" t="s">
        <v>3804</v>
      </c>
      <c r="K11" s="124">
        <v>5412</v>
      </c>
      <c r="L11" s="114" t="s">
        <v>3794</v>
      </c>
      <c r="M11" s="114"/>
      <c r="N11" s="114" t="s">
        <v>1546</v>
      </c>
      <c r="O11" s="114" t="s">
        <v>1546</v>
      </c>
      <c r="P11" s="114" t="s">
        <v>1546</v>
      </c>
      <c r="Q11" s="114" t="s">
        <v>1546</v>
      </c>
      <c r="R11" s="114"/>
      <c r="S11" s="124" t="s">
        <v>1546</v>
      </c>
      <c r="T11" s="114" t="s">
        <v>1546</v>
      </c>
      <c r="U11" s="114" t="s">
        <v>1546</v>
      </c>
      <c r="V11" s="114" t="s">
        <v>1546</v>
      </c>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row>
    <row r="12" ht="12.75" spans="1:44">
      <c r="A12" s="114"/>
      <c r="B12" s="114" t="s">
        <v>3789</v>
      </c>
      <c r="C12" s="114" t="s">
        <v>1546</v>
      </c>
      <c r="D12" s="114" t="s">
        <v>3805</v>
      </c>
      <c r="E12" s="114"/>
      <c r="F12" s="114" t="s">
        <v>2992</v>
      </c>
      <c r="G12" s="114">
        <v>1958</v>
      </c>
      <c r="H12" s="152">
        <f t="shared" si="0"/>
        <v>1958</v>
      </c>
      <c r="I12" s="114" t="s">
        <v>3806</v>
      </c>
      <c r="J12" s="123" t="s">
        <v>3807</v>
      </c>
      <c r="K12" s="124">
        <v>311</v>
      </c>
      <c r="L12" s="114" t="s">
        <v>3794</v>
      </c>
      <c r="M12" s="114"/>
      <c r="N12" s="124"/>
      <c r="O12" s="114"/>
      <c r="P12" s="114"/>
      <c r="Q12" s="124"/>
      <c r="R12" s="114"/>
      <c r="S12" s="12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row>
    <row r="13" ht="12.75" spans="1:44">
      <c r="A13" s="114" t="s">
        <v>3808</v>
      </c>
      <c r="B13" s="114" t="s">
        <v>51</v>
      </c>
      <c r="C13" s="114" t="s">
        <v>3809</v>
      </c>
      <c r="D13" s="114" t="s">
        <v>3810</v>
      </c>
      <c r="E13" s="114"/>
      <c r="F13" s="114" t="s">
        <v>3811</v>
      </c>
      <c r="G13" s="114">
        <v>2012</v>
      </c>
      <c r="H13" s="152">
        <f t="shared" si="0"/>
        <v>2012</v>
      </c>
      <c r="I13" s="114" t="s">
        <v>3812</v>
      </c>
      <c r="J13" s="123" t="s">
        <v>3813</v>
      </c>
      <c r="K13" s="124">
        <v>68</v>
      </c>
      <c r="L13" s="114" t="s">
        <v>3768</v>
      </c>
      <c r="M13" s="114"/>
      <c r="N13" s="124"/>
      <c r="O13" s="114"/>
      <c r="P13" s="114"/>
      <c r="Q13" s="124"/>
      <c r="R13" s="114"/>
      <c r="S13" s="12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row>
    <row r="14" ht="12.75" spans="1:44">
      <c r="A14" s="114" t="s">
        <v>3814</v>
      </c>
      <c r="B14" s="114" t="s">
        <v>51</v>
      </c>
      <c r="C14" s="114"/>
      <c r="D14" s="114" t="s">
        <v>3815</v>
      </c>
      <c r="E14" s="114"/>
      <c r="F14" s="114" t="s">
        <v>3816</v>
      </c>
      <c r="G14" s="114">
        <v>2010</v>
      </c>
      <c r="H14" s="152">
        <f t="shared" si="0"/>
        <v>2010</v>
      </c>
      <c r="I14" s="114" t="s">
        <v>3817</v>
      </c>
      <c r="J14" s="123" t="s">
        <v>3818</v>
      </c>
      <c r="K14" s="124">
        <v>760</v>
      </c>
      <c r="L14" s="114" t="s">
        <v>3819</v>
      </c>
      <c r="M14" s="114"/>
      <c r="N14" s="124"/>
      <c r="O14" s="114"/>
      <c r="P14" s="114"/>
      <c r="Q14" s="124"/>
      <c r="R14" s="114"/>
      <c r="S14" s="173"/>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row>
    <row r="15" ht="12.75" spans="1:44">
      <c r="A15" s="114"/>
      <c r="B15" s="114" t="s">
        <v>41</v>
      </c>
      <c r="C15" s="232"/>
      <c r="D15" s="114" t="s">
        <v>3820</v>
      </c>
      <c r="E15" s="114"/>
      <c r="F15" s="114" t="s">
        <v>3821</v>
      </c>
      <c r="G15" s="153">
        <v>43044</v>
      </c>
      <c r="H15" s="152">
        <f t="shared" si="0"/>
        <v>3044</v>
      </c>
      <c r="I15" s="114" t="s">
        <v>3822</v>
      </c>
      <c r="J15" s="123" t="s">
        <v>3823</v>
      </c>
      <c r="K15" s="124">
        <v>227</v>
      </c>
      <c r="L15" s="114" t="s">
        <v>3819</v>
      </c>
      <c r="M15" s="114"/>
      <c r="N15" s="124"/>
      <c r="O15" s="114"/>
      <c r="P15" s="114"/>
      <c r="Q15" s="124"/>
      <c r="R15" s="114"/>
      <c r="S15" s="124"/>
      <c r="T15" s="159"/>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row>
    <row r="16" ht="12.75" spans="1:44">
      <c r="A16" s="114"/>
      <c r="B16" s="114"/>
      <c r="C16" s="114"/>
      <c r="D16" s="114" t="s">
        <v>3824</v>
      </c>
      <c r="E16" s="114"/>
      <c r="F16" s="114" t="s">
        <v>3825</v>
      </c>
      <c r="G16" s="114">
        <v>1999</v>
      </c>
      <c r="H16" s="152">
        <f t="shared" si="0"/>
        <v>1999</v>
      </c>
      <c r="I16" s="114" t="s">
        <v>3826</v>
      </c>
      <c r="J16" s="123" t="s">
        <v>3827</v>
      </c>
      <c r="K16" s="124">
        <v>55</v>
      </c>
      <c r="L16" s="114" t="s">
        <v>3768</v>
      </c>
      <c r="M16" s="114"/>
      <c r="N16" s="124"/>
      <c r="O16" s="124"/>
      <c r="P16" s="114"/>
      <c r="Q16" s="124"/>
      <c r="R16" s="114"/>
      <c r="S16" s="12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row>
    <row r="17" ht="12.75" spans="1:44">
      <c r="A17" s="114" t="s">
        <v>3828</v>
      </c>
      <c r="B17" s="114" t="s">
        <v>199</v>
      </c>
      <c r="C17" s="114" t="s">
        <v>2278</v>
      </c>
      <c r="D17" s="114" t="s">
        <v>2279</v>
      </c>
      <c r="E17" s="114"/>
      <c r="F17" s="114" t="s">
        <v>3829</v>
      </c>
      <c r="G17" s="114">
        <v>1989</v>
      </c>
      <c r="H17" s="152">
        <f t="shared" si="0"/>
        <v>1989</v>
      </c>
      <c r="I17" s="114" t="s">
        <v>3830</v>
      </c>
      <c r="J17" s="123" t="s">
        <v>3831</v>
      </c>
      <c r="K17" s="124">
        <v>207</v>
      </c>
      <c r="L17" s="114" t="s">
        <v>3819</v>
      </c>
      <c r="M17" s="114"/>
      <c r="N17" s="124">
        <v>80592</v>
      </c>
      <c r="P17" s="114"/>
      <c r="Q17" s="124"/>
      <c r="R17" s="114"/>
      <c r="S17" s="12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row>
    <row r="18" ht="12.75" spans="1:44">
      <c r="A18" s="114"/>
      <c r="B18" s="114" t="s">
        <v>3789</v>
      </c>
      <c r="C18" s="114" t="s">
        <v>1546</v>
      </c>
      <c r="D18" s="114" t="s">
        <v>2253</v>
      </c>
      <c r="E18" s="114"/>
      <c r="F18" s="114" t="s">
        <v>3832</v>
      </c>
      <c r="G18" s="114">
        <v>1969</v>
      </c>
      <c r="H18" s="152">
        <f t="shared" si="0"/>
        <v>1969</v>
      </c>
      <c r="I18" s="114" t="s">
        <v>3833</v>
      </c>
      <c r="J18" s="123" t="s">
        <v>2961</v>
      </c>
      <c r="K18" s="124">
        <v>10340</v>
      </c>
      <c r="L18" s="114" t="s">
        <v>3794</v>
      </c>
      <c r="M18" s="114"/>
      <c r="N18" s="124" t="s">
        <v>1546</v>
      </c>
      <c r="O18" s="114" t="s">
        <v>1546</v>
      </c>
      <c r="P18" s="114"/>
      <c r="Q18" s="124" t="s">
        <v>1546</v>
      </c>
      <c r="R18" s="114" t="s">
        <v>1546</v>
      </c>
      <c r="S18" s="124" t="s">
        <v>1546</v>
      </c>
      <c r="T18" s="114" t="s">
        <v>1546</v>
      </c>
      <c r="U18" s="114"/>
      <c r="V18" s="114" t="s">
        <v>1546</v>
      </c>
      <c r="W18" s="114"/>
      <c r="X18" s="159"/>
      <c r="Y18" s="114" t="s">
        <v>1546</v>
      </c>
      <c r="Z18" s="114"/>
      <c r="AA18" s="114"/>
      <c r="AB18" s="114"/>
      <c r="AC18" s="114"/>
      <c r="AD18" s="114"/>
      <c r="AE18" s="114"/>
      <c r="AF18" s="114"/>
      <c r="AG18" s="114"/>
      <c r="AH18" s="114"/>
      <c r="AI18" s="114"/>
      <c r="AJ18" s="114"/>
      <c r="AK18" s="114"/>
      <c r="AL18" s="114"/>
      <c r="AM18" s="114"/>
      <c r="AN18" s="114"/>
      <c r="AO18" s="114"/>
      <c r="AP18" s="114"/>
      <c r="AQ18" s="114"/>
      <c r="AR18" s="114"/>
    </row>
    <row r="19" ht="12.75" spans="1:44">
      <c r="A19" s="114"/>
      <c r="B19" s="114"/>
      <c r="C19" s="114"/>
      <c r="D19" s="114" t="s">
        <v>2450</v>
      </c>
      <c r="E19" s="114"/>
      <c r="F19" s="114" t="s">
        <v>2454</v>
      </c>
      <c r="G19" s="114">
        <v>1961</v>
      </c>
      <c r="H19" s="152">
        <f t="shared" si="0"/>
        <v>1961</v>
      </c>
      <c r="I19" s="114" t="s">
        <v>3834</v>
      </c>
      <c r="J19" s="123" t="s">
        <v>3835</v>
      </c>
      <c r="K19" s="124">
        <v>139</v>
      </c>
      <c r="L19" s="114" t="s">
        <v>3789</v>
      </c>
      <c r="M19" s="114"/>
      <c r="N19" s="124"/>
      <c r="O19" s="114"/>
      <c r="P19" s="114"/>
      <c r="Q19" s="124"/>
      <c r="R19" s="114"/>
      <c r="S19" s="12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row>
    <row r="20" ht="12.75" spans="1:44">
      <c r="A20" s="114"/>
      <c r="B20" s="114"/>
      <c r="C20" s="114"/>
      <c r="D20" s="114"/>
      <c r="E20" s="114"/>
      <c r="F20" s="114"/>
      <c r="G20" s="153"/>
      <c r="H20" s="152"/>
      <c r="I20" s="292" t="s">
        <v>3836</v>
      </c>
      <c r="J20" s="123" t="s">
        <v>3837</v>
      </c>
      <c r="K20" s="124"/>
      <c r="L20" s="114" t="s">
        <v>3789</v>
      </c>
      <c r="M20" s="114"/>
      <c r="N20" s="124"/>
      <c r="O20" s="114"/>
      <c r="P20" s="114"/>
      <c r="Q20" s="124"/>
      <c r="R20" s="114"/>
      <c r="S20" s="12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row>
    <row r="21" ht="12.75" spans="1:44">
      <c r="A21" s="114" t="s">
        <v>3838</v>
      </c>
      <c r="B21" s="114" t="s">
        <v>41</v>
      </c>
      <c r="C21" s="114" t="s">
        <v>2278</v>
      </c>
      <c r="D21" s="114" t="s">
        <v>85</v>
      </c>
      <c r="E21" s="114"/>
      <c r="F21" s="114" t="s">
        <v>3839</v>
      </c>
      <c r="G21" s="153">
        <v>43420</v>
      </c>
      <c r="H21" s="152">
        <f t="shared" ref="H21:H89" si="1">IF(INT(RIGHT(G21,4))&lt;1,"",INT(RIGHT(G21,4)))</f>
        <v>3420</v>
      </c>
      <c r="I21" s="114" t="s">
        <v>3840</v>
      </c>
      <c r="J21" s="123" t="s">
        <v>3841</v>
      </c>
      <c r="K21" s="124">
        <v>201</v>
      </c>
      <c r="L21" s="114" t="s">
        <v>3819</v>
      </c>
      <c r="M21" s="114"/>
      <c r="N21" s="124"/>
      <c r="O21" s="114"/>
      <c r="P21" s="114"/>
      <c r="Q21" s="124"/>
      <c r="R21" s="114"/>
      <c r="S21" s="12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row>
    <row r="22" ht="12.75" spans="1:44">
      <c r="A22" s="114" t="s">
        <v>3842</v>
      </c>
      <c r="B22" s="114" t="s">
        <v>199</v>
      </c>
      <c r="C22" s="114"/>
      <c r="D22" s="114" t="s">
        <v>2279</v>
      </c>
      <c r="E22" s="114"/>
      <c r="F22" s="114" t="s">
        <v>3843</v>
      </c>
      <c r="G22" s="114">
        <v>2013</v>
      </c>
      <c r="H22" s="152">
        <f t="shared" si="1"/>
        <v>2013</v>
      </c>
      <c r="I22" s="114" t="s">
        <v>3844</v>
      </c>
      <c r="J22" s="123" t="s">
        <v>3845</v>
      </c>
      <c r="K22" s="124">
        <v>43</v>
      </c>
      <c r="L22" s="114" t="s">
        <v>3768</v>
      </c>
      <c r="M22" s="114"/>
      <c r="N22" s="124">
        <v>540150</v>
      </c>
      <c r="O22" s="176"/>
      <c r="P22" s="114"/>
      <c r="Q22" s="124"/>
      <c r="R22" s="114"/>
      <c r="S22" s="193"/>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row>
    <row r="23" ht="12.75" spans="1:44">
      <c r="A23" s="114" t="s">
        <v>3846</v>
      </c>
      <c r="B23" s="114" t="s">
        <v>199</v>
      </c>
      <c r="C23" s="114" t="s">
        <v>3847</v>
      </c>
      <c r="D23" s="114" t="s">
        <v>1628</v>
      </c>
      <c r="E23" s="114"/>
      <c r="F23" s="114" t="s">
        <v>3848</v>
      </c>
      <c r="G23" s="153">
        <v>40071</v>
      </c>
      <c r="H23" s="152">
        <f t="shared" si="1"/>
        <v>71</v>
      </c>
      <c r="I23" s="114" t="s">
        <v>3849</v>
      </c>
      <c r="J23" s="123" t="s">
        <v>3850</v>
      </c>
      <c r="K23" s="124">
        <v>94</v>
      </c>
      <c r="L23" s="114" t="s">
        <v>3768</v>
      </c>
      <c r="M23" s="114"/>
      <c r="N23" s="124"/>
      <c r="O23" s="158">
        <v>299953741155255</v>
      </c>
      <c r="P23" s="114"/>
      <c r="Q23" s="124"/>
      <c r="R23" s="114"/>
      <c r="S23" s="12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row>
    <row r="24" ht="12.75" spans="1:44">
      <c r="A24" s="114" t="s">
        <v>3851</v>
      </c>
      <c r="B24" s="114" t="s">
        <v>51</v>
      </c>
      <c r="C24" s="232"/>
      <c r="D24" s="114" t="s">
        <v>407</v>
      </c>
      <c r="E24" s="114"/>
      <c r="F24" s="114" t="s">
        <v>3852</v>
      </c>
      <c r="G24" s="153">
        <v>43721</v>
      </c>
      <c r="H24" s="152">
        <f t="shared" si="1"/>
        <v>3721</v>
      </c>
      <c r="I24" s="114" t="s">
        <v>3853</v>
      </c>
      <c r="J24" s="123" t="s">
        <v>3854</v>
      </c>
      <c r="K24" s="124">
        <v>28</v>
      </c>
      <c r="L24" s="114" t="str">
        <f>IF(K24&gt;1000,"Highly cited","")</f>
        <v/>
      </c>
      <c r="M24" s="114"/>
      <c r="N24" s="124">
        <v>340000000</v>
      </c>
      <c r="O24" s="114"/>
      <c r="P24" s="114"/>
      <c r="Q24" s="124"/>
      <c r="R24" s="114"/>
      <c r="S24" s="12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row>
    <row r="25" ht="14.25" spans="1:44">
      <c r="A25" s="114"/>
      <c r="B25" s="114" t="s">
        <v>41</v>
      </c>
      <c r="C25" s="114" t="s">
        <v>1329</v>
      </c>
      <c r="D25" s="114" t="s">
        <v>1201</v>
      </c>
      <c r="E25" s="114"/>
      <c r="F25" s="114" t="s">
        <v>3855</v>
      </c>
      <c r="G25" s="153">
        <v>42548</v>
      </c>
      <c r="H25" s="152">
        <f t="shared" si="1"/>
        <v>2548</v>
      </c>
      <c r="I25" s="114" t="s">
        <v>3856</v>
      </c>
      <c r="J25" s="123" t="s">
        <v>3857</v>
      </c>
      <c r="K25" s="172">
        <v>1139</v>
      </c>
      <c r="L25" s="114" t="s">
        <v>3858</v>
      </c>
      <c r="M25" s="114"/>
      <c r="N25" s="124"/>
      <c r="O25" s="114"/>
      <c r="P25" s="114"/>
      <c r="Q25" s="124"/>
      <c r="R25" s="114"/>
      <c r="S25" s="32"/>
      <c r="T25" s="114"/>
      <c r="U25" s="114"/>
      <c r="V25" s="114"/>
      <c r="W25" s="114"/>
      <c r="X25" s="114"/>
      <c r="Y25" s="114"/>
      <c r="Z25" s="164"/>
      <c r="AA25" s="114"/>
      <c r="AB25" s="114"/>
      <c r="AC25" s="114"/>
      <c r="AD25" s="114"/>
      <c r="AE25" s="114"/>
      <c r="AF25" s="114"/>
      <c r="AG25" s="114"/>
      <c r="AH25" s="114"/>
      <c r="AI25" s="114"/>
      <c r="AJ25" s="114"/>
      <c r="AK25" s="114"/>
      <c r="AL25" s="114"/>
      <c r="AM25" s="114"/>
      <c r="AN25" s="114"/>
      <c r="AO25" s="114"/>
      <c r="AP25" s="114"/>
      <c r="AQ25" s="114"/>
      <c r="AR25" s="114"/>
    </row>
    <row r="26" ht="12.75" spans="1:44">
      <c r="A26" s="4" t="s">
        <v>3859</v>
      </c>
      <c r="B26" s="4"/>
      <c r="C26" s="115"/>
      <c r="D26" s="4" t="s">
        <v>3860</v>
      </c>
      <c r="E26" s="4"/>
      <c r="F26" s="283" t="s">
        <v>3861</v>
      </c>
      <c r="G26" s="284">
        <v>42798</v>
      </c>
      <c r="H26" s="285">
        <f t="shared" si="1"/>
        <v>2798</v>
      </c>
      <c r="I26" s="4" t="s">
        <v>3862</v>
      </c>
      <c r="J26" s="6" t="s">
        <v>3863</v>
      </c>
      <c r="K26" s="293">
        <v>174</v>
      </c>
      <c r="L26" s="4" t="s">
        <v>3768</v>
      </c>
      <c r="M26" s="4"/>
      <c r="N26" s="294">
        <v>31600000</v>
      </c>
      <c r="O26" s="4"/>
      <c r="P26" s="4" t="s">
        <v>847</v>
      </c>
      <c r="Q26" s="294">
        <v>50000</v>
      </c>
      <c r="R26" s="115"/>
      <c r="S26" s="121"/>
      <c r="T26" s="4"/>
      <c r="U26" s="4"/>
      <c r="V26" s="4"/>
      <c r="W26" s="4"/>
      <c r="X26" s="4"/>
      <c r="Y26" s="4"/>
      <c r="Z26" s="4"/>
      <c r="AA26" s="4"/>
      <c r="AB26" s="4"/>
      <c r="AC26" s="4"/>
      <c r="AD26" s="4"/>
      <c r="AE26" s="4"/>
      <c r="AF26" s="4"/>
      <c r="AG26" s="4"/>
      <c r="AH26" s="4"/>
      <c r="AI26" s="4"/>
      <c r="AJ26" s="4"/>
      <c r="AK26" s="4"/>
      <c r="AL26" s="4"/>
      <c r="AM26" s="4"/>
      <c r="AN26" s="4"/>
      <c r="AO26" s="4"/>
      <c r="AP26" s="4"/>
      <c r="AQ26" s="4"/>
      <c r="AR26" s="4"/>
    </row>
    <row r="27" ht="12.75" spans="1:44">
      <c r="A27" s="4" t="s">
        <v>3864</v>
      </c>
      <c r="B27" s="4"/>
      <c r="C27" s="4"/>
      <c r="D27" s="4" t="s">
        <v>3865</v>
      </c>
      <c r="E27" s="4"/>
      <c r="F27" s="283" t="s">
        <v>3866</v>
      </c>
      <c r="G27" s="286">
        <v>42871</v>
      </c>
      <c r="H27" s="285">
        <f t="shared" si="1"/>
        <v>2871</v>
      </c>
      <c r="I27" s="4" t="s">
        <v>3867</v>
      </c>
      <c r="J27" s="295" t="s">
        <v>3868</v>
      </c>
      <c r="K27" s="296">
        <v>227</v>
      </c>
      <c r="L27" s="4" t="s">
        <v>3768</v>
      </c>
      <c r="M27" s="4"/>
      <c r="N27" s="294">
        <v>193000000</v>
      </c>
      <c r="O27" s="4"/>
      <c r="P27" s="4" t="s">
        <v>184</v>
      </c>
      <c r="Q27" s="294">
        <v>50000</v>
      </c>
      <c r="R27" s="115"/>
      <c r="S27" s="121"/>
      <c r="T27" s="4"/>
      <c r="U27" s="4"/>
      <c r="V27" s="4"/>
      <c r="W27" s="4"/>
      <c r="X27" s="4"/>
      <c r="Y27" s="4"/>
      <c r="Z27" s="4"/>
      <c r="AA27" s="4"/>
      <c r="AB27" s="4"/>
      <c r="AC27" s="4"/>
      <c r="AD27" s="4"/>
      <c r="AE27" s="4"/>
      <c r="AF27" s="4"/>
      <c r="AG27" s="4"/>
      <c r="AH27" s="4"/>
      <c r="AI27" s="4"/>
      <c r="AJ27" s="4"/>
      <c r="AK27" s="4"/>
      <c r="AL27" s="4"/>
      <c r="AM27" s="4"/>
      <c r="AN27" s="4"/>
      <c r="AO27" s="4"/>
      <c r="AP27" s="4"/>
      <c r="AQ27" s="4"/>
      <c r="AR27" s="4"/>
    </row>
    <row r="28" ht="12.75" spans="1:44">
      <c r="A28" s="4"/>
      <c r="B28" s="4"/>
      <c r="C28" s="4"/>
      <c r="D28" s="4" t="s">
        <v>3869</v>
      </c>
      <c r="E28" s="4"/>
      <c r="F28" s="283" t="s">
        <v>3870</v>
      </c>
      <c r="G28" s="284">
        <v>42956</v>
      </c>
      <c r="H28" s="285">
        <f t="shared" si="1"/>
        <v>2956</v>
      </c>
      <c r="I28" s="297" t="s">
        <v>3871</v>
      </c>
      <c r="J28" s="295" t="s">
        <v>3872</v>
      </c>
      <c r="K28" s="298"/>
      <c r="L28" s="4" t="s">
        <v>3794</v>
      </c>
      <c r="M28" s="4"/>
      <c r="N28" s="121"/>
      <c r="O28" s="4"/>
      <c r="P28" s="4"/>
      <c r="Q28" s="121"/>
      <c r="R28" s="115"/>
      <c r="S28" s="121"/>
      <c r="T28" s="4"/>
      <c r="U28" s="4"/>
      <c r="V28" s="4"/>
      <c r="W28" s="4"/>
      <c r="X28" s="4"/>
      <c r="Y28" s="4"/>
      <c r="Z28" s="4"/>
      <c r="AA28" s="4"/>
      <c r="AB28" s="4"/>
      <c r="AC28" s="4"/>
      <c r="AD28" s="4"/>
      <c r="AE28" s="4"/>
      <c r="AF28" s="4"/>
      <c r="AG28" s="4"/>
      <c r="AH28" s="4"/>
      <c r="AI28" s="4"/>
      <c r="AJ28" s="4"/>
      <c r="AK28" s="4"/>
      <c r="AL28" s="4"/>
      <c r="AM28" s="4"/>
      <c r="AN28" s="4"/>
      <c r="AO28" s="4"/>
      <c r="AP28" s="4"/>
      <c r="AQ28" s="4"/>
      <c r="AR28" s="4"/>
    </row>
    <row r="29" ht="12.75" spans="1:44">
      <c r="A29" s="4"/>
      <c r="B29" s="4"/>
      <c r="C29" s="4"/>
      <c r="D29" s="4" t="s">
        <v>3873</v>
      </c>
      <c r="E29" s="4"/>
      <c r="F29" s="283" t="s">
        <v>3874</v>
      </c>
      <c r="G29" s="284">
        <v>43070</v>
      </c>
      <c r="H29" s="285">
        <f t="shared" si="1"/>
        <v>3070</v>
      </c>
      <c r="I29" s="297" t="s">
        <v>3875</v>
      </c>
      <c r="J29" s="295" t="s">
        <v>3876</v>
      </c>
      <c r="K29" s="298"/>
      <c r="L29" s="4" t="s">
        <v>3794</v>
      </c>
      <c r="M29" s="4"/>
      <c r="N29" s="121"/>
      <c r="O29" s="4"/>
      <c r="P29" s="4"/>
      <c r="Q29" s="121"/>
      <c r="R29" s="115"/>
      <c r="S29" s="121"/>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ht="12.75" spans="1:44">
      <c r="A30" s="4" t="s">
        <v>3877</v>
      </c>
      <c r="B30" s="4" t="s">
        <v>41</v>
      </c>
      <c r="C30" s="4" t="s">
        <v>176</v>
      </c>
      <c r="D30" s="4" t="s">
        <v>3878</v>
      </c>
      <c r="E30" s="4"/>
      <c r="F30" s="283" t="s">
        <v>3879</v>
      </c>
      <c r="G30" s="284">
        <v>43391</v>
      </c>
      <c r="H30" s="285">
        <f t="shared" si="1"/>
        <v>3391</v>
      </c>
      <c r="I30" s="4" t="s">
        <v>3880</v>
      </c>
      <c r="J30" s="295" t="s">
        <v>3881</v>
      </c>
      <c r="K30" s="296">
        <v>156</v>
      </c>
      <c r="L30" s="4" t="s">
        <v>3768</v>
      </c>
      <c r="M30" s="4"/>
      <c r="N30" s="294">
        <v>13600000</v>
      </c>
      <c r="O30" s="4"/>
      <c r="P30" s="4" t="s">
        <v>3882</v>
      </c>
      <c r="Q30" s="294">
        <v>2400000</v>
      </c>
      <c r="R30" s="115"/>
      <c r="S30" s="121"/>
      <c r="T30" s="4"/>
      <c r="U30" s="4"/>
      <c r="V30" s="4"/>
      <c r="W30" s="4"/>
      <c r="X30" s="4"/>
      <c r="Y30" s="4"/>
      <c r="Z30" s="4"/>
      <c r="AA30" s="4"/>
      <c r="AB30" s="4"/>
      <c r="AC30" s="4"/>
      <c r="AD30" s="4"/>
      <c r="AE30" s="4"/>
      <c r="AF30" s="4"/>
      <c r="AG30" s="4"/>
      <c r="AH30" s="4"/>
      <c r="AI30" s="4"/>
      <c r="AJ30" s="4"/>
      <c r="AK30" s="4"/>
      <c r="AL30" s="4"/>
      <c r="AM30" s="4"/>
      <c r="AN30" s="4"/>
      <c r="AO30" s="4"/>
      <c r="AP30" s="4"/>
      <c r="AQ30" s="4"/>
      <c r="AR30" s="4"/>
    </row>
    <row r="31" ht="12.75" spans="1:44">
      <c r="A31" s="4"/>
      <c r="B31" s="4"/>
      <c r="C31" s="4"/>
      <c r="D31" s="4" t="s">
        <v>262</v>
      </c>
      <c r="E31" s="4"/>
      <c r="F31" s="283" t="s">
        <v>3883</v>
      </c>
      <c r="G31" s="284">
        <v>43441</v>
      </c>
      <c r="H31" s="285">
        <f t="shared" si="1"/>
        <v>3441</v>
      </c>
      <c r="I31" s="297" t="s">
        <v>3884</v>
      </c>
      <c r="J31" s="295" t="s">
        <v>3885</v>
      </c>
      <c r="K31" s="298"/>
      <c r="L31" s="4" t="s">
        <v>3794</v>
      </c>
      <c r="M31" s="4"/>
      <c r="N31" s="121"/>
      <c r="O31" s="4"/>
      <c r="P31" s="4"/>
      <c r="Q31" s="121"/>
      <c r="R31" s="115"/>
      <c r="S31" s="121"/>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ht="12.75" spans="1:44">
      <c r="A32" s="4"/>
      <c r="B32" s="4"/>
      <c r="C32" s="4"/>
      <c r="D32" s="4" t="s">
        <v>3886</v>
      </c>
      <c r="E32" s="4"/>
      <c r="F32" s="283" t="s">
        <v>3887</v>
      </c>
      <c r="G32" s="284">
        <v>43448</v>
      </c>
      <c r="H32" s="285">
        <f t="shared" si="1"/>
        <v>3448</v>
      </c>
      <c r="I32" s="297" t="s">
        <v>3888</v>
      </c>
      <c r="J32" s="295" t="s">
        <v>3889</v>
      </c>
      <c r="K32" s="298"/>
      <c r="L32" s="4" t="s">
        <v>3794</v>
      </c>
      <c r="M32" s="4"/>
      <c r="N32" s="121"/>
      <c r="O32" s="4"/>
      <c r="P32" s="4"/>
      <c r="Q32" s="121"/>
      <c r="R32" s="115"/>
      <c r="S32" s="121"/>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ht="12.75" spans="1:44">
      <c r="A33" s="4" t="s">
        <v>3890</v>
      </c>
      <c r="B33" s="287" t="s">
        <v>51</v>
      </c>
      <c r="C33" s="4" t="s">
        <v>3891</v>
      </c>
      <c r="D33" s="4" t="s">
        <v>3892</v>
      </c>
      <c r="E33" s="4"/>
      <c r="F33" s="283" t="s">
        <v>3893</v>
      </c>
      <c r="G33" s="284">
        <v>43632</v>
      </c>
      <c r="H33" s="285">
        <f t="shared" si="1"/>
        <v>3632</v>
      </c>
      <c r="I33" s="4" t="s">
        <v>3894</v>
      </c>
      <c r="J33" s="6" t="s">
        <v>3895</v>
      </c>
      <c r="K33" s="299">
        <v>44</v>
      </c>
      <c r="L33" s="4" t="s">
        <v>3768</v>
      </c>
      <c r="M33" s="4"/>
      <c r="N33" s="294">
        <v>41000000</v>
      </c>
      <c r="O33" s="4"/>
      <c r="P33" s="4" t="s">
        <v>3896</v>
      </c>
      <c r="Q33" s="294">
        <v>100000000</v>
      </c>
      <c r="R33" s="115"/>
      <c r="S33" s="121"/>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ht="12.75" spans="1:44">
      <c r="A34" s="287" t="s">
        <v>1119</v>
      </c>
      <c r="B34" s="287" t="s">
        <v>51</v>
      </c>
      <c r="C34" s="4"/>
      <c r="D34" s="4" t="s">
        <v>3897</v>
      </c>
      <c r="E34" s="4"/>
      <c r="F34" s="283" t="s">
        <v>374</v>
      </c>
      <c r="G34" s="284">
        <v>43665</v>
      </c>
      <c r="H34" s="285">
        <f t="shared" si="1"/>
        <v>3665</v>
      </c>
      <c r="I34" s="4" t="s">
        <v>3898</v>
      </c>
      <c r="J34" s="6" t="s">
        <v>3899</v>
      </c>
      <c r="K34" s="299">
        <v>3</v>
      </c>
      <c r="L34" s="4" t="s">
        <v>3768</v>
      </c>
      <c r="M34" s="4"/>
      <c r="N34" s="294">
        <v>128000000</v>
      </c>
      <c r="O34" s="4"/>
      <c r="P34" s="4" t="s">
        <v>3900</v>
      </c>
      <c r="Q34" s="294">
        <v>1000000000</v>
      </c>
      <c r="R34" s="115"/>
      <c r="S34" s="121"/>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ht="12.75" spans="1:44">
      <c r="A35" s="4" t="s">
        <v>919</v>
      </c>
      <c r="B35" s="4"/>
      <c r="C35" s="4"/>
      <c r="D35" s="4" t="s">
        <v>464</v>
      </c>
      <c r="E35" s="4"/>
      <c r="F35" s="283" t="s">
        <v>3901</v>
      </c>
      <c r="G35" s="284">
        <v>43819</v>
      </c>
      <c r="H35" s="285">
        <f t="shared" si="1"/>
        <v>3819</v>
      </c>
      <c r="I35" s="4" t="s">
        <v>3902</v>
      </c>
      <c r="J35" s="6" t="s">
        <v>3903</v>
      </c>
      <c r="K35" s="299">
        <v>58</v>
      </c>
      <c r="L35" s="4" t="s">
        <v>3768</v>
      </c>
      <c r="M35" s="4"/>
      <c r="N35" s="294">
        <v>184000</v>
      </c>
      <c r="O35" s="121"/>
      <c r="P35" s="4"/>
      <c r="Q35" s="121"/>
      <c r="R35" s="115"/>
      <c r="S35" s="121"/>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ht="12.75" spans="1:44">
      <c r="A36" s="4"/>
      <c r="B36" s="4"/>
      <c r="C36" s="4"/>
      <c r="D36" s="4" t="s">
        <v>71</v>
      </c>
      <c r="E36" s="4"/>
      <c r="F36" s="283" t="s">
        <v>3904</v>
      </c>
      <c r="G36" s="284">
        <v>43838</v>
      </c>
      <c r="H36" s="285">
        <f t="shared" si="1"/>
        <v>3838</v>
      </c>
      <c r="I36" s="4" t="s">
        <v>3905</v>
      </c>
      <c r="J36" s="6" t="s">
        <v>3906</v>
      </c>
      <c r="K36" s="299">
        <v>10</v>
      </c>
      <c r="L36" s="4" t="s">
        <v>3768</v>
      </c>
      <c r="M36" s="4"/>
      <c r="N36" s="121"/>
      <c r="O36" s="4"/>
      <c r="P36" s="4"/>
      <c r="Q36" s="121"/>
      <c r="R36" s="115"/>
      <c r="S36" s="121"/>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ht="12.75" spans="1:44">
      <c r="A37" s="4"/>
      <c r="B37" s="4"/>
      <c r="C37" s="4"/>
      <c r="D37" s="4" t="s">
        <v>2185</v>
      </c>
      <c r="E37" s="4"/>
      <c r="F37" s="283" t="s">
        <v>3907</v>
      </c>
      <c r="G37" s="284">
        <v>43929</v>
      </c>
      <c r="H37" s="285">
        <f t="shared" si="1"/>
        <v>3929</v>
      </c>
      <c r="I37" s="297" t="s">
        <v>3908</v>
      </c>
      <c r="J37" s="295" t="s">
        <v>3909</v>
      </c>
      <c r="K37" s="298"/>
      <c r="L37" s="4" t="s">
        <v>3794</v>
      </c>
      <c r="M37" s="4"/>
      <c r="N37" s="121"/>
      <c r="O37" s="4"/>
      <c r="P37" s="4"/>
      <c r="Q37" s="121"/>
      <c r="R37" s="115"/>
      <c r="S37" s="121"/>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ht="12.75" spans="1:44">
      <c r="A38" s="287" t="s">
        <v>3910</v>
      </c>
      <c r="B38" s="4"/>
      <c r="C38" s="4"/>
      <c r="D38" s="4" t="s">
        <v>3911</v>
      </c>
      <c r="E38" s="4"/>
      <c r="F38" s="283" t="s">
        <v>3912</v>
      </c>
      <c r="G38" s="284">
        <v>43938</v>
      </c>
      <c r="H38" s="285">
        <f t="shared" si="1"/>
        <v>3938</v>
      </c>
      <c r="I38" s="287" t="s">
        <v>3913</v>
      </c>
      <c r="J38" s="295" t="s">
        <v>3914</v>
      </c>
      <c r="K38" s="298"/>
      <c r="L38" s="4" t="s">
        <v>3794</v>
      </c>
      <c r="M38" s="4"/>
      <c r="N38" s="294">
        <v>175000000000</v>
      </c>
      <c r="O38" s="4"/>
      <c r="P38" s="4"/>
      <c r="Q38" s="121"/>
      <c r="R38" s="115"/>
      <c r="S38" s="121"/>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ht="12.75" spans="1:44">
      <c r="A39" s="287" t="s">
        <v>3910</v>
      </c>
      <c r="B39" s="4"/>
      <c r="C39" s="4"/>
      <c r="D39" s="4" t="s">
        <v>3915</v>
      </c>
      <c r="E39" s="4"/>
      <c r="F39" s="283" t="s">
        <v>3916</v>
      </c>
      <c r="G39" s="284">
        <v>43943</v>
      </c>
      <c r="H39" s="285">
        <f t="shared" si="1"/>
        <v>3943</v>
      </c>
      <c r="I39" s="287" t="s">
        <v>3917</v>
      </c>
      <c r="J39" s="295" t="s">
        <v>3918</v>
      </c>
      <c r="K39" s="298"/>
      <c r="L39" s="4" t="s">
        <v>3794</v>
      </c>
      <c r="M39" s="4"/>
      <c r="N39" s="294">
        <v>175000000000</v>
      </c>
      <c r="O39" s="4"/>
      <c r="P39" s="4"/>
      <c r="Q39" s="121"/>
      <c r="R39" s="115"/>
      <c r="S39" s="121"/>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ht="12.75" spans="1:44">
      <c r="A40" s="4" t="s">
        <v>3919</v>
      </c>
      <c r="B40" s="4"/>
      <c r="C40" s="4"/>
      <c r="D40" s="4" t="s">
        <v>71</v>
      </c>
      <c r="E40" s="4"/>
      <c r="F40" s="283" t="s">
        <v>3920</v>
      </c>
      <c r="G40" s="284">
        <v>43951</v>
      </c>
      <c r="H40" s="285">
        <f t="shared" si="1"/>
        <v>3951</v>
      </c>
      <c r="I40" s="4" t="s">
        <v>3921</v>
      </c>
      <c r="J40" s="295" t="s">
        <v>3922</v>
      </c>
      <c r="K40" s="300">
        <v>10</v>
      </c>
      <c r="L40" s="4" t="s">
        <v>3768</v>
      </c>
      <c r="M40" s="4"/>
      <c r="N40" s="121"/>
      <c r="O40" s="4"/>
      <c r="P40" s="4"/>
      <c r="Q40" s="121"/>
      <c r="R40" s="115"/>
      <c r="S40" s="121"/>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ht="12.75" spans="1:44">
      <c r="A41" s="4"/>
      <c r="B41" s="4"/>
      <c r="C41" s="4"/>
      <c r="D41" s="4" t="s">
        <v>34</v>
      </c>
      <c r="E41" s="4"/>
      <c r="F41" s="288" t="s">
        <v>3923</v>
      </c>
      <c r="G41" s="284">
        <v>44005</v>
      </c>
      <c r="H41" s="285">
        <f t="shared" si="1"/>
        <v>4005</v>
      </c>
      <c r="I41" s="297" t="s">
        <v>3924</v>
      </c>
      <c r="J41" s="295" t="s">
        <v>3925</v>
      </c>
      <c r="K41" s="298"/>
      <c r="L41" s="4" t="s">
        <v>3794</v>
      </c>
      <c r="M41" s="4"/>
      <c r="N41" s="121"/>
      <c r="O41" s="4"/>
      <c r="P41" s="4"/>
      <c r="Q41" s="121"/>
      <c r="R41" s="115"/>
      <c r="S41" s="121"/>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ht="12.75" spans="1:44">
      <c r="A42" s="4"/>
      <c r="B42" s="4"/>
      <c r="C42" s="4"/>
      <c r="D42" s="4" t="s">
        <v>85</v>
      </c>
      <c r="E42" s="4"/>
      <c r="F42" s="283" t="s">
        <v>3926</v>
      </c>
      <c r="G42" s="284">
        <v>44070</v>
      </c>
      <c r="H42" s="285">
        <f t="shared" si="1"/>
        <v>4070</v>
      </c>
      <c r="I42" s="297" t="s">
        <v>3927</v>
      </c>
      <c r="J42" s="295" t="s">
        <v>3928</v>
      </c>
      <c r="K42" s="298"/>
      <c r="L42" s="4" t="s">
        <v>3794</v>
      </c>
      <c r="M42" s="4"/>
      <c r="N42" s="121"/>
      <c r="O42" s="4"/>
      <c r="P42" s="4"/>
      <c r="Q42" s="121"/>
      <c r="R42" s="115"/>
      <c r="S42" s="121"/>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ht="12.75" spans="1:44">
      <c r="A43" s="4"/>
      <c r="B43" s="4"/>
      <c r="C43" s="4"/>
      <c r="D43" s="4" t="s">
        <v>2185</v>
      </c>
      <c r="E43" s="4"/>
      <c r="F43" s="283" t="s">
        <v>3929</v>
      </c>
      <c r="G43" s="284">
        <v>44100</v>
      </c>
      <c r="H43" s="285">
        <f t="shared" si="1"/>
        <v>4100</v>
      </c>
      <c r="I43" s="297" t="s">
        <v>3930</v>
      </c>
      <c r="J43" s="295" t="s">
        <v>3931</v>
      </c>
      <c r="K43" s="298"/>
      <c r="L43" s="4" t="s">
        <v>3794</v>
      </c>
      <c r="M43" s="4"/>
      <c r="N43" s="121"/>
      <c r="O43" s="4"/>
      <c r="P43" s="4"/>
      <c r="Q43" s="121"/>
      <c r="R43" s="115"/>
      <c r="S43" s="121"/>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ht="12.75" spans="1:44">
      <c r="A44" s="4" t="s">
        <v>3932</v>
      </c>
      <c r="B44" s="4"/>
      <c r="C44" s="4"/>
      <c r="D44" s="4" t="s">
        <v>3933</v>
      </c>
      <c r="E44" s="4"/>
      <c r="F44" s="283" t="s">
        <v>3934</v>
      </c>
      <c r="G44" s="284">
        <v>44115</v>
      </c>
      <c r="H44" s="285">
        <f t="shared" si="1"/>
        <v>4115</v>
      </c>
      <c r="I44" s="287" t="s">
        <v>3935</v>
      </c>
      <c r="J44" s="295" t="s">
        <v>3936</v>
      </c>
      <c r="K44" s="298"/>
      <c r="L44" s="4" t="s">
        <v>3937</v>
      </c>
      <c r="M44" s="4"/>
      <c r="N44" s="294">
        <v>1300000000</v>
      </c>
      <c r="O44" s="4"/>
      <c r="P44" s="4"/>
      <c r="Q44" s="121"/>
      <c r="R44" s="115"/>
      <c r="S44" s="121"/>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ht="12.75" spans="1:44">
      <c r="A45" s="287" t="s">
        <v>3938</v>
      </c>
      <c r="B45" s="4"/>
      <c r="C45" s="4"/>
      <c r="D45" s="4" t="s">
        <v>3939</v>
      </c>
      <c r="E45" s="4"/>
      <c r="F45" s="283" t="s">
        <v>3940</v>
      </c>
      <c r="G45" s="284">
        <v>44131</v>
      </c>
      <c r="H45" s="285">
        <f t="shared" si="1"/>
        <v>4131</v>
      </c>
      <c r="I45" s="287" t="s">
        <v>3941</v>
      </c>
      <c r="J45" s="295" t="s">
        <v>3942</v>
      </c>
      <c r="K45" s="298"/>
      <c r="L45" s="4" t="s">
        <v>3937</v>
      </c>
      <c r="M45" s="4"/>
      <c r="N45" s="294">
        <v>355000000</v>
      </c>
      <c r="O45" s="4"/>
      <c r="P45" s="4"/>
      <c r="Q45" s="121"/>
      <c r="R45" s="115"/>
      <c r="S45" s="121"/>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ht="12.75" spans="1:44">
      <c r="A46" s="4"/>
      <c r="B46" s="4"/>
      <c r="C46" s="4"/>
      <c r="D46" s="4" t="s">
        <v>53</v>
      </c>
      <c r="E46" s="4"/>
      <c r="F46" s="283" t="s">
        <v>3943</v>
      </c>
      <c r="G46" s="284">
        <v>44180</v>
      </c>
      <c r="H46" s="285">
        <f t="shared" si="1"/>
        <v>4180</v>
      </c>
      <c r="I46" s="287" t="s">
        <v>3944</v>
      </c>
      <c r="J46" s="295" t="s">
        <v>3945</v>
      </c>
      <c r="K46" s="298"/>
      <c r="L46" s="4" t="s">
        <v>3768</v>
      </c>
      <c r="M46" s="4"/>
      <c r="N46" s="294">
        <v>137000000000</v>
      </c>
      <c r="O46" s="4"/>
      <c r="P46" s="4"/>
      <c r="Q46" s="121"/>
      <c r="R46" s="115"/>
      <c r="S46" s="121"/>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ht="12.75" spans="1:44">
      <c r="A47" s="4"/>
      <c r="B47" s="4"/>
      <c r="C47" s="4"/>
      <c r="D47" s="4" t="s">
        <v>1404</v>
      </c>
      <c r="E47" s="4"/>
      <c r="F47" s="283" t="s">
        <v>3946</v>
      </c>
      <c r="G47" s="284">
        <v>44181</v>
      </c>
      <c r="H47" s="285">
        <f t="shared" si="1"/>
        <v>4181</v>
      </c>
      <c r="I47" s="287" t="s">
        <v>3947</v>
      </c>
      <c r="J47" s="295" t="s">
        <v>3948</v>
      </c>
      <c r="K47" s="298"/>
      <c r="L47" s="4" t="s">
        <v>3768</v>
      </c>
      <c r="M47" s="4"/>
      <c r="N47" s="121"/>
      <c r="O47" s="4"/>
      <c r="P47" s="4"/>
      <c r="Q47" s="121"/>
      <c r="R47" s="115"/>
      <c r="S47" s="121"/>
      <c r="T47" s="4"/>
      <c r="U47" s="4"/>
      <c r="V47" s="4"/>
      <c r="W47" s="4"/>
      <c r="X47" s="4"/>
      <c r="Y47" s="4"/>
      <c r="Z47" s="4"/>
      <c r="AA47" s="4"/>
      <c r="AB47" s="4"/>
      <c r="AC47" s="4"/>
      <c r="AD47" s="4"/>
      <c r="AE47" s="4"/>
      <c r="AF47" s="4"/>
      <c r="AG47" s="4"/>
      <c r="AH47" s="4"/>
      <c r="AI47" s="4"/>
      <c r="AJ47" s="4"/>
      <c r="AK47" s="4"/>
      <c r="AL47" s="4"/>
      <c r="AM47" s="4"/>
      <c r="AN47" s="4"/>
      <c r="AO47" s="4"/>
      <c r="AP47" s="4"/>
      <c r="AQ47" s="4"/>
      <c r="AR47" s="4"/>
    </row>
    <row r="48" ht="12.75" spans="1:44">
      <c r="A48" s="115"/>
      <c r="B48" s="115"/>
      <c r="C48" s="115"/>
      <c r="D48" s="115" t="s">
        <v>3949</v>
      </c>
      <c r="E48" s="115"/>
      <c r="F48" s="283" t="s">
        <v>3950</v>
      </c>
      <c r="G48" s="284">
        <v>44227</v>
      </c>
      <c r="H48" s="285">
        <f t="shared" si="1"/>
        <v>4227</v>
      </c>
      <c r="I48" s="298" t="s">
        <v>3951</v>
      </c>
      <c r="J48" s="295" t="s">
        <v>3952</v>
      </c>
      <c r="K48" s="298"/>
      <c r="L48" s="4" t="s">
        <v>3768</v>
      </c>
      <c r="M48" s="4"/>
      <c r="N48" s="121"/>
      <c r="O48" s="115"/>
      <c r="P48" s="115"/>
      <c r="Q48" s="121"/>
      <c r="R48" s="115"/>
      <c r="S48" s="121"/>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row>
    <row r="49" ht="12.75" spans="1:44">
      <c r="A49" s="4" t="s">
        <v>3953</v>
      </c>
      <c r="B49" s="4"/>
      <c r="C49" s="4"/>
      <c r="D49" s="4" t="s">
        <v>34</v>
      </c>
      <c r="E49" s="4"/>
      <c r="F49" s="283" t="s">
        <v>3954</v>
      </c>
      <c r="G49" s="284">
        <v>44229</v>
      </c>
      <c r="H49" s="285">
        <f t="shared" si="1"/>
        <v>4229</v>
      </c>
      <c r="I49" s="287" t="s">
        <v>3955</v>
      </c>
      <c r="J49" s="295" t="s">
        <v>3956</v>
      </c>
      <c r="K49" s="298"/>
      <c r="L49" s="4" t="s">
        <v>3937</v>
      </c>
      <c r="M49" s="4"/>
      <c r="N49" s="294">
        <v>175000000000</v>
      </c>
      <c r="O49" s="4"/>
      <c r="P49" s="4"/>
      <c r="Q49" s="121"/>
      <c r="R49" s="115"/>
      <c r="S49" s="121"/>
      <c r="T49" s="4"/>
      <c r="U49" s="4"/>
      <c r="V49" s="4"/>
      <c r="W49" s="4"/>
      <c r="X49" s="4"/>
      <c r="Y49" s="4"/>
      <c r="Z49" s="4"/>
      <c r="AA49" s="4"/>
      <c r="AB49" s="4"/>
      <c r="AC49" s="4"/>
      <c r="AD49" s="4"/>
      <c r="AE49" s="4"/>
      <c r="AF49" s="4"/>
      <c r="AG49" s="4"/>
      <c r="AH49" s="4"/>
      <c r="AI49" s="4"/>
      <c r="AJ49" s="4"/>
      <c r="AK49" s="4"/>
      <c r="AL49" s="4"/>
      <c r="AM49" s="4"/>
      <c r="AN49" s="4"/>
      <c r="AO49" s="4"/>
      <c r="AP49" s="4"/>
      <c r="AQ49" s="4"/>
      <c r="AR49" s="4"/>
    </row>
    <row r="50" ht="12.75" spans="1:44">
      <c r="A50" s="4" t="s">
        <v>3953</v>
      </c>
      <c r="B50" s="4"/>
      <c r="C50" s="4"/>
      <c r="D50" s="4" t="s">
        <v>1404</v>
      </c>
      <c r="E50" s="4"/>
      <c r="F50" s="288" t="s">
        <v>3957</v>
      </c>
      <c r="G50" s="284">
        <v>44245</v>
      </c>
      <c r="H50" s="285">
        <f t="shared" si="1"/>
        <v>4245</v>
      </c>
      <c r="I50" s="287" t="s">
        <v>3958</v>
      </c>
      <c r="J50" s="295" t="s">
        <v>3959</v>
      </c>
      <c r="K50" s="298"/>
      <c r="L50" s="4" t="s">
        <v>3937</v>
      </c>
      <c r="M50" s="4"/>
      <c r="N50" s="294">
        <v>175000000000</v>
      </c>
      <c r="O50" s="4"/>
      <c r="P50" s="4"/>
      <c r="Q50" s="121"/>
      <c r="R50" s="115"/>
      <c r="S50" s="121"/>
      <c r="T50" s="4"/>
      <c r="U50" s="4"/>
      <c r="V50" s="4"/>
      <c r="W50" s="4"/>
      <c r="X50" s="4"/>
      <c r="Y50" s="4"/>
      <c r="Z50" s="4"/>
      <c r="AA50" s="4"/>
      <c r="AB50" s="4"/>
      <c r="AC50" s="4"/>
      <c r="AD50" s="4"/>
      <c r="AE50" s="4"/>
      <c r="AF50" s="4"/>
      <c r="AG50" s="4"/>
      <c r="AH50" s="4"/>
      <c r="AI50" s="4"/>
      <c r="AJ50" s="4"/>
      <c r="AK50" s="4"/>
      <c r="AL50" s="4"/>
      <c r="AM50" s="4"/>
      <c r="AN50" s="4"/>
      <c r="AO50" s="4"/>
      <c r="AP50" s="4"/>
      <c r="AQ50" s="4"/>
      <c r="AR50" s="4"/>
    </row>
    <row r="51" ht="12.75" spans="1:44">
      <c r="A51" s="4" t="s">
        <v>3960</v>
      </c>
      <c r="B51" s="4"/>
      <c r="C51" s="4"/>
      <c r="D51" s="4" t="s">
        <v>3961</v>
      </c>
      <c r="E51" s="4"/>
      <c r="F51" s="283" t="s">
        <v>3962</v>
      </c>
      <c r="G51" s="284">
        <v>44266</v>
      </c>
      <c r="H51" s="285">
        <f t="shared" si="1"/>
        <v>4266</v>
      </c>
      <c r="I51" s="287" t="s">
        <v>3963</v>
      </c>
      <c r="J51" s="295" t="s">
        <v>3964</v>
      </c>
      <c r="K51" s="298"/>
      <c r="L51" s="4" t="s">
        <v>3937</v>
      </c>
      <c r="M51" s="4"/>
      <c r="N51" s="294">
        <v>850000</v>
      </c>
      <c r="O51" s="294">
        <v>3800000000</v>
      </c>
      <c r="P51" s="4"/>
      <c r="Q51" s="121"/>
      <c r="R51" s="115"/>
      <c r="S51" s="121"/>
      <c r="T51" s="4"/>
      <c r="U51" s="4"/>
      <c r="V51" s="4"/>
      <c r="W51" s="4"/>
      <c r="X51" s="4"/>
      <c r="Y51" s="4"/>
      <c r="Z51" s="4"/>
      <c r="AA51" s="4"/>
      <c r="AB51" s="4"/>
      <c r="AC51" s="4"/>
      <c r="AD51" s="4"/>
      <c r="AE51" s="4"/>
      <c r="AF51" s="4"/>
      <c r="AG51" s="4"/>
      <c r="AH51" s="4"/>
      <c r="AI51" s="4"/>
      <c r="AJ51" s="4"/>
      <c r="AK51" s="4"/>
      <c r="AL51" s="4"/>
      <c r="AM51" s="4"/>
      <c r="AN51" s="4"/>
      <c r="AO51" s="4"/>
      <c r="AP51" s="4"/>
      <c r="AQ51" s="4"/>
      <c r="AR51" s="4"/>
    </row>
    <row r="52" ht="12.75" spans="1:44">
      <c r="A52" s="4" t="s">
        <v>919</v>
      </c>
      <c r="B52" s="4"/>
      <c r="C52" s="4"/>
      <c r="D52" s="4" t="s">
        <v>1689</v>
      </c>
      <c r="E52" s="4"/>
      <c r="F52" s="283" t="s">
        <v>3965</v>
      </c>
      <c r="G52" s="284">
        <v>44285</v>
      </c>
      <c r="H52" s="285">
        <f t="shared" si="1"/>
        <v>4285</v>
      </c>
      <c r="I52" s="287" t="s">
        <v>3966</v>
      </c>
      <c r="J52" s="295" t="s">
        <v>3967</v>
      </c>
      <c r="K52" s="298"/>
      <c r="L52" s="4" t="s">
        <v>3937</v>
      </c>
      <c r="M52" s="4"/>
      <c r="N52" s="294">
        <v>125000000</v>
      </c>
      <c r="O52" s="115"/>
      <c r="P52" s="4"/>
      <c r="Q52" s="121"/>
      <c r="R52" s="115"/>
      <c r="S52" s="121"/>
      <c r="T52" s="4"/>
      <c r="U52" s="4"/>
      <c r="V52" s="4"/>
      <c r="W52" s="4"/>
      <c r="X52" s="4"/>
      <c r="Y52" s="4"/>
      <c r="Z52" s="4"/>
      <c r="AA52" s="4"/>
      <c r="AB52" s="4"/>
      <c r="AC52" s="4"/>
      <c r="AD52" s="4"/>
      <c r="AE52" s="4"/>
      <c r="AF52" s="4"/>
      <c r="AG52" s="4"/>
      <c r="AH52" s="4"/>
      <c r="AI52" s="4"/>
      <c r="AJ52" s="4"/>
      <c r="AK52" s="4"/>
      <c r="AL52" s="4"/>
      <c r="AM52" s="4"/>
      <c r="AN52" s="4"/>
      <c r="AO52" s="4"/>
      <c r="AP52" s="4"/>
      <c r="AQ52" s="4"/>
      <c r="AR52" s="4"/>
    </row>
    <row r="53" ht="12.75" spans="1:44">
      <c r="A53" s="4" t="s">
        <v>919</v>
      </c>
      <c r="B53" s="4"/>
      <c r="C53" s="4"/>
      <c r="D53" s="4" t="s">
        <v>1404</v>
      </c>
      <c r="E53" s="4"/>
      <c r="F53" s="288" t="s">
        <v>3968</v>
      </c>
      <c r="G53" s="284">
        <v>44292</v>
      </c>
      <c r="H53" s="285">
        <f t="shared" si="1"/>
        <v>4292</v>
      </c>
      <c r="I53" s="287" t="s">
        <v>3969</v>
      </c>
      <c r="J53" s="295" t="s">
        <v>3970</v>
      </c>
      <c r="K53" s="298"/>
      <c r="L53" s="4" t="s">
        <v>3937</v>
      </c>
      <c r="M53" s="4"/>
      <c r="N53" s="121"/>
      <c r="O53" s="4"/>
      <c r="P53" s="4"/>
      <c r="Q53" s="121"/>
      <c r="R53" s="115"/>
      <c r="S53" s="121"/>
      <c r="T53" s="4"/>
      <c r="U53" s="4"/>
      <c r="V53" s="4"/>
      <c r="W53" s="4"/>
      <c r="X53" s="4"/>
      <c r="Y53" s="4"/>
      <c r="Z53" s="4"/>
      <c r="AA53" s="4"/>
      <c r="AB53" s="4"/>
      <c r="AC53" s="4"/>
      <c r="AD53" s="4"/>
      <c r="AE53" s="4"/>
      <c r="AF53" s="4"/>
      <c r="AG53" s="4"/>
      <c r="AH53" s="4"/>
      <c r="AI53" s="4"/>
      <c r="AJ53" s="4"/>
      <c r="AK53" s="4"/>
      <c r="AL53" s="4"/>
      <c r="AM53" s="4"/>
      <c r="AN53" s="4"/>
      <c r="AO53" s="4"/>
      <c r="AP53" s="4"/>
      <c r="AQ53" s="4"/>
      <c r="AR53" s="4"/>
    </row>
    <row r="54" ht="12.75" spans="1:44">
      <c r="A54" s="4" t="s">
        <v>1119</v>
      </c>
      <c r="B54" s="4"/>
      <c r="C54" s="4"/>
      <c r="D54" s="4" t="s">
        <v>53</v>
      </c>
      <c r="E54" s="4"/>
      <c r="F54" s="288" t="s">
        <v>3971</v>
      </c>
      <c r="G54" s="284">
        <v>44299</v>
      </c>
      <c r="H54" s="285">
        <f t="shared" si="1"/>
        <v>4299</v>
      </c>
      <c r="I54" s="287" t="s">
        <v>3972</v>
      </c>
      <c r="J54" s="295" t="s">
        <v>3973</v>
      </c>
      <c r="K54" s="298"/>
      <c r="L54" s="4" t="s">
        <v>3937</v>
      </c>
      <c r="M54" s="4"/>
      <c r="N54" s="121"/>
      <c r="O54" s="4"/>
      <c r="P54" s="4"/>
      <c r="Q54" s="121"/>
      <c r="R54" s="115"/>
      <c r="S54" s="121"/>
      <c r="T54" s="4"/>
      <c r="U54" s="4"/>
      <c r="V54" s="4"/>
      <c r="W54" s="4"/>
      <c r="X54" s="4"/>
      <c r="Y54" s="4"/>
      <c r="Z54" s="4"/>
      <c r="AA54" s="4"/>
      <c r="AB54" s="4"/>
      <c r="AC54" s="4"/>
      <c r="AD54" s="4"/>
      <c r="AE54" s="4"/>
      <c r="AF54" s="4"/>
      <c r="AG54" s="4"/>
      <c r="AH54" s="4"/>
      <c r="AI54" s="4"/>
      <c r="AJ54" s="4"/>
      <c r="AK54" s="4"/>
      <c r="AL54" s="4"/>
      <c r="AM54" s="4"/>
      <c r="AN54" s="4"/>
      <c r="AO54" s="4"/>
      <c r="AP54" s="4"/>
      <c r="AQ54" s="4"/>
      <c r="AR54" s="4"/>
    </row>
    <row r="55" ht="12.75" spans="1:44">
      <c r="A55" s="287" t="s">
        <v>3974</v>
      </c>
      <c r="B55" s="4"/>
      <c r="C55" s="4"/>
      <c r="D55" s="4" t="s">
        <v>435</v>
      </c>
      <c r="E55" s="4"/>
      <c r="F55" s="288" t="s">
        <v>3975</v>
      </c>
      <c r="G55" s="286">
        <v>44341</v>
      </c>
      <c r="H55" s="285">
        <f t="shared" si="1"/>
        <v>4341</v>
      </c>
      <c r="I55" s="4" t="s">
        <v>3976</v>
      </c>
      <c r="J55" s="6" t="s">
        <v>3977</v>
      </c>
      <c r="K55" s="299">
        <v>10</v>
      </c>
      <c r="L55" s="4" t="s">
        <v>3937</v>
      </c>
      <c r="M55" s="4"/>
      <c r="N55" s="294">
        <v>45000000</v>
      </c>
      <c r="O55" s="4"/>
      <c r="P55" s="4"/>
      <c r="Q55" s="121"/>
      <c r="R55" s="115"/>
      <c r="S55" s="121"/>
      <c r="T55" s="4"/>
      <c r="U55" s="4"/>
      <c r="V55" s="4"/>
      <c r="W55" s="4"/>
      <c r="X55" s="4"/>
      <c r="Y55" s="4"/>
      <c r="Z55" s="4"/>
      <c r="AA55" s="4"/>
      <c r="AB55" s="4"/>
      <c r="AC55" s="4"/>
      <c r="AD55" s="4"/>
      <c r="AE55" s="4"/>
      <c r="AF55" s="4"/>
      <c r="AG55" s="4"/>
      <c r="AH55" s="4"/>
      <c r="AI55" s="4"/>
      <c r="AJ55" s="4"/>
      <c r="AK55" s="4"/>
      <c r="AL55" s="4"/>
      <c r="AM55" s="4"/>
      <c r="AN55" s="4"/>
      <c r="AO55" s="4"/>
      <c r="AP55" s="4"/>
      <c r="AQ55" s="4"/>
      <c r="AR55" s="4"/>
    </row>
    <row r="56" ht="12.75" spans="1:44">
      <c r="A56" s="4" t="s">
        <v>1119</v>
      </c>
      <c r="B56" s="4"/>
      <c r="C56" s="4"/>
      <c r="D56" s="4" t="s">
        <v>71</v>
      </c>
      <c r="E56" s="4"/>
      <c r="F56" s="283" t="s">
        <v>3978</v>
      </c>
      <c r="G56" s="286">
        <v>44318</v>
      </c>
      <c r="H56" s="285">
        <f t="shared" si="1"/>
        <v>4318</v>
      </c>
      <c r="I56" s="4" t="s">
        <v>3979</v>
      </c>
      <c r="J56" s="295" t="s">
        <v>3980</v>
      </c>
      <c r="K56" s="300">
        <v>8</v>
      </c>
      <c r="L56" s="4" t="s">
        <v>3937</v>
      </c>
      <c r="M56" s="4"/>
      <c r="N56" s="294">
        <v>7000000000</v>
      </c>
      <c r="O56" s="4"/>
      <c r="P56" s="4"/>
      <c r="Q56" s="121"/>
      <c r="R56" s="115"/>
      <c r="S56" s="121"/>
      <c r="T56" s="4"/>
      <c r="U56" s="4"/>
      <c r="V56" s="4"/>
      <c r="W56" s="4"/>
      <c r="X56" s="4"/>
      <c r="Y56" s="4"/>
      <c r="Z56" s="4"/>
      <c r="AA56" s="4"/>
      <c r="AB56" s="4"/>
      <c r="AC56" s="4"/>
      <c r="AD56" s="4"/>
      <c r="AE56" s="4"/>
      <c r="AF56" s="4"/>
      <c r="AG56" s="4"/>
      <c r="AH56" s="4"/>
      <c r="AI56" s="4"/>
      <c r="AJ56" s="4"/>
      <c r="AK56" s="4"/>
      <c r="AL56" s="4"/>
      <c r="AM56" s="4"/>
      <c r="AN56" s="4"/>
      <c r="AO56" s="4"/>
      <c r="AP56" s="4"/>
      <c r="AQ56" s="4"/>
      <c r="AR56" s="4"/>
    </row>
    <row r="57" ht="12.75" spans="1:44">
      <c r="A57" s="4" t="s">
        <v>3981</v>
      </c>
      <c r="B57" s="4"/>
      <c r="C57" s="4"/>
      <c r="D57" s="4" t="s">
        <v>3982</v>
      </c>
      <c r="E57" s="4"/>
      <c r="F57" s="283" t="s">
        <v>3983</v>
      </c>
      <c r="G57" s="284">
        <v>44348</v>
      </c>
      <c r="H57" s="285">
        <f t="shared" si="1"/>
        <v>4348</v>
      </c>
      <c r="I57" s="287" t="s">
        <v>3984</v>
      </c>
      <c r="J57" s="295" t="s">
        <v>3985</v>
      </c>
      <c r="K57" s="298"/>
      <c r="L57" s="4" t="s">
        <v>3937</v>
      </c>
      <c r="M57" s="4"/>
      <c r="N57" s="294">
        <v>86000000</v>
      </c>
      <c r="O57" s="4"/>
      <c r="P57" s="4"/>
      <c r="Q57" s="121"/>
      <c r="R57" s="115"/>
      <c r="S57" s="121"/>
      <c r="T57" s="4"/>
      <c r="U57" s="4"/>
      <c r="V57" s="4"/>
      <c r="W57" s="4"/>
      <c r="X57" s="4"/>
      <c r="Y57" s="4"/>
      <c r="Z57" s="4"/>
      <c r="AA57" s="4"/>
      <c r="AB57" s="4"/>
      <c r="AC57" s="4"/>
      <c r="AD57" s="4"/>
      <c r="AE57" s="4"/>
      <c r="AF57" s="4"/>
      <c r="AG57" s="4"/>
      <c r="AH57" s="4"/>
      <c r="AI57" s="4"/>
      <c r="AJ57" s="4"/>
      <c r="AK57" s="4"/>
      <c r="AL57" s="4"/>
      <c r="AM57" s="4"/>
      <c r="AN57" s="4"/>
      <c r="AO57" s="4"/>
      <c r="AP57" s="4"/>
      <c r="AQ57" s="4"/>
      <c r="AR57" s="4"/>
    </row>
    <row r="58" ht="12.75" spans="1:44">
      <c r="A58" s="4" t="s">
        <v>3986</v>
      </c>
      <c r="B58" s="4"/>
      <c r="C58" s="4"/>
      <c r="D58" s="4" t="s">
        <v>648</v>
      </c>
      <c r="E58" s="4"/>
      <c r="F58" s="283" t="s">
        <v>3987</v>
      </c>
      <c r="G58" s="284">
        <v>44438</v>
      </c>
      <c r="H58" s="285">
        <f t="shared" si="1"/>
        <v>4438</v>
      </c>
      <c r="I58" s="287" t="s">
        <v>3988</v>
      </c>
      <c r="J58" s="295" t="s">
        <v>3989</v>
      </c>
      <c r="K58" s="298"/>
      <c r="L58" s="4" t="s">
        <v>3937</v>
      </c>
      <c r="M58" s="4"/>
      <c r="N58" s="294">
        <v>307000000</v>
      </c>
      <c r="O58" s="4"/>
      <c r="P58" s="4"/>
      <c r="Q58" s="121"/>
      <c r="R58" s="115"/>
      <c r="S58" s="121"/>
      <c r="T58" s="4"/>
      <c r="U58" s="4"/>
      <c r="V58" s="4"/>
      <c r="W58" s="4"/>
      <c r="X58" s="4"/>
      <c r="Y58" s="4"/>
      <c r="Z58" s="4"/>
      <c r="AA58" s="4"/>
      <c r="AB58" s="4"/>
      <c r="AC58" s="4"/>
      <c r="AD58" s="4"/>
      <c r="AE58" s="4"/>
      <c r="AF58" s="4"/>
      <c r="AG58" s="4"/>
      <c r="AH58" s="4"/>
      <c r="AI58" s="4"/>
      <c r="AJ58" s="4"/>
      <c r="AK58" s="4"/>
      <c r="AL58" s="4"/>
      <c r="AM58" s="4"/>
      <c r="AN58" s="4"/>
      <c r="AO58" s="4"/>
      <c r="AP58" s="4"/>
      <c r="AQ58" s="4"/>
      <c r="AR58" s="4"/>
    </row>
    <row r="59" ht="12.75" spans="1:44">
      <c r="A59" s="4" t="s">
        <v>3990</v>
      </c>
      <c r="B59" s="4"/>
      <c r="C59" s="4"/>
      <c r="D59" s="4" t="s">
        <v>3991</v>
      </c>
      <c r="E59" s="4"/>
      <c r="F59" s="288" t="s">
        <v>3992</v>
      </c>
      <c r="G59" s="284">
        <v>44450</v>
      </c>
      <c r="H59" s="285">
        <f t="shared" si="1"/>
        <v>4450</v>
      </c>
      <c r="I59" s="287" t="s">
        <v>3993</v>
      </c>
      <c r="J59" s="295" t="s">
        <v>3994</v>
      </c>
      <c r="K59" s="298"/>
      <c r="L59" s="4" t="s">
        <v>3937</v>
      </c>
      <c r="M59" s="4"/>
      <c r="N59" s="294">
        <v>14000000</v>
      </c>
      <c r="O59" s="4"/>
      <c r="P59" s="4"/>
      <c r="Q59" s="121"/>
      <c r="R59" s="115"/>
      <c r="S59" s="121"/>
      <c r="T59" s="4"/>
      <c r="U59" s="4"/>
      <c r="V59" s="4"/>
      <c r="W59" s="4"/>
      <c r="X59" s="4"/>
      <c r="Y59" s="4"/>
      <c r="Z59" s="4"/>
      <c r="AA59" s="4"/>
      <c r="AB59" s="4"/>
      <c r="AC59" s="4"/>
      <c r="AD59" s="4"/>
      <c r="AE59" s="4"/>
      <c r="AF59" s="4"/>
      <c r="AG59" s="4"/>
      <c r="AH59" s="4"/>
      <c r="AI59" s="4"/>
      <c r="AJ59" s="4"/>
      <c r="AK59" s="4"/>
      <c r="AL59" s="4"/>
      <c r="AM59" s="4"/>
      <c r="AN59" s="4"/>
      <c r="AO59" s="4"/>
      <c r="AP59" s="4"/>
      <c r="AQ59" s="4"/>
      <c r="AR59" s="4"/>
    </row>
    <row r="60" ht="12.75" spans="1:44">
      <c r="A60" s="4" t="s">
        <v>3995</v>
      </c>
      <c r="B60" s="4"/>
      <c r="C60" s="4"/>
      <c r="D60" s="4"/>
      <c r="E60" s="4"/>
      <c r="F60" s="288" t="s">
        <v>3996</v>
      </c>
      <c r="G60" s="284">
        <v>44454</v>
      </c>
      <c r="H60" s="285">
        <f t="shared" si="1"/>
        <v>4454</v>
      </c>
      <c r="I60" s="287" t="s">
        <v>3997</v>
      </c>
      <c r="J60" s="301" t="s">
        <v>3998</v>
      </c>
      <c r="K60" s="298"/>
      <c r="L60" s="4" t="s">
        <v>3937</v>
      </c>
      <c r="M60" s="4"/>
      <c r="N60" s="294">
        <v>86700000</v>
      </c>
      <c r="O60" s="4"/>
      <c r="P60" s="4"/>
      <c r="Q60" s="121"/>
      <c r="R60" s="115"/>
      <c r="S60" s="121"/>
      <c r="T60" s="4"/>
      <c r="U60" s="4"/>
      <c r="V60" s="4"/>
      <c r="W60" s="4"/>
      <c r="X60" s="4"/>
      <c r="Y60" s="4"/>
      <c r="Z60" s="4"/>
      <c r="AA60" s="4"/>
      <c r="AB60" s="4"/>
      <c r="AC60" s="4"/>
      <c r="AD60" s="4"/>
      <c r="AE60" s="4"/>
      <c r="AF60" s="4"/>
      <c r="AG60" s="4"/>
      <c r="AH60" s="4"/>
      <c r="AI60" s="4"/>
      <c r="AJ60" s="4"/>
      <c r="AK60" s="4"/>
      <c r="AL60" s="4"/>
      <c r="AM60" s="4"/>
      <c r="AN60" s="4"/>
      <c r="AO60" s="4"/>
      <c r="AP60" s="4"/>
      <c r="AQ60" s="4"/>
      <c r="AR60" s="4"/>
    </row>
    <row r="61" ht="12.75" spans="1:44">
      <c r="A61" s="4" t="s">
        <v>3999</v>
      </c>
      <c r="B61" s="4"/>
      <c r="C61" s="4"/>
      <c r="D61" s="4" t="s">
        <v>53</v>
      </c>
      <c r="E61" s="4"/>
      <c r="F61" s="283" t="s">
        <v>4000</v>
      </c>
      <c r="G61" s="284">
        <v>44459</v>
      </c>
      <c r="H61" s="285">
        <f t="shared" si="1"/>
        <v>4459</v>
      </c>
      <c r="I61" s="287" t="s">
        <v>4001</v>
      </c>
      <c r="J61" s="301" t="s">
        <v>4002</v>
      </c>
      <c r="K61" s="298"/>
      <c r="L61" s="4" t="s">
        <v>3768</v>
      </c>
      <c r="M61" s="4"/>
      <c r="N61" s="294">
        <v>86000000</v>
      </c>
      <c r="O61" s="4"/>
      <c r="P61" s="4"/>
      <c r="Q61" s="121"/>
      <c r="R61" s="115"/>
      <c r="S61" s="121"/>
      <c r="T61" s="4"/>
      <c r="U61" s="4"/>
      <c r="V61" s="4"/>
      <c r="W61" s="4"/>
      <c r="X61" s="4"/>
      <c r="Y61" s="4"/>
      <c r="Z61" s="4"/>
      <c r="AA61" s="4"/>
      <c r="AB61" s="4"/>
      <c r="AC61" s="4"/>
      <c r="AD61" s="4"/>
      <c r="AE61" s="4"/>
      <c r="AF61" s="4"/>
      <c r="AG61" s="4"/>
      <c r="AH61" s="4"/>
      <c r="AI61" s="4"/>
      <c r="AJ61" s="4"/>
      <c r="AK61" s="4"/>
      <c r="AL61" s="4"/>
      <c r="AM61" s="4"/>
      <c r="AN61" s="4"/>
      <c r="AO61" s="4"/>
      <c r="AP61" s="4"/>
      <c r="AQ61" s="4"/>
      <c r="AR61" s="4"/>
    </row>
    <row r="62" ht="12.75" spans="1:44">
      <c r="A62" s="115"/>
      <c r="B62" s="115"/>
      <c r="C62" s="115"/>
      <c r="D62" s="115" t="s">
        <v>1166</v>
      </c>
      <c r="E62" s="115"/>
      <c r="F62" s="283" t="s">
        <v>4003</v>
      </c>
      <c r="G62" s="284">
        <v>44455</v>
      </c>
      <c r="H62" s="285">
        <f t="shared" si="1"/>
        <v>4455</v>
      </c>
      <c r="I62" s="297" t="s">
        <v>4004</v>
      </c>
      <c r="J62" s="295" t="s">
        <v>4005</v>
      </c>
      <c r="K62" s="298"/>
      <c r="L62" s="4" t="s">
        <v>3794</v>
      </c>
      <c r="M62" s="4"/>
      <c r="N62" s="121"/>
      <c r="O62" s="115"/>
      <c r="P62" s="115"/>
      <c r="Q62" s="121"/>
      <c r="R62" s="115"/>
      <c r="S62" s="121"/>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row>
    <row r="63" ht="12.75" spans="1:44">
      <c r="A63" s="115"/>
      <c r="B63" s="115"/>
      <c r="C63" s="115"/>
      <c r="D63" s="115" t="s">
        <v>4006</v>
      </c>
      <c r="E63" s="115"/>
      <c r="F63" s="283" t="s">
        <v>4007</v>
      </c>
      <c r="G63" s="284">
        <v>44426</v>
      </c>
      <c r="H63" s="285">
        <f t="shared" si="1"/>
        <v>4426</v>
      </c>
      <c r="I63" s="297" t="s">
        <v>4008</v>
      </c>
      <c r="J63" s="295" t="s">
        <v>4009</v>
      </c>
      <c r="K63" s="298"/>
      <c r="L63" s="4" t="s">
        <v>3794</v>
      </c>
      <c r="M63" s="4"/>
      <c r="N63" s="121"/>
      <c r="O63" s="115"/>
      <c r="P63" s="115"/>
      <c r="Q63" s="121"/>
      <c r="R63" s="115"/>
      <c r="S63" s="121"/>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row>
    <row r="64" ht="12.75" spans="1:44">
      <c r="A64" s="4" t="s">
        <v>4010</v>
      </c>
      <c r="B64" s="4"/>
      <c r="C64" s="4"/>
      <c r="D64" s="4" t="s">
        <v>4011</v>
      </c>
      <c r="E64" s="4"/>
      <c r="F64" s="288" t="s">
        <v>4012</v>
      </c>
      <c r="G64" s="284">
        <v>44361</v>
      </c>
      <c r="H64" s="285">
        <f t="shared" si="1"/>
        <v>4361</v>
      </c>
      <c r="I64" s="287" t="s">
        <v>4013</v>
      </c>
      <c r="J64" s="295" t="s">
        <v>4014</v>
      </c>
      <c r="K64" s="298"/>
      <c r="L64" s="4" t="s">
        <v>3768</v>
      </c>
      <c r="M64" s="4"/>
      <c r="N64" s="121"/>
      <c r="O64" s="4"/>
      <c r="P64" s="4"/>
      <c r="Q64" s="121"/>
      <c r="R64" s="115"/>
      <c r="S64" s="121"/>
      <c r="T64" s="4"/>
      <c r="U64" s="4"/>
      <c r="V64" s="4"/>
      <c r="W64" s="4"/>
      <c r="X64" s="4"/>
      <c r="Y64" s="4"/>
      <c r="Z64" s="4"/>
      <c r="AA64" s="4"/>
      <c r="AB64" s="4"/>
      <c r="AC64" s="4"/>
      <c r="AD64" s="4"/>
      <c r="AE64" s="4"/>
      <c r="AF64" s="4"/>
      <c r="AG64" s="4"/>
      <c r="AH64" s="4"/>
      <c r="AI64" s="4"/>
      <c r="AJ64" s="4"/>
      <c r="AK64" s="4"/>
      <c r="AL64" s="4"/>
      <c r="AM64" s="4"/>
      <c r="AN64" s="4"/>
      <c r="AO64" s="4"/>
      <c r="AP64" s="4"/>
      <c r="AQ64" s="4"/>
      <c r="AR64" s="4"/>
    </row>
    <row r="65" ht="12.75" spans="1:44">
      <c r="A65" s="4" t="s">
        <v>4015</v>
      </c>
      <c r="B65" s="4"/>
      <c r="C65" s="4"/>
      <c r="D65" s="4" t="s">
        <v>97</v>
      </c>
      <c r="E65" s="4"/>
      <c r="F65" s="288" t="s">
        <v>4016</v>
      </c>
      <c r="G65" s="284">
        <v>44380</v>
      </c>
      <c r="H65" s="285">
        <f t="shared" si="1"/>
        <v>4380</v>
      </c>
      <c r="I65" s="287" t="s">
        <v>4017</v>
      </c>
      <c r="J65" s="295" t="s">
        <v>4018</v>
      </c>
      <c r="K65" s="298"/>
      <c r="L65" s="4" t="s">
        <v>3768</v>
      </c>
      <c r="M65" s="4"/>
      <c r="N65" s="303">
        <v>94000000</v>
      </c>
      <c r="O65" s="4"/>
      <c r="P65" s="4"/>
      <c r="Q65" s="121"/>
      <c r="R65" s="115"/>
      <c r="S65" s="121"/>
      <c r="T65" s="4"/>
      <c r="U65" s="4"/>
      <c r="V65" s="4"/>
      <c r="W65" s="4"/>
      <c r="X65" s="4"/>
      <c r="Y65" s="4"/>
      <c r="Z65" s="4"/>
      <c r="AA65" s="4"/>
      <c r="AB65" s="4"/>
      <c r="AC65" s="4"/>
      <c r="AD65" s="4"/>
      <c r="AE65" s="4"/>
      <c r="AF65" s="4"/>
      <c r="AG65" s="4"/>
      <c r="AH65" s="4"/>
      <c r="AI65" s="4"/>
      <c r="AJ65" s="4"/>
      <c r="AK65" s="4"/>
      <c r="AL65" s="4"/>
      <c r="AM65" s="4"/>
      <c r="AN65" s="4"/>
      <c r="AO65" s="4"/>
      <c r="AP65" s="4"/>
      <c r="AQ65" s="4"/>
      <c r="AR65" s="4"/>
    </row>
    <row r="66" ht="12.75" spans="1:44">
      <c r="A66" s="4" t="s">
        <v>1083</v>
      </c>
      <c r="B66" s="4"/>
      <c r="C66" s="4"/>
      <c r="D66" s="4" t="s">
        <v>2732</v>
      </c>
      <c r="E66" s="4"/>
      <c r="F66" s="283" t="s">
        <v>4019</v>
      </c>
      <c r="G66" s="284">
        <v>44496</v>
      </c>
      <c r="H66" s="285">
        <f t="shared" si="1"/>
        <v>4496</v>
      </c>
      <c r="I66" s="287" t="s">
        <v>4020</v>
      </c>
      <c r="J66" s="295" t="s">
        <v>4021</v>
      </c>
      <c r="K66" s="298"/>
      <c r="L66" s="4" t="s">
        <v>3768</v>
      </c>
      <c r="M66" s="4"/>
      <c r="N66" s="304">
        <v>500000</v>
      </c>
      <c r="O66" s="4"/>
      <c r="P66" s="4"/>
      <c r="Q66" s="121"/>
      <c r="R66" s="298"/>
      <c r="S66" s="121"/>
      <c r="T66" s="4"/>
      <c r="U66" s="4"/>
      <c r="V66" s="4"/>
      <c r="W66" s="4"/>
      <c r="X66" s="4"/>
      <c r="Y66" s="4"/>
      <c r="Z66" s="4"/>
      <c r="AA66" s="4"/>
      <c r="AB66" s="4"/>
      <c r="AC66" s="4"/>
      <c r="AD66" s="4"/>
      <c r="AE66" s="4"/>
      <c r="AF66" s="4"/>
      <c r="AG66" s="4"/>
      <c r="AH66" s="4"/>
      <c r="AI66" s="4"/>
      <c r="AJ66" s="4"/>
      <c r="AK66" s="4"/>
      <c r="AL66" s="4"/>
      <c r="AM66" s="4"/>
      <c r="AN66" s="4"/>
      <c r="AO66" s="4"/>
      <c r="AP66" s="4"/>
      <c r="AQ66" s="4"/>
      <c r="AR66" s="4"/>
    </row>
    <row r="67" ht="12.75" spans="1:44">
      <c r="A67" s="4" t="s">
        <v>1083</v>
      </c>
      <c r="B67" s="4"/>
      <c r="C67" s="4"/>
      <c r="D67" s="4" t="s">
        <v>4022</v>
      </c>
      <c r="E67" s="4"/>
      <c r="F67" s="288" t="s">
        <v>4023</v>
      </c>
      <c r="G67" s="284">
        <v>44504</v>
      </c>
      <c r="H67" s="285">
        <f t="shared" si="1"/>
        <v>4504</v>
      </c>
      <c r="I67" s="287" t="s">
        <v>4024</v>
      </c>
      <c r="J67" s="295" t="s">
        <v>4025</v>
      </c>
      <c r="K67" s="298"/>
      <c r="L67" s="4" t="s">
        <v>3937</v>
      </c>
      <c r="M67" s="4"/>
      <c r="N67" s="305"/>
      <c r="O67" s="4"/>
      <c r="P67" s="4"/>
      <c r="Q67" s="121"/>
      <c r="R67" s="298"/>
      <c r="S67" s="121"/>
      <c r="T67" s="4"/>
      <c r="U67" s="4"/>
      <c r="V67" s="4"/>
      <c r="W67" s="4"/>
      <c r="X67" s="4"/>
      <c r="Y67" s="4"/>
      <c r="Z67" s="4"/>
      <c r="AA67" s="4"/>
      <c r="AB67" s="4"/>
      <c r="AC67" s="4"/>
      <c r="AD67" s="4"/>
      <c r="AE67" s="4"/>
      <c r="AF67" s="4"/>
      <c r="AG67" s="4"/>
      <c r="AH67" s="4"/>
      <c r="AI67" s="4"/>
      <c r="AJ67" s="4"/>
      <c r="AK67" s="4"/>
      <c r="AL67" s="4"/>
      <c r="AM67" s="4"/>
      <c r="AN67" s="4"/>
      <c r="AO67" s="4"/>
      <c r="AP67" s="4"/>
      <c r="AQ67" s="4"/>
      <c r="AR67" s="4"/>
    </row>
    <row r="68" ht="12.75" spans="1:44">
      <c r="A68" s="4" t="s">
        <v>809</v>
      </c>
      <c r="B68" s="4"/>
      <c r="C68" s="4"/>
      <c r="D68" s="4" t="s">
        <v>71</v>
      </c>
      <c r="E68" s="4"/>
      <c r="F68" s="283" t="s">
        <v>4026</v>
      </c>
      <c r="G68" s="284">
        <v>44508</v>
      </c>
      <c r="H68" s="285">
        <f t="shared" si="1"/>
        <v>4508</v>
      </c>
      <c r="I68" s="287" t="s">
        <v>4027</v>
      </c>
      <c r="J68" s="295" t="s">
        <v>4028</v>
      </c>
      <c r="K68" s="298"/>
      <c r="L68" s="4" t="s">
        <v>3937</v>
      </c>
      <c r="M68" s="4"/>
      <c r="N68" s="121"/>
      <c r="O68" s="4"/>
      <c r="P68" s="4"/>
      <c r="Q68" s="121"/>
      <c r="R68" s="115"/>
      <c r="S68" s="121"/>
      <c r="T68" s="4"/>
      <c r="U68" s="4"/>
      <c r="V68" s="4"/>
      <c r="W68" s="4"/>
      <c r="X68" s="4"/>
      <c r="Y68" s="4"/>
      <c r="Z68" s="4"/>
      <c r="AA68" s="4"/>
      <c r="AB68" s="4"/>
      <c r="AC68" s="4"/>
      <c r="AD68" s="4"/>
      <c r="AE68" s="4"/>
      <c r="AF68" s="4"/>
      <c r="AG68" s="4"/>
      <c r="AH68" s="4"/>
      <c r="AI68" s="4"/>
      <c r="AJ68" s="4"/>
      <c r="AK68" s="4"/>
      <c r="AL68" s="4"/>
      <c r="AM68" s="4"/>
      <c r="AN68" s="4"/>
      <c r="AO68" s="4"/>
      <c r="AP68" s="4"/>
      <c r="AQ68" s="4"/>
      <c r="AR68" s="4"/>
    </row>
    <row r="69" ht="12.75" spans="1:44">
      <c r="A69" s="4" t="s">
        <v>798</v>
      </c>
      <c r="B69" s="4"/>
      <c r="C69" s="4"/>
      <c r="D69" s="4" t="s">
        <v>34</v>
      </c>
      <c r="E69" s="4"/>
      <c r="F69" s="288" t="s">
        <v>4029</v>
      </c>
      <c r="G69" s="284">
        <v>44491</v>
      </c>
      <c r="H69" s="285">
        <f t="shared" si="1"/>
        <v>4491</v>
      </c>
      <c r="I69" s="287" t="s">
        <v>4030</v>
      </c>
      <c r="J69" s="295" t="s">
        <v>4031</v>
      </c>
      <c r="K69" s="298"/>
      <c r="L69" s="4" t="s">
        <v>3937</v>
      </c>
      <c r="M69" s="4"/>
      <c r="N69" s="294">
        <v>774000000</v>
      </c>
      <c r="O69" s="4"/>
      <c r="P69" s="4"/>
      <c r="Q69" s="121"/>
      <c r="R69" s="115"/>
      <c r="S69" s="121"/>
      <c r="T69" s="4"/>
      <c r="U69" s="4"/>
      <c r="V69" s="4"/>
      <c r="W69" s="4"/>
      <c r="X69" s="4"/>
      <c r="Y69" s="4"/>
      <c r="Z69" s="4"/>
      <c r="AA69" s="4"/>
      <c r="AB69" s="4"/>
      <c r="AC69" s="4"/>
      <c r="AD69" s="4"/>
      <c r="AE69" s="4"/>
      <c r="AF69" s="4"/>
      <c r="AG69" s="4"/>
      <c r="AH69" s="4"/>
      <c r="AI69" s="4"/>
      <c r="AJ69" s="4"/>
      <c r="AK69" s="4"/>
      <c r="AL69" s="4"/>
      <c r="AM69" s="4"/>
      <c r="AN69" s="4"/>
      <c r="AO69" s="4"/>
      <c r="AP69" s="4"/>
      <c r="AQ69" s="4"/>
      <c r="AR69" s="4"/>
    </row>
    <row r="70" ht="12.75" spans="1:44">
      <c r="A70" s="4" t="s">
        <v>4032</v>
      </c>
      <c r="B70" s="4"/>
      <c r="C70" s="4"/>
      <c r="D70" s="4" t="s">
        <v>400</v>
      </c>
      <c r="E70" s="4"/>
      <c r="F70" s="283" t="s">
        <v>4033</v>
      </c>
      <c r="G70" s="284">
        <v>44420</v>
      </c>
      <c r="H70" s="285">
        <f t="shared" si="1"/>
        <v>4420</v>
      </c>
      <c r="I70" s="287" t="s">
        <v>4034</v>
      </c>
      <c r="J70" s="295" t="s">
        <v>3289</v>
      </c>
      <c r="K70" s="298"/>
      <c r="L70" s="4" t="s">
        <v>3937</v>
      </c>
      <c r="M70" s="4"/>
      <c r="N70" s="294">
        <v>550000000</v>
      </c>
      <c r="O70" s="4"/>
      <c r="P70" s="4"/>
      <c r="Q70" s="121"/>
      <c r="R70" s="115"/>
      <c r="S70" s="121"/>
      <c r="T70" s="4"/>
      <c r="U70" s="4"/>
      <c r="V70" s="4"/>
      <c r="W70" s="4"/>
      <c r="X70" s="4"/>
      <c r="Y70" s="4"/>
      <c r="Z70" s="4"/>
      <c r="AA70" s="4"/>
      <c r="AB70" s="4"/>
      <c r="AC70" s="4"/>
      <c r="AD70" s="4"/>
      <c r="AE70" s="4"/>
      <c r="AF70" s="4"/>
      <c r="AG70" s="4"/>
      <c r="AH70" s="4"/>
      <c r="AI70" s="4"/>
      <c r="AJ70" s="4"/>
      <c r="AK70" s="4"/>
      <c r="AL70" s="4"/>
      <c r="AM70" s="4"/>
      <c r="AN70" s="4"/>
      <c r="AO70" s="4"/>
      <c r="AP70" s="4"/>
      <c r="AQ70" s="4"/>
      <c r="AR70" s="4"/>
    </row>
    <row r="71" ht="12.75" spans="1:44">
      <c r="A71" s="287" t="s">
        <v>4035</v>
      </c>
      <c r="B71" s="4"/>
      <c r="C71" s="4"/>
      <c r="D71" s="4" t="s">
        <v>400</v>
      </c>
      <c r="E71" s="4"/>
      <c r="F71" s="283" t="s">
        <v>4036</v>
      </c>
      <c r="G71" s="284">
        <v>44417</v>
      </c>
      <c r="H71" s="285">
        <f t="shared" si="1"/>
        <v>4417</v>
      </c>
      <c r="I71" s="287" t="s">
        <v>4037</v>
      </c>
      <c r="J71" s="295" t="s">
        <v>4038</v>
      </c>
      <c r="K71" s="298"/>
      <c r="L71" s="4" t="s">
        <v>3768</v>
      </c>
      <c r="M71" s="4"/>
      <c r="N71" s="294">
        <v>134800000</v>
      </c>
      <c r="O71" s="4"/>
      <c r="P71" s="4"/>
      <c r="Q71" s="121"/>
      <c r="R71" s="115"/>
      <c r="S71" s="121"/>
      <c r="T71" s="4"/>
      <c r="U71" s="4"/>
      <c r="V71" s="4"/>
      <c r="W71" s="4"/>
      <c r="X71" s="4"/>
      <c r="Y71" s="4"/>
      <c r="Z71" s="4"/>
      <c r="AA71" s="4"/>
      <c r="AB71" s="4"/>
      <c r="AC71" s="4"/>
      <c r="AD71" s="4"/>
      <c r="AE71" s="4"/>
      <c r="AF71" s="4"/>
      <c r="AG71" s="4"/>
      <c r="AH71" s="4"/>
      <c r="AI71" s="4"/>
      <c r="AJ71" s="4"/>
      <c r="AK71" s="4"/>
      <c r="AL71" s="4"/>
      <c r="AM71" s="4"/>
      <c r="AN71" s="4"/>
      <c r="AO71" s="4"/>
      <c r="AP71" s="4"/>
      <c r="AQ71" s="4"/>
      <c r="AR71" s="4"/>
    </row>
    <row r="72" ht="12.75" spans="1:44">
      <c r="A72" s="4" t="s">
        <v>4039</v>
      </c>
      <c r="B72" s="4"/>
      <c r="C72" s="4"/>
      <c r="D72" s="4" t="s">
        <v>262</v>
      </c>
      <c r="E72" s="4"/>
      <c r="F72" s="283" t="s">
        <v>4040</v>
      </c>
      <c r="G72" s="284">
        <v>44480</v>
      </c>
      <c r="H72" s="285">
        <f t="shared" si="1"/>
        <v>4480</v>
      </c>
      <c r="I72" s="287" t="s">
        <v>4041</v>
      </c>
      <c r="J72" s="295" t="s">
        <v>4042</v>
      </c>
      <c r="K72" s="298"/>
      <c r="L72" s="4" t="s">
        <v>3937</v>
      </c>
      <c r="M72" s="4"/>
      <c r="N72" s="294">
        <v>431000000</v>
      </c>
      <c r="O72" s="4"/>
      <c r="P72" s="4"/>
      <c r="Q72" s="121"/>
      <c r="R72" s="115"/>
      <c r="S72" s="121"/>
      <c r="T72" s="4"/>
      <c r="U72" s="4"/>
      <c r="V72" s="4"/>
      <c r="W72" s="4"/>
      <c r="X72" s="4"/>
      <c r="Y72" s="4"/>
      <c r="Z72" s="4"/>
      <c r="AA72" s="4"/>
      <c r="AB72" s="4"/>
      <c r="AC72" s="4"/>
      <c r="AD72" s="4"/>
      <c r="AE72" s="4"/>
      <c r="AF72" s="4"/>
      <c r="AG72" s="4"/>
      <c r="AH72" s="4"/>
      <c r="AI72" s="4"/>
      <c r="AJ72" s="4"/>
      <c r="AK72" s="4"/>
      <c r="AL72" s="4"/>
      <c r="AM72" s="4"/>
      <c r="AN72" s="4"/>
      <c r="AO72" s="4"/>
      <c r="AP72" s="4"/>
      <c r="AQ72" s="4"/>
      <c r="AR72" s="4"/>
    </row>
    <row r="73" ht="12.75" spans="1:44">
      <c r="A73" s="4" t="s">
        <v>4043</v>
      </c>
      <c r="B73" s="4"/>
      <c r="C73" s="4"/>
      <c r="D73" s="4" t="s">
        <v>262</v>
      </c>
      <c r="E73" s="4"/>
      <c r="F73" s="288" t="s">
        <v>4044</v>
      </c>
      <c r="G73" s="284">
        <v>44483</v>
      </c>
      <c r="H73" s="285">
        <f t="shared" si="1"/>
        <v>4483</v>
      </c>
      <c r="I73" s="287" t="s">
        <v>4045</v>
      </c>
      <c r="J73" s="295" t="s">
        <v>4046</v>
      </c>
      <c r="K73" s="298"/>
      <c r="L73" s="4" t="s">
        <v>3937</v>
      </c>
      <c r="M73" s="4"/>
      <c r="N73" s="294">
        <v>73400000</v>
      </c>
      <c r="O73" s="4"/>
      <c r="P73" s="4"/>
      <c r="Q73" s="121"/>
      <c r="R73" s="115"/>
      <c r="S73" s="121"/>
      <c r="T73" s="4"/>
      <c r="U73" s="4"/>
      <c r="V73" s="4"/>
      <c r="W73" s="4"/>
      <c r="X73" s="4"/>
      <c r="Y73" s="4"/>
      <c r="Z73" s="4"/>
      <c r="AA73" s="4"/>
      <c r="AB73" s="4"/>
      <c r="AC73" s="4"/>
      <c r="AD73" s="4"/>
      <c r="AE73" s="4"/>
      <c r="AF73" s="4"/>
      <c r="AG73" s="4"/>
      <c r="AH73" s="4"/>
      <c r="AI73" s="4"/>
      <c r="AJ73" s="4"/>
      <c r="AK73" s="4"/>
      <c r="AL73" s="4"/>
      <c r="AM73" s="4"/>
      <c r="AN73" s="4"/>
      <c r="AO73" s="4"/>
      <c r="AP73" s="4"/>
      <c r="AQ73" s="4"/>
      <c r="AR73" s="4"/>
    </row>
    <row r="74" ht="12.75" spans="1:44">
      <c r="A74" s="4" t="s">
        <v>4047</v>
      </c>
      <c r="B74" s="4"/>
      <c r="C74" s="4"/>
      <c r="D74" s="4" t="s">
        <v>71</v>
      </c>
      <c r="E74" s="4"/>
      <c r="F74" s="283" t="s">
        <v>4048</v>
      </c>
      <c r="G74" s="4" t="s">
        <v>4049</v>
      </c>
      <c r="H74" s="302" t="e">
        <f t="shared" si="1"/>
        <v>#VALUE!</v>
      </c>
      <c r="I74" s="4" t="s">
        <v>4050</v>
      </c>
      <c r="J74" s="6" t="s">
        <v>4051</v>
      </c>
      <c r="K74" s="299">
        <v>1</v>
      </c>
      <c r="L74" s="4" t="s">
        <v>3819</v>
      </c>
      <c r="M74" s="4"/>
      <c r="N74" s="121"/>
      <c r="O74" s="4"/>
      <c r="P74" s="4"/>
      <c r="Q74" s="121"/>
      <c r="R74" s="115"/>
      <c r="S74" s="121"/>
      <c r="T74" s="4"/>
      <c r="U74" s="4"/>
      <c r="V74" s="4"/>
      <c r="W74" s="4"/>
      <c r="X74" s="4"/>
      <c r="Y74" s="4"/>
      <c r="Z74" s="4"/>
      <c r="AA74" s="4"/>
      <c r="AB74" s="4"/>
      <c r="AC74" s="4"/>
      <c r="AD74" s="4"/>
      <c r="AE74" s="4"/>
      <c r="AF74" s="4"/>
      <c r="AG74" s="4"/>
      <c r="AH74" s="4"/>
      <c r="AI74" s="4"/>
      <c r="AJ74" s="4"/>
      <c r="AK74" s="4"/>
      <c r="AL74" s="4"/>
      <c r="AM74" s="4"/>
      <c r="AN74" s="4"/>
      <c r="AO74" s="4"/>
      <c r="AP74" s="4"/>
      <c r="AQ74" s="4"/>
      <c r="AR74" s="4"/>
    </row>
    <row r="75" ht="12.75" spans="1:44">
      <c r="A75" s="4" t="s">
        <v>4052</v>
      </c>
      <c r="B75" s="4"/>
      <c r="C75" s="4"/>
      <c r="D75" s="4" t="s">
        <v>34</v>
      </c>
      <c r="E75" s="4"/>
      <c r="F75" s="288" t="s">
        <v>4053</v>
      </c>
      <c r="G75" s="284">
        <v>44494</v>
      </c>
      <c r="H75" s="285">
        <f t="shared" si="1"/>
        <v>4494</v>
      </c>
      <c r="I75" s="4" t="s">
        <v>4054</v>
      </c>
      <c r="J75" s="6" t="s">
        <v>4055</v>
      </c>
      <c r="K75" s="299">
        <v>46</v>
      </c>
      <c r="L75" s="4" t="s">
        <v>3937</v>
      </c>
      <c r="M75" s="4"/>
      <c r="N75" s="294">
        <v>6700000000</v>
      </c>
      <c r="O75" s="4"/>
      <c r="P75" s="4"/>
      <c r="Q75" s="121"/>
      <c r="R75" s="115"/>
      <c r="S75" s="121"/>
      <c r="T75" s="4"/>
      <c r="U75" s="4"/>
      <c r="V75" s="4"/>
      <c r="W75" s="4"/>
      <c r="X75" s="4"/>
      <c r="Y75" s="4"/>
      <c r="Z75" s="4"/>
      <c r="AA75" s="4"/>
      <c r="AB75" s="4"/>
      <c r="AC75" s="4"/>
      <c r="AD75" s="4"/>
      <c r="AE75" s="4"/>
      <c r="AF75" s="4"/>
      <c r="AG75" s="4"/>
      <c r="AH75" s="4"/>
      <c r="AI75" s="4"/>
      <c r="AJ75" s="4"/>
      <c r="AK75" s="4"/>
      <c r="AL75" s="4"/>
      <c r="AM75" s="4"/>
      <c r="AN75" s="4"/>
      <c r="AO75" s="4"/>
      <c r="AP75" s="4"/>
      <c r="AQ75" s="4"/>
      <c r="AR75" s="4"/>
    </row>
    <row r="76" ht="12.75" spans="1:44">
      <c r="A76" s="4" t="s">
        <v>4056</v>
      </c>
      <c r="B76" s="4"/>
      <c r="C76" s="4"/>
      <c r="D76" s="4" t="s">
        <v>4057</v>
      </c>
      <c r="E76" s="4"/>
      <c r="F76" s="283" t="s">
        <v>4058</v>
      </c>
      <c r="G76" s="284">
        <v>44301</v>
      </c>
      <c r="H76" s="285">
        <f t="shared" si="1"/>
        <v>4301</v>
      </c>
      <c r="I76" s="4" t="s">
        <v>4059</v>
      </c>
      <c r="J76" s="6" t="s">
        <v>4060</v>
      </c>
      <c r="K76" s="299">
        <v>8</v>
      </c>
      <c r="L76" s="4" t="s">
        <v>3819</v>
      </c>
      <c r="M76" s="4"/>
      <c r="N76" s="294">
        <v>1000000000</v>
      </c>
      <c r="O76" s="4"/>
      <c r="P76" s="4"/>
      <c r="Q76" s="121"/>
      <c r="R76" s="115"/>
      <c r="S76" s="121"/>
      <c r="T76" s="4"/>
      <c r="U76" s="4"/>
      <c r="V76" s="4"/>
      <c r="W76" s="4"/>
      <c r="X76" s="4"/>
      <c r="Y76" s="4"/>
      <c r="Z76" s="4"/>
      <c r="AA76" s="4"/>
      <c r="AB76" s="4"/>
      <c r="AC76" s="4"/>
      <c r="AD76" s="4"/>
      <c r="AE76" s="4"/>
      <c r="AF76" s="4"/>
      <c r="AG76" s="4"/>
      <c r="AH76" s="4"/>
      <c r="AI76" s="4"/>
      <c r="AJ76" s="4"/>
      <c r="AK76" s="4"/>
      <c r="AL76" s="4"/>
      <c r="AM76" s="4"/>
      <c r="AN76" s="4"/>
      <c r="AO76" s="4"/>
      <c r="AP76" s="4"/>
      <c r="AQ76" s="4"/>
      <c r="AR76" s="4"/>
    </row>
    <row r="77" ht="12.75" spans="1:44">
      <c r="A77" s="4" t="s">
        <v>4061</v>
      </c>
      <c r="B77" s="4"/>
      <c r="C77" s="4"/>
      <c r="D77" s="4" t="s">
        <v>400</v>
      </c>
      <c r="E77" s="4"/>
      <c r="F77" s="283" t="s">
        <v>4062</v>
      </c>
      <c r="G77" s="284">
        <v>44385</v>
      </c>
      <c r="H77" s="285">
        <f t="shared" si="1"/>
        <v>4385</v>
      </c>
      <c r="I77" s="4" t="s">
        <v>4063</v>
      </c>
      <c r="J77" s="6" t="s">
        <v>4064</v>
      </c>
      <c r="K77" s="299">
        <v>22</v>
      </c>
      <c r="L77" s="4" t="s">
        <v>3937</v>
      </c>
      <c r="M77" s="4"/>
      <c r="N77" s="294">
        <v>317000000</v>
      </c>
      <c r="O77" s="4"/>
      <c r="P77" s="4"/>
      <c r="Q77" s="121"/>
      <c r="R77" s="115"/>
      <c r="S77" s="121"/>
      <c r="T77" s="4"/>
      <c r="U77" s="4"/>
      <c r="V77" s="4"/>
      <c r="W77" s="4"/>
      <c r="X77" s="4"/>
      <c r="Y77" s="4"/>
      <c r="Z77" s="4"/>
      <c r="AA77" s="4"/>
      <c r="AB77" s="4"/>
      <c r="AC77" s="4"/>
      <c r="AD77" s="4"/>
      <c r="AE77" s="4"/>
      <c r="AF77" s="4"/>
      <c r="AG77" s="4"/>
      <c r="AH77" s="4"/>
      <c r="AI77" s="4"/>
      <c r="AJ77" s="4"/>
      <c r="AK77" s="4"/>
      <c r="AL77" s="4"/>
      <c r="AM77" s="4"/>
      <c r="AN77" s="4"/>
      <c r="AO77" s="4"/>
      <c r="AP77" s="4"/>
      <c r="AQ77" s="4"/>
      <c r="AR77" s="4"/>
    </row>
    <row r="78" ht="12.75" spans="1:44">
      <c r="A78" s="287" t="s">
        <v>4065</v>
      </c>
      <c r="B78" s="4"/>
      <c r="C78" s="4"/>
      <c r="D78" s="4" t="s">
        <v>400</v>
      </c>
      <c r="E78" s="4"/>
      <c r="F78" s="288" t="s">
        <v>4066</v>
      </c>
      <c r="G78" s="284">
        <v>44381</v>
      </c>
      <c r="H78" s="285">
        <f t="shared" si="1"/>
        <v>4381</v>
      </c>
      <c r="I78" s="4" t="s">
        <v>4067</v>
      </c>
      <c r="J78" s="6" t="s">
        <v>4068</v>
      </c>
      <c r="K78" s="299">
        <v>81</v>
      </c>
      <c r="L78" s="4" t="s">
        <v>3937</v>
      </c>
      <c r="M78" s="4"/>
      <c r="N78" s="294">
        <v>317000000</v>
      </c>
      <c r="O78" s="4"/>
      <c r="P78" s="4"/>
      <c r="Q78" s="121"/>
      <c r="R78" s="115"/>
      <c r="S78" s="121"/>
      <c r="T78" s="4"/>
      <c r="U78" s="4"/>
      <c r="V78" s="4"/>
      <c r="W78" s="4"/>
      <c r="X78" s="4"/>
      <c r="Y78" s="4"/>
      <c r="Z78" s="4"/>
      <c r="AA78" s="4"/>
      <c r="AB78" s="4"/>
      <c r="AC78" s="4"/>
      <c r="AD78" s="4"/>
      <c r="AE78" s="4"/>
      <c r="AF78" s="4"/>
      <c r="AG78" s="4"/>
      <c r="AH78" s="4"/>
      <c r="AI78" s="4"/>
      <c r="AJ78" s="4"/>
      <c r="AK78" s="4"/>
      <c r="AL78" s="4"/>
      <c r="AM78" s="4"/>
      <c r="AN78" s="4"/>
      <c r="AO78" s="4"/>
      <c r="AP78" s="4"/>
      <c r="AQ78" s="4"/>
      <c r="AR78" s="4"/>
    </row>
    <row r="79" ht="12.75" spans="1:44">
      <c r="A79" s="4" t="s">
        <v>4069</v>
      </c>
      <c r="B79" s="4"/>
      <c r="C79" s="4"/>
      <c r="D79" s="4" t="s">
        <v>85</v>
      </c>
      <c r="E79" s="4"/>
      <c r="F79" s="288" t="s">
        <v>4070</v>
      </c>
      <c r="G79" s="284">
        <v>44383</v>
      </c>
      <c r="H79" s="285">
        <f t="shared" si="1"/>
        <v>4383</v>
      </c>
      <c r="I79" s="4" t="s">
        <v>4071</v>
      </c>
      <c r="J79" s="6" t="s">
        <v>4072</v>
      </c>
      <c r="K79" s="299">
        <v>11</v>
      </c>
      <c r="L79" s="4" t="s">
        <v>3937</v>
      </c>
      <c r="M79" s="4"/>
      <c r="N79" s="294">
        <v>10000000000</v>
      </c>
      <c r="O79" s="4"/>
      <c r="P79" s="4"/>
      <c r="Q79" s="121"/>
      <c r="R79" s="115"/>
      <c r="S79" s="121"/>
      <c r="T79" s="4"/>
      <c r="U79" s="4"/>
      <c r="V79" s="4"/>
      <c r="W79" s="4"/>
      <c r="X79" s="4"/>
      <c r="Y79" s="4"/>
      <c r="Z79" s="4"/>
      <c r="AA79" s="4"/>
      <c r="AB79" s="4"/>
      <c r="AC79" s="4"/>
      <c r="AD79" s="4"/>
      <c r="AE79" s="4"/>
      <c r="AF79" s="4"/>
      <c r="AG79" s="4"/>
      <c r="AH79" s="4"/>
      <c r="AI79" s="4"/>
      <c r="AJ79" s="4"/>
      <c r="AK79" s="4"/>
      <c r="AL79" s="4"/>
      <c r="AM79" s="4"/>
      <c r="AN79" s="4"/>
      <c r="AO79" s="4"/>
      <c r="AP79" s="4"/>
      <c r="AQ79" s="4"/>
      <c r="AR79" s="4"/>
    </row>
    <row r="80" ht="12.75" spans="1:44">
      <c r="A80" s="4" t="s">
        <v>4073</v>
      </c>
      <c r="B80" s="4"/>
      <c r="C80" s="4"/>
      <c r="D80" s="4" t="s">
        <v>34</v>
      </c>
      <c r="E80" s="4"/>
      <c r="F80" s="283" t="s">
        <v>4074</v>
      </c>
      <c r="G80" s="284">
        <v>44358</v>
      </c>
      <c r="H80" s="285">
        <f t="shared" si="1"/>
        <v>4358</v>
      </c>
      <c r="I80" s="4" t="s">
        <v>4075</v>
      </c>
      <c r="J80" s="6" t="s">
        <v>4076</v>
      </c>
      <c r="K80" s="299">
        <v>36</v>
      </c>
      <c r="L80" s="4" t="s">
        <v>3937</v>
      </c>
      <c r="M80" s="4"/>
      <c r="N80" s="294">
        <v>270000000</v>
      </c>
      <c r="O80" s="4"/>
      <c r="P80" s="4"/>
      <c r="Q80" s="121"/>
      <c r="R80" s="115"/>
      <c r="S80" s="121"/>
      <c r="T80" s="4"/>
      <c r="U80" s="4"/>
      <c r="V80" s="4"/>
      <c r="W80" s="4"/>
      <c r="X80" s="4"/>
      <c r="Y80" s="4"/>
      <c r="Z80" s="4"/>
      <c r="AA80" s="4"/>
      <c r="AB80" s="4"/>
      <c r="AC80" s="4"/>
      <c r="AD80" s="4"/>
      <c r="AE80" s="4"/>
      <c r="AF80" s="4"/>
      <c r="AG80" s="4"/>
      <c r="AH80" s="4"/>
      <c r="AI80" s="4"/>
      <c r="AJ80" s="4"/>
      <c r="AK80" s="4"/>
      <c r="AL80" s="4"/>
      <c r="AM80" s="4"/>
      <c r="AN80" s="4"/>
      <c r="AO80" s="4"/>
      <c r="AP80" s="4"/>
      <c r="AQ80" s="4"/>
      <c r="AR80" s="4"/>
    </row>
    <row r="81" ht="12.75" spans="1:44">
      <c r="A81" s="114" t="s">
        <v>4077</v>
      </c>
      <c r="B81" s="114" t="s">
        <v>41</v>
      </c>
      <c r="C81" s="114" t="s">
        <v>176</v>
      </c>
      <c r="D81" s="114" t="s">
        <v>205</v>
      </c>
      <c r="E81" s="114"/>
      <c r="F81" s="114" t="s">
        <v>1346</v>
      </c>
      <c r="G81" s="153">
        <v>42346</v>
      </c>
      <c r="H81" s="152">
        <f t="shared" si="1"/>
        <v>2346</v>
      </c>
      <c r="I81" s="114" t="s">
        <v>1422</v>
      </c>
      <c r="J81" s="123" t="s">
        <v>1423</v>
      </c>
      <c r="K81" s="124">
        <v>85753</v>
      </c>
      <c r="L81" s="114" t="s">
        <v>4078</v>
      </c>
      <c r="M81" s="114"/>
      <c r="N81" s="124"/>
      <c r="O81" s="234">
        <v>1.94e+18</v>
      </c>
      <c r="P81" s="114" t="s">
        <v>4079</v>
      </c>
      <c r="Q81" s="124">
        <v>1200000</v>
      </c>
      <c r="R81" s="114"/>
      <c r="S81" s="216">
        <f>2*3.6*10^9</f>
        <v>7200000000</v>
      </c>
      <c r="T81" s="114"/>
      <c r="U81" s="114"/>
      <c r="V81" s="114">
        <v>138</v>
      </c>
      <c r="W81" s="114"/>
      <c r="X81" s="114"/>
      <c r="Y81" s="159"/>
      <c r="Z81" s="159"/>
      <c r="AA81" s="159"/>
      <c r="AB81" s="159"/>
      <c r="AC81" s="159"/>
      <c r="AD81" s="114"/>
      <c r="AE81" s="114"/>
      <c r="AF81" s="114"/>
      <c r="AG81" s="114"/>
      <c r="AH81" s="114"/>
      <c r="AI81" s="114"/>
      <c r="AJ81" s="114"/>
      <c r="AK81" s="114"/>
      <c r="AL81" s="114"/>
      <c r="AM81" s="114"/>
      <c r="AN81" s="114"/>
      <c r="AO81" s="114"/>
      <c r="AP81" s="114"/>
      <c r="AQ81" s="114"/>
      <c r="AR81" s="114"/>
    </row>
    <row r="82" ht="12.75" spans="1:44">
      <c r="A82" s="114" t="s">
        <v>4080</v>
      </c>
      <c r="B82" s="114" t="s">
        <v>41</v>
      </c>
      <c r="C82" s="114" t="s">
        <v>176</v>
      </c>
      <c r="D82" s="114" t="s">
        <v>205</v>
      </c>
      <c r="E82" s="114"/>
      <c r="F82" s="114" t="s">
        <v>1346</v>
      </c>
      <c r="G82" s="153">
        <v>42347</v>
      </c>
      <c r="H82" s="152">
        <f t="shared" si="1"/>
        <v>2347</v>
      </c>
      <c r="I82" s="114" t="s">
        <v>1422</v>
      </c>
      <c r="J82" s="123" t="s">
        <v>1423</v>
      </c>
      <c r="K82" s="124">
        <v>85753</v>
      </c>
      <c r="L82" s="114" t="s">
        <v>4078</v>
      </c>
      <c r="M82" s="114"/>
      <c r="N82" s="124"/>
      <c r="O82" s="234">
        <v>3.87e+18</v>
      </c>
      <c r="P82" s="114" t="s">
        <v>4081</v>
      </c>
      <c r="Q82" s="124">
        <v>1200000</v>
      </c>
      <c r="R82" s="114"/>
      <c r="S82" s="216">
        <f>2*3.8*10^9</f>
        <v>7600000000</v>
      </c>
      <c r="T82" s="114"/>
      <c r="U82" s="114"/>
      <c r="V82" s="114">
        <v>138</v>
      </c>
      <c r="W82" s="114"/>
      <c r="X82" s="114"/>
      <c r="Y82" s="159"/>
      <c r="Z82" s="159"/>
      <c r="AA82" s="159"/>
      <c r="AB82" s="159"/>
      <c r="AC82" s="159"/>
      <c r="AD82" s="114"/>
      <c r="AE82" s="114"/>
      <c r="AF82" s="114"/>
      <c r="AG82" s="114"/>
      <c r="AH82" s="114"/>
      <c r="AI82" s="114"/>
      <c r="AJ82" s="114"/>
      <c r="AK82" s="114"/>
      <c r="AL82" s="114"/>
      <c r="AM82" s="114"/>
      <c r="AN82" s="114"/>
      <c r="AO82" s="114"/>
      <c r="AP82" s="114"/>
      <c r="AQ82" s="114"/>
      <c r="AR82" s="114"/>
    </row>
    <row r="83" ht="12.75" spans="1:44">
      <c r="A83" s="114" t="s">
        <v>4082</v>
      </c>
      <c r="B83" s="114" t="s">
        <v>41</v>
      </c>
      <c r="C83" s="114" t="s">
        <v>176</v>
      </c>
      <c r="D83" s="114" t="s">
        <v>205</v>
      </c>
      <c r="E83" s="114"/>
      <c r="F83" s="114" t="s">
        <v>1346</v>
      </c>
      <c r="G83" s="153">
        <v>42348</v>
      </c>
      <c r="H83" s="152">
        <f t="shared" si="1"/>
        <v>2348</v>
      </c>
      <c r="I83" s="114" t="s">
        <v>1422</v>
      </c>
      <c r="J83" s="123" t="s">
        <v>1423</v>
      </c>
      <c r="K83" s="124">
        <v>85753</v>
      </c>
      <c r="L83" s="114" t="s">
        <v>4078</v>
      </c>
      <c r="M83" s="114"/>
      <c r="N83" s="124">
        <v>25600000</v>
      </c>
      <c r="O83" s="234">
        <v>4.09e+18</v>
      </c>
      <c r="P83" s="114" t="s">
        <v>583</v>
      </c>
      <c r="Q83" s="124">
        <v>1200000</v>
      </c>
      <c r="R83" s="114"/>
      <c r="S83" s="124">
        <f>2*3800000000</f>
        <v>7600000000</v>
      </c>
      <c r="T83" s="114">
        <f>14*24</f>
        <v>336</v>
      </c>
      <c r="U83" s="114"/>
      <c r="V83" s="114">
        <v>138</v>
      </c>
      <c r="W83" s="114"/>
      <c r="X83" s="114" t="s">
        <v>667</v>
      </c>
      <c r="Y83" s="159"/>
      <c r="Z83" s="159"/>
      <c r="AA83" s="159"/>
      <c r="AB83" s="159"/>
      <c r="AC83" s="159"/>
      <c r="AD83" s="114"/>
      <c r="AE83" s="114"/>
      <c r="AF83" s="114"/>
      <c r="AG83" s="114"/>
      <c r="AH83" s="114"/>
      <c r="AI83" s="114"/>
      <c r="AJ83" s="114"/>
      <c r="AK83" s="114"/>
      <c r="AL83" s="114"/>
      <c r="AM83" s="114"/>
      <c r="AN83" s="114"/>
      <c r="AO83" s="114"/>
      <c r="AP83" s="114"/>
      <c r="AQ83" s="114"/>
      <c r="AR83" s="114"/>
    </row>
    <row r="84" ht="12.75" spans="1:44">
      <c r="A84" s="114" t="s">
        <v>4083</v>
      </c>
      <c r="B84" s="114" t="s">
        <v>41</v>
      </c>
      <c r="C84" s="114" t="s">
        <v>176</v>
      </c>
      <c r="D84" s="114" t="s">
        <v>4084</v>
      </c>
      <c r="E84" s="114"/>
      <c r="F84" s="114" t="s">
        <v>1346</v>
      </c>
      <c r="G84" s="153">
        <v>42348</v>
      </c>
      <c r="H84" s="152">
        <f t="shared" si="1"/>
        <v>2348</v>
      </c>
      <c r="I84" s="114" t="s">
        <v>1422</v>
      </c>
      <c r="J84" s="123" t="s">
        <v>1423</v>
      </c>
      <c r="K84" s="124">
        <v>85753</v>
      </c>
      <c r="L84" s="114" t="s">
        <v>4078</v>
      </c>
      <c r="M84" s="114"/>
      <c r="N84" s="124">
        <v>44500000</v>
      </c>
      <c r="O84" s="234">
        <v>8.17e+18</v>
      </c>
      <c r="P84" s="114" t="s">
        <v>583</v>
      </c>
      <c r="Q84" s="124">
        <v>1200000</v>
      </c>
      <c r="R84" s="114"/>
      <c r="S84" s="124">
        <f>2*7600000000</f>
        <v>15200000000</v>
      </c>
      <c r="T84" s="114"/>
      <c r="U84" s="114"/>
      <c r="V84" s="114">
        <v>138</v>
      </c>
      <c r="W84" s="114"/>
      <c r="X84" s="114"/>
      <c r="Y84" s="114"/>
      <c r="Z84" s="114"/>
      <c r="AA84" s="114"/>
      <c r="AB84" s="114"/>
      <c r="AC84" s="114"/>
      <c r="AD84" s="114"/>
      <c r="AE84" s="114"/>
      <c r="AF84" s="114"/>
      <c r="AG84" s="114"/>
      <c r="AH84" s="114"/>
      <c r="AI84" s="114"/>
      <c r="AJ84" s="114"/>
      <c r="AK84" s="114"/>
      <c r="AL84" s="114"/>
      <c r="AM84" s="114"/>
      <c r="AN84" s="114"/>
      <c r="AO84" s="114"/>
      <c r="AP84" s="114"/>
      <c r="AQ84" s="114"/>
      <c r="AR84" s="114"/>
    </row>
    <row r="85" ht="14.25" spans="1:44">
      <c r="A85" s="155"/>
      <c r="B85" s="114" t="s">
        <v>41</v>
      </c>
      <c r="C85" s="114"/>
      <c r="D85" s="114" t="s">
        <v>4085</v>
      </c>
      <c r="E85" s="114"/>
      <c r="F85" s="114" t="s">
        <v>4086</v>
      </c>
      <c r="G85" s="114">
        <v>1973</v>
      </c>
      <c r="H85" s="152">
        <f t="shared" si="1"/>
        <v>1973</v>
      </c>
      <c r="I85" s="114" t="s">
        <v>4087</v>
      </c>
      <c r="J85" s="123" t="s">
        <v>4088</v>
      </c>
      <c r="K85" s="33">
        <v>1880</v>
      </c>
      <c r="L85" s="114" t="s">
        <v>3858</v>
      </c>
      <c r="M85" s="114"/>
      <c r="N85" s="124"/>
      <c r="O85" s="114"/>
      <c r="P85" s="114"/>
      <c r="Q85" s="124"/>
      <c r="R85" s="114"/>
      <c r="S85" s="124"/>
      <c r="T85" s="114"/>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row>
    <row r="86" ht="14.25" spans="1:44">
      <c r="A86" s="155" t="s">
        <v>4089</v>
      </c>
      <c r="B86" s="114" t="s">
        <v>41</v>
      </c>
      <c r="C86" s="114"/>
      <c r="D86" s="114" t="s">
        <v>2253</v>
      </c>
      <c r="E86" s="114"/>
      <c r="F86" s="114" t="s">
        <v>4090</v>
      </c>
      <c r="G86" s="114">
        <v>1963</v>
      </c>
      <c r="H86" s="152">
        <f t="shared" si="1"/>
        <v>1963</v>
      </c>
      <c r="I86" s="114" t="s">
        <v>4091</v>
      </c>
      <c r="J86" s="123" t="s">
        <v>4092</v>
      </c>
      <c r="K86" s="33">
        <v>2952</v>
      </c>
      <c r="L86" s="114" t="s">
        <v>3858</v>
      </c>
      <c r="M86" s="114"/>
      <c r="N86" s="124"/>
      <c r="O86" s="114"/>
      <c r="P86" s="114"/>
      <c r="Q86" s="124"/>
      <c r="R86" s="114"/>
      <c r="S86" s="12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ht="14.25" spans="1:44">
      <c r="A87" s="114" t="s">
        <v>4093</v>
      </c>
      <c r="B87" s="114" t="s">
        <v>434</v>
      </c>
      <c r="C87" s="114"/>
      <c r="D87" s="114" t="s">
        <v>435</v>
      </c>
      <c r="E87" s="114"/>
      <c r="F87" s="226" t="s">
        <v>4094</v>
      </c>
      <c r="G87" s="153">
        <v>44474</v>
      </c>
      <c r="H87" s="152">
        <f t="shared" si="1"/>
        <v>4474</v>
      </c>
      <c r="I87" s="114" t="s">
        <v>437</v>
      </c>
      <c r="J87" s="123" t="s">
        <v>2593</v>
      </c>
      <c r="K87" s="33">
        <v>1</v>
      </c>
      <c r="L87" s="114" t="s">
        <v>38</v>
      </c>
      <c r="M87" s="114"/>
      <c r="N87" s="124">
        <v>12000000000000</v>
      </c>
      <c r="O87" s="114"/>
      <c r="P87" s="114"/>
      <c r="Q87" s="124"/>
      <c r="R87" s="114"/>
      <c r="S87" s="12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row>
    <row r="88" ht="14.25" spans="1:44">
      <c r="A88" s="114" t="s">
        <v>4095</v>
      </c>
      <c r="B88" s="114" t="s">
        <v>256</v>
      </c>
      <c r="C88" s="114"/>
      <c r="D88" s="114" t="s">
        <v>4096</v>
      </c>
      <c r="E88" s="114"/>
      <c r="F88" s="114" t="s">
        <v>4097</v>
      </c>
      <c r="G88" s="114">
        <v>2010</v>
      </c>
      <c r="H88" s="152">
        <f t="shared" si="1"/>
        <v>2010</v>
      </c>
      <c r="I88" s="114" t="s">
        <v>4098</v>
      </c>
      <c r="J88" s="123" t="s">
        <v>4099</v>
      </c>
      <c r="K88" s="33">
        <v>73</v>
      </c>
      <c r="L88" s="114" t="s">
        <v>4100</v>
      </c>
      <c r="M88" s="114"/>
      <c r="N88" s="124">
        <f>5+(1+6)*2+(60*3+20*2)*100</f>
        <v>22019</v>
      </c>
      <c r="O88" s="114"/>
      <c r="P88" s="114"/>
      <c r="Q88" s="124"/>
      <c r="R88" s="114"/>
      <c r="S88" s="173"/>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row>
    <row r="89" ht="14.25" spans="1:44">
      <c r="A89" s="155" t="s">
        <v>4101</v>
      </c>
      <c r="B89" s="114" t="s">
        <v>41</v>
      </c>
      <c r="C89" s="114" t="s">
        <v>1231</v>
      </c>
      <c r="D89" s="114" t="s">
        <v>4102</v>
      </c>
      <c r="E89" s="114"/>
      <c r="F89" s="114" t="s">
        <v>4103</v>
      </c>
      <c r="G89" s="114">
        <v>2011</v>
      </c>
      <c r="H89" s="152">
        <f t="shared" si="1"/>
        <v>2011</v>
      </c>
      <c r="I89" s="114" t="s">
        <v>4104</v>
      </c>
      <c r="J89" s="123" t="s">
        <v>4105</v>
      </c>
      <c r="K89" s="33">
        <v>60</v>
      </c>
      <c r="L89" s="114" t="s">
        <v>4106</v>
      </c>
      <c r="M89" s="114"/>
      <c r="N89" s="124">
        <v>9010</v>
      </c>
      <c r="O89" s="124">
        <v>1000000000000000</v>
      </c>
      <c r="P89" s="114"/>
      <c r="Q89" s="124"/>
      <c r="R89" s="114"/>
      <c r="S89" s="124"/>
      <c r="T89" s="114"/>
      <c r="U89" s="114"/>
      <c r="V89" s="114"/>
      <c r="W89" s="114"/>
      <c r="X89" s="114"/>
      <c r="Y89" s="114"/>
      <c r="Z89" s="166" t="s">
        <v>34</v>
      </c>
      <c r="AA89" s="114"/>
      <c r="AB89" s="114"/>
      <c r="AC89" s="114"/>
      <c r="AD89" s="114"/>
      <c r="AE89" s="114"/>
      <c r="AF89" s="114"/>
      <c r="AG89" s="114"/>
      <c r="AH89" s="114"/>
      <c r="AI89" s="114"/>
      <c r="AJ89" s="114"/>
      <c r="AK89" s="114"/>
      <c r="AL89" s="114"/>
      <c r="AM89" s="114"/>
      <c r="AN89" s="114"/>
      <c r="AO89" s="114"/>
      <c r="AP89" s="114"/>
      <c r="AQ89" s="114"/>
      <c r="AR89" s="114"/>
    </row>
  </sheetData>
  <conditionalFormatting sqref="K3">
    <cfRule type="cellIs" dxfId="2" priority="77" operator="greaterThanOrEqual">
      <formula>1000</formula>
    </cfRule>
    <cfRule type="cellIs" dxfId="1" priority="78" operator="between">
      <formula>100</formula>
      <formula>1000</formula>
    </cfRule>
    <cfRule type="cellIs" dxfId="0" priority="79" operator="lessThan">
      <formula>100</formula>
    </cfRule>
  </conditionalFormatting>
  <conditionalFormatting sqref="K4">
    <cfRule type="cellIs" dxfId="0" priority="1" operator="lessThan">
      <formula>100</formula>
    </cfRule>
    <cfRule type="cellIs" dxfId="1" priority="2" operator="between">
      <formula>100</formula>
      <formula>1000</formula>
    </cfRule>
    <cfRule type="cellIs" dxfId="2" priority="3" operator="between">
      <formula>1000</formula>
      <formula>10000</formula>
    </cfRule>
    <cfRule type="cellIs" dxfId="3" priority="4" operator="greaterThan">
      <formula>10000</formula>
    </cfRule>
  </conditionalFormatting>
  <conditionalFormatting sqref="K5">
    <cfRule type="cellIs" dxfId="2" priority="80" operator="greaterThanOrEqual">
      <formula>1000</formula>
    </cfRule>
    <cfRule type="cellIs" dxfId="1" priority="81" operator="between">
      <formula>100</formula>
      <formula>1000</formula>
    </cfRule>
    <cfRule type="cellIs" dxfId="0" priority="82" operator="lessThan">
      <formula>100</formula>
    </cfRule>
  </conditionalFormatting>
  <conditionalFormatting sqref="K6">
    <cfRule type="cellIs" dxfId="2" priority="83" operator="greaterThanOrEqual">
      <formula>1000</formula>
    </cfRule>
    <cfRule type="cellIs" dxfId="1" priority="84" operator="between">
      <formula>100</formula>
      <formula>1000</formula>
    </cfRule>
    <cfRule type="cellIs" dxfId="0" priority="85" operator="lessThan">
      <formula>100</formula>
    </cfRule>
  </conditionalFormatting>
  <conditionalFormatting sqref="K7">
    <cfRule type="cellIs" dxfId="0" priority="86" operator="lessThan">
      <formula>100</formula>
    </cfRule>
    <cfRule type="cellIs" dxfId="1" priority="87" operator="between">
      <formula>100</formula>
      <formula>1000</formula>
    </cfRule>
    <cfRule type="cellIs" dxfId="2" priority="88" operator="greaterThanOrEqual">
      <formula>1000</formula>
    </cfRule>
  </conditionalFormatting>
  <conditionalFormatting sqref="K12">
    <cfRule type="cellIs" dxfId="0" priority="68" operator="lessThan">
      <formula>100</formula>
    </cfRule>
    <cfRule type="cellIs" dxfId="1" priority="69" operator="between">
      <formula>100</formula>
      <formula>1000</formula>
    </cfRule>
    <cfRule type="cellIs" dxfId="2" priority="70" operator="greaterThanOrEqual">
      <formula>1000</formula>
    </cfRule>
  </conditionalFormatting>
  <conditionalFormatting sqref="K13">
    <cfRule type="cellIs" dxfId="2" priority="65" operator="greaterThanOrEqual">
      <formula>1000</formula>
    </cfRule>
    <cfRule type="cellIs" dxfId="1" priority="66" operator="between">
      <formula>100</formula>
      <formula>1000</formula>
    </cfRule>
    <cfRule type="cellIs" dxfId="0" priority="67" operator="lessThan">
      <formula>100</formula>
    </cfRule>
  </conditionalFormatting>
  <conditionalFormatting sqref="K14">
    <cfRule type="cellIs" dxfId="2" priority="62" operator="greaterThanOrEqual">
      <formula>1000</formula>
    </cfRule>
    <cfRule type="cellIs" dxfId="1" priority="63" operator="between">
      <formula>100</formula>
      <formula>1000</formula>
    </cfRule>
    <cfRule type="cellIs" dxfId="0" priority="64" operator="lessThan">
      <formula>100</formula>
    </cfRule>
  </conditionalFormatting>
  <conditionalFormatting sqref="K15">
    <cfRule type="cellIs" dxfId="2" priority="59" operator="greaterThanOrEqual">
      <formula>1000</formula>
    </cfRule>
    <cfRule type="cellIs" dxfId="1" priority="60" operator="between">
      <formula>100</formula>
      <formula>1000</formula>
    </cfRule>
    <cfRule type="cellIs" dxfId="0" priority="61" operator="lessThan">
      <formula>100</formula>
    </cfRule>
  </conditionalFormatting>
  <conditionalFormatting sqref="K16">
    <cfRule type="cellIs" dxfId="2" priority="56" operator="greaterThanOrEqual">
      <formula>1000</formula>
    </cfRule>
    <cfRule type="cellIs" dxfId="1" priority="57" operator="between">
      <formula>100</formula>
      <formula>1000</formula>
    </cfRule>
    <cfRule type="cellIs" dxfId="0" priority="58" operator="lessThan">
      <formula>100</formula>
    </cfRule>
  </conditionalFormatting>
  <conditionalFormatting sqref="K17">
    <cfRule type="cellIs" dxfId="2" priority="53" operator="greaterThanOrEqual">
      <formula>1000</formula>
    </cfRule>
    <cfRule type="cellIs" dxfId="1" priority="54" operator="between">
      <formula>100</formula>
      <formula>1000</formula>
    </cfRule>
    <cfRule type="cellIs" dxfId="0" priority="55" operator="lessThan">
      <formula>100</formula>
    </cfRule>
  </conditionalFormatting>
  <conditionalFormatting sqref="K18">
    <cfRule type="cellIs" dxfId="0" priority="50" operator="lessThan">
      <formula>100</formula>
    </cfRule>
    <cfRule type="cellIs" dxfId="1" priority="51" operator="between">
      <formula>100</formula>
      <formula>1000</formula>
    </cfRule>
    <cfRule type="cellIs" dxfId="2" priority="52" operator="greaterThanOrEqual">
      <formula>1000</formula>
    </cfRule>
  </conditionalFormatting>
  <conditionalFormatting sqref="K19">
    <cfRule type="cellIs" dxfId="0" priority="44" operator="lessThan">
      <formula>100</formula>
    </cfRule>
    <cfRule type="cellIs" dxfId="1" priority="45" operator="between">
      <formula>100</formula>
      <formula>1000</formula>
    </cfRule>
    <cfRule type="cellIs" dxfId="2" priority="46" operator="greaterThanOrEqual">
      <formula>1000</formula>
    </cfRule>
  </conditionalFormatting>
  <conditionalFormatting sqref="K22">
    <cfRule type="cellIs" dxfId="2" priority="41" operator="greaterThanOrEqual">
      <formula>1000</formula>
    </cfRule>
    <cfRule type="cellIs" dxfId="1" priority="42" operator="between">
      <formula>100</formula>
      <formula>1000</formula>
    </cfRule>
    <cfRule type="cellIs" dxfId="0" priority="43" operator="lessThan">
      <formula>100</formula>
    </cfRule>
  </conditionalFormatting>
  <conditionalFormatting sqref="K23">
    <cfRule type="cellIs" dxfId="0" priority="37" operator="lessThan">
      <formula>100</formula>
    </cfRule>
    <cfRule type="cellIs" dxfId="1" priority="38" operator="between">
      <formula>100</formula>
      <formula>1000</formula>
    </cfRule>
    <cfRule type="cellIs" dxfId="2" priority="39" operator="between">
      <formula>1000</formula>
      <formula>10000</formula>
    </cfRule>
    <cfRule type="cellIs" dxfId="3" priority="40" operator="greaterThan">
      <formula>10000</formula>
    </cfRule>
  </conditionalFormatting>
  <conditionalFormatting sqref="K24">
    <cfRule type="cellIs" dxfId="3" priority="33" operator="greaterThan">
      <formula>10000</formula>
    </cfRule>
    <cfRule type="cellIs" dxfId="2" priority="34" operator="between">
      <formula>1000</formula>
      <formula>10000</formula>
    </cfRule>
    <cfRule type="cellIs" dxfId="1" priority="35" operator="between">
      <formula>100</formula>
      <formula>1000</formula>
    </cfRule>
    <cfRule type="cellIs" dxfId="0" priority="36" operator="lessThan">
      <formula>100</formula>
    </cfRule>
  </conditionalFormatting>
  <conditionalFormatting sqref="K25">
    <cfRule type="cellIs" dxfId="3" priority="9" operator="greaterThan">
      <formula>10000</formula>
    </cfRule>
    <cfRule type="cellIs" dxfId="2" priority="10" operator="between">
      <formula>1000</formula>
      <formula>10000</formula>
    </cfRule>
    <cfRule type="cellIs" dxfId="1" priority="11" operator="between">
      <formula>100</formula>
      <formula>1000</formula>
    </cfRule>
    <cfRule type="cellIs" dxfId="0" priority="12" operator="lessThan">
      <formula>100</formula>
    </cfRule>
  </conditionalFormatting>
  <conditionalFormatting sqref="K85">
    <cfRule type="cellIs" dxfId="0" priority="25" operator="lessThan">
      <formula>100</formula>
    </cfRule>
    <cfRule type="cellIs" dxfId="1" priority="26" operator="between">
      <formula>100</formula>
      <formula>1000</formula>
    </cfRule>
    <cfRule type="cellIs" dxfId="2" priority="27" operator="between">
      <formula>1000</formula>
      <formula>10000</formula>
    </cfRule>
    <cfRule type="cellIs" dxfId="3" priority="28" operator="greaterThan">
      <formula>10000</formula>
    </cfRule>
  </conditionalFormatting>
  <conditionalFormatting sqref="K86">
    <cfRule type="cellIs" dxfId="0" priority="21" operator="lessThan">
      <formula>100</formula>
    </cfRule>
    <cfRule type="cellIs" dxfId="1" priority="22" operator="between">
      <formula>100</formula>
      <formula>1000</formula>
    </cfRule>
    <cfRule type="cellIs" dxfId="2" priority="23" operator="between">
      <formula>1000</formula>
      <formula>10000</formula>
    </cfRule>
    <cfRule type="cellIs" dxfId="3" priority="24" operator="greaterThan">
      <formula>10000</formula>
    </cfRule>
  </conditionalFormatting>
  <conditionalFormatting sqref="K87">
    <cfRule type="cellIs" dxfId="3" priority="17" operator="greaterThan">
      <formula>10000</formula>
    </cfRule>
    <cfRule type="cellIs" dxfId="2" priority="18" operator="between">
      <formula>1000</formula>
      <formula>10000</formula>
    </cfRule>
    <cfRule type="cellIs" dxfId="1" priority="19" operator="between">
      <formula>100</formula>
      <formula>1000</formula>
    </cfRule>
    <cfRule type="cellIs" dxfId="0" priority="20" operator="lessThan">
      <formula>100</formula>
    </cfRule>
  </conditionalFormatting>
  <conditionalFormatting sqref="K88">
    <cfRule type="cellIs" dxfId="2" priority="13" operator="between">
      <formula>1000</formula>
      <formula>10000</formula>
    </cfRule>
    <cfRule type="cellIs" dxfId="1" priority="14" operator="between">
      <formula>100</formula>
      <formula>1000</formula>
    </cfRule>
    <cfRule type="cellIs" dxfId="0" priority="15" operator="lessThan">
      <formula>100</formula>
    </cfRule>
    <cfRule type="cellIs" dxfId="3" priority="16" operator="greaterThan">
      <formula>10000</formula>
    </cfRule>
  </conditionalFormatting>
  <conditionalFormatting sqref="K89">
    <cfRule type="cellIs" dxfId="0" priority="5" operator="lessThan">
      <formula>100</formula>
    </cfRule>
    <cfRule type="cellIs" dxfId="1" priority="6" operator="between">
      <formula>100</formula>
      <formula>1000</formula>
    </cfRule>
    <cfRule type="cellIs" dxfId="2" priority="7" operator="between">
      <formula>1000</formula>
      <formula>10000</formula>
    </cfRule>
    <cfRule type="cellIs" dxfId="3" priority="8" operator="greaterThan">
      <formula>10000</formula>
    </cfRule>
  </conditionalFormatting>
  <conditionalFormatting sqref="K1:K2">
    <cfRule type="cellIs" dxfId="2" priority="74" operator="greaterThanOrEqual">
      <formula>1000</formula>
    </cfRule>
    <cfRule type="cellIs" dxfId="1" priority="75" operator="between">
      <formula>100</formula>
      <formula>1000</formula>
    </cfRule>
    <cfRule type="cellIs" dxfId="0" priority="76" operator="lessThan">
      <formula>100</formula>
    </cfRule>
  </conditionalFormatting>
  <conditionalFormatting sqref="K8:K11">
    <cfRule type="cellIs" dxfId="2" priority="71" operator="greaterThanOrEqual">
      <formula>1000</formula>
    </cfRule>
    <cfRule type="cellIs" dxfId="1" priority="72" operator="between">
      <formula>100</formula>
      <formula>1000</formula>
    </cfRule>
    <cfRule type="cellIs" dxfId="0" priority="73" operator="lessThan">
      <formula>100</formula>
    </cfRule>
  </conditionalFormatting>
  <conditionalFormatting sqref="K20:K21">
    <cfRule type="cellIs" dxfId="2" priority="47" operator="greaterThanOrEqual">
      <formula>1000</formula>
    </cfRule>
    <cfRule type="cellIs" dxfId="1" priority="48" operator="between">
      <formula>100</formula>
      <formula>1000</formula>
    </cfRule>
    <cfRule type="cellIs" dxfId="0" priority="49" operator="lessThan">
      <formula>100</formula>
    </cfRule>
  </conditionalFormatting>
  <conditionalFormatting sqref="K81:K84">
    <cfRule type="cellIs" dxfId="3" priority="29" operator="greaterThan">
      <formula>10000</formula>
    </cfRule>
    <cfRule type="cellIs" dxfId="2" priority="30" operator="between">
      <formula>1000</formula>
      <formula>10000</formula>
    </cfRule>
    <cfRule type="cellIs" dxfId="1" priority="31" operator="between">
      <formula>100</formula>
      <formula>1000</formula>
    </cfRule>
    <cfRule type="cellIs" dxfId="0" priority="32" operator="lessThan">
      <formula>100</formula>
    </cfRule>
  </conditionalFormatting>
  <hyperlinks>
    <hyperlink ref="J2" r:id="rId3" display="https://www.semanticscholar.org/paper/Applying-the-Multiple-Cause-Mixture-Model-to-Text-Sahami-Hearst/b6b3c6425e42bb657785d6515f3975e0c5b6d86f"/>
    <hyperlink ref="J3" r:id="rId4" display="https://people.idsia.ch//~juergen/firstdeeplearner.html"/>
    <hyperlink ref="J4" r:id="rId5" display="https://www.jmlr.org/papers/volume11/erhan10a/erhan10a.pdf"/>
    <hyperlink ref="J5" r:id="rId6" display="https://citeseerx.ist.psu.edu/viewdoc/download?doi=10.1.1.144.2646&amp;rep=rep1&amp;type=pdf"/>
    <hyperlink ref="J6" r:id="rId7" display="https://dl.acm.org/doi/pdf/10.3115/1220575.1220673"/>
    <hyperlink ref="J7" r:id="rId8" display="https://agupubs.onlinelibrary.wiley.com/doi/full/10.1002/2017EA000326"/>
    <hyperlink ref="J8" r:id="rId9" display="https://link.springer.com/article/10.1007/BF02478259"/>
    <hyperlink ref="J9" r:id="rId10" display="https://link.springer.com/article/10.1007/BF02478291"/>
    <hyperlink ref="J10" r:id="rId11" display="https://api.semanticscholar.org/CorpusID:144400005"/>
    <hyperlink ref="J11" r:id="rId12" display="http://rossashby.info/Ashby%20-%20Design%20for%20a%20Brain%20-%20The%20Origin%20of%20Adaptive%20Behavior.pdf"/>
    <hyperlink ref="J12" r:id="rId13" display="https://www.worldcat.org/title/two-theorems-of-statistical-separability-in-the-perceptron-project-para/oclc/13465171"/>
    <hyperlink ref="J13" r:id="rId14" display="https://www.aclweb.org/anthology/P12-1046/"/>
    <hyperlink ref="J14" r:id="rId15" display="https://www.aclweb.org/anthology/J10-4006/"/>
    <hyperlink ref="J15" r:id="rId16" display="https://arxiv.org/abs/1711.04325"/>
    <hyperlink ref="J16" r:id="rId17" display="https://web.cs.wpi.edu/~claypool/papers/content-collab/content-collab.pdf"/>
    <hyperlink ref="J17" r:id="rId18" display="https://vbn.aau.dk/en/publications/munin-an-expert-emg-assistant-2"/>
    <hyperlink ref="J18" r:id="rId19" display="https://mitpress.mit.edu/books/perceptrons"/>
    <hyperlink ref="J20" r:id="rId20" display="https://ebooks.ub.rug.nl/337/"/>
    <hyperlink ref="J21" r:id="rId21" display="https://ai.googleblog.com/2018/11/improved-grading-of-prostate-cancer.html"/>
    <hyperlink ref="J22" r:id="rId22" display="https://arxiv.org/abs/1302.3587"/>
    <hyperlink ref="J23" r:id="rId23" display="https://link.springer.com/chapter/10.1007/978-3-642-04277-5_76"/>
    <hyperlink ref="J24" r:id="rId24" display="https://arxiv.org/abs/1908.04577"/>
    <hyperlink ref="J25" r:id="rId25" display="https://ieeexplore.ieee.org/document/7780965"/>
    <hyperlink ref="J26" r:id="rId26" display="https://arxiv.org/pdf/1603.05691.pdf"/>
    <hyperlink ref="J27" r:id="rId27" display="https://arxiv.org/pdf/1712.00409"/>
    <hyperlink ref="J28" r:id="rId28" display="https://arxiv.org/pdf/1705.05640.pdf"/>
    <hyperlink ref="J29" r:id="rId29" display="https://arxiv.org/pdf/1708.02862.pdf"/>
    <hyperlink ref="J30" r:id="rId30" display="https://arxiv.org/pdf/1808.01097.pdf"/>
    <hyperlink ref="J31" r:id="rId31" display="https://arxiv.org/pdf/1811.03600.pdf"/>
    <hyperlink ref="J32" r:id="rId32" display="https://arxiv.org/pdf/1812.06162.pdf"/>
    <hyperlink ref="J33" r:id="rId33" display="https://arxiv.org/pdf/1909.12673.pdf"/>
    <hyperlink ref="J34" r:id="rId34" display="https://arxiv.org/pdf/1906.06669.pdf"/>
    <hyperlink ref="J35" r:id="rId35" display="https://arxiv.org/pdf/2002.11794.pdf"/>
    <hyperlink ref="J36" r:id="rId36" display="https://arxiv.org/pdf/2009.12583.pdf"/>
    <hyperlink ref="J37" r:id="rId37" display="https://arxiv.org/pdf/2004.10802.pdf"/>
    <hyperlink ref="J38" r:id="rId38" display="https://arxiv.org/pdf/2009.03300.pdf"/>
    <hyperlink ref="J39" r:id="rId39" display="https://arxiv.org/pdf/2103.03874.pdf"/>
    <hyperlink ref="J40" r:id="rId40" display="https://arxiv.org/pdf/2102.00529.pdf"/>
    <hyperlink ref="J41" r:id="rId41" display="https://arxiv.org/pdf/2102.01293.pdf"/>
    <hyperlink ref="J42" r:id="rId42" display="https://arxiv.org/pdf/2109.07740.pdf"/>
    <hyperlink ref="J43" r:id="rId43" display="https://openreview.net/pdf?id=IKA7MLxsLSu"/>
    <hyperlink ref="J44" r:id="rId44" display="https://arxiv.org/pdf/2110.05448.pdf"/>
    <hyperlink ref="J45" r:id="rId45" display="https://arxiv.org/pdf/2103.08493.pdf"/>
    <hyperlink ref="J46" r:id="rId46" display="https://arxiv.org/pdf/2108.07732.pdf"/>
    <hyperlink ref="J47" r:id="rId47" display="https://arxiv.org/pdf/2107.01294.pdf"/>
    <hyperlink ref="J48" r:id="rId48" display="https://arxiv.org/pdf/2109.03910.pdf"/>
    <hyperlink ref="J49" r:id="rId49" display="https://arxiv.org/pdf/2110.14168.pdf"/>
    <hyperlink ref="J50" r:id="rId50" display="https://arxiv.org/pdf/2110.07178.pdf"/>
    <hyperlink ref="J51" r:id="rId51" display="https://arxiv.org/pdf/2006.10621.pdf"/>
    <hyperlink ref="J52" r:id="rId52" display="https://arxiv.org/pdf/2010.05358.pdf"/>
    <hyperlink ref="J53" r:id="rId53" display="https://arxiv.org/pdf/2104.07885.pdf"/>
    <hyperlink ref="J54" r:id="rId54" display="https://arxiv.org/pdf/2102.08981.pdf"/>
    <hyperlink ref="J55" r:id="rId55" location="facebook" display="https://www.gwern.net/docs/ai/2020-bell.pdf#facebook"/>
    <hyperlink ref="J56" r:id="rId56" display="https://arxiv.org/pdf/2106.13884.pdf"/>
    <hyperlink ref="J57" r:id="rId57" display="https://arxiv.org/pdf/2108.05887.pdf"/>
    <hyperlink ref="J58" r:id="rId58" display="https://arxiv.org/pdf/2106.03004.pdf"/>
    <hyperlink ref="J59" r:id="rId59" display="https://arxiv.org/pdf/2106.07411.pdf"/>
    <hyperlink ref="J60" r:id="rId60" display="https://openreview.net/pdf?id=GhVS8_yPeEa"/>
    <hyperlink ref="J61" r:id="rId61" display="https://arxiv.org/pdf/2110.02095.pdf"/>
    <hyperlink ref="J62" r:id="rId62" display="https://arxiv.org/pdf/2108.07258.pdf"/>
    <hyperlink ref="J63" r:id="rId63" display="https://arxiv.org/pdf/2105.12806.pdf"/>
    <hyperlink ref="J64" r:id="rId64" display="https://arxiv.org/pdf/2101.10803.pdf"/>
    <hyperlink ref="J65" r:id="rId65" display="https://arxiv.org/pdf/2106.09488.pdf"/>
    <hyperlink ref="J66" r:id="rId66" display="https://arxiv.org/pdf/2104.03113.pdf"/>
    <hyperlink ref="J67" r:id="rId67" location="deepmind" display="https://www.gwern.net/docs/reinforcement-learning/alphago/2018-silver.pdf#deepmind"/>
    <hyperlink ref="J68" r:id="rId68" display="https://arxiv.org/pdf/2104.06294.pdf"/>
    <hyperlink ref="J69" r:id="rId69" display="https://arxiv.org/pdf/1909.08593.pdf"/>
    <hyperlink ref="J70" r:id="rId70" display="https://arxiv.org/pdf/1911.02116.pdf"/>
    <hyperlink ref="J71" r:id="rId71" display="https://arxiv.org/pdf/2103.06877.pdf"/>
    <hyperlink ref="J72" r:id="rId72" display="https://arxiv.org/pdf/2105.01601.pdf"/>
    <hyperlink ref="J73" r:id="rId73" display="https://arxiv.org/pdf/2105.08050.pdf"/>
    <hyperlink ref="J74" r:id="rId74" display="https://arxiv.org/pdf/2105.12196.pdf"/>
    <hyperlink ref="J75" r:id="rId75" display="https://arxiv.org/pdf/2009.01325.pdf"/>
    <hyperlink ref="J76" r:id="rId76" display="https://arxiv.org/pdf/2103.06561.pdf"/>
    <hyperlink ref="J77" r:id="rId77" display="https://arxiv.org/pdf/2101.00390.pdf"/>
    <hyperlink ref="J78" r:id="rId78" display="https://arxiv.org/pdf/2006.13979.pdf"/>
    <hyperlink ref="J79" r:id="rId79" display="https://arxiv.org/pdf/2104.14830.pdf"/>
    <hyperlink ref="J80" r:id="rId80" display="https://arxiv.org/pdf/2102.09672.pdf"/>
    <hyperlink ref="J81" r:id="rId81" display="https://arxiv.org/abs/1512.03385"/>
    <hyperlink ref="J82" r:id="rId81" display="https://arxiv.org/abs/1512.03385"/>
    <hyperlink ref="J83" r:id="rId81" display="https://arxiv.org/abs/1512.03385"/>
    <hyperlink ref="J84" r:id="rId81" display="https://arxiv.org/abs/1512.03385"/>
    <hyperlink ref="J85" r:id="rId82" display="https://ieeexplore.ieee.org/abstract/document/1672195/"/>
    <hyperlink ref="J86" r:id="rId83" display="https://dspace.mit.edu/bitstream/handle/1721.1/11589/33959125-MIT.pdf"/>
    <hyperlink ref="J87" r:id="rId84" display="https://arxiv.org/pdf/2104.05158.pdf"/>
    <hyperlink ref="J88" r:id="rId85" display="https://www.aaai.org/ocs/index.php/WS/AAAIW10/paper/view/2024/2444"/>
    <hyperlink ref="J89" r:id="rId86" display="https://people.idsia.ch//~ciresan/data/NNtricks.pdf"/>
    <hyperlink ref="Z89" r:id="rId87" display="OpenAI"/>
  </hyperlink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17"/>
  <sheetViews>
    <sheetView workbookViewId="0">
      <selection activeCell="A1" sqref="A1:B1"/>
    </sheetView>
  </sheetViews>
  <sheetFormatPr defaultColWidth="12.6285714285714" defaultRowHeight="15.75" customHeight="1"/>
  <cols>
    <col min="2" max="2" width="42.8761904761905" customWidth="1"/>
    <col min="5" max="5" width="26" customWidth="1"/>
    <col min="6" max="6" width="11.752380952381" customWidth="1"/>
  </cols>
  <sheetData>
    <row r="1" customHeight="1" spans="1:26">
      <c r="A1" s="267" t="s">
        <v>4107</v>
      </c>
      <c r="C1" s="267" t="s">
        <v>4108</v>
      </c>
      <c r="D1" s="268"/>
      <c r="E1" s="267" t="s">
        <v>4109</v>
      </c>
      <c r="F1" s="1" t="s">
        <v>4110</v>
      </c>
      <c r="G1" s="1" t="s">
        <v>4108</v>
      </c>
      <c r="H1" s="268"/>
      <c r="I1" s="268"/>
      <c r="J1" s="268"/>
      <c r="K1" s="268"/>
      <c r="L1" s="268"/>
      <c r="M1" s="268"/>
      <c r="N1" s="268"/>
      <c r="O1" s="268"/>
      <c r="P1" s="268"/>
      <c r="Q1" s="268"/>
      <c r="R1" s="268"/>
      <c r="S1" s="268"/>
      <c r="T1" s="268"/>
      <c r="U1" s="268"/>
      <c r="V1" s="268"/>
      <c r="W1" s="268"/>
      <c r="X1" s="268"/>
      <c r="Y1" s="268"/>
      <c r="Z1" s="268"/>
    </row>
    <row r="2" customHeight="1" spans="1:26">
      <c r="A2" s="269" t="s">
        <v>4111</v>
      </c>
      <c r="B2" s="269" t="s">
        <v>4112</v>
      </c>
      <c r="C2" s="268"/>
      <c r="D2" s="268"/>
      <c r="E2" s="270" t="s">
        <v>4113</v>
      </c>
      <c r="F2" s="271" t="s">
        <v>4114</v>
      </c>
      <c r="G2" s="270"/>
      <c r="H2" s="268"/>
      <c r="I2" s="268"/>
      <c r="J2" s="268"/>
      <c r="K2" s="268"/>
      <c r="L2" s="268"/>
      <c r="M2" s="268"/>
      <c r="N2" s="268"/>
      <c r="O2" s="268"/>
      <c r="P2" s="268"/>
      <c r="Q2" s="268"/>
      <c r="R2" s="268"/>
      <c r="S2" s="268"/>
      <c r="T2" s="268"/>
      <c r="U2" s="268"/>
      <c r="V2" s="268"/>
      <c r="W2" s="268"/>
      <c r="X2" s="268"/>
      <c r="Y2" s="268"/>
      <c r="Z2" s="268"/>
    </row>
    <row r="3" customHeight="1" spans="1:26">
      <c r="A3" s="269" t="s">
        <v>4115</v>
      </c>
      <c r="B3" s="269" t="s">
        <v>4116</v>
      </c>
      <c r="C3" s="268" t="s">
        <v>4117</v>
      </c>
      <c r="D3" s="268"/>
      <c r="E3" s="270" t="s">
        <v>4118</v>
      </c>
      <c r="F3" s="271" t="s">
        <v>4119</v>
      </c>
      <c r="G3" s="270"/>
      <c r="H3" s="268"/>
      <c r="I3" s="268"/>
      <c r="J3" s="268"/>
      <c r="K3" s="268"/>
      <c r="L3" s="268"/>
      <c r="M3" s="268"/>
      <c r="N3" s="268"/>
      <c r="O3" s="268"/>
      <c r="P3" s="268"/>
      <c r="Q3" s="268"/>
      <c r="R3" s="268"/>
      <c r="S3" s="268"/>
      <c r="T3" s="268"/>
      <c r="U3" s="268"/>
      <c r="V3" s="268"/>
      <c r="W3" s="268"/>
      <c r="X3" s="268"/>
      <c r="Y3" s="268"/>
      <c r="Z3" s="268"/>
    </row>
    <row r="4" customHeight="1" spans="1:26">
      <c r="A4" s="272" t="s">
        <v>4120</v>
      </c>
      <c r="B4" s="272" t="s">
        <v>4121</v>
      </c>
      <c r="C4" s="268" t="s">
        <v>4122</v>
      </c>
      <c r="D4" s="268"/>
      <c r="E4" s="268" t="s">
        <v>4123</v>
      </c>
      <c r="G4" s="268"/>
      <c r="H4" s="268"/>
      <c r="I4" s="268"/>
      <c r="J4" s="268"/>
      <c r="K4" s="268"/>
      <c r="L4" s="268"/>
      <c r="M4" s="268"/>
      <c r="N4" s="268"/>
      <c r="O4" s="268"/>
      <c r="P4" s="268"/>
      <c r="Q4" s="268"/>
      <c r="R4" s="268"/>
      <c r="S4" s="268"/>
      <c r="T4" s="268"/>
      <c r="U4" s="268"/>
      <c r="V4" s="268"/>
      <c r="W4" s="268"/>
      <c r="X4" s="268"/>
      <c r="Y4" s="268"/>
      <c r="Z4" s="268"/>
    </row>
    <row r="5" customHeight="1" spans="1:26">
      <c r="A5" s="269" t="s">
        <v>4124</v>
      </c>
      <c r="B5" s="269" t="s">
        <v>13</v>
      </c>
      <c r="C5" s="268" t="s">
        <v>4117</v>
      </c>
      <c r="D5" s="268"/>
      <c r="H5" s="268"/>
      <c r="I5" s="268"/>
      <c r="J5" s="268"/>
      <c r="K5" s="268"/>
      <c r="L5" s="268"/>
      <c r="M5" s="268"/>
      <c r="N5" s="268"/>
      <c r="O5" s="268"/>
      <c r="P5" s="268"/>
      <c r="Q5" s="268"/>
      <c r="R5" s="268"/>
      <c r="S5" s="268"/>
      <c r="T5" s="268"/>
      <c r="U5" s="268"/>
      <c r="V5" s="268"/>
      <c r="W5" s="268"/>
      <c r="X5" s="268"/>
      <c r="Y5" s="268"/>
      <c r="Z5" s="268"/>
    </row>
    <row r="6" customHeight="1" spans="1:26">
      <c r="A6" s="273" t="s">
        <v>4125</v>
      </c>
      <c r="B6" s="273" t="s">
        <v>4126</v>
      </c>
      <c r="C6" s="268" t="s">
        <v>4127</v>
      </c>
      <c r="D6" s="268"/>
      <c r="E6" s="270" t="s">
        <v>4128</v>
      </c>
      <c r="F6" s="271" t="s">
        <v>4129</v>
      </c>
      <c r="G6" s="270" t="s">
        <v>4130</v>
      </c>
      <c r="H6" s="268"/>
      <c r="I6" s="268"/>
      <c r="J6" s="268"/>
      <c r="K6" s="268"/>
      <c r="L6" s="268"/>
      <c r="M6" s="268"/>
      <c r="N6" s="268"/>
      <c r="O6" s="268"/>
      <c r="P6" s="268"/>
      <c r="Q6" s="268"/>
      <c r="R6" s="268"/>
      <c r="S6" s="268"/>
      <c r="T6" s="268"/>
      <c r="U6" s="268"/>
      <c r="V6" s="268"/>
      <c r="W6" s="268"/>
      <c r="X6" s="268"/>
      <c r="Y6" s="268"/>
      <c r="Z6" s="268"/>
    </row>
    <row r="7" customHeight="1" spans="1:26">
      <c r="A7" s="269" t="s">
        <v>4131</v>
      </c>
      <c r="B7" s="269" t="s">
        <v>4132</v>
      </c>
      <c r="C7" s="268" t="s">
        <v>4117</v>
      </c>
      <c r="D7" s="268"/>
      <c r="E7" s="268"/>
      <c r="G7" s="268"/>
      <c r="H7" s="268"/>
      <c r="I7" s="268"/>
      <c r="J7" s="268"/>
      <c r="K7" s="268"/>
      <c r="L7" s="268"/>
      <c r="M7" s="268"/>
      <c r="N7" s="268"/>
      <c r="O7" s="268"/>
      <c r="P7" s="268"/>
      <c r="Q7" s="268"/>
      <c r="R7" s="268"/>
      <c r="S7" s="268"/>
      <c r="T7" s="268"/>
      <c r="U7" s="268"/>
      <c r="V7" s="268"/>
      <c r="W7" s="268"/>
      <c r="X7" s="268"/>
      <c r="Y7" s="268"/>
      <c r="Z7" s="268"/>
    </row>
    <row r="8" customHeight="1" spans="1:26">
      <c r="A8" s="269" t="s">
        <v>4133</v>
      </c>
      <c r="B8" s="269" t="s">
        <v>4134</v>
      </c>
      <c r="C8" s="268" t="s">
        <v>4117</v>
      </c>
      <c r="D8" s="268"/>
      <c r="E8" s="268"/>
      <c r="G8" s="268"/>
      <c r="H8" s="268"/>
      <c r="I8" s="268"/>
      <c r="J8" s="268"/>
      <c r="K8" s="268"/>
      <c r="L8" s="268"/>
      <c r="M8" s="268"/>
      <c r="N8" s="268"/>
      <c r="O8" s="268"/>
      <c r="P8" s="268"/>
      <c r="Q8" s="268"/>
      <c r="R8" s="268"/>
      <c r="S8" s="268"/>
      <c r="T8" s="268"/>
      <c r="U8" s="268"/>
      <c r="V8" s="268"/>
      <c r="W8" s="268"/>
      <c r="X8" s="268"/>
      <c r="Y8" s="268"/>
      <c r="Z8" s="268"/>
    </row>
    <row r="9" customHeight="1" spans="1:26">
      <c r="A9" s="269" t="s">
        <v>4135</v>
      </c>
      <c r="B9" s="269" t="s">
        <v>4136</v>
      </c>
      <c r="C9" s="268" t="s">
        <v>4117</v>
      </c>
      <c r="D9" s="268"/>
      <c r="E9" s="268"/>
      <c r="G9" s="268"/>
      <c r="H9" s="268"/>
      <c r="I9" s="268"/>
      <c r="J9" s="268"/>
      <c r="K9" s="268"/>
      <c r="L9" s="268"/>
      <c r="M9" s="268"/>
      <c r="N9" s="268"/>
      <c r="O9" s="268"/>
      <c r="P9" s="268"/>
      <c r="Q9" s="268"/>
      <c r="R9" s="268"/>
      <c r="S9" s="268"/>
      <c r="T9" s="268"/>
      <c r="U9" s="268"/>
      <c r="V9" s="268"/>
      <c r="W9" s="268"/>
      <c r="X9" s="268"/>
      <c r="Y9" s="268"/>
      <c r="Z9" s="268"/>
    </row>
    <row r="10" customHeight="1" spans="1:26">
      <c r="A10" s="273" t="s">
        <v>4137</v>
      </c>
      <c r="B10" s="273" t="s">
        <v>4138</v>
      </c>
      <c r="C10" s="268"/>
      <c r="D10" s="268"/>
      <c r="E10" s="268"/>
      <c r="G10" s="268"/>
      <c r="H10" s="268"/>
      <c r="I10" s="268"/>
      <c r="J10" s="268"/>
      <c r="K10" s="268"/>
      <c r="L10" s="268"/>
      <c r="M10" s="268"/>
      <c r="N10" s="268"/>
      <c r="O10" s="268"/>
      <c r="P10" s="268"/>
      <c r="Q10" s="268"/>
      <c r="R10" s="268"/>
      <c r="S10" s="268"/>
      <c r="T10" s="268"/>
      <c r="U10" s="268"/>
      <c r="V10" s="268"/>
      <c r="W10" s="268"/>
      <c r="X10" s="268"/>
      <c r="Y10" s="268"/>
      <c r="Z10" s="268"/>
    </row>
    <row r="11" customHeight="1" spans="1:26">
      <c r="A11" s="273" t="s">
        <v>4139</v>
      </c>
      <c r="B11" s="273" t="s">
        <v>4140</v>
      </c>
      <c r="C11" s="268" t="s">
        <v>4141</v>
      </c>
      <c r="D11" s="268"/>
      <c r="E11" s="268"/>
      <c r="G11" s="268"/>
      <c r="H11" s="268"/>
      <c r="I11" s="268"/>
      <c r="J11" s="268"/>
      <c r="K11" s="268"/>
      <c r="L11" s="268"/>
      <c r="M11" s="268"/>
      <c r="N11" s="268"/>
      <c r="O11" s="268"/>
      <c r="P11" s="268"/>
      <c r="Q11" s="268"/>
      <c r="R11" s="268"/>
      <c r="S11" s="268"/>
      <c r="T11" s="268"/>
      <c r="U11" s="268"/>
      <c r="V11" s="268"/>
      <c r="W11" s="268"/>
      <c r="X11" s="268"/>
      <c r="Y11" s="268"/>
      <c r="Z11" s="268"/>
    </row>
    <row r="12" customHeight="1" spans="1:26">
      <c r="A12" s="269" t="s">
        <v>4142</v>
      </c>
      <c r="B12" s="269" t="s">
        <v>4143</v>
      </c>
      <c r="C12" s="268" t="s">
        <v>4117</v>
      </c>
      <c r="D12" s="268"/>
      <c r="E12" s="268"/>
      <c r="F12" s="268"/>
      <c r="G12" s="268"/>
      <c r="H12" s="268"/>
      <c r="I12" s="268"/>
      <c r="J12" s="268"/>
      <c r="K12" s="268"/>
      <c r="L12" s="268"/>
      <c r="M12" s="268"/>
      <c r="N12" s="268"/>
      <c r="O12" s="268"/>
      <c r="P12" s="268"/>
      <c r="Q12" s="268"/>
      <c r="R12" s="268"/>
      <c r="S12" s="268"/>
      <c r="T12" s="268"/>
      <c r="U12" s="268"/>
      <c r="V12" s="268"/>
      <c r="W12" s="268"/>
      <c r="X12" s="268"/>
      <c r="Y12" s="268"/>
      <c r="Z12" s="268"/>
    </row>
    <row r="13" customHeight="1" spans="1:26">
      <c r="A13" s="269" t="s">
        <v>4144</v>
      </c>
      <c r="B13" s="269" t="s">
        <v>4134</v>
      </c>
      <c r="C13" s="268" t="s">
        <v>4117</v>
      </c>
      <c r="D13" s="268"/>
      <c r="E13" s="268"/>
      <c r="F13" s="268"/>
      <c r="G13" s="268"/>
      <c r="H13" s="268"/>
      <c r="I13" s="268"/>
      <c r="J13" s="268"/>
      <c r="K13" s="268"/>
      <c r="L13" s="268"/>
      <c r="M13" s="268"/>
      <c r="N13" s="268"/>
      <c r="O13" s="268"/>
      <c r="P13" s="268"/>
      <c r="Q13" s="268"/>
      <c r="R13" s="268"/>
      <c r="S13" s="268"/>
      <c r="T13" s="268"/>
      <c r="U13" s="268"/>
      <c r="V13" s="268"/>
      <c r="W13" s="268"/>
      <c r="X13" s="268"/>
      <c r="Y13" s="268"/>
      <c r="Z13" s="268"/>
    </row>
    <row r="14" customHeight="1" spans="1:26">
      <c r="A14" s="273" t="s">
        <v>4145</v>
      </c>
      <c r="B14" s="273" t="s">
        <v>4146</v>
      </c>
      <c r="C14" s="268" t="s">
        <v>4141</v>
      </c>
      <c r="D14" s="268"/>
      <c r="E14" s="268"/>
      <c r="F14" s="268"/>
      <c r="G14" s="268"/>
      <c r="H14" s="268"/>
      <c r="I14" s="268"/>
      <c r="J14" s="268"/>
      <c r="K14" s="268"/>
      <c r="L14" s="268"/>
      <c r="M14" s="268"/>
      <c r="N14" s="268"/>
      <c r="O14" s="268"/>
      <c r="P14" s="268"/>
      <c r="Q14" s="268"/>
      <c r="R14" s="268"/>
      <c r="S14" s="268"/>
      <c r="T14" s="268"/>
      <c r="U14" s="268"/>
      <c r="V14" s="268"/>
      <c r="W14" s="268"/>
      <c r="X14" s="268"/>
      <c r="Y14" s="268"/>
      <c r="Z14" s="268"/>
    </row>
    <row r="15" customHeight="1" spans="1:26">
      <c r="A15" s="268" t="s">
        <v>4147</v>
      </c>
      <c r="B15" s="268" t="s">
        <v>4148</v>
      </c>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row>
    <row r="16" customHeight="1" spans="1:26">
      <c r="A16" s="268" t="s">
        <v>4149</v>
      </c>
      <c r="B16" s="268" t="s">
        <v>4150</v>
      </c>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row>
    <row r="17" customHeight="1" spans="1:26">
      <c r="A17" s="268" t="s">
        <v>4151</v>
      </c>
      <c r="B17" s="268" t="s">
        <v>4143</v>
      </c>
      <c r="C17" s="268"/>
      <c r="D17" s="268"/>
      <c r="E17" s="268"/>
      <c r="F17" s="268"/>
      <c r="G17" s="268"/>
      <c r="H17" s="268"/>
      <c r="I17" s="268"/>
      <c r="J17" s="268"/>
      <c r="K17" s="268"/>
      <c r="L17" s="268"/>
      <c r="M17" s="268"/>
      <c r="N17" s="268"/>
      <c r="O17" s="268"/>
      <c r="P17" s="268"/>
      <c r="Q17" s="268"/>
      <c r="R17" s="268"/>
      <c r="S17" s="268"/>
      <c r="T17" s="268"/>
      <c r="U17" s="268"/>
      <c r="V17" s="268"/>
      <c r="W17" s="268"/>
      <c r="X17" s="268"/>
      <c r="Y17" s="268"/>
      <c r="Z17" s="268"/>
    </row>
    <row r="18" customHeight="1" spans="1:26">
      <c r="A18" s="268" t="s">
        <v>4152</v>
      </c>
      <c r="B18" s="268" t="s">
        <v>4134</v>
      </c>
      <c r="C18" s="268"/>
      <c r="D18" s="268"/>
      <c r="E18" s="268"/>
      <c r="F18" s="268"/>
      <c r="G18" s="268"/>
      <c r="H18" s="268"/>
      <c r="I18" s="268"/>
      <c r="J18" s="268"/>
      <c r="K18" s="268"/>
      <c r="L18" s="268"/>
      <c r="M18" s="268"/>
      <c r="N18" s="268"/>
      <c r="O18" s="268"/>
      <c r="P18" s="268"/>
      <c r="Q18" s="268"/>
      <c r="R18" s="268"/>
      <c r="S18" s="268"/>
      <c r="T18" s="268"/>
      <c r="U18" s="268"/>
      <c r="V18" s="268"/>
      <c r="W18" s="268"/>
      <c r="X18" s="268"/>
      <c r="Y18" s="268"/>
      <c r="Z18" s="268"/>
    </row>
    <row r="19" customHeight="1" spans="1:26">
      <c r="A19" s="268" t="s">
        <v>4153</v>
      </c>
      <c r="B19" s="268" t="s">
        <v>4154</v>
      </c>
      <c r="C19" s="268"/>
      <c r="D19" s="268"/>
      <c r="E19" s="268"/>
      <c r="F19" s="268"/>
      <c r="G19" s="268"/>
      <c r="H19" s="268"/>
      <c r="I19" s="268"/>
      <c r="J19" s="268"/>
      <c r="K19" s="268"/>
      <c r="L19" s="268"/>
      <c r="M19" s="268"/>
      <c r="N19" s="268"/>
      <c r="O19" s="268"/>
      <c r="P19" s="268"/>
      <c r="Q19" s="268"/>
      <c r="R19" s="268"/>
      <c r="S19" s="268"/>
      <c r="T19" s="268"/>
      <c r="U19" s="268"/>
      <c r="V19" s="268"/>
      <c r="W19" s="268"/>
      <c r="X19" s="268"/>
      <c r="Y19" s="268"/>
      <c r="Z19" s="268"/>
    </row>
    <row r="20" customHeight="1" spans="1:26">
      <c r="A20" s="268" t="s">
        <v>4155</v>
      </c>
      <c r="B20" s="268" t="s">
        <v>4156</v>
      </c>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row>
    <row r="21" customHeight="1" spans="1:26">
      <c r="A21" s="268"/>
      <c r="B21" s="268"/>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row>
    <row r="22" customHeight="1" spans="1:26">
      <c r="A22" s="1" t="s">
        <v>4110</v>
      </c>
      <c r="B22" s="1" t="s">
        <v>2</v>
      </c>
      <c r="C22" s="1" t="s">
        <v>4108</v>
      </c>
      <c r="D22" s="268"/>
      <c r="E22" s="268"/>
      <c r="F22" s="268"/>
      <c r="G22" s="268"/>
      <c r="H22" s="268"/>
      <c r="I22" s="268"/>
      <c r="J22" s="268"/>
      <c r="K22" s="268"/>
      <c r="L22" s="268"/>
      <c r="M22" s="268"/>
      <c r="N22" s="268"/>
      <c r="O22" s="268"/>
      <c r="P22" s="268"/>
      <c r="Q22" s="268"/>
      <c r="R22" s="268"/>
      <c r="S22" s="268"/>
      <c r="T22" s="268"/>
      <c r="U22" s="268"/>
      <c r="V22" s="268"/>
      <c r="W22" s="268"/>
      <c r="X22" s="268"/>
      <c r="Y22" s="268"/>
      <c r="Z22" s="268"/>
    </row>
    <row r="23" customHeight="1" spans="1:26">
      <c r="A23" s="271"/>
      <c r="B23" s="268" t="s">
        <v>4157</v>
      </c>
      <c r="C23" s="271"/>
      <c r="D23" s="268"/>
      <c r="E23" s="268"/>
      <c r="F23" s="268"/>
      <c r="G23" s="268"/>
      <c r="H23" s="268"/>
      <c r="I23" s="268"/>
      <c r="J23" s="268"/>
      <c r="K23" s="268"/>
      <c r="L23" s="268"/>
      <c r="M23" s="268"/>
      <c r="N23" s="268"/>
      <c r="O23" s="268"/>
      <c r="P23" s="268"/>
      <c r="Q23" s="268"/>
      <c r="R23" s="268"/>
      <c r="S23" s="268"/>
      <c r="T23" s="268"/>
      <c r="U23" s="268"/>
      <c r="V23" s="268"/>
      <c r="W23" s="268"/>
      <c r="X23" s="268"/>
      <c r="Y23" s="268"/>
      <c r="Z23" s="268"/>
    </row>
    <row r="24" customHeight="1" spans="1:26">
      <c r="A24" s="271"/>
      <c r="B24" s="268" t="s">
        <v>4158</v>
      </c>
      <c r="C24" s="271"/>
      <c r="D24" s="268"/>
      <c r="E24" s="268"/>
      <c r="F24" s="268"/>
      <c r="G24" s="268"/>
      <c r="H24" s="268"/>
      <c r="I24" s="268"/>
      <c r="J24" s="268"/>
      <c r="K24" s="268"/>
      <c r="L24" s="268"/>
      <c r="M24" s="268"/>
      <c r="N24" s="268"/>
      <c r="O24" s="268"/>
      <c r="P24" s="268"/>
      <c r="Q24" s="268"/>
      <c r="R24" s="268"/>
      <c r="S24" s="268"/>
      <c r="T24" s="268"/>
      <c r="U24" s="268"/>
      <c r="V24" s="268"/>
      <c r="W24" s="268"/>
      <c r="X24" s="268"/>
      <c r="Y24" s="268"/>
      <c r="Z24" s="268"/>
    </row>
    <row r="25" customHeight="1" spans="1:26">
      <c r="A25" s="271"/>
      <c r="B25" s="274" t="s">
        <v>4159</v>
      </c>
      <c r="C25" s="271"/>
      <c r="D25" s="268"/>
      <c r="E25" s="268"/>
      <c r="F25" s="268"/>
      <c r="G25" s="268"/>
      <c r="H25" s="268"/>
      <c r="I25" s="268"/>
      <c r="J25" s="268"/>
      <c r="K25" s="268"/>
      <c r="L25" s="268"/>
      <c r="M25" s="268"/>
      <c r="N25" s="268"/>
      <c r="O25" s="268"/>
      <c r="P25" s="268"/>
      <c r="Q25" s="268"/>
      <c r="R25" s="268"/>
      <c r="S25" s="268"/>
      <c r="T25" s="268"/>
      <c r="U25" s="268"/>
      <c r="V25" s="268"/>
      <c r="W25" s="268"/>
      <c r="X25" s="268"/>
      <c r="Y25" s="268"/>
      <c r="Z25" s="268"/>
    </row>
    <row r="26" customHeight="1" spans="1:26">
      <c r="A26" s="271"/>
      <c r="B26" s="274" t="s">
        <v>4160</v>
      </c>
      <c r="C26" s="271"/>
      <c r="D26" s="268"/>
      <c r="E26" s="268"/>
      <c r="F26" s="268"/>
      <c r="G26" s="268"/>
      <c r="H26" s="268"/>
      <c r="I26" s="268"/>
      <c r="J26" s="268"/>
      <c r="K26" s="268"/>
      <c r="L26" s="268"/>
      <c r="M26" s="268"/>
      <c r="N26" s="268"/>
      <c r="O26" s="268"/>
      <c r="P26" s="268"/>
      <c r="Q26" s="268"/>
      <c r="R26" s="268"/>
      <c r="S26" s="268"/>
      <c r="T26" s="268"/>
      <c r="U26" s="268"/>
      <c r="V26" s="268"/>
      <c r="W26" s="268"/>
      <c r="X26" s="268"/>
      <c r="Y26" s="268"/>
      <c r="Z26" s="268"/>
    </row>
    <row r="27" customHeight="1" spans="1:26">
      <c r="A27" s="271"/>
      <c r="B27" s="274" t="s">
        <v>4161</v>
      </c>
      <c r="C27" s="271"/>
      <c r="D27" s="268"/>
      <c r="E27" s="268"/>
      <c r="F27" s="268"/>
      <c r="G27" s="268"/>
      <c r="H27" s="268"/>
      <c r="I27" s="268"/>
      <c r="J27" s="268"/>
      <c r="K27" s="268"/>
      <c r="L27" s="268"/>
      <c r="M27" s="268"/>
      <c r="N27" s="268"/>
      <c r="O27" s="268"/>
      <c r="P27" s="268"/>
      <c r="Q27" s="268"/>
      <c r="R27" s="268"/>
      <c r="S27" s="268"/>
      <c r="T27" s="268"/>
      <c r="U27" s="268"/>
      <c r="V27" s="268"/>
      <c r="W27" s="268"/>
      <c r="X27" s="268"/>
      <c r="Y27" s="268"/>
      <c r="Z27" s="268"/>
    </row>
    <row r="28" customHeight="1" spans="1:26">
      <c r="A28" s="271"/>
      <c r="B28" s="268" t="s">
        <v>4162</v>
      </c>
      <c r="C28" s="271"/>
      <c r="D28" s="268"/>
      <c r="E28" s="268"/>
      <c r="F28" s="268"/>
      <c r="G28" s="268"/>
      <c r="H28" s="268"/>
      <c r="I28" s="268"/>
      <c r="J28" s="268"/>
      <c r="K28" s="268"/>
      <c r="L28" s="268"/>
      <c r="M28" s="268"/>
      <c r="N28" s="268"/>
      <c r="O28" s="268"/>
      <c r="P28" s="268"/>
      <c r="Q28" s="268"/>
      <c r="R28" s="268"/>
      <c r="S28" s="268"/>
      <c r="T28" s="268"/>
      <c r="U28" s="268"/>
      <c r="V28" s="268"/>
      <c r="W28" s="268"/>
      <c r="X28" s="268"/>
      <c r="Y28" s="268"/>
      <c r="Z28" s="268"/>
    </row>
    <row r="29" customHeight="1" spans="1:26">
      <c r="A29" s="271"/>
      <c r="B29" s="268" t="s">
        <v>4163</v>
      </c>
      <c r="C29" s="271"/>
      <c r="D29" s="268"/>
      <c r="E29" s="268"/>
      <c r="F29" s="268"/>
      <c r="G29" s="268"/>
      <c r="H29" s="268"/>
      <c r="I29" s="268"/>
      <c r="J29" s="268"/>
      <c r="K29" s="268"/>
      <c r="L29" s="268"/>
      <c r="M29" s="268"/>
      <c r="N29" s="268"/>
      <c r="O29" s="268"/>
      <c r="P29" s="268"/>
      <c r="Q29" s="268"/>
      <c r="R29" s="268"/>
      <c r="S29" s="268"/>
      <c r="T29" s="268"/>
      <c r="U29" s="268"/>
      <c r="V29" s="268"/>
      <c r="W29" s="268"/>
      <c r="X29" s="268"/>
      <c r="Y29" s="268"/>
      <c r="Z29" s="268"/>
    </row>
    <row r="30" customHeight="1" spans="1:26">
      <c r="A30" s="271"/>
      <c r="B30" s="268" t="s">
        <v>4164</v>
      </c>
      <c r="C30" s="271"/>
      <c r="D30" s="268"/>
      <c r="E30" s="268"/>
      <c r="F30" s="268"/>
      <c r="G30" s="268"/>
      <c r="H30" s="268"/>
      <c r="I30" s="268"/>
      <c r="J30" s="268"/>
      <c r="K30" s="268"/>
      <c r="L30" s="268"/>
      <c r="M30" s="268"/>
      <c r="N30" s="268"/>
      <c r="O30" s="268"/>
      <c r="P30" s="268"/>
      <c r="Q30" s="268"/>
      <c r="R30" s="268"/>
      <c r="S30" s="268"/>
      <c r="T30" s="268"/>
      <c r="U30" s="268"/>
      <c r="V30" s="268"/>
      <c r="W30" s="268"/>
      <c r="X30" s="268"/>
      <c r="Y30" s="268"/>
      <c r="Z30" s="268"/>
    </row>
    <row r="31" customHeight="1" spans="1:26">
      <c r="A31" s="271"/>
      <c r="B31" s="268" t="s">
        <v>4165</v>
      </c>
      <c r="C31" s="271"/>
      <c r="D31" s="268"/>
      <c r="E31" s="268"/>
      <c r="F31" s="268"/>
      <c r="G31" s="268"/>
      <c r="H31" s="268"/>
      <c r="I31" s="268"/>
      <c r="J31" s="268"/>
      <c r="K31" s="268"/>
      <c r="L31" s="268"/>
      <c r="M31" s="268"/>
      <c r="N31" s="268"/>
      <c r="O31" s="268"/>
      <c r="P31" s="268"/>
      <c r="Q31" s="268"/>
      <c r="R31" s="268"/>
      <c r="S31" s="268"/>
      <c r="T31" s="268"/>
      <c r="U31" s="268"/>
      <c r="V31" s="268"/>
      <c r="W31" s="268"/>
      <c r="X31" s="268"/>
      <c r="Y31" s="268"/>
      <c r="Z31" s="268"/>
    </row>
    <row r="32" customHeight="1" spans="1:26">
      <c r="A32" s="271"/>
      <c r="B32" s="274" t="s">
        <v>4166</v>
      </c>
      <c r="C32" s="271"/>
      <c r="D32" s="268"/>
      <c r="E32" s="268"/>
      <c r="F32" s="268"/>
      <c r="G32" s="268"/>
      <c r="H32" s="268"/>
      <c r="I32" s="268"/>
      <c r="J32" s="268"/>
      <c r="K32" s="268"/>
      <c r="L32" s="268"/>
      <c r="M32" s="268"/>
      <c r="N32" s="268"/>
      <c r="O32" s="268"/>
      <c r="P32" s="268"/>
      <c r="Q32" s="268"/>
      <c r="R32" s="268"/>
      <c r="S32" s="268"/>
      <c r="T32" s="268"/>
      <c r="U32" s="268"/>
      <c r="V32" s="268"/>
      <c r="W32" s="268"/>
      <c r="X32" s="268"/>
      <c r="Y32" s="268"/>
      <c r="Z32" s="268"/>
    </row>
    <row r="33" customHeight="1" spans="1:26">
      <c r="A33" s="271"/>
      <c r="B33" s="274" t="s">
        <v>4167</v>
      </c>
      <c r="C33" s="271"/>
      <c r="D33" s="268"/>
      <c r="E33" s="268"/>
      <c r="F33" s="268"/>
      <c r="G33" s="268"/>
      <c r="H33" s="268"/>
      <c r="I33" s="268"/>
      <c r="J33" s="268"/>
      <c r="K33" s="268"/>
      <c r="L33" s="268"/>
      <c r="M33" s="268"/>
      <c r="N33" s="268"/>
      <c r="O33" s="268"/>
      <c r="P33" s="268"/>
      <c r="Q33" s="268"/>
      <c r="R33" s="268"/>
      <c r="S33" s="268"/>
      <c r="T33" s="268"/>
      <c r="U33" s="268"/>
      <c r="V33" s="268"/>
      <c r="W33" s="268"/>
      <c r="X33" s="268"/>
      <c r="Y33" s="268"/>
      <c r="Z33" s="268"/>
    </row>
    <row r="34" customHeight="1" spans="1:26">
      <c r="A34" s="271"/>
      <c r="B34" s="268" t="s">
        <v>4168</v>
      </c>
      <c r="C34" s="271"/>
      <c r="D34" s="268"/>
      <c r="E34" s="268"/>
      <c r="F34" s="268"/>
      <c r="G34" s="268"/>
      <c r="H34" s="268"/>
      <c r="I34" s="268"/>
      <c r="J34" s="268"/>
      <c r="K34" s="268"/>
      <c r="L34" s="268"/>
      <c r="M34" s="268"/>
      <c r="N34" s="268"/>
      <c r="O34" s="268"/>
      <c r="P34" s="268"/>
      <c r="Q34" s="268"/>
      <c r="R34" s="268"/>
      <c r="S34" s="268"/>
      <c r="T34" s="268"/>
      <c r="U34" s="268"/>
      <c r="V34" s="268"/>
      <c r="W34" s="268"/>
      <c r="X34" s="268"/>
      <c r="Y34" s="268"/>
      <c r="Z34" s="268"/>
    </row>
    <row r="35" customHeight="1" spans="1:26">
      <c r="A35" s="271"/>
      <c r="B35" s="268" t="s">
        <v>4169</v>
      </c>
      <c r="C35" s="271"/>
      <c r="D35" s="268"/>
      <c r="E35" s="268"/>
      <c r="F35" s="268"/>
      <c r="G35" s="268"/>
      <c r="H35" s="268"/>
      <c r="I35" s="268"/>
      <c r="J35" s="268"/>
      <c r="K35" s="268"/>
      <c r="L35" s="268"/>
      <c r="M35" s="268"/>
      <c r="N35" s="268"/>
      <c r="O35" s="268"/>
      <c r="P35" s="268"/>
      <c r="Q35" s="268"/>
      <c r="R35" s="268"/>
      <c r="S35" s="268"/>
      <c r="T35" s="268"/>
      <c r="U35" s="268"/>
      <c r="V35" s="268"/>
      <c r="W35" s="268"/>
      <c r="X35" s="268"/>
      <c r="Y35" s="268"/>
      <c r="Z35" s="268"/>
    </row>
    <row r="36" customHeight="1" spans="1:26">
      <c r="A36" s="271"/>
      <c r="B36" s="274" t="s">
        <v>4170</v>
      </c>
      <c r="C36" s="271"/>
      <c r="D36" s="268"/>
      <c r="E36" s="268"/>
      <c r="F36" s="268"/>
      <c r="G36" s="268"/>
      <c r="H36" s="268"/>
      <c r="I36" s="268"/>
      <c r="J36" s="268"/>
      <c r="K36" s="268"/>
      <c r="L36" s="268"/>
      <c r="M36" s="268"/>
      <c r="N36" s="268"/>
      <c r="O36" s="268"/>
      <c r="P36" s="268"/>
      <c r="Q36" s="268"/>
      <c r="R36" s="268"/>
      <c r="S36" s="268"/>
      <c r="T36" s="268"/>
      <c r="U36" s="268"/>
      <c r="V36" s="268"/>
      <c r="W36" s="268"/>
      <c r="X36" s="268"/>
      <c r="Y36" s="268"/>
      <c r="Z36" s="268"/>
    </row>
    <row r="37" customHeight="1" spans="1:26">
      <c r="A37" s="271"/>
      <c r="B37" s="268" t="s">
        <v>4171</v>
      </c>
      <c r="C37" s="271"/>
      <c r="D37" s="268"/>
      <c r="E37" s="268"/>
      <c r="F37" s="268"/>
      <c r="G37" s="268"/>
      <c r="H37" s="268"/>
      <c r="I37" s="268"/>
      <c r="J37" s="268"/>
      <c r="K37" s="268"/>
      <c r="L37" s="268"/>
      <c r="M37" s="268"/>
      <c r="N37" s="268"/>
      <c r="O37" s="268"/>
      <c r="P37" s="268"/>
      <c r="Q37" s="268"/>
      <c r="R37" s="268"/>
      <c r="S37" s="268"/>
      <c r="T37" s="268"/>
      <c r="U37" s="268"/>
      <c r="V37" s="268"/>
      <c r="W37" s="268"/>
      <c r="X37" s="268"/>
      <c r="Y37" s="268"/>
      <c r="Z37" s="268"/>
    </row>
    <row r="38" customHeight="1" spans="1:26">
      <c r="A38" s="271"/>
      <c r="B38" s="274" t="s">
        <v>4172</v>
      </c>
      <c r="C38" s="271"/>
      <c r="D38" s="268"/>
      <c r="E38" s="268"/>
      <c r="F38" s="268"/>
      <c r="G38" s="268"/>
      <c r="H38" s="268"/>
      <c r="I38" s="268"/>
      <c r="J38" s="268"/>
      <c r="K38" s="268"/>
      <c r="L38" s="268"/>
      <c r="M38" s="268"/>
      <c r="N38" s="268"/>
      <c r="O38" s="268"/>
      <c r="P38" s="268"/>
      <c r="Q38" s="268"/>
      <c r="R38" s="268"/>
      <c r="S38" s="268"/>
      <c r="T38" s="268"/>
      <c r="U38" s="268"/>
      <c r="V38" s="268"/>
      <c r="W38" s="268"/>
      <c r="X38" s="268"/>
      <c r="Y38" s="268"/>
      <c r="Z38" s="268"/>
    </row>
    <row r="39" customHeight="1" spans="1:26">
      <c r="A39" s="271"/>
      <c r="B39" s="274" t="s">
        <v>4173</v>
      </c>
      <c r="C39" s="271"/>
      <c r="D39" s="268"/>
      <c r="E39" s="268"/>
      <c r="F39" s="268"/>
      <c r="G39" s="268"/>
      <c r="H39" s="268"/>
      <c r="I39" s="268"/>
      <c r="J39" s="268"/>
      <c r="K39" s="268"/>
      <c r="L39" s="268"/>
      <c r="M39" s="268"/>
      <c r="N39" s="268"/>
      <c r="O39" s="268"/>
      <c r="P39" s="268"/>
      <c r="Q39" s="268"/>
      <c r="R39" s="268"/>
      <c r="S39" s="268"/>
      <c r="T39" s="268"/>
      <c r="U39" s="268"/>
      <c r="V39" s="268"/>
      <c r="W39" s="268"/>
      <c r="X39" s="268"/>
      <c r="Y39" s="268"/>
      <c r="Z39" s="268"/>
    </row>
    <row r="40" customHeight="1" spans="1:26">
      <c r="A40" s="271"/>
      <c r="B40" s="268" t="s">
        <v>4174</v>
      </c>
      <c r="C40" s="271"/>
      <c r="D40" s="268"/>
      <c r="E40" s="268"/>
      <c r="F40" s="268"/>
      <c r="G40" s="268"/>
      <c r="H40" s="268"/>
      <c r="I40" s="268"/>
      <c r="J40" s="268"/>
      <c r="K40" s="268"/>
      <c r="L40" s="268"/>
      <c r="M40" s="268"/>
      <c r="N40" s="268"/>
      <c r="O40" s="268"/>
      <c r="P40" s="268"/>
      <c r="Q40" s="268"/>
      <c r="R40" s="268"/>
      <c r="S40" s="268"/>
      <c r="T40" s="268"/>
      <c r="U40" s="268"/>
      <c r="V40" s="268"/>
      <c r="W40" s="268"/>
      <c r="X40" s="268"/>
      <c r="Y40" s="268"/>
      <c r="Z40" s="268"/>
    </row>
    <row r="41" customHeight="1" spans="1:26">
      <c r="A41" s="271"/>
      <c r="B41" s="268" t="s">
        <v>4175</v>
      </c>
      <c r="C41" s="271"/>
      <c r="D41" s="268"/>
      <c r="E41" s="268"/>
      <c r="F41" s="268"/>
      <c r="G41" s="268"/>
      <c r="H41" s="268"/>
      <c r="I41" s="268"/>
      <c r="J41" s="268"/>
      <c r="K41" s="268"/>
      <c r="L41" s="268"/>
      <c r="M41" s="268"/>
      <c r="N41" s="268"/>
      <c r="O41" s="268"/>
      <c r="P41" s="268"/>
      <c r="Q41" s="268"/>
      <c r="R41" s="268"/>
      <c r="S41" s="268"/>
      <c r="T41" s="268"/>
      <c r="U41" s="268"/>
      <c r="V41" s="268"/>
      <c r="W41" s="268"/>
      <c r="X41" s="268"/>
      <c r="Y41" s="268"/>
      <c r="Z41" s="268"/>
    </row>
    <row r="42" customHeight="1" spans="1:26">
      <c r="A42" s="271"/>
      <c r="B42" s="268" t="s">
        <v>4176</v>
      </c>
      <c r="C42" s="271"/>
      <c r="D42" s="268"/>
      <c r="E42" s="268"/>
      <c r="F42" s="268"/>
      <c r="G42" s="268"/>
      <c r="H42" s="268"/>
      <c r="I42" s="268"/>
      <c r="J42" s="268"/>
      <c r="K42" s="268"/>
      <c r="L42" s="268"/>
      <c r="M42" s="268"/>
      <c r="N42" s="268"/>
      <c r="O42" s="268"/>
      <c r="P42" s="268"/>
      <c r="Q42" s="268"/>
      <c r="R42" s="268"/>
      <c r="S42" s="268"/>
      <c r="T42" s="268"/>
      <c r="U42" s="268"/>
      <c r="V42" s="268"/>
      <c r="W42" s="268"/>
      <c r="X42" s="268"/>
      <c r="Y42" s="268"/>
      <c r="Z42" s="268"/>
    </row>
    <row r="43" customHeight="1" spans="1:26">
      <c r="A43" s="271"/>
      <c r="B43" s="268" t="s">
        <v>4177</v>
      </c>
      <c r="C43" s="271"/>
      <c r="D43" s="268"/>
      <c r="E43" s="268"/>
      <c r="F43" s="268"/>
      <c r="G43" s="268"/>
      <c r="H43" s="268"/>
      <c r="I43" s="268"/>
      <c r="J43" s="268"/>
      <c r="K43" s="268"/>
      <c r="L43" s="268"/>
      <c r="M43" s="268"/>
      <c r="N43" s="268"/>
      <c r="O43" s="268"/>
      <c r="P43" s="268"/>
      <c r="Q43" s="268"/>
      <c r="R43" s="268"/>
      <c r="S43" s="268"/>
      <c r="T43" s="268"/>
      <c r="U43" s="268"/>
      <c r="V43" s="268"/>
      <c r="W43" s="268"/>
      <c r="X43" s="268"/>
      <c r="Y43" s="268"/>
      <c r="Z43" s="268"/>
    </row>
    <row r="44" customHeight="1" spans="1:26">
      <c r="A44" s="271"/>
      <c r="B44" s="268" t="s">
        <v>4178</v>
      </c>
      <c r="C44" s="271"/>
      <c r="D44" s="268"/>
      <c r="E44" s="268"/>
      <c r="F44" s="268"/>
      <c r="G44" s="268"/>
      <c r="H44" s="268"/>
      <c r="I44" s="268"/>
      <c r="J44" s="268"/>
      <c r="K44" s="268"/>
      <c r="L44" s="268"/>
      <c r="M44" s="268"/>
      <c r="N44" s="268"/>
      <c r="O44" s="268"/>
      <c r="P44" s="268"/>
      <c r="Q44" s="268"/>
      <c r="R44" s="268"/>
      <c r="S44" s="268"/>
      <c r="T44" s="268"/>
      <c r="U44" s="268"/>
      <c r="V44" s="268"/>
      <c r="W44" s="268"/>
      <c r="X44" s="268"/>
      <c r="Y44" s="268"/>
      <c r="Z44" s="268"/>
    </row>
    <row r="45" customHeight="1" spans="1:26">
      <c r="A45" s="271"/>
      <c r="B45" s="268" t="s">
        <v>4179</v>
      </c>
      <c r="C45" s="271"/>
      <c r="D45" s="268"/>
      <c r="E45" s="268"/>
      <c r="F45" s="268"/>
      <c r="G45" s="268"/>
      <c r="H45" s="268"/>
      <c r="I45" s="268"/>
      <c r="J45" s="268"/>
      <c r="K45" s="268"/>
      <c r="L45" s="268"/>
      <c r="M45" s="268"/>
      <c r="N45" s="268"/>
      <c r="O45" s="268"/>
      <c r="P45" s="268"/>
      <c r="Q45" s="268"/>
      <c r="R45" s="268"/>
      <c r="S45" s="268"/>
      <c r="T45" s="268"/>
      <c r="U45" s="268"/>
      <c r="V45" s="268"/>
      <c r="W45" s="268"/>
      <c r="X45" s="268"/>
      <c r="Y45" s="268"/>
      <c r="Z45" s="268"/>
    </row>
    <row r="46" customHeight="1" spans="1:26">
      <c r="A46" s="271"/>
      <c r="B46" s="274" t="s">
        <v>4180</v>
      </c>
      <c r="C46" s="271"/>
      <c r="D46" s="268"/>
      <c r="E46" s="268"/>
      <c r="F46" s="268"/>
      <c r="G46" s="268"/>
      <c r="H46" s="268"/>
      <c r="I46" s="268"/>
      <c r="J46" s="268"/>
      <c r="K46" s="268"/>
      <c r="L46" s="268"/>
      <c r="M46" s="268"/>
      <c r="N46" s="268"/>
      <c r="O46" s="268"/>
      <c r="P46" s="268"/>
      <c r="Q46" s="268"/>
      <c r="R46" s="268"/>
      <c r="S46" s="268"/>
      <c r="T46" s="268"/>
      <c r="U46" s="268"/>
      <c r="V46" s="268"/>
      <c r="W46" s="268"/>
      <c r="X46" s="268"/>
      <c r="Y46" s="268"/>
      <c r="Z46" s="268"/>
    </row>
    <row r="47" customHeight="1" spans="1:26">
      <c r="A47" s="271"/>
      <c r="B47" s="274" t="s">
        <v>4181</v>
      </c>
      <c r="C47" s="271"/>
      <c r="D47" s="268"/>
      <c r="E47" s="268"/>
      <c r="F47" s="268"/>
      <c r="G47" s="268"/>
      <c r="H47" s="268"/>
      <c r="I47" s="268"/>
      <c r="J47" s="268"/>
      <c r="K47" s="268"/>
      <c r="L47" s="268"/>
      <c r="M47" s="268"/>
      <c r="N47" s="268"/>
      <c r="O47" s="268"/>
      <c r="P47" s="268"/>
      <c r="Q47" s="268"/>
      <c r="R47" s="268"/>
      <c r="S47" s="268"/>
      <c r="T47" s="268"/>
      <c r="U47" s="268"/>
      <c r="V47" s="268"/>
      <c r="W47" s="268"/>
      <c r="X47" s="268"/>
      <c r="Y47" s="268"/>
      <c r="Z47" s="268"/>
    </row>
    <row r="48" customHeight="1" spans="1:26">
      <c r="A48" s="271"/>
      <c r="B48" s="268" t="s">
        <v>4182</v>
      </c>
      <c r="C48" s="271"/>
      <c r="D48" s="268"/>
      <c r="E48" s="268"/>
      <c r="F48" s="268"/>
      <c r="G48" s="268"/>
      <c r="H48" s="268"/>
      <c r="I48" s="268"/>
      <c r="J48" s="268"/>
      <c r="K48" s="268"/>
      <c r="L48" s="268"/>
      <c r="M48" s="268"/>
      <c r="N48" s="268"/>
      <c r="O48" s="268"/>
      <c r="P48" s="268"/>
      <c r="Q48" s="268"/>
      <c r="R48" s="268"/>
      <c r="S48" s="268"/>
      <c r="T48" s="268"/>
      <c r="U48" s="268"/>
      <c r="V48" s="268"/>
      <c r="W48" s="268"/>
      <c r="X48" s="268"/>
      <c r="Y48" s="268"/>
      <c r="Z48" s="268"/>
    </row>
    <row r="49" customHeight="1" spans="1:26">
      <c r="A49" s="271"/>
      <c r="B49" s="268" t="s">
        <v>4183</v>
      </c>
      <c r="C49" s="271"/>
      <c r="D49" s="268"/>
      <c r="E49" s="268"/>
      <c r="F49" s="268"/>
      <c r="G49" s="268"/>
      <c r="H49" s="268"/>
      <c r="I49" s="268"/>
      <c r="J49" s="268"/>
      <c r="K49" s="268"/>
      <c r="L49" s="268"/>
      <c r="M49" s="268"/>
      <c r="N49" s="268"/>
      <c r="O49" s="268"/>
      <c r="P49" s="268"/>
      <c r="Q49" s="268"/>
      <c r="R49" s="268"/>
      <c r="S49" s="268"/>
      <c r="T49" s="268"/>
      <c r="U49" s="268"/>
      <c r="V49" s="268"/>
      <c r="W49" s="268"/>
      <c r="X49" s="268"/>
      <c r="Y49" s="268"/>
      <c r="Z49" s="268"/>
    </row>
    <row r="50" customHeight="1" spans="1:26">
      <c r="A50" s="271"/>
      <c r="B50" s="268" t="s">
        <v>4184</v>
      </c>
      <c r="C50" s="271"/>
      <c r="D50" s="268"/>
      <c r="E50" s="268"/>
      <c r="F50" s="268"/>
      <c r="G50" s="268"/>
      <c r="H50" s="268"/>
      <c r="I50" s="268"/>
      <c r="J50" s="268"/>
      <c r="K50" s="268"/>
      <c r="L50" s="268"/>
      <c r="M50" s="268"/>
      <c r="N50" s="268"/>
      <c r="O50" s="268"/>
      <c r="P50" s="268"/>
      <c r="Q50" s="268"/>
      <c r="R50" s="268"/>
      <c r="S50" s="268"/>
      <c r="T50" s="268"/>
      <c r="U50" s="268"/>
      <c r="V50" s="268"/>
      <c r="W50" s="268"/>
      <c r="X50" s="268"/>
      <c r="Y50" s="268"/>
      <c r="Z50" s="268"/>
    </row>
    <row r="51" customHeight="1" spans="1:26">
      <c r="A51" s="271" t="s">
        <v>4129</v>
      </c>
      <c r="B51" s="268" t="s">
        <v>4185</v>
      </c>
      <c r="C51" s="271"/>
      <c r="D51" s="268"/>
      <c r="E51" s="268"/>
      <c r="F51" s="268"/>
      <c r="G51" s="268"/>
      <c r="H51" s="268"/>
      <c r="I51" s="268"/>
      <c r="J51" s="268"/>
      <c r="K51" s="268"/>
      <c r="L51" s="268"/>
      <c r="M51" s="268"/>
      <c r="N51" s="268"/>
      <c r="O51" s="268"/>
      <c r="P51" s="268"/>
      <c r="Q51" s="268"/>
      <c r="R51" s="268"/>
      <c r="S51" s="268"/>
      <c r="T51" s="268"/>
      <c r="U51" s="268"/>
      <c r="V51" s="268"/>
      <c r="W51" s="268"/>
      <c r="X51" s="268"/>
      <c r="Y51" s="268"/>
      <c r="Z51" s="268"/>
    </row>
    <row r="52" customHeight="1" spans="1:26">
      <c r="A52" s="271" t="s">
        <v>4119</v>
      </c>
      <c r="B52" s="268" t="s">
        <v>4186</v>
      </c>
      <c r="C52" s="271" t="s">
        <v>4187</v>
      </c>
      <c r="D52" s="268"/>
      <c r="E52" s="268"/>
      <c r="F52" s="268"/>
      <c r="G52" s="268"/>
      <c r="H52" s="268"/>
      <c r="I52" s="268"/>
      <c r="J52" s="268"/>
      <c r="K52" s="268"/>
      <c r="L52" s="268"/>
      <c r="M52" s="268"/>
      <c r="N52" s="268"/>
      <c r="O52" s="268"/>
      <c r="P52" s="268"/>
      <c r="Q52" s="268"/>
      <c r="R52" s="268"/>
      <c r="S52" s="268"/>
      <c r="T52" s="268"/>
      <c r="U52" s="268"/>
      <c r="V52" s="268"/>
      <c r="W52" s="268"/>
      <c r="X52" s="268"/>
      <c r="Y52" s="268"/>
      <c r="Z52" s="268"/>
    </row>
    <row r="53" customHeight="1" spans="1:26">
      <c r="A53" s="271"/>
      <c r="B53" s="274" t="s">
        <v>4188</v>
      </c>
      <c r="C53" s="271"/>
      <c r="D53" s="268"/>
      <c r="E53" s="268"/>
      <c r="F53" s="268"/>
      <c r="G53" s="268"/>
      <c r="H53" s="268"/>
      <c r="I53" s="268"/>
      <c r="J53" s="268"/>
      <c r="K53" s="268"/>
      <c r="L53" s="268"/>
      <c r="M53" s="268"/>
      <c r="N53" s="268"/>
      <c r="O53" s="268"/>
      <c r="P53" s="268"/>
      <c r="Q53" s="268"/>
      <c r="R53" s="268"/>
      <c r="S53" s="268"/>
      <c r="T53" s="268"/>
      <c r="U53" s="268"/>
      <c r="V53" s="268"/>
      <c r="W53" s="268"/>
      <c r="X53" s="268"/>
      <c r="Y53" s="268"/>
      <c r="Z53" s="268"/>
    </row>
    <row r="54" customHeight="1" spans="1:26">
      <c r="A54" s="271" t="s">
        <v>4189</v>
      </c>
      <c r="B54" s="268" t="s">
        <v>4190</v>
      </c>
      <c r="C54" s="271"/>
      <c r="D54" s="268"/>
      <c r="E54" s="268"/>
      <c r="F54" s="268"/>
      <c r="G54" s="268"/>
      <c r="H54" s="268"/>
      <c r="I54" s="268"/>
      <c r="J54" s="268"/>
      <c r="K54" s="268"/>
      <c r="L54" s="268"/>
      <c r="M54" s="268"/>
      <c r="N54" s="268"/>
      <c r="O54" s="268"/>
      <c r="P54" s="268"/>
      <c r="Q54" s="268"/>
      <c r="R54" s="268"/>
      <c r="S54" s="268"/>
      <c r="T54" s="268"/>
      <c r="U54" s="268"/>
      <c r="V54" s="268"/>
      <c r="W54" s="268"/>
      <c r="X54" s="268"/>
      <c r="Y54" s="268"/>
      <c r="Z54" s="268"/>
    </row>
    <row r="55" customHeight="1" spans="1:26">
      <c r="A55" s="271" t="s">
        <v>4191</v>
      </c>
      <c r="B55" s="274" t="s">
        <v>4192</v>
      </c>
      <c r="C55" s="271"/>
      <c r="D55" s="268"/>
      <c r="E55" s="268"/>
      <c r="F55" s="268"/>
      <c r="G55" s="268"/>
      <c r="H55" s="268"/>
      <c r="I55" s="268"/>
      <c r="J55" s="268"/>
      <c r="K55" s="268"/>
      <c r="L55" s="268"/>
      <c r="M55" s="268"/>
      <c r="N55" s="268"/>
      <c r="O55" s="268"/>
      <c r="P55" s="268"/>
      <c r="Q55" s="268"/>
      <c r="R55" s="268"/>
      <c r="S55" s="268"/>
      <c r="T55" s="268"/>
      <c r="U55" s="268"/>
      <c r="V55" s="268"/>
      <c r="W55" s="268"/>
      <c r="X55" s="268"/>
      <c r="Y55" s="268"/>
      <c r="Z55" s="268"/>
    </row>
    <row r="56" customHeight="1" spans="1:26">
      <c r="A56" s="271" t="s">
        <v>4193</v>
      </c>
      <c r="B56" s="268" t="s">
        <v>4194</v>
      </c>
      <c r="C56" s="271"/>
      <c r="D56" s="268"/>
      <c r="E56" s="268"/>
      <c r="F56" s="268"/>
      <c r="G56" s="268"/>
      <c r="H56" s="268"/>
      <c r="I56" s="268"/>
      <c r="J56" s="268"/>
      <c r="K56" s="268"/>
      <c r="L56" s="268"/>
      <c r="M56" s="268"/>
      <c r="N56" s="268"/>
      <c r="O56" s="268"/>
      <c r="P56" s="268"/>
      <c r="Q56" s="268"/>
      <c r="R56" s="268"/>
      <c r="S56" s="268"/>
      <c r="T56" s="268"/>
      <c r="U56" s="268"/>
      <c r="V56" s="268"/>
      <c r="W56" s="268"/>
      <c r="X56" s="268"/>
      <c r="Y56" s="268"/>
      <c r="Z56" s="268"/>
    </row>
    <row r="57" customHeight="1" spans="1:26">
      <c r="A57" s="271" t="s">
        <v>4193</v>
      </c>
      <c r="B57" s="268" t="s">
        <v>4195</v>
      </c>
      <c r="C57" s="271"/>
      <c r="D57" s="268"/>
      <c r="E57" s="268"/>
      <c r="F57" s="268"/>
      <c r="G57" s="268"/>
      <c r="H57" s="268"/>
      <c r="I57" s="268"/>
      <c r="J57" s="268"/>
      <c r="K57" s="268"/>
      <c r="L57" s="268"/>
      <c r="M57" s="268"/>
      <c r="N57" s="268"/>
      <c r="O57" s="268"/>
      <c r="P57" s="268"/>
      <c r="Q57" s="268"/>
      <c r="R57" s="268"/>
      <c r="S57" s="268"/>
      <c r="T57" s="268"/>
      <c r="U57" s="268"/>
      <c r="V57" s="268"/>
      <c r="W57" s="268"/>
      <c r="X57" s="268"/>
      <c r="Y57" s="268"/>
      <c r="Z57" s="268"/>
    </row>
    <row r="58" customHeight="1" spans="1:26">
      <c r="A58" s="271" t="s">
        <v>4191</v>
      </c>
      <c r="B58" s="268" t="s">
        <v>4196</v>
      </c>
      <c r="C58" s="271"/>
      <c r="D58" s="268"/>
      <c r="E58" s="268"/>
      <c r="F58" s="268"/>
      <c r="G58" s="268"/>
      <c r="H58" s="268"/>
      <c r="I58" s="268"/>
      <c r="J58" s="268"/>
      <c r="K58" s="268"/>
      <c r="L58" s="268"/>
      <c r="M58" s="268"/>
      <c r="N58" s="268"/>
      <c r="O58" s="268"/>
      <c r="P58" s="268"/>
      <c r="Q58" s="268"/>
      <c r="R58" s="268"/>
      <c r="S58" s="268"/>
      <c r="T58" s="268"/>
      <c r="U58" s="268"/>
      <c r="V58" s="268"/>
      <c r="W58" s="268"/>
      <c r="X58" s="268"/>
      <c r="Y58" s="268"/>
      <c r="Z58" s="268"/>
    </row>
    <row r="59" customHeight="1" spans="1:26">
      <c r="A59" s="271" t="s">
        <v>4197</v>
      </c>
      <c r="B59" s="268" t="s">
        <v>4198</v>
      </c>
      <c r="C59" s="271"/>
      <c r="D59" s="268"/>
      <c r="E59" s="268"/>
      <c r="F59" s="268"/>
      <c r="G59" s="268"/>
      <c r="H59" s="268"/>
      <c r="I59" s="268"/>
      <c r="J59" s="268"/>
      <c r="K59" s="268"/>
      <c r="L59" s="268"/>
      <c r="M59" s="268"/>
      <c r="N59" s="268"/>
      <c r="O59" s="268"/>
      <c r="P59" s="268"/>
      <c r="Q59" s="268"/>
      <c r="R59" s="268"/>
      <c r="S59" s="268"/>
      <c r="T59" s="268"/>
      <c r="U59" s="268"/>
      <c r="V59" s="268"/>
      <c r="W59" s="268"/>
      <c r="X59" s="268"/>
      <c r="Y59" s="268"/>
      <c r="Z59" s="268"/>
    </row>
    <row r="60" customHeight="1" spans="1:26">
      <c r="A60" s="271"/>
      <c r="B60" s="268" t="s">
        <v>4199</v>
      </c>
      <c r="C60" s="271"/>
      <c r="D60" s="268"/>
      <c r="E60" s="268"/>
      <c r="F60" s="268"/>
      <c r="G60" s="268"/>
      <c r="H60" s="268"/>
      <c r="I60" s="268"/>
      <c r="J60" s="268"/>
      <c r="K60" s="268"/>
      <c r="L60" s="268"/>
      <c r="M60" s="268"/>
      <c r="N60" s="268"/>
      <c r="O60" s="268"/>
      <c r="P60" s="268"/>
      <c r="Q60" s="268"/>
      <c r="R60" s="268"/>
      <c r="S60" s="268"/>
      <c r="T60" s="268"/>
      <c r="U60" s="268"/>
      <c r="V60" s="268"/>
      <c r="W60" s="268"/>
      <c r="X60" s="268"/>
      <c r="Y60" s="268"/>
      <c r="Z60" s="268"/>
    </row>
    <row r="61" customHeight="1" spans="1:26">
      <c r="A61" s="271" t="s">
        <v>4197</v>
      </c>
      <c r="B61" s="268" t="s">
        <v>4200</v>
      </c>
      <c r="C61" s="271"/>
      <c r="D61" s="268"/>
      <c r="E61" s="268"/>
      <c r="F61" s="268"/>
      <c r="G61" s="268"/>
      <c r="H61" s="268"/>
      <c r="I61" s="268"/>
      <c r="J61" s="268"/>
      <c r="K61" s="268"/>
      <c r="L61" s="268"/>
      <c r="M61" s="268"/>
      <c r="N61" s="268"/>
      <c r="O61" s="268"/>
      <c r="P61" s="268"/>
      <c r="Q61" s="268"/>
      <c r="R61" s="268"/>
      <c r="S61" s="268"/>
      <c r="T61" s="268"/>
      <c r="U61" s="268"/>
      <c r="V61" s="268"/>
      <c r="W61" s="268"/>
      <c r="X61" s="268"/>
      <c r="Y61" s="268"/>
      <c r="Z61" s="268"/>
    </row>
    <row r="62" customHeight="1" spans="1:26">
      <c r="A62" s="271" t="s">
        <v>4201</v>
      </c>
      <c r="B62" s="268" t="s">
        <v>4202</v>
      </c>
      <c r="C62" s="271"/>
      <c r="D62" s="268"/>
      <c r="E62" s="268"/>
      <c r="F62" s="268"/>
      <c r="G62" s="268"/>
      <c r="H62" s="268"/>
      <c r="I62" s="268"/>
      <c r="J62" s="268"/>
      <c r="K62" s="268"/>
      <c r="L62" s="268"/>
      <c r="M62" s="268"/>
      <c r="N62" s="268"/>
      <c r="O62" s="268"/>
      <c r="P62" s="268"/>
      <c r="Q62" s="268"/>
      <c r="R62" s="268"/>
      <c r="S62" s="268"/>
      <c r="T62" s="268"/>
      <c r="U62" s="268"/>
      <c r="V62" s="268"/>
      <c r="W62" s="268"/>
      <c r="X62" s="268"/>
      <c r="Y62" s="268"/>
      <c r="Z62" s="268"/>
    </row>
    <row r="63" customHeight="1" spans="1:26">
      <c r="A63" s="271" t="s">
        <v>4201</v>
      </c>
      <c r="B63" s="268" t="s">
        <v>4203</v>
      </c>
      <c r="C63" s="271"/>
      <c r="D63" s="268"/>
      <c r="E63" s="268"/>
      <c r="F63" s="268"/>
      <c r="G63" s="268"/>
      <c r="H63" s="268"/>
      <c r="I63" s="268"/>
      <c r="J63" s="268"/>
      <c r="K63" s="268"/>
      <c r="L63" s="268"/>
      <c r="M63" s="268"/>
      <c r="N63" s="268"/>
      <c r="O63" s="268"/>
      <c r="P63" s="268"/>
      <c r="Q63" s="268"/>
      <c r="R63" s="268"/>
      <c r="S63" s="268"/>
      <c r="T63" s="268"/>
      <c r="U63" s="268"/>
      <c r="V63" s="268"/>
      <c r="W63" s="268"/>
      <c r="X63" s="268"/>
      <c r="Y63" s="268"/>
      <c r="Z63" s="268"/>
    </row>
    <row r="64" customHeight="1" spans="1:26">
      <c r="A64" s="271" t="s">
        <v>4114</v>
      </c>
      <c r="B64" s="268" t="s">
        <v>4204</v>
      </c>
      <c r="C64" s="271"/>
      <c r="D64" s="268"/>
      <c r="E64" s="268"/>
      <c r="F64" s="268"/>
      <c r="G64" s="268"/>
      <c r="H64" s="268"/>
      <c r="I64" s="268"/>
      <c r="J64" s="268"/>
      <c r="K64" s="268"/>
      <c r="L64" s="268"/>
      <c r="M64" s="268"/>
      <c r="N64" s="268"/>
      <c r="O64" s="268"/>
      <c r="P64" s="268"/>
      <c r="Q64" s="268"/>
      <c r="R64" s="268"/>
      <c r="S64" s="268"/>
      <c r="T64" s="268"/>
      <c r="U64" s="268"/>
      <c r="V64" s="268"/>
      <c r="W64" s="268"/>
      <c r="X64" s="268"/>
      <c r="Y64" s="268"/>
      <c r="Z64" s="268"/>
    </row>
    <row r="65" customHeight="1" spans="1:26">
      <c r="A65" s="271" t="s">
        <v>4114</v>
      </c>
      <c r="B65" s="268" t="s">
        <v>4205</v>
      </c>
      <c r="C65" s="271"/>
      <c r="D65" s="268"/>
      <c r="E65" s="268"/>
      <c r="F65" s="268"/>
      <c r="G65" s="268"/>
      <c r="H65" s="268"/>
      <c r="I65" s="268"/>
      <c r="J65" s="268"/>
      <c r="K65" s="268"/>
      <c r="L65" s="268"/>
      <c r="M65" s="268"/>
      <c r="N65" s="268"/>
      <c r="O65" s="268"/>
      <c r="P65" s="268"/>
      <c r="Q65" s="268"/>
      <c r="R65" s="268"/>
      <c r="S65" s="268"/>
      <c r="T65" s="268"/>
      <c r="U65" s="268"/>
      <c r="V65" s="268"/>
      <c r="W65" s="268"/>
      <c r="X65" s="268"/>
      <c r="Y65" s="268"/>
      <c r="Z65" s="268"/>
    </row>
    <row r="66" customHeight="1" spans="1:26">
      <c r="A66" s="275" t="s">
        <v>4129</v>
      </c>
      <c r="B66" s="268" t="s">
        <v>4206</v>
      </c>
      <c r="C66" s="271" t="s">
        <v>4207</v>
      </c>
      <c r="D66" s="268"/>
      <c r="E66" s="268"/>
      <c r="F66" s="268"/>
      <c r="G66" s="268"/>
      <c r="H66" s="268"/>
      <c r="I66" s="268"/>
      <c r="J66" s="268"/>
      <c r="K66" s="268"/>
      <c r="L66" s="268"/>
      <c r="M66" s="268"/>
      <c r="N66" s="268"/>
      <c r="O66" s="268"/>
      <c r="P66" s="268"/>
      <c r="Q66" s="268"/>
      <c r="R66" s="268"/>
      <c r="S66" s="268"/>
      <c r="T66" s="268"/>
      <c r="U66" s="268"/>
      <c r="V66" s="268"/>
      <c r="W66" s="268"/>
      <c r="X66" s="268"/>
      <c r="Y66" s="268"/>
      <c r="Z66" s="268"/>
    </row>
    <row r="67" customHeight="1" spans="1:26">
      <c r="A67" s="276" t="s">
        <v>4114</v>
      </c>
      <c r="B67" s="268" t="s">
        <v>4208</v>
      </c>
      <c r="C67" s="271" t="s">
        <v>4209</v>
      </c>
      <c r="D67" s="268"/>
      <c r="E67" s="268"/>
      <c r="F67" s="268"/>
      <c r="G67" s="268"/>
      <c r="H67" s="268"/>
      <c r="I67" s="268"/>
      <c r="J67" s="268"/>
      <c r="K67" s="268"/>
      <c r="L67" s="268"/>
      <c r="M67" s="268"/>
      <c r="N67" s="268"/>
      <c r="O67" s="268"/>
      <c r="P67" s="268"/>
      <c r="Q67" s="268"/>
      <c r="R67" s="268"/>
      <c r="S67" s="268"/>
      <c r="T67" s="268"/>
      <c r="U67" s="268"/>
      <c r="V67" s="268"/>
      <c r="W67" s="268"/>
      <c r="X67" s="268"/>
      <c r="Y67" s="268"/>
      <c r="Z67" s="268"/>
    </row>
    <row r="68" customHeight="1" spans="1:26">
      <c r="A68" s="271" t="s">
        <v>4119</v>
      </c>
      <c r="B68" s="268" t="s">
        <v>4210</v>
      </c>
      <c r="C68" s="271" t="s">
        <v>4207</v>
      </c>
      <c r="D68" s="268"/>
      <c r="E68" s="268"/>
      <c r="F68" s="268"/>
      <c r="G68" s="268"/>
      <c r="H68" s="268"/>
      <c r="I68" s="268"/>
      <c r="J68" s="268"/>
      <c r="K68" s="268"/>
      <c r="L68" s="268"/>
      <c r="M68" s="268"/>
      <c r="N68" s="268"/>
      <c r="O68" s="268"/>
      <c r="P68" s="268"/>
      <c r="Q68" s="268"/>
      <c r="R68" s="268"/>
      <c r="S68" s="268"/>
      <c r="T68" s="268"/>
      <c r="U68" s="268"/>
      <c r="V68" s="268"/>
      <c r="W68" s="268"/>
      <c r="X68" s="268"/>
      <c r="Y68" s="268"/>
      <c r="Z68" s="268"/>
    </row>
    <row r="69" customHeight="1" spans="1:26">
      <c r="A69" s="277" t="s">
        <v>4119</v>
      </c>
      <c r="B69" s="274" t="s">
        <v>4211</v>
      </c>
      <c r="C69" s="271" t="s">
        <v>4207</v>
      </c>
      <c r="D69" s="268"/>
      <c r="E69" s="268"/>
      <c r="F69" s="268"/>
      <c r="G69" s="268"/>
      <c r="H69" s="268"/>
      <c r="I69" s="268"/>
      <c r="J69" s="268"/>
      <c r="K69" s="268"/>
      <c r="L69" s="268"/>
      <c r="M69" s="268"/>
      <c r="N69" s="268"/>
      <c r="O69" s="268"/>
      <c r="P69" s="268"/>
      <c r="Q69" s="268"/>
      <c r="R69" s="268"/>
      <c r="S69" s="268"/>
      <c r="T69" s="268"/>
      <c r="U69" s="268"/>
      <c r="V69" s="268"/>
      <c r="W69" s="268"/>
      <c r="X69" s="268"/>
      <c r="Y69" s="268"/>
      <c r="Z69" s="268"/>
    </row>
    <row r="70" customHeight="1" spans="1:26">
      <c r="A70" s="278" t="s">
        <v>4197</v>
      </c>
      <c r="B70" s="268" t="s">
        <v>4212</v>
      </c>
      <c r="C70" s="271" t="s">
        <v>4117</v>
      </c>
      <c r="D70" s="268"/>
      <c r="E70" s="268"/>
      <c r="F70" s="268"/>
      <c r="G70" s="268"/>
      <c r="H70" s="268"/>
      <c r="I70" s="268"/>
      <c r="J70" s="268"/>
      <c r="K70" s="268"/>
      <c r="L70" s="268"/>
      <c r="M70" s="268"/>
      <c r="N70" s="268"/>
      <c r="O70" s="268"/>
      <c r="P70" s="268"/>
      <c r="Q70" s="268"/>
      <c r="R70" s="268"/>
      <c r="S70" s="268"/>
      <c r="T70" s="268"/>
      <c r="U70" s="268"/>
      <c r="V70" s="268"/>
      <c r="W70" s="268"/>
      <c r="X70" s="268"/>
      <c r="Y70" s="268"/>
      <c r="Z70" s="268"/>
    </row>
    <row r="71" customHeight="1" spans="1:26">
      <c r="A71" s="278" t="s">
        <v>4197</v>
      </c>
      <c r="B71" s="268" t="s">
        <v>4213</v>
      </c>
      <c r="C71" s="271" t="s">
        <v>4117</v>
      </c>
      <c r="D71" s="268"/>
      <c r="E71" s="268"/>
      <c r="F71" s="268"/>
      <c r="G71" s="268"/>
      <c r="H71" s="268"/>
      <c r="I71" s="268"/>
      <c r="J71" s="268"/>
      <c r="K71" s="268"/>
      <c r="L71" s="268"/>
      <c r="M71" s="268"/>
      <c r="N71" s="268"/>
      <c r="O71" s="268"/>
      <c r="P71" s="268"/>
      <c r="Q71" s="268"/>
      <c r="R71" s="268"/>
      <c r="S71" s="268"/>
      <c r="T71" s="268"/>
      <c r="U71" s="268"/>
      <c r="V71" s="268"/>
      <c r="W71" s="268"/>
      <c r="X71" s="268"/>
      <c r="Y71" s="268"/>
      <c r="Z71" s="268"/>
    </row>
    <row r="72" customHeight="1" spans="1:26">
      <c r="A72" s="277" t="s">
        <v>4119</v>
      </c>
      <c r="B72" s="268" t="s">
        <v>4214</v>
      </c>
      <c r="C72" s="271" t="s">
        <v>4117</v>
      </c>
      <c r="D72" s="268"/>
      <c r="E72" s="268"/>
      <c r="F72" s="268"/>
      <c r="G72" s="268"/>
      <c r="H72" s="268"/>
      <c r="I72" s="268"/>
      <c r="J72" s="268"/>
      <c r="K72" s="268"/>
      <c r="L72" s="268"/>
      <c r="M72" s="268"/>
      <c r="N72" s="268"/>
      <c r="O72" s="268"/>
      <c r="P72" s="268"/>
      <c r="Q72" s="268"/>
      <c r="R72" s="268"/>
      <c r="S72" s="268"/>
      <c r="T72" s="268"/>
      <c r="U72" s="268"/>
      <c r="V72" s="268"/>
      <c r="W72" s="268"/>
      <c r="X72" s="268"/>
      <c r="Y72" s="268"/>
      <c r="Z72" s="268"/>
    </row>
    <row r="73" customHeight="1" spans="1:26">
      <c r="A73" s="276" t="s">
        <v>4114</v>
      </c>
      <c r="B73" s="268" t="s">
        <v>4215</v>
      </c>
      <c r="C73" s="271" t="s">
        <v>4117</v>
      </c>
      <c r="D73" s="268"/>
      <c r="E73" s="268"/>
      <c r="F73" s="268"/>
      <c r="G73" s="268"/>
      <c r="H73" s="268"/>
      <c r="I73" s="268"/>
      <c r="J73" s="268"/>
      <c r="K73" s="268"/>
      <c r="L73" s="268"/>
      <c r="M73" s="268"/>
      <c r="N73" s="268"/>
      <c r="O73" s="268"/>
      <c r="P73" s="268"/>
      <c r="Q73" s="268"/>
      <c r="R73" s="268"/>
      <c r="S73" s="268"/>
      <c r="T73" s="268"/>
      <c r="U73" s="268"/>
      <c r="V73" s="268"/>
      <c r="W73" s="268"/>
      <c r="X73" s="268"/>
      <c r="Y73" s="268"/>
      <c r="Z73" s="268"/>
    </row>
    <row r="74" customHeight="1" spans="1:26">
      <c r="A74" s="279" t="s">
        <v>4201</v>
      </c>
      <c r="B74" s="268" t="s">
        <v>4216</v>
      </c>
      <c r="C74" s="271" t="s">
        <v>4117</v>
      </c>
      <c r="D74" s="268"/>
      <c r="E74" s="268"/>
      <c r="F74" s="268"/>
      <c r="G74" s="268"/>
      <c r="H74" s="268"/>
      <c r="I74" s="268"/>
      <c r="J74" s="268"/>
      <c r="K74" s="268"/>
      <c r="L74" s="268"/>
      <c r="M74" s="268"/>
      <c r="N74" s="268"/>
      <c r="O74" s="268"/>
      <c r="P74" s="268"/>
      <c r="Q74" s="268"/>
      <c r="R74" s="268"/>
      <c r="S74" s="268"/>
      <c r="T74" s="268"/>
      <c r="U74" s="268"/>
      <c r="V74" s="268"/>
      <c r="W74" s="268"/>
      <c r="X74" s="268"/>
      <c r="Y74" s="268"/>
      <c r="Z74" s="268"/>
    </row>
    <row r="75" customHeight="1" spans="1:26">
      <c r="A75" s="279" t="s">
        <v>4201</v>
      </c>
      <c r="B75" s="274" t="s">
        <v>4217</v>
      </c>
      <c r="C75" s="271" t="s">
        <v>4117</v>
      </c>
      <c r="D75" s="268"/>
      <c r="E75" s="268"/>
      <c r="F75" s="268"/>
      <c r="G75" s="268"/>
      <c r="H75" s="268"/>
      <c r="I75" s="268"/>
      <c r="J75" s="268"/>
      <c r="K75" s="268"/>
      <c r="L75" s="268"/>
      <c r="M75" s="268"/>
      <c r="N75" s="268"/>
      <c r="O75" s="268"/>
      <c r="P75" s="268"/>
      <c r="Q75" s="268"/>
      <c r="R75" s="268"/>
      <c r="S75" s="268"/>
      <c r="T75" s="268"/>
      <c r="U75" s="268"/>
      <c r="V75" s="268"/>
      <c r="W75" s="268"/>
      <c r="X75" s="268"/>
      <c r="Y75" s="268"/>
      <c r="Z75" s="268"/>
    </row>
    <row r="76" customHeight="1" spans="1:26">
      <c r="A76" s="276" t="s">
        <v>4114</v>
      </c>
      <c r="B76" s="268" t="s">
        <v>4218</v>
      </c>
      <c r="C76" s="271" t="s">
        <v>4117</v>
      </c>
      <c r="D76" s="268"/>
      <c r="E76" s="268"/>
      <c r="F76" s="268"/>
      <c r="G76" s="268"/>
      <c r="H76" s="268"/>
      <c r="I76" s="268"/>
      <c r="J76" s="268"/>
      <c r="K76" s="268"/>
      <c r="L76" s="268"/>
      <c r="M76" s="268"/>
      <c r="N76" s="268"/>
      <c r="O76" s="268"/>
      <c r="P76" s="268"/>
      <c r="Q76" s="268"/>
      <c r="R76" s="268"/>
      <c r="S76" s="268"/>
      <c r="T76" s="268"/>
      <c r="U76" s="268"/>
      <c r="V76" s="268"/>
      <c r="W76" s="268"/>
      <c r="X76" s="268"/>
      <c r="Y76" s="268"/>
      <c r="Z76" s="268"/>
    </row>
    <row r="77" customHeight="1" spans="1:26">
      <c r="A77" s="271" t="s">
        <v>4201</v>
      </c>
      <c r="B77" s="274" t="s">
        <v>4219</v>
      </c>
      <c r="C77" s="271" t="s">
        <v>4117</v>
      </c>
      <c r="D77" s="268"/>
      <c r="E77" s="268"/>
      <c r="F77" s="268"/>
      <c r="G77" s="268"/>
      <c r="H77" s="268"/>
      <c r="I77" s="268"/>
      <c r="J77" s="268"/>
      <c r="K77" s="268"/>
      <c r="L77" s="268"/>
      <c r="M77" s="268"/>
      <c r="N77" s="268"/>
      <c r="O77" s="268"/>
      <c r="P77" s="268"/>
      <c r="Q77" s="268"/>
      <c r="R77" s="268"/>
      <c r="S77" s="268"/>
      <c r="T77" s="268"/>
      <c r="U77" s="268"/>
      <c r="V77" s="268"/>
      <c r="W77" s="268"/>
      <c r="X77" s="268"/>
      <c r="Y77" s="268"/>
      <c r="Z77" s="268"/>
    </row>
    <row r="78" customHeight="1" spans="1:26">
      <c r="A78" s="271" t="s">
        <v>4119</v>
      </c>
      <c r="B78" s="274" t="s">
        <v>4220</v>
      </c>
      <c r="C78" s="271" t="s">
        <v>4117</v>
      </c>
      <c r="D78" s="268"/>
      <c r="E78" s="268"/>
      <c r="F78" s="268"/>
      <c r="G78" s="268"/>
      <c r="H78" s="268"/>
      <c r="I78" s="268"/>
      <c r="J78" s="268"/>
      <c r="K78" s="268"/>
      <c r="L78" s="268"/>
      <c r="M78" s="268"/>
      <c r="N78" s="268"/>
      <c r="O78" s="268"/>
      <c r="P78" s="268"/>
      <c r="Q78" s="268"/>
      <c r="R78" s="268"/>
      <c r="S78" s="268"/>
      <c r="T78" s="268"/>
      <c r="U78" s="268"/>
      <c r="V78" s="268"/>
      <c r="W78" s="268"/>
      <c r="X78" s="268"/>
      <c r="Y78" s="268"/>
      <c r="Z78" s="268"/>
    </row>
    <row r="79" customHeight="1" spans="1:26">
      <c r="A79" s="271" t="s">
        <v>4114</v>
      </c>
      <c r="B79" s="268" t="s">
        <v>4221</v>
      </c>
      <c r="C79" s="271" t="s">
        <v>4222</v>
      </c>
      <c r="D79" s="268"/>
      <c r="E79" s="268"/>
      <c r="F79" s="268"/>
      <c r="G79" s="268"/>
      <c r="H79" s="268"/>
      <c r="I79" s="268"/>
      <c r="J79" s="268"/>
      <c r="K79" s="268"/>
      <c r="L79" s="268"/>
      <c r="M79" s="268"/>
      <c r="N79" s="268"/>
      <c r="O79" s="268"/>
      <c r="P79" s="268"/>
      <c r="Q79" s="268"/>
      <c r="R79" s="268"/>
      <c r="S79" s="268"/>
      <c r="T79" s="268"/>
      <c r="U79" s="268"/>
      <c r="V79" s="268"/>
      <c r="W79" s="268"/>
      <c r="X79" s="268"/>
      <c r="Y79" s="268"/>
      <c r="Z79" s="268"/>
    </row>
    <row r="80" customHeight="1" spans="1:26">
      <c r="A80" s="271" t="s">
        <v>4119</v>
      </c>
      <c r="B80" s="268" t="s">
        <v>4223</v>
      </c>
      <c r="C80" s="271" t="s">
        <v>4117</v>
      </c>
      <c r="D80" s="268"/>
      <c r="E80" s="268"/>
      <c r="F80" s="268"/>
      <c r="G80" s="268"/>
      <c r="H80" s="268"/>
      <c r="I80" s="268"/>
      <c r="J80" s="268"/>
      <c r="K80" s="268"/>
      <c r="L80" s="268"/>
      <c r="M80" s="268"/>
      <c r="N80" s="268"/>
      <c r="O80" s="268"/>
      <c r="P80" s="268"/>
      <c r="Q80" s="268"/>
      <c r="R80" s="268"/>
      <c r="S80" s="268"/>
      <c r="T80" s="268"/>
      <c r="U80" s="268"/>
      <c r="V80" s="268"/>
      <c r="W80" s="268"/>
      <c r="X80" s="268"/>
      <c r="Y80" s="268"/>
      <c r="Z80" s="268"/>
    </row>
    <row r="81" customHeight="1" spans="1:26">
      <c r="A81" s="271" t="s">
        <v>4119</v>
      </c>
      <c r="B81" s="268" t="s">
        <v>4224</v>
      </c>
      <c r="C81" s="271" t="s">
        <v>4117</v>
      </c>
      <c r="D81" s="268"/>
      <c r="E81" s="268"/>
      <c r="F81" s="268"/>
      <c r="G81" s="268"/>
      <c r="H81" s="268"/>
      <c r="I81" s="268"/>
      <c r="J81" s="268"/>
      <c r="K81" s="268"/>
      <c r="L81" s="268"/>
      <c r="M81" s="268"/>
      <c r="N81" s="268"/>
      <c r="O81" s="268"/>
      <c r="P81" s="268"/>
      <c r="Q81" s="268"/>
      <c r="R81" s="268"/>
      <c r="S81" s="268"/>
      <c r="T81" s="268"/>
      <c r="U81" s="268"/>
      <c r="V81" s="268"/>
      <c r="W81" s="268"/>
      <c r="X81" s="268"/>
      <c r="Y81" s="268"/>
      <c r="Z81" s="268"/>
    </row>
    <row r="82" customHeight="1" spans="1:26">
      <c r="A82" s="271" t="s">
        <v>4129</v>
      </c>
      <c r="B82" s="268" t="s">
        <v>4225</v>
      </c>
      <c r="C82" s="271" t="s">
        <v>4117</v>
      </c>
      <c r="D82" s="268"/>
      <c r="E82" s="268"/>
      <c r="F82" s="268"/>
      <c r="G82" s="268"/>
      <c r="H82" s="268"/>
      <c r="I82" s="268"/>
      <c r="J82" s="268"/>
      <c r="K82" s="268"/>
      <c r="L82" s="268"/>
      <c r="M82" s="268"/>
      <c r="N82" s="268"/>
      <c r="O82" s="268"/>
      <c r="P82" s="268"/>
      <c r="Q82" s="268"/>
      <c r="R82" s="268"/>
      <c r="S82" s="268"/>
      <c r="T82" s="268"/>
      <c r="U82" s="268"/>
      <c r="V82" s="268"/>
      <c r="W82" s="268"/>
      <c r="X82" s="268"/>
      <c r="Y82" s="268"/>
      <c r="Z82" s="268"/>
    </row>
    <row r="83" customHeight="1" spans="1:26">
      <c r="A83" s="271" t="s">
        <v>4114</v>
      </c>
      <c r="B83" s="274" t="s">
        <v>4226</v>
      </c>
      <c r="C83" s="271" t="s">
        <v>4117</v>
      </c>
      <c r="D83" s="268"/>
      <c r="E83" s="268"/>
      <c r="F83" s="268"/>
      <c r="G83" s="268"/>
      <c r="H83" s="268"/>
      <c r="I83" s="268"/>
      <c r="J83" s="268"/>
      <c r="K83" s="268"/>
      <c r="L83" s="268"/>
      <c r="M83" s="268"/>
      <c r="N83" s="268"/>
      <c r="O83" s="268"/>
      <c r="P83" s="268"/>
      <c r="Q83" s="268"/>
      <c r="R83" s="268"/>
      <c r="S83" s="268"/>
      <c r="T83" s="268"/>
      <c r="U83" s="268"/>
      <c r="V83" s="268"/>
      <c r="W83" s="268"/>
      <c r="X83" s="268"/>
      <c r="Y83" s="268"/>
      <c r="Z83" s="268"/>
    </row>
    <row r="84" customHeight="1" spans="1:26">
      <c r="A84" s="275" t="s">
        <v>4129</v>
      </c>
      <c r="B84" s="268" t="s">
        <v>4227</v>
      </c>
      <c r="C84" s="271" t="s">
        <v>4117</v>
      </c>
      <c r="D84" s="268"/>
      <c r="E84" s="268"/>
      <c r="F84" s="268"/>
      <c r="G84" s="268"/>
      <c r="H84" s="268"/>
      <c r="I84" s="268"/>
      <c r="J84" s="268"/>
      <c r="K84" s="268"/>
      <c r="L84" s="268"/>
      <c r="M84" s="268"/>
      <c r="N84" s="268"/>
      <c r="O84" s="268"/>
      <c r="P84" s="268"/>
      <c r="Q84" s="268"/>
      <c r="R84" s="268"/>
      <c r="S84" s="268"/>
      <c r="T84" s="268"/>
      <c r="U84" s="268"/>
      <c r="V84" s="268"/>
      <c r="W84" s="268"/>
      <c r="X84" s="268"/>
      <c r="Y84" s="268"/>
      <c r="Z84" s="268"/>
    </row>
    <row r="85" customHeight="1" spans="1:26">
      <c r="A85" s="275" t="s">
        <v>4129</v>
      </c>
      <c r="B85" s="268" t="s">
        <v>4228</v>
      </c>
      <c r="C85" s="271" t="s">
        <v>4117</v>
      </c>
      <c r="D85" s="268"/>
      <c r="E85" s="268"/>
      <c r="F85" s="268"/>
      <c r="G85" s="268"/>
      <c r="H85" s="268"/>
      <c r="I85" s="268"/>
      <c r="J85" s="268"/>
      <c r="K85" s="268"/>
      <c r="L85" s="268"/>
      <c r="M85" s="268"/>
      <c r="N85" s="268"/>
      <c r="O85" s="268"/>
      <c r="P85" s="268"/>
      <c r="Q85" s="268"/>
      <c r="R85" s="268"/>
      <c r="S85" s="268"/>
      <c r="T85" s="268"/>
      <c r="U85" s="268"/>
      <c r="V85" s="268"/>
      <c r="W85" s="268"/>
      <c r="X85" s="268"/>
      <c r="Y85" s="268"/>
      <c r="Z85" s="268"/>
    </row>
    <row r="86" customHeight="1" spans="1:26">
      <c r="A86" s="271" t="s">
        <v>4119</v>
      </c>
      <c r="B86" s="268" t="s">
        <v>4229</v>
      </c>
      <c r="C86" s="271" t="s">
        <v>4117</v>
      </c>
      <c r="D86" s="268"/>
      <c r="E86" s="268"/>
      <c r="F86" s="268"/>
      <c r="G86" s="268"/>
      <c r="H86" s="268"/>
      <c r="I86" s="268"/>
      <c r="J86" s="268"/>
      <c r="K86" s="268"/>
      <c r="L86" s="268"/>
      <c r="M86" s="268"/>
      <c r="N86" s="268"/>
      <c r="O86" s="268"/>
      <c r="P86" s="268"/>
      <c r="Q86" s="268"/>
      <c r="R86" s="268"/>
      <c r="S86" s="268"/>
      <c r="T86" s="268"/>
      <c r="U86" s="268"/>
      <c r="V86" s="268"/>
      <c r="W86" s="268"/>
      <c r="X86" s="268"/>
      <c r="Y86" s="268"/>
      <c r="Z86" s="268"/>
    </row>
    <row r="87" customHeight="1" spans="1:26">
      <c r="A87" s="271" t="s">
        <v>4119</v>
      </c>
      <c r="B87" s="268" t="s">
        <v>4230</v>
      </c>
      <c r="C87" s="271" t="s">
        <v>4117</v>
      </c>
      <c r="D87" s="268"/>
      <c r="E87" s="268"/>
      <c r="F87" s="268"/>
      <c r="G87" s="268"/>
      <c r="H87" s="268"/>
      <c r="I87" s="268"/>
      <c r="J87" s="268"/>
      <c r="K87" s="268"/>
      <c r="L87" s="268"/>
      <c r="M87" s="268"/>
      <c r="N87" s="268"/>
      <c r="O87" s="268"/>
      <c r="P87" s="268"/>
      <c r="Q87" s="268"/>
      <c r="R87" s="268"/>
      <c r="S87" s="268"/>
      <c r="T87" s="268"/>
      <c r="U87" s="268"/>
      <c r="V87" s="268"/>
      <c r="W87" s="268"/>
      <c r="X87" s="268"/>
      <c r="Y87" s="268"/>
      <c r="Z87" s="268"/>
    </row>
    <row r="88" customHeight="1" spans="1:26">
      <c r="A88" s="271" t="s">
        <v>4191</v>
      </c>
      <c r="B88" s="268" t="s">
        <v>4231</v>
      </c>
      <c r="C88" s="271" t="s">
        <v>4117</v>
      </c>
      <c r="D88" s="268"/>
      <c r="E88" s="268"/>
      <c r="F88" s="268"/>
      <c r="G88" s="268"/>
      <c r="H88" s="268"/>
      <c r="I88" s="268"/>
      <c r="J88" s="268"/>
      <c r="K88" s="268"/>
      <c r="L88" s="268"/>
      <c r="M88" s="268"/>
      <c r="N88" s="268"/>
      <c r="O88" s="268"/>
      <c r="P88" s="268"/>
      <c r="Q88" s="268"/>
      <c r="R88" s="268"/>
      <c r="S88" s="268"/>
      <c r="T88" s="268"/>
      <c r="U88" s="268"/>
      <c r="V88" s="268"/>
      <c r="W88" s="268"/>
      <c r="X88" s="268"/>
      <c r="Y88" s="268"/>
      <c r="Z88" s="268"/>
    </row>
    <row r="89" customHeight="1" spans="1:26">
      <c r="A89" s="271" t="s">
        <v>4114</v>
      </c>
      <c r="B89" s="268" t="s">
        <v>4232</v>
      </c>
      <c r="C89" s="271" t="s">
        <v>4117</v>
      </c>
      <c r="D89" s="268"/>
      <c r="E89" s="268"/>
      <c r="F89" s="268"/>
      <c r="G89" s="268"/>
      <c r="H89" s="268"/>
      <c r="I89" s="268"/>
      <c r="J89" s="268"/>
      <c r="K89" s="268"/>
      <c r="L89" s="268"/>
      <c r="M89" s="268"/>
      <c r="N89" s="268"/>
      <c r="O89" s="268"/>
      <c r="P89" s="268"/>
      <c r="Q89" s="268"/>
      <c r="R89" s="268"/>
      <c r="S89" s="268"/>
      <c r="T89" s="268"/>
      <c r="U89" s="268"/>
      <c r="V89" s="268"/>
      <c r="W89" s="268"/>
      <c r="X89" s="268"/>
      <c r="Y89" s="268"/>
      <c r="Z89" s="268"/>
    </row>
    <row r="90" customHeight="1" spans="1:26">
      <c r="A90" s="271" t="s">
        <v>4114</v>
      </c>
      <c r="B90" s="274" t="s">
        <v>4233</v>
      </c>
      <c r="C90" s="271" t="s">
        <v>4117</v>
      </c>
      <c r="D90" s="268"/>
      <c r="E90" s="268"/>
      <c r="F90" s="268"/>
      <c r="G90" s="268"/>
      <c r="H90" s="268"/>
      <c r="I90" s="268"/>
      <c r="J90" s="268"/>
      <c r="K90" s="268"/>
      <c r="L90" s="268"/>
      <c r="M90" s="268"/>
      <c r="N90" s="268"/>
      <c r="O90" s="268"/>
      <c r="P90" s="268"/>
      <c r="Q90" s="268"/>
      <c r="R90" s="268"/>
      <c r="S90" s="268"/>
      <c r="T90" s="268"/>
      <c r="U90" s="268"/>
      <c r="V90" s="268"/>
      <c r="W90" s="268"/>
      <c r="X90" s="268"/>
      <c r="Y90" s="268"/>
      <c r="Z90" s="268"/>
    </row>
    <row r="91" customHeight="1" spans="1:26">
      <c r="A91" s="271" t="s">
        <v>4114</v>
      </c>
      <c r="B91" s="268" t="s">
        <v>4234</v>
      </c>
      <c r="C91" s="271" t="s">
        <v>4117</v>
      </c>
      <c r="D91" s="268"/>
      <c r="E91" s="268"/>
      <c r="F91" s="268"/>
      <c r="G91" s="268"/>
      <c r="H91" s="268"/>
      <c r="I91" s="268"/>
      <c r="J91" s="268"/>
      <c r="K91" s="268"/>
      <c r="L91" s="268"/>
      <c r="M91" s="268"/>
      <c r="N91" s="268"/>
      <c r="O91" s="268"/>
      <c r="P91" s="268"/>
      <c r="Q91" s="268"/>
      <c r="R91" s="268"/>
      <c r="S91" s="268"/>
      <c r="T91" s="268"/>
      <c r="U91" s="268"/>
      <c r="V91" s="268"/>
      <c r="W91" s="268"/>
      <c r="X91" s="268"/>
      <c r="Y91" s="268"/>
      <c r="Z91" s="268"/>
    </row>
    <row r="92" customHeight="1" spans="1:26">
      <c r="A92" s="271" t="s">
        <v>4114</v>
      </c>
      <c r="B92" s="274" t="s">
        <v>4235</v>
      </c>
      <c r="C92" s="271" t="s">
        <v>4117</v>
      </c>
      <c r="D92" s="268"/>
      <c r="E92" s="268"/>
      <c r="F92" s="268"/>
      <c r="G92" s="268"/>
      <c r="H92" s="268"/>
      <c r="I92" s="268"/>
      <c r="J92" s="268"/>
      <c r="K92" s="268"/>
      <c r="L92" s="268"/>
      <c r="M92" s="268"/>
      <c r="N92" s="268"/>
      <c r="O92" s="268"/>
      <c r="P92" s="268"/>
      <c r="Q92" s="268"/>
      <c r="R92" s="268"/>
      <c r="S92" s="268"/>
      <c r="T92" s="268"/>
      <c r="U92" s="268"/>
      <c r="V92" s="268"/>
      <c r="W92" s="268"/>
      <c r="X92" s="268"/>
      <c r="Y92" s="268"/>
      <c r="Z92" s="268"/>
    </row>
    <row r="93" customHeight="1" spans="1:26">
      <c r="A93" s="271" t="s">
        <v>4114</v>
      </c>
      <c r="B93" s="268" t="s">
        <v>4236</v>
      </c>
      <c r="C93" s="271" t="s">
        <v>4117</v>
      </c>
      <c r="D93" s="268"/>
      <c r="E93" s="268"/>
      <c r="F93" s="268"/>
      <c r="G93" s="268"/>
      <c r="H93" s="268"/>
      <c r="I93" s="268"/>
      <c r="J93" s="268"/>
      <c r="K93" s="268"/>
      <c r="L93" s="268"/>
      <c r="M93" s="268"/>
      <c r="N93" s="268"/>
      <c r="O93" s="268"/>
      <c r="P93" s="268"/>
      <c r="Q93" s="268"/>
      <c r="R93" s="268"/>
      <c r="S93" s="268"/>
      <c r="T93" s="268"/>
      <c r="U93" s="268"/>
      <c r="V93" s="268"/>
      <c r="W93" s="268"/>
      <c r="X93" s="268"/>
      <c r="Y93" s="268"/>
      <c r="Z93" s="268"/>
    </row>
    <row r="94" customHeight="1" spans="1:26">
      <c r="A94" s="271" t="s">
        <v>4237</v>
      </c>
      <c r="B94" s="268" t="s">
        <v>4238</v>
      </c>
      <c r="C94" s="271" t="s">
        <v>4117</v>
      </c>
      <c r="D94" s="268"/>
      <c r="E94" s="268"/>
      <c r="F94" s="268"/>
      <c r="G94" s="268"/>
      <c r="H94" s="268"/>
      <c r="I94" s="268"/>
      <c r="J94" s="268"/>
      <c r="K94" s="268"/>
      <c r="L94" s="268"/>
      <c r="M94" s="268"/>
      <c r="N94" s="268"/>
      <c r="O94" s="268"/>
      <c r="P94" s="268"/>
      <c r="Q94" s="268"/>
      <c r="R94" s="268"/>
      <c r="S94" s="268"/>
      <c r="T94" s="268"/>
      <c r="U94" s="268"/>
      <c r="V94" s="268"/>
      <c r="W94" s="268"/>
      <c r="X94" s="268"/>
      <c r="Y94" s="268"/>
      <c r="Z94" s="268"/>
    </row>
    <row r="95" customHeight="1" spans="1:26">
      <c r="A95" s="271" t="s">
        <v>4129</v>
      </c>
      <c r="B95" s="268" t="s">
        <v>4239</v>
      </c>
      <c r="C95" s="271" t="s">
        <v>4117</v>
      </c>
      <c r="D95" s="268"/>
      <c r="E95" s="268"/>
      <c r="F95" s="268"/>
      <c r="G95" s="268"/>
      <c r="H95" s="268"/>
      <c r="I95" s="268"/>
      <c r="J95" s="268"/>
      <c r="K95" s="268"/>
      <c r="L95" s="268"/>
      <c r="M95" s="268"/>
      <c r="N95" s="268"/>
      <c r="O95" s="268"/>
      <c r="P95" s="268"/>
      <c r="Q95" s="268"/>
      <c r="R95" s="268"/>
      <c r="S95" s="268"/>
      <c r="T95" s="268"/>
      <c r="U95" s="268"/>
      <c r="V95" s="268"/>
      <c r="W95" s="268"/>
      <c r="X95" s="268"/>
      <c r="Y95" s="268"/>
      <c r="Z95" s="268"/>
    </row>
    <row r="96" customHeight="1" spans="1:26">
      <c r="A96" s="271" t="s">
        <v>4119</v>
      </c>
      <c r="B96" s="268" t="s">
        <v>4240</v>
      </c>
      <c r="C96" s="271" t="s">
        <v>4117</v>
      </c>
      <c r="D96" s="268"/>
      <c r="E96" s="268"/>
      <c r="F96" s="268"/>
      <c r="G96" s="268"/>
      <c r="H96" s="268"/>
      <c r="I96" s="268"/>
      <c r="J96" s="268"/>
      <c r="K96" s="268"/>
      <c r="L96" s="268"/>
      <c r="M96" s="268"/>
      <c r="N96" s="268"/>
      <c r="O96" s="268"/>
      <c r="P96" s="268"/>
      <c r="Q96" s="268"/>
      <c r="R96" s="268"/>
      <c r="S96" s="268"/>
      <c r="T96" s="268"/>
      <c r="U96" s="268"/>
      <c r="V96" s="268"/>
      <c r="W96" s="268"/>
      <c r="X96" s="268"/>
      <c r="Y96" s="268"/>
      <c r="Z96" s="268"/>
    </row>
    <row r="97" customHeight="1" spans="1:26">
      <c r="A97" s="271" t="s">
        <v>4114</v>
      </c>
      <c r="B97" s="268" t="s">
        <v>4241</v>
      </c>
      <c r="C97" s="271" t="s">
        <v>4117</v>
      </c>
      <c r="D97" s="268"/>
      <c r="E97" s="268"/>
      <c r="F97" s="268"/>
      <c r="G97" s="268"/>
      <c r="H97" s="268"/>
      <c r="I97" s="268"/>
      <c r="J97" s="268"/>
      <c r="K97" s="268"/>
      <c r="L97" s="268"/>
      <c r="M97" s="268"/>
      <c r="N97" s="268"/>
      <c r="O97" s="268"/>
      <c r="P97" s="268"/>
      <c r="Q97" s="268"/>
      <c r="R97" s="268"/>
      <c r="S97" s="268"/>
      <c r="T97" s="268"/>
      <c r="U97" s="268"/>
      <c r="V97" s="268"/>
      <c r="W97" s="268"/>
      <c r="X97" s="268"/>
      <c r="Y97" s="268"/>
      <c r="Z97" s="268"/>
    </row>
    <row r="98" customHeight="1" spans="1:26">
      <c r="A98" s="268"/>
      <c r="B98" s="268"/>
      <c r="C98" s="268"/>
      <c r="D98" s="268"/>
      <c r="E98" s="268"/>
      <c r="F98" s="268"/>
      <c r="G98" s="268"/>
      <c r="H98" s="268"/>
      <c r="I98" s="268"/>
      <c r="J98" s="268"/>
      <c r="K98" s="268"/>
      <c r="L98" s="268"/>
      <c r="M98" s="268"/>
      <c r="N98" s="268"/>
      <c r="O98" s="268"/>
      <c r="P98" s="268"/>
      <c r="Q98" s="268"/>
      <c r="R98" s="268"/>
      <c r="S98" s="268"/>
      <c r="T98" s="268"/>
      <c r="U98" s="268"/>
      <c r="V98" s="268"/>
      <c r="W98" s="268"/>
      <c r="X98" s="268"/>
      <c r="Y98" s="268"/>
      <c r="Z98" s="268"/>
    </row>
    <row r="99" customHeight="1" spans="1:26">
      <c r="A99" s="268"/>
      <c r="B99" s="268"/>
      <c r="C99" s="268"/>
      <c r="D99" s="268"/>
      <c r="E99" s="268"/>
      <c r="F99" s="268"/>
      <c r="G99" s="268"/>
      <c r="H99" s="268"/>
      <c r="I99" s="268"/>
      <c r="J99" s="268"/>
      <c r="K99" s="268"/>
      <c r="L99" s="268"/>
      <c r="M99" s="268"/>
      <c r="N99" s="268"/>
      <c r="O99" s="268"/>
      <c r="P99" s="268"/>
      <c r="Q99" s="268"/>
      <c r="R99" s="268"/>
      <c r="S99" s="268"/>
      <c r="T99" s="268"/>
      <c r="U99" s="268"/>
      <c r="V99" s="268"/>
      <c r="W99" s="268"/>
      <c r="X99" s="268"/>
      <c r="Y99" s="268"/>
      <c r="Z99" s="268"/>
    </row>
    <row r="100" customHeight="1" spans="1:26">
      <c r="A100" s="268"/>
      <c r="B100" s="268"/>
      <c r="C100" s="268"/>
      <c r="D100" s="268"/>
      <c r="E100" s="268"/>
      <c r="F100" s="268"/>
      <c r="G100" s="268"/>
      <c r="H100" s="268"/>
      <c r="I100" s="268"/>
      <c r="J100" s="268"/>
      <c r="K100" s="268"/>
      <c r="L100" s="268"/>
      <c r="M100" s="268"/>
      <c r="N100" s="268"/>
      <c r="O100" s="268"/>
      <c r="P100" s="268"/>
      <c r="Q100" s="268"/>
      <c r="R100" s="268"/>
      <c r="S100" s="268"/>
      <c r="T100" s="268"/>
      <c r="U100" s="268"/>
      <c r="V100" s="268"/>
      <c r="W100" s="268"/>
      <c r="X100" s="268"/>
      <c r="Y100" s="268"/>
      <c r="Z100" s="268"/>
    </row>
    <row r="101" customHeight="1" spans="1:26">
      <c r="A101" s="268"/>
      <c r="B101" s="268"/>
      <c r="C101" s="268"/>
      <c r="D101" s="268"/>
      <c r="E101" s="268"/>
      <c r="F101" s="268"/>
      <c r="G101" s="268"/>
      <c r="H101" s="268"/>
      <c r="I101" s="268"/>
      <c r="J101" s="268"/>
      <c r="K101" s="268"/>
      <c r="L101" s="268"/>
      <c r="M101" s="268"/>
      <c r="N101" s="268"/>
      <c r="O101" s="268"/>
      <c r="P101" s="268"/>
      <c r="Q101" s="268"/>
      <c r="R101" s="268"/>
      <c r="S101" s="268"/>
      <c r="T101" s="268"/>
      <c r="U101" s="268"/>
      <c r="V101" s="268"/>
      <c r="W101" s="268"/>
      <c r="X101" s="268"/>
      <c r="Y101" s="268"/>
      <c r="Z101" s="268"/>
    </row>
    <row r="102" customHeight="1" spans="1:26">
      <c r="A102" s="268"/>
      <c r="B102" s="268"/>
      <c r="C102" s="268"/>
      <c r="D102" s="268"/>
      <c r="E102" s="268"/>
      <c r="F102" s="268"/>
      <c r="G102" s="268"/>
      <c r="H102" s="268"/>
      <c r="I102" s="268"/>
      <c r="J102" s="268"/>
      <c r="K102" s="268"/>
      <c r="L102" s="268"/>
      <c r="M102" s="268"/>
      <c r="N102" s="268"/>
      <c r="O102" s="268"/>
      <c r="P102" s="268"/>
      <c r="Q102" s="268"/>
      <c r="R102" s="268"/>
      <c r="S102" s="268"/>
      <c r="T102" s="268"/>
      <c r="U102" s="268"/>
      <c r="V102" s="268"/>
      <c r="W102" s="268"/>
      <c r="X102" s="268"/>
      <c r="Y102" s="268"/>
      <c r="Z102" s="268"/>
    </row>
    <row r="103" customHeight="1" spans="1:26">
      <c r="A103" s="268"/>
      <c r="B103" s="268"/>
      <c r="C103" s="268"/>
      <c r="D103" s="268"/>
      <c r="E103" s="268"/>
      <c r="F103" s="268"/>
      <c r="G103" s="268"/>
      <c r="H103" s="268"/>
      <c r="I103" s="268"/>
      <c r="J103" s="268"/>
      <c r="K103" s="268"/>
      <c r="L103" s="268"/>
      <c r="M103" s="268"/>
      <c r="N103" s="268"/>
      <c r="O103" s="268"/>
      <c r="P103" s="268"/>
      <c r="Q103" s="268"/>
      <c r="R103" s="268"/>
      <c r="S103" s="268"/>
      <c r="T103" s="268"/>
      <c r="U103" s="268"/>
      <c r="V103" s="268"/>
      <c r="W103" s="268"/>
      <c r="X103" s="268"/>
      <c r="Y103" s="268"/>
      <c r="Z103" s="268"/>
    </row>
    <row r="104" customHeight="1" spans="1:26">
      <c r="A104" s="268"/>
      <c r="B104" s="268"/>
      <c r="C104" s="268"/>
      <c r="D104" s="268"/>
      <c r="E104" s="268"/>
      <c r="F104" s="268"/>
      <c r="G104" s="268"/>
      <c r="H104" s="268"/>
      <c r="I104" s="268"/>
      <c r="J104" s="268"/>
      <c r="K104" s="268"/>
      <c r="L104" s="268"/>
      <c r="M104" s="268"/>
      <c r="N104" s="268"/>
      <c r="O104" s="268"/>
      <c r="P104" s="268"/>
      <c r="Q104" s="268"/>
      <c r="R104" s="268"/>
      <c r="S104" s="268"/>
      <c r="T104" s="268"/>
      <c r="U104" s="268"/>
      <c r="V104" s="268"/>
      <c r="W104" s="268"/>
      <c r="X104" s="268"/>
      <c r="Y104" s="268"/>
      <c r="Z104" s="268"/>
    </row>
    <row r="105" customHeight="1" spans="1:26">
      <c r="A105" s="268"/>
      <c r="B105" s="268"/>
      <c r="C105" s="268"/>
      <c r="D105" s="268"/>
      <c r="E105" s="268"/>
      <c r="F105" s="268"/>
      <c r="G105" s="268"/>
      <c r="H105" s="268"/>
      <c r="I105" s="268"/>
      <c r="J105" s="268"/>
      <c r="K105" s="268"/>
      <c r="L105" s="268"/>
      <c r="M105" s="268"/>
      <c r="N105" s="268"/>
      <c r="O105" s="268"/>
      <c r="P105" s="268"/>
      <c r="Q105" s="268"/>
      <c r="R105" s="268"/>
      <c r="S105" s="268"/>
      <c r="T105" s="268"/>
      <c r="U105" s="268"/>
      <c r="V105" s="268"/>
      <c r="W105" s="268"/>
      <c r="X105" s="268"/>
      <c r="Y105" s="268"/>
      <c r="Z105" s="268"/>
    </row>
    <row r="106" customHeight="1" spans="1:26">
      <c r="A106" s="268"/>
      <c r="B106" s="268"/>
      <c r="C106" s="268"/>
      <c r="D106" s="268"/>
      <c r="E106" s="268"/>
      <c r="F106" s="268"/>
      <c r="G106" s="268"/>
      <c r="H106" s="268"/>
      <c r="I106" s="268"/>
      <c r="J106" s="268"/>
      <c r="K106" s="268"/>
      <c r="L106" s="268"/>
      <c r="M106" s="268"/>
      <c r="N106" s="268"/>
      <c r="O106" s="268"/>
      <c r="P106" s="268"/>
      <c r="Q106" s="268"/>
      <c r="R106" s="268"/>
      <c r="S106" s="268"/>
      <c r="T106" s="268"/>
      <c r="U106" s="268"/>
      <c r="V106" s="268"/>
      <c r="W106" s="268"/>
      <c r="X106" s="268"/>
      <c r="Y106" s="268"/>
      <c r="Z106" s="268"/>
    </row>
    <row r="107" customHeight="1" spans="1:26">
      <c r="A107" s="268"/>
      <c r="B107" s="268"/>
      <c r="C107" s="268"/>
      <c r="D107" s="268"/>
      <c r="E107" s="268"/>
      <c r="F107" s="268"/>
      <c r="G107" s="268"/>
      <c r="H107" s="268"/>
      <c r="I107" s="268"/>
      <c r="J107" s="268"/>
      <c r="K107" s="268"/>
      <c r="L107" s="268"/>
      <c r="M107" s="268"/>
      <c r="N107" s="268"/>
      <c r="O107" s="268"/>
      <c r="P107" s="268"/>
      <c r="Q107" s="268"/>
      <c r="R107" s="268"/>
      <c r="S107" s="268"/>
      <c r="T107" s="268"/>
      <c r="U107" s="268"/>
      <c r="V107" s="268"/>
      <c r="W107" s="268"/>
      <c r="X107" s="268"/>
      <c r="Y107" s="268"/>
      <c r="Z107" s="268"/>
    </row>
    <row r="108" customHeight="1" spans="1:26">
      <c r="A108" s="268"/>
      <c r="B108" s="268"/>
      <c r="C108" s="268"/>
      <c r="D108" s="268"/>
      <c r="E108" s="268"/>
      <c r="F108" s="268"/>
      <c r="G108" s="268"/>
      <c r="H108" s="268"/>
      <c r="I108" s="268"/>
      <c r="J108" s="268"/>
      <c r="K108" s="268"/>
      <c r="L108" s="268"/>
      <c r="M108" s="268"/>
      <c r="N108" s="268"/>
      <c r="O108" s="268"/>
      <c r="P108" s="268"/>
      <c r="Q108" s="268"/>
      <c r="R108" s="268"/>
      <c r="S108" s="268"/>
      <c r="T108" s="268"/>
      <c r="U108" s="268"/>
      <c r="V108" s="268"/>
      <c r="W108" s="268"/>
      <c r="X108" s="268"/>
      <c r="Y108" s="268"/>
      <c r="Z108" s="268"/>
    </row>
    <row r="109" customHeight="1" spans="1:26">
      <c r="A109" s="268"/>
      <c r="B109" s="268"/>
      <c r="C109" s="268"/>
      <c r="D109" s="268"/>
      <c r="E109" s="268"/>
      <c r="F109" s="268"/>
      <c r="G109" s="268"/>
      <c r="H109" s="268"/>
      <c r="I109" s="268"/>
      <c r="J109" s="268"/>
      <c r="K109" s="268"/>
      <c r="L109" s="268"/>
      <c r="M109" s="268"/>
      <c r="N109" s="268"/>
      <c r="O109" s="268"/>
      <c r="P109" s="268"/>
      <c r="Q109" s="268"/>
      <c r="R109" s="268"/>
      <c r="S109" s="268"/>
      <c r="T109" s="268"/>
      <c r="U109" s="268"/>
      <c r="V109" s="268"/>
      <c r="W109" s="268"/>
      <c r="X109" s="268"/>
      <c r="Y109" s="268"/>
      <c r="Z109" s="268"/>
    </row>
    <row r="110" customHeight="1" spans="1:26">
      <c r="A110" s="268"/>
      <c r="B110" s="268"/>
      <c r="C110" s="268"/>
      <c r="D110" s="268"/>
      <c r="E110" s="268"/>
      <c r="F110" s="268"/>
      <c r="G110" s="268"/>
      <c r="H110" s="268"/>
      <c r="I110" s="268"/>
      <c r="J110" s="268"/>
      <c r="K110" s="268"/>
      <c r="L110" s="268"/>
      <c r="M110" s="268"/>
      <c r="N110" s="268"/>
      <c r="O110" s="268"/>
      <c r="P110" s="268"/>
      <c r="Q110" s="268"/>
      <c r="R110" s="268"/>
      <c r="S110" s="268"/>
      <c r="T110" s="268"/>
      <c r="U110" s="268"/>
      <c r="V110" s="268"/>
      <c r="W110" s="268"/>
      <c r="X110" s="268"/>
      <c r="Y110" s="268"/>
      <c r="Z110" s="268"/>
    </row>
    <row r="111" customHeight="1" spans="1:26">
      <c r="A111" s="268"/>
      <c r="B111" s="268"/>
      <c r="C111" s="268"/>
      <c r="D111" s="268"/>
      <c r="E111" s="268"/>
      <c r="F111" s="268"/>
      <c r="G111" s="268"/>
      <c r="H111" s="268"/>
      <c r="I111" s="268"/>
      <c r="J111" s="268"/>
      <c r="K111" s="268"/>
      <c r="L111" s="268"/>
      <c r="M111" s="268"/>
      <c r="N111" s="268"/>
      <c r="O111" s="268"/>
      <c r="P111" s="268"/>
      <c r="Q111" s="268"/>
      <c r="R111" s="268"/>
      <c r="S111" s="268"/>
      <c r="T111" s="268"/>
      <c r="U111" s="268"/>
      <c r="V111" s="268"/>
      <c r="W111" s="268"/>
      <c r="X111" s="268"/>
      <c r="Y111" s="268"/>
      <c r="Z111" s="268"/>
    </row>
    <row r="112" customHeight="1" spans="1:26">
      <c r="A112" s="268"/>
      <c r="B112" s="268"/>
      <c r="C112" s="268"/>
      <c r="D112" s="268"/>
      <c r="E112" s="268"/>
      <c r="F112" s="268"/>
      <c r="G112" s="268"/>
      <c r="H112" s="268"/>
      <c r="I112" s="268"/>
      <c r="J112" s="268"/>
      <c r="K112" s="268"/>
      <c r="L112" s="268"/>
      <c r="M112" s="268"/>
      <c r="N112" s="268"/>
      <c r="O112" s="268"/>
      <c r="P112" s="268"/>
      <c r="Q112" s="268"/>
      <c r="R112" s="268"/>
      <c r="S112" s="268"/>
      <c r="T112" s="268"/>
      <c r="U112" s="268"/>
      <c r="V112" s="268"/>
      <c r="W112" s="268"/>
      <c r="X112" s="268"/>
      <c r="Y112" s="268"/>
      <c r="Z112" s="268"/>
    </row>
    <row r="113" customHeight="1" spans="1:26">
      <c r="A113" s="268"/>
      <c r="B113" s="268"/>
      <c r="C113" s="268"/>
      <c r="D113" s="268"/>
      <c r="E113" s="268"/>
      <c r="F113" s="268"/>
      <c r="G113" s="268"/>
      <c r="H113" s="268"/>
      <c r="I113" s="268"/>
      <c r="J113" s="268"/>
      <c r="K113" s="268"/>
      <c r="L113" s="268"/>
      <c r="M113" s="268"/>
      <c r="N113" s="268"/>
      <c r="O113" s="268"/>
      <c r="P113" s="268"/>
      <c r="Q113" s="268"/>
      <c r="R113" s="268"/>
      <c r="S113" s="268"/>
      <c r="T113" s="268"/>
      <c r="U113" s="268"/>
      <c r="V113" s="268"/>
      <c r="W113" s="268"/>
      <c r="X113" s="268"/>
      <c r="Y113" s="268"/>
      <c r="Z113" s="268"/>
    </row>
    <row r="114" customHeight="1" spans="1:26">
      <c r="A114" s="268"/>
      <c r="B114" s="268"/>
      <c r="C114" s="268"/>
      <c r="D114" s="268"/>
      <c r="E114" s="268"/>
      <c r="F114" s="268"/>
      <c r="G114" s="268"/>
      <c r="H114" s="268"/>
      <c r="I114" s="268"/>
      <c r="J114" s="268"/>
      <c r="K114" s="268"/>
      <c r="L114" s="268"/>
      <c r="M114" s="268"/>
      <c r="N114" s="268"/>
      <c r="O114" s="268"/>
      <c r="P114" s="268"/>
      <c r="Q114" s="268"/>
      <c r="R114" s="268"/>
      <c r="S114" s="268"/>
      <c r="T114" s="268"/>
      <c r="U114" s="268"/>
      <c r="V114" s="268"/>
      <c r="W114" s="268"/>
      <c r="X114" s="268"/>
      <c r="Y114" s="268"/>
      <c r="Z114" s="268"/>
    </row>
    <row r="115" customHeight="1" spans="1:26">
      <c r="A115" s="268"/>
      <c r="B115" s="268"/>
      <c r="C115" s="268"/>
      <c r="D115" s="268"/>
      <c r="E115" s="268"/>
      <c r="F115" s="268"/>
      <c r="G115" s="268"/>
      <c r="H115" s="268"/>
      <c r="I115" s="268"/>
      <c r="J115" s="268"/>
      <c r="K115" s="268"/>
      <c r="L115" s="268"/>
      <c r="M115" s="268"/>
      <c r="N115" s="268"/>
      <c r="O115" s="268"/>
      <c r="P115" s="268"/>
      <c r="Q115" s="268"/>
      <c r="R115" s="268"/>
      <c r="S115" s="268"/>
      <c r="T115" s="268"/>
      <c r="U115" s="268"/>
      <c r="V115" s="268"/>
      <c r="W115" s="268"/>
      <c r="X115" s="268"/>
      <c r="Y115" s="268"/>
      <c r="Z115" s="268"/>
    </row>
    <row r="116" customHeight="1" spans="1:26">
      <c r="A116" s="268"/>
      <c r="B116" s="268"/>
      <c r="C116" s="268"/>
      <c r="D116" s="268"/>
      <c r="E116" s="268"/>
      <c r="F116" s="268"/>
      <c r="G116" s="268"/>
      <c r="H116" s="268"/>
      <c r="I116" s="268"/>
      <c r="J116" s="268"/>
      <c r="K116" s="268"/>
      <c r="L116" s="268"/>
      <c r="M116" s="268"/>
      <c r="N116" s="268"/>
      <c r="O116" s="268"/>
      <c r="P116" s="268"/>
      <c r="Q116" s="268"/>
      <c r="R116" s="268"/>
      <c r="S116" s="268"/>
      <c r="T116" s="268"/>
      <c r="U116" s="268"/>
      <c r="V116" s="268"/>
      <c r="W116" s="268"/>
      <c r="X116" s="268"/>
      <c r="Y116" s="268"/>
      <c r="Z116" s="268"/>
    </row>
    <row r="117" customHeight="1" spans="1:26">
      <c r="A117" s="268"/>
      <c r="B117" s="268"/>
      <c r="C117" s="268"/>
      <c r="D117" s="268"/>
      <c r="E117" s="268"/>
      <c r="F117" s="268"/>
      <c r="G117" s="268"/>
      <c r="H117" s="268"/>
      <c r="I117" s="268"/>
      <c r="J117" s="268"/>
      <c r="K117" s="268"/>
      <c r="L117" s="268"/>
      <c r="M117" s="268"/>
      <c r="N117" s="268"/>
      <c r="O117" s="268"/>
      <c r="P117" s="268"/>
      <c r="Q117" s="268"/>
      <c r="R117" s="268"/>
      <c r="S117" s="268"/>
      <c r="T117" s="268"/>
      <c r="U117" s="268"/>
      <c r="V117" s="268"/>
      <c r="W117" s="268"/>
      <c r="X117" s="268"/>
      <c r="Y117" s="268"/>
      <c r="Z117" s="268"/>
    </row>
    <row r="118" customHeight="1" spans="1:26">
      <c r="A118" s="268"/>
      <c r="B118" s="268"/>
      <c r="C118" s="268"/>
      <c r="D118" s="268"/>
      <c r="E118" s="268"/>
      <c r="F118" s="268"/>
      <c r="G118" s="268"/>
      <c r="H118" s="268"/>
      <c r="I118" s="268"/>
      <c r="J118" s="268"/>
      <c r="K118" s="268"/>
      <c r="L118" s="268"/>
      <c r="M118" s="268"/>
      <c r="N118" s="268"/>
      <c r="O118" s="268"/>
      <c r="P118" s="268"/>
      <c r="Q118" s="268"/>
      <c r="R118" s="268"/>
      <c r="S118" s="268"/>
      <c r="T118" s="268"/>
      <c r="U118" s="268"/>
      <c r="V118" s="268"/>
      <c r="W118" s="268"/>
      <c r="X118" s="268"/>
      <c r="Y118" s="268"/>
      <c r="Z118" s="268"/>
    </row>
    <row r="119" customHeight="1" spans="1:26">
      <c r="A119" s="268"/>
      <c r="B119" s="268"/>
      <c r="C119" s="268"/>
      <c r="D119" s="268"/>
      <c r="E119" s="268"/>
      <c r="F119" s="268"/>
      <c r="G119" s="268"/>
      <c r="H119" s="268"/>
      <c r="I119" s="268"/>
      <c r="J119" s="268"/>
      <c r="K119" s="268"/>
      <c r="L119" s="268"/>
      <c r="M119" s="268"/>
      <c r="N119" s="268"/>
      <c r="O119" s="268"/>
      <c r="P119" s="268"/>
      <c r="Q119" s="268"/>
      <c r="R119" s="268"/>
      <c r="S119" s="268"/>
      <c r="T119" s="268"/>
      <c r="U119" s="268"/>
      <c r="V119" s="268"/>
      <c r="W119" s="268"/>
      <c r="X119" s="268"/>
      <c r="Y119" s="268"/>
      <c r="Z119" s="268"/>
    </row>
    <row r="120" customHeight="1" spans="1:26">
      <c r="A120" s="268"/>
      <c r="B120" s="268"/>
      <c r="C120" s="268"/>
      <c r="D120" s="268"/>
      <c r="E120" s="268"/>
      <c r="F120" s="268"/>
      <c r="G120" s="268"/>
      <c r="H120" s="268"/>
      <c r="I120" s="268"/>
      <c r="J120" s="268"/>
      <c r="K120" s="268"/>
      <c r="L120" s="268"/>
      <c r="M120" s="268"/>
      <c r="N120" s="268"/>
      <c r="O120" s="268"/>
      <c r="P120" s="268"/>
      <c r="Q120" s="268"/>
      <c r="R120" s="268"/>
      <c r="S120" s="268"/>
      <c r="T120" s="268"/>
      <c r="U120" s="268"/>
      <c r="V120" s="268"/>
      <c r="W120" s="268"/>
      <c r="X120" s="268"/>
      <c r="Y120" s="268"/>
      <c r="Z120" s="268"/>
    </row>
    <row r="121" customHeight="1" spans="1:26">
      <c r="A121" s="268"/>
      <c r="B121" s="268"/>
      <c r="C121" s="268"/>
      <c r="D121" s="268"/>
      <c r="E121" s="268"/>
      <c r="F121" s="268"/>
      <c r="G121" s="268"/>
      <c r="H121" s="268"/>
      <c r="I121" s="268"/>
      <c r="J121" s="268"/>
      <c r="K121" s="268"/>
      <c r="L121" s="268"/>
      <c r="M121" s="268"/>
      <c r="N121" s="268"/>
      <c r="O121" s="268"/>
      <c r="P121" s="268"/>
      <c r="Q121" s="268"/>
      <c r="R121" s="268"/>
      <c r="S121" s="268"/>
      <c r="T121" s="268"/>
      <c r="U121" s="268"/>
      <c r="V121" s="268"/>
      <c r="W121" s="268"/>
      <c r="X121" s="268"/>
      <c r="Y121" s="268"/>
      <c r="Z121" s="268"/>
    </row>
    <row r="122" customHeight="1" spans="1:26">
      <c r="A122" s="268"/>
      <c r="B122" s="268"/>
      <c r="C122" s="268"/>
      <c r="D122" s="268"/>
      <c r="E122" s="268"/>
      <c r="F122" s="268"/>
      <c r="G122" s="268"/>
      <c r="H122" s="268"/>
      <c r="I122" s="268"/>
      <c r="J122" s="268"/>
      <c r="K122" s="268"/>
      <c r="L122" s="268"/>
      <c r="M122" s="268"/>
      <c r="N122" s="268"/>
      <c r="O122" s="268"/>
      <c r="P122" s="268"/>
      <c r="Q122" s="268"/>
      <c r="R122" s="268"/>
      <c r="S122" s="268"/>
      <c r="T122" s="268"/>
      <c r="U122" s="268"/>
      <c r="V122" s="268"/>
      <c r="W122" s="268"/>
      <c r="X122" s="268"/>
      <c r="Y122" s="268"/>
      <c r="Z122" s="268"/>
    </row>
    <row r="123" customHeight="1" spans="1:26">
      <c r="A123" s="268"/>
      <c r="B123" s="268"/>
      <c r="C123" s="268"/>
      <c r="D123" s="268"/>
      <c r="E123" s="268"/>
      <c r="F123" s="268"/>
      <c r="G123" s="268"/>
      <c r="H123" s="268"/>
      <c r="I123" s="268"/>
      <c r="J123" s="268"/>
      <c r="K123" s="268"/>
      <c r="L123" s="268"/>
      <c r="M123" s="268"/>
      <c r="N123" s="268"/>
      <c r="O123" s="268"/>
      <c r="P123" s="268"/>
      <c r="Q123" s="268"/>
      <c r="R123" s="268"/>
      <c r="S123" s="268"/>
      <c r="T123" s="268"/>
      <c r="U123" s="268"/>
      <c r="V123" s="268"/>
      <c r="W123" s="268"/>
      <c r="X123" s="268"/>
      <c r="Y123" s="268"/>
      <c r="Z123" s="268"/>
    </row>
    <row r="124" customHeight="1" spans="1:26">
      <c r="A124" s="268"/>
      <c r="B124" s="268"/>
      <c r="C124" s="268"/>
      <c r="D124" s="268"/>
      <c r="E124" s="268"/>
      <c r="F124" s="268"/>
      <c r="G124" s="268"/>
      <c r="H124" s="268"/>
      <c r="I124" s="268"/>
      <c r="J124" s="268"/>
      <c r="K124" s="268"/>
      <c r="L124" s="268"/>
      <c r="M124" s="268"/>
      <c r="N124" s="268"/>
      <c r="O124" s="268"/>
      <c r="P124" s="268"/>
      <c r="Q124" s="268"/>
      <c r="R124" s="268"/>
      <c r="S124" s="268"/>
      <c r="T124" s="268"/>
      <c r="U124" s="268"/>
      <c r="V124" s="268"/>
      <c r="W124" s="268"/>
      <c r="X124" s="268"/>
      <c r="Y124" s="268"/>
      <c r="Z124" s="268"/>
    </row>
    <row r="125" customHeight="1" spans="1:26">
      <c r="A125" s="268"/>
      <c r="B125" s="268"/>
      <c r="C125" s="268"/>
      <c r="D125" s="268"/>
      <c r="E125" s="268"/>
      <c r="F125" s="268"/>
      <c r="G125" s="268"/>
      <c r="H125" s="268"/>
      <c r="I125" s="268"/>
      <c r="J125" s="268"/>
      <c r="K125" s="268"/>
      <c r="L125" s="268"/>
      <c r="M125" s="268"/>
      <c r="N125" s="268"/>
      <c r="O125" s="268"/>
      <c r="P125" s="268"/>
      <c r="Q125" s="268"/>
      <c r="R125" s="268"/>
      <c r="S125" s="268"/>
      <c r="T125" s="268"/>
      <c r="U125" s="268"/>
      <c r="V125" s="268"/>
      <c r="W125" s="268"/>
      <c r="X125" s="268"/>
      <c r="Y125" s="268"/>
      <c r="Z125" s="268"/>
    </row>
    <row r="126" customHeight="1" spans="1:26">
      <c r="A126" s="268"/>
      <c r="B126" s="268"/>
      <c r="C126" s="268"/>
      <c r="D126" s="268"/>
      <c r="E126" s="268"/>
      <c r="F126" s="268"/>
      <c r="G126" s="268"/>
      <c r="H126" s="268"/>
      <c r="I126" s="268"/>
      <c r="J126" s="268"/>
      <c r="K126" s="268"/>
      <c r="L126" s="268"/>
      <c r="M126" s="268"/>
      <c r="N126" s="268"/>
      <c r="O126" s="268"/>
      <c r="P126" s="268"/>
      <c r="Q126" s="268"/>
      <c r="R126" s="268"/>
      <c r="S126" s="268"/>
      <c r="T126" s="268"/>
      <c r="U126" s="268"/>
      <c r="V126" s="268"/>
      <c r="W126" s="268"/>
      <c r="X126" s="268"/>
      <c r="Y126" s="268"/>
      <c r="Z126" s="268"/>
    </row>
    <row r="127" customHeight="1" spans="1:26">
      <c r="A127" s="268"/>
      <c r="B127" s="268"/>
      <c r="C127" s="268"/>
      <c r="D127" s="268"/>
      <c r="E127" s="268"/>
      <c r="F127" s="268"/>
      <c r="G127" s="268"/>
      <c r="H127" s="268"/>
      <c r="I127" s="268"/>
      <c r="J127" s="268"/>
      <c r="K127" s="268"/>
      <c r="L127" s="268"/>
      <c r="M127" s="268"/>
      <c r="N127" s="268"/>
      <c r="O127" s="268"/>
      <c r="P127" s="268"/>
      <c r="Q127" s="268"/>
      <c r="R127" s="268"/>
      <c r="S127" s="268"/>
      <c r="T127" s="268"/>
      <c r="U127" s="268"/>
      <c r="V127" s="268"/>
      <c r="W127" s="268"/>
      <c r="X127" s="268"/>
      <c r="Y127" s="268"/>
      <c r="Z127" s="268"/>
    </row>
    <row r="128" customHeight="1" spans="1:26">
      <c r="A128" s="268"/>
      <c r="B128" s="268"/>
      <c r="C128" s="268"/>
      <c r="D128" s="268"/>
      <c r="E128" s="268"/>
      <c r="F128" s="268"/>
      <c r="G128" s="268"/>
      <c r="H128" s="268"/>
      <c r="I128" s="268"/>
      <c r="J128" s="268"/>
      <c r="K128" s="268"/>
      <c r="L128" s="268"/>
      <c r="M128" s="268"/>
      <c r="N128" s="268"/>
      <c r="O128" s="268"/>
      <c r="P128" s="268"/>
      <c r="Q128" s="268"/>
      <c r="R128" s="268"/>
      <c r="S128" s="268"/>
      <c r="T128" s="268"/>
      <c r="U128" s="268"/>
      <c r="V128" s="268"/>
      <c r="W128" s="268"/>
      <c r="X128" s="268"/>
      <c r="Y128" s="268"/>
      <c r="Z128" s="268"/>
    </row>
    <row r="129" customHeight="1" spans="1:26">
      <c r="A129" s="268"/>
      <c r="B129" s="268"/>
      <c r="C129" s="268"/>
      <c r="D129" s="268"/>
      <c r="E129" s="268"/>
      <c r="F129" s="268"/>
      <c r="G129" s="268"/>
      <c r="H129" s="268"/>
      <c r="I129" s="268"/>
      <c r="J129" s="268"/>
      <c r="K129" s="268"/>
      <c r="L129" s="268"/>
      <c r="M129" s="268"/>
      <c r="N129" s="268"/>
      <c r="O129" s="268"/>
      <c r="P129" s="268"/>
      <c r="Q129" s="268"/>
      <c r="R129" s="268"/>
      <c r="S129" s="268"/>
      <c r="T129" s="268"/>
      <c r="U129" s="268"/>
      <c r="V129" s="268"/>
      <c r="W129" s="268"/>
      <c r="X129" s="268"/>
      <c r="Y129" s="268"/>
      <c r="Z129" s="268"/>
    </row>
    <row r="130" customHeight="1" spans="1:26">
      <c r="A130" s="268"/>
      <c r="B130" s="268"/>
      <c r="C130" s="268"/>
      <c r="D130" s="268"/>
      <c r="E130" s="268"/>
      <c r="F130" s="268"/>
      <c r="G130" s="268"/>
      <c r="H130" s="268"/>
      <c r="I130" s="268"/>
      <c r="J130" s="268"/>
      <c r="K130" s="268"/>
      <c r="L130" s="268"/>
      <c r="M130" s="268"/>
      <c r="N130" s="268"/>
      <c r="O130" s="268"/>
      <c r="P130" s="268"/>
      <c r="Q130" s="268"/>
      <c r="R130" s="268"/>
      <c r="S130" s="268"/>
      <c r="T130" s="268"/>
      <c r="U130" s="268"/>
      <c r="V130" s="268"/>
      <c r="W130" s="268"/>
      <c r="X130" s="268"/>
      <c r="Y130" s="268"/>
      <c r="Z130" s="268"/>
    </row>
    <row r="131" customHeight="1" spans="1:26">
      <c r="A131" s="268"/>
      <c r="B131" s="268"/>
      <c r="C131" s="268"/>
      <c r="D131" s="268"/>
      <c r="E131" s="268"/>
      <c r="F131" s="268"/>
      <c r="G131" s="268"/>
      <c r="H131" s="268"/>
      <c r="I131" s="268"/>
      <c r="J131" s="268"/>
      <c r="K131" s="268"/>
      <c r="L131" s="268"/>
      <c r="M131" s="268"/>
      <c r="N131" s="268"/>
      <c r="O131" s="268"/>
      <c r="P131" s="268"/>
      <c r="Q131" s="268"/>
      <c r="R131" s="268"/>
      <c r="S131" s="268"/>
      <c r="T131" s="268"/>
      <c r="U131" s="268"/>
      <c r="V131" s="268"/>
      <c r="W131" s="268"/>
      <c r="X131" s="268"/>
      <c r="Y131" s="268"/>
      <c r="Z131" s="268"/>
    </row>
    <row r="132" customHeight="1" spans="1:26">
      <c r="A132" s="268"/>
      <c r="B132" s="268"/>
      <c r="C132" s="268"/>
      <c r="D132" s="268"/>
      <c r="E132" s="268"/>
      <c r="F132" s="268"/>
      <c r="G132" s="268"/>
      <c r="H132" s="268"/>
      <c r="I132" s="268"/>
      <c r="J132" s="268"/>
      <c r="K132" s="268"/>
      <c r="L132" s="268"/>
      <c r="M132" s="268"/>
      <c r="N132" s="268"/>
      <c r="O132" s="268"/>
      <c r="P132" s="268"/>
      <c r="Q132" s="268"/>
      <c r="R132" s="268"/>
      <c r="S132" s="268"/>
      <c r="T132" s="268"/>
      <c r="U132" s="268"/>
      <c r="V132" s="268"/>
      <c r="W132" s="268"/>
      <c r="X132" s="268"/>
      <c r="Y132" s="268"/>
      <c r="Z132" s="268"/>
    </row>
    <row r="133" customHeight="1" spans="1:26">
      <c r="A133" s="268"/>
      <c r="B133" s="268"/>
      <c r="C133" s="268"/>
      <c r="D133" s="268"/>
      <c r="E133" s="268"/>
      <c r="F133" s="268"/>
      <c r="G133" s="268"/>
      <c r="H133" s="268"/>
      <c r="I133" s="268"/>
      <c r="J133" s="268"/>
      <c r="K133" s="268"/>
      <c r="L133" s="268"/>
      <c r="M133" s="268"/>
      <c r="N133" s="268"/>
      <c r="O133" s="268"/>
      <c r="P133" s="268"/>
      <c r="Q133" s="268"/>
      <c r="R133" s="268"/>
      <c r="S133" s="268"/>
      <c r="T133" s="268"/>
      <c r="U133" s="268"/>
      <c r="V133" s="268"/>
      <c r="W133" s="268"/>
      <c r="X133" s="268"/>
      <c r="Y133" s="268"/>
      <c r="Z133" s="268"/>
    </row>
    <row r="134" customHeight="1" spans="1:26">
      <c r="A134" s="268"/>
      <c r="B134" s="268"/>
      <c r="C134" s="268"/>
      <c r="D134" s="268"/>
      <c r="E134" s="268"/>
      <c r="F134" s="268"/>
      <c r="G134" s="268"/>
      <c r="H134" s="268"/>
      <c r="I134" s="268"/>
      <c r="J134" s="268"/>
      <c r="K134" s="268"/>
      <c r="L134" s="268"/>
      <c r="M134" s="268"/>
      <c r="N134" s="268"/>
      <c r="O134" s="268"/>
      <c r="P134" s="268"/>
      <c r="Q134" s="268"/>
      <c r="R134" s="268"/>
      <c r="S134" s="268"/>
      <c r="T134" s="268"/>
      <c r="U134" s="268"/>
      <c r="V134" s="268"/>
      <c r="W134" s="268"/>
      <c r="X134" s="268"/>
      <c r="Y134" s="268"/>
      <c r="Z134" s="268"/>
    </row>
    <row r="135" customHeight="1" spans="1:26">
      <c r="A135" s="268"/>
      <c r="B135" s="268"/>
      <c r="C135" s="268"/>
      <c r="D135" s="268"/>
      <c r="E135" s="268"/>
      <c r="F135" s="268"/>
      <c r="G135" s="268"/>
      <c r="H135" s="268"/>
      <c r="I135" s="268"/>
      <c r="J135" s="268"/>
      <c r="K135" s="268"/>
      <c r="L135" s="268"/>
      <c r="M135" s="268"/>
      <c r="N135" s="268"/>
      <c r="O135" s="268"/>
      <c r="P135" s="268"/>
      <c r="Q135" s="268"/>
      <c r="R135" s="268"/>
      <c r="S135" s="268"/>
      <c r="T135" s="268"/>
      <c r="U135" s="268"/>
      <c r="V135" s="268"/>
      <c r="W135" s="268"/>
      <c r="X135" s="268"/>
      <c r="Y135" s="268"/>
      <c r="Z135" s="268"/>
    </row>
    <row r="136" customHeight="1" spans="1:26">
      <c r="A136" s="268"/>
      <c r="B136" s="268"/>
      <c r="C136" s="268"/>
      <c r="D136" s="268"/>
      <c r="E136" s="268"/>
      <c r="F136" s="268"/>
      <c r="G136" s="268"/>
      <c r="H136" s="268"/>
      <c r="I136" s="268"/>
      <c r="J136" s="268"/>
      <c r="K136" s="268"/>
      <c r="L136" s="268"/>
      <c r="M136" s="268"/>
      <c r="N136" s="268"/>
      <c r="O136" s="268"/>
      <c r="P136" s="268"/>
      <c r="Q136" s="268"/>
      <c r="R136" s="268"/>
      <c r="S136" s="268"/>
      <c r="T136" s="268"/>
      <c r="U136" s="268"/>
      <c r="V136" s="268"/>
      <c r="W136" s="268"/>
      <c r="X136" s="268"/>
      <c r="Y136" s="268"/>
      <c r="Z136" s="268"/>
    </row>
    <row r="137" customHeight="1" spans="1:26">
      <c r="A137" s="268"/>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8"/>
    </row>
    <row r="138" customHeight="1" spans="1:26">
      <c r="A138" s="268"/>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8"/>
    </row>
    <row r="139" customHeight="1" spans="1:26">
      <c r="A139" s="268"/>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8"/>
    </row>
    <row r="140" customHeight="1" spans="1:26">
      <c r="A140" s="268"/>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8"/>
    </row>
    <row r="141" customHeight="1" spans="1:26">
      <c r="A141" s="268"/>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8"/>
    </row>
    <row r="142" customHeight="1" spans="1:26">
      <c r="A142" s="268"/>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8"/>
    </row>
    <row r="143" customHeight="1" spans="1:26">
      <c r="A143" s="268"/>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8"/>
    </row>
    <row r="144" customHeight="1" spans="1:26">
      <c r="A144" s="268"/>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8"/>
    </row>
    <row r="145" customHeight="1" spans="1:26">
      <c r="A145" s="268"/>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8"/>
    </row>
    <row r="146" customHeight="1" spans="1:26">
      <c r="A146" s="268"/>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8"/>
    </row>
    <row r="147" customHeight="1" spans="1:26">
      <c r="A147" s="268"/>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8"/>
    </row>
    <row r="148" customHeight="1" spans="1:26">
      <c r="A148" s="268"/>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8"/>
    </row>
    <row r="149" customHeight="1" spans="1:26">
      <c r="A149" s="268"/>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8"/>
    </row>
    <row r="150" customHeight="1" spans="1:26">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8"/>
    </row>
    <row r="151" customHeight="1" spans="1:26">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8"/>
    </row>
    <row r="152" customHeight="1" spans="1:26">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8"/>
    </row>
    <row r="153" customHeight="1" spans="1:26">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8"/>
    </row>
    <row r="154" customHeight="1" spans="1:26">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8"/>
    </row>
    <row r="155" customHeight="1" spans="1:26">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8"/>
    </row>
    <row r="156" customHeight="1" spans="1:26">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8"/>
    </row>
    <row r="157" customHeight="1" spans="1:26">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8"/>
    </row>
    <row r="158" customHeight="1" spans="1:26">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8"/>
    </row>
    <row r="159" customHeight="1" spans="1:26">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8"/>
    </row>
    <row r="160" customHeight="1" spans="1:26">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8"/>
    </row>
    <row r="161" customHeight="1" spans="1:26">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8"/>
    </row>
    <row r="162" customHeight="1" spans="1:26">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8"/>
    </row>
    <row r="163" customHeight="1" spans="1:26">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8"/>
    </row>
    <row r="164" customHeight="1" spans="1:26">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8"/>
    </row>
    <row r="165" customHeight="1" spans="1:26">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8"/>
    </row>
    <row r="166" customHeight="1" spans="1:26">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8"/>
    </row>
    <row r="167" customHeight="1" spans="1:26">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8"/>
    </row>
    <row r="168" customHeight="1" spans="1:26">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8"/>
    </row>
    <row r="169" customHeight="1" spans="1:26">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8"/>
    </row>
    <row r="170" customHeight="1" spans="1:26">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8"/>
    </row>
    <row r="171" customHeight="1" spans="1:26">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8"/>
    </row>
    <row r="172" customHeight="1" spans="1:26">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8"/>
    </row>
    <row r="173" customHeight="1" spans="1:26">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8"/>
    </row>
    <row r="174" customHeight="1" spans="1:26">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8"/>
    </row>
    <row r="175" customHeight="1" spans="1:26">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8"/>
    </row>
    <row r="176" customHeight="1" spans="1:26">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8"/>
    </row>
    <row r="177" customHeight="1" spans="1:26">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8"/>
    </row>
    <row r="178" customHeight="1" spans="1:26">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8"/>
    </row>
    <row r="179" customHeight="1" spans="1:26">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8"/>
    </row>
    <row r="180" customHeight="1" spans="1:26">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8"/>
    </row>
    <row r="181" customHeight="1" spans="1:26">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8"/>
    </row>
    <row r="182" customHeight="1" spans="1:26">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8"/>
    </row>
    <row r="183" customHeight="1" spans="1:26">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8"/>
    </row>
    <row r="184" customHeight="1" spans="1:26">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8"/>
    </row>
    <row r="185" customHeight="1" spans="1:26">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8"/>
    </row>
    <row r="186" customHeight="1" spans="1:26">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8"/>
    </row>
    <row r="187" customHeight="1" spans="1:26">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8"/>
    </row>
    <row r="188" customHeight="1" spans="1:26">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8"/>
    </row>
    <row r="189" customHeight="1" spans="1:26">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8"/>
    </row>
    <row r="190" customHeight="1" spans="1:26">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8"/>
    </row>
    <row r="191" customHeight="1" spans="1:26">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8"/>
    </row>
    <row r="192" customHeight="1" spans="1:26">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8"/>
    </row>
    <row r="193" customHeight="1" spans="1:26">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8"/>
    </row>
    <row r="194" customHeight="1" spans="1:26">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8"/>
    </row>
    <row r="195" customHeight="1" spans="1:26">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8"/>
    </row>
    <row r="196" customHeight="1" spans="1:26">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8"/>
    </row>
    <row r="197" customHeight="1" spans="1:26">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8"/>
    </row>
    <row r="198" customHeight="1" spans="1:26">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8"/>
    </row>
    <row r="199" customHeight="1" spans="1:26">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8"/>
    </row>
    <row r="200" customHeight="1" spans="1:26">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8"/>
    </row>
    <row r="201" customHeight="1" spans="1:26">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8"/>
    </row>
    <row r="202" customHeight="1" spans="1:26">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8"/>
    </row>
    <row r="203" customHeight="1" spans="1:26">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8"/>
    </row>
    <row r="204" customHeight="1" spans="1:26">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8"/>
    </row>
    <row r="205" customHeight="1" spans="1:26">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8"/>
    </row>
    <row r="206" customHeight="1" spans="1:26">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8"/>
    </row>
    <row r="207" customHeight="1" spans="1:26">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8"/>
    </row>
    <row r="208" customHeight="1" spans="1:26">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8"/>
    </row>
    <row r="209" customHeight="1" spans="1:26">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8"/>
    </row>
    <row r="210" customHeight="1" spans="1:26">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8"/>
    </row>
    <row r="211" customHeight="1" spans="1:26">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8"/>
    </row>
    <row r="212" customHeight="1" spans="1:26">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8"/>
    </row>
    <row r="213" customHeight="1" spans="1:26">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8"/>
    </row>
    <row r="214" customHeight="1" spans="1:26">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8"/>
    </row>
    <row r="215" customHeight="1" spans="1:26">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8"/>
    </row>
    <row r="216" customHeight="1" spans="1:26">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8"/>
    </row>
    <row r="217" customHeight="1" spans="1:26">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8"/>
    </row>
    <row r="218" customHeight="1" spans="1:26">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8"/>
    </row>
    <row r="219" customHeight="1" spans="1:26">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8"/>
    </row>
    <row r="220" customHeight="1" spans="1:26">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8"/>
    </row>
    <row r="221" customHeight="1" spans="1:26">
      <c r="A221" s="268"/>
      <c r="B221" s="268"/>
      <c r="C221" s="268"/>
      <c r="D221" s="268"/>
      <c r="E221" s="268"/>
      <c r="F221" s="268"/>
      <c r="G221" s="268"/>
      <c r="H221" s="268"/>
      <c r="I221" s="268"/>
      <c r="J221" s="268"/>
      <c r="K221" s="268"/>
      <c r="L221" s="268"/>
      <c r="M221" s="268"/>
      <c r="N221" s="268"/>
      <c r="O221" s="268"/>
      <c r="P221" s="268"/>
      <c r="Q221" s="268"/>
      <c r="R221" s="268"/>
      <c r="S221" s="268"/>
      <c r="T221" s="268"/>
      <c r="U221" s="268"/>
      <c r="V221" s="268"/>
      <c r="W221" s="268"/>
      <c r="X221" s="268"/>
      <c r="Y221" s="268"/>
      <c r="Z221" s="268"/>
    </row>
    <row r="222" customHeight="1" spans="1:26">
      <c r="A222" s="268"/>
      <c r="B222" s="268"/>
      <c r="C222" s="268"/>
      <c r="D222" s="268"/>
      <c r="E222" s="268"/>
      <c r="F222" s="268"/>
      <c r="G222" s="268"/>
      <c r="H222" s="268"/>
      <c r="I222" s="268"/>
      <c r="J222" s="268"/>
      <c r="K222" s="268"/>
      <c r="L222" s="268"/>
      <c r="M222" s="268"/>
      <c r="N222" s="268"/>
      <c r="O222" s="268"/>
      <c r="P222" s="268"/>
      <c r="Q222" s="268"/>
      <c r="R222" s="268"/>
      <c r="S222" s="268"/>
      <c r="T222" s="268"/>
      <c r="U222" s="268"/>
      <c r="V222" s="268"/>
      <c r="W222" s="268"/>
      <c r="X222" s="268"/>
      <c r="Y222" s="268"/>
      <c r="Z222" s="268"/>
    </row>
    <row r="223" customHeight="1" spans="1:26">
      <c r="A223" s="268"/>
      <c r="B223" s="268"/>
      <c r="C223" s="268"/>
      <c r="D223" s="268"/>
      <c r="E223" s="268"/>
      <c r="F223" s="268"/>
      <c r="G223" s="268"/>
      <c r="H223" s="268"/>
      <c r="I223" s="268"/>
      <c r="J223" s="268"/>
      <c r="K223" s="268"/>
      <c r="L223" s="268"/>
      <c r="M223" s="268"/>
      <c r="N223" s="268"/>
      <c r="O223" s="268"/>
      <c r="P223" s="268"/>
      <c r="Q223" s="268"/>
      <c r="R223" s="268"/>
      <c r="S223" s="268"/>
      <c r="T223" s="268"/>
      <c r="U223" s="268"/>
      <c r="V223" s="268"/>
      <c r="W223" s="268"/>
      <c r="X223" s="268"/>
      <c r="Y223" s="268"/>
      <c r="Z223" s="268"/>
    </row>
    <row r="224" customHeight="1" spans="1:26">
      <c r="A224" s="268"/>
      <c r="B224" s="268"/>
      <c r="C224" s="268"/>
      <c r="D224" s="268"/>
      <c r="E224" s="268"/>
      <c r="F224" s="268"/>
      <c r="G224" s="268"/>
      <c r="H224" s="268"/>
      <c r="I224" s="268"/>
      <c r="J224" s="268"/>
      <c r="K224" s="268"/>
      <c r="L224" s="268"/>
      <c r="M224" s="268"/>
      <c r="N224" s="268"/>
      <c r="O224" s="268"/>
      <c r="P224" s="268"/>
      <c r="Q224" s="268"/>
      <c r="R224" s="268"/>
      <c r="S224" s="268"/>
      <c r="T224" s="268"/>
      <c r="U224" s="268"/>
      <c r="V224" s="268"/>
      <c r="W224" s="268"/>
      <c r="X224" s="268"/>
      <c r="Y224" s="268"/>
      <c r="Z224" s="268"/>
    </row>
    <row r="225" customHeight="1" spans="1:26">
      <c r="A225" s="268"/>
      <c r="B225" s="268"/>
      <c r="C225" s="268"/>
      <c r="D225" s="268"/>
      <c r="E225" s="268"/>
      <c r="F225" s="268"/>
      <c r="G225" s="268"/>
      <c r="H225" s="268"/>
      <c r="I225" s="268"/>
      <c r="J225" s="268"/>
      <c r="K225" s="268"/>
      <c r="L225" s="268"/>
      <c r="M225" s="268"/>
      <c r="N225" s="268"/>
      <c r="O225" s="268"/>
      <c r="P225" s="268"/>
      <c r="Q225" s="268"/>
      <c r="R225" s="268"/>
      <c r="S225" s="268"/>
      <c r="T225" s="268"/>
      <c r="U225" s="268"/>
      <c r="V225" s="268"/>
      <c r="W225" s="268"/>
      <c r="X225" s="268"/>
      <c r="Y225" s="268"/>
      <c r="Z225" s="268"/>
    </row>
    <row r="226" customHeight="1" spans="1:26">
      <c r="A226" s="268"/>
      <c r="B226" s="268"/>
      <c r="C226" s="268"/>
      <c r="D226" s="268"/>
      <c r="E226" s="268"/>
      <c r="F226" s="268"/>
      <c r="G226" s="268"/>
      <c r="H226" s="268"/>
      <c r="I226" s="268"/>
      <c r="J226" s="268"/>
      <c r="K226" s="268"/>
      <c r="L226" s="268"/>
      <c r="M226" s="268"/>
      <c r="N226" s="268"/>
      <c r="O226" s="268"/>
      <c r="P226" s="268"/>
      <c r="Q226" s="268"/>
      <c r="R226" s="268"/>
      <c r="S226" s="268"/>
      <c r="T226" s="268"/>
      <c r="U226" s="268"/>
      <c r="V226" s="268"/>
      <c r="W226" s="268"/>
      <c r="X226" s="268"/>
      <c r="Y226" s="268"/>
      <c r="Z226" s="268"/>
    </row>
    <row r="227" customHeight="1" spans="1:26">
      <c r="A227" s="268"/>
      <c r="B227" s="268"/>
      <c r="C227" s="268"/>
      <c r="D227" s="268"/>
      <c r="E227" s="268"/>
      <c r="F227" s="268"/>
      <c r="G227" s="268"/>
      <c r="H227" s="268"/>
      <c r="I227" s="268"/>
      <c r="J227" s="268"/>
      <c r="K227" s="268"/>
      <c r="L227" s="268"/>
      <c r="M227" s="268"/>
      <c r="N227" s="268"/>
      <c r="O227" s="268"/>
      <c r="P227" s="268"/>
      <c r="Q227" s="268"/>
      <c r="R227" s="268"/>
      <c r="S227" s="268"/>
      <c r="T227" s="268"/>
      <c r="U227" s="268"/>
      <c r="V227" s="268"/>
      <c r="W227" s="268"/>
      <c r="X227" s="268"/>
      <c r="Y227" s="268"/>
      <c r="Z227" s="268"/>
    </row>
    <row r="228" customHeight="1" spans="1:26">
      <c r="A228" s="268"/>
      <c r="B228" s="268"/>
      <c r="C228" s="268"/>
      <c r="D228" s="268"/>
      <c r="E228" s="268"/>
      <c r="F228" s="268"/>
      <c r="G228" s="268"/>
      <c r="H228" s="268"/>
      <c r="I228" s="268"/>
      <c r="J228" s="268"/>
      <c r="K228" s="268"/>
      <c r="L228" s="268"/>
      <c r="M228" s="268"/>
      <c r="N228" s="268"/>
      <c r="O228" s="268"/>
      <c r="P228" s="268"/>
      <c r="Q228" s="268"/>
      <c r="R228" s="268"/>
      <c r="S228" s="268"/>
      <c r="T228" s="268"/>
      <c r="U228" s="268"/>
      <c r="V228" s="268"/>
      <c r="W228" s="268"/>
      <c r="X228" s="268"/>
      <c r="Y228" s="268"/>
      <c r="Z228" s="268"/>
    </row>
    <row r="229" customHeight="1" spans="1:26">
      <c r="A229" s="268"/>
      <c r="B229" s="268"/>
      <c r="C229" s="268"/>
      <c r="D229" s="268"/>
      <c r="E229" s="268"/>
      <c r="F229" s="268"/>
      <c r="G229" s="268"/>
      <c r="H229" s="268"/>
      <c r="I229" s="268"/>
      <c r="J229" s="268"/>
      <c r="K229" s="268"/>
      <c r="L229" s="268"/>
      <c r="M229" s="268"/>
      <c r="N229" s="268"/>
      <c r="O229" s="268"/>
      <c r="P229" s="268"/>
      <c r="Q229" s="268"/>
      <c r="R229" s="268"/>
      <c r="S229" s="268"/>
      <c r="T229" s="268"/>
      <c r="U229" s="268"/>
      <c r="V229" s="268"/>
      <c r="W229" s="268"/>
      <c r="X229" s="268"/>
      <c r="Y229" s="268"/>
      <c r="Z229" s="268"/>
    </row>
    <row r="230" customHeight="1" spans="1:26">
      <c r="A230" s="268"/>
      <c r="B230" s="268"/>
      <c r="C230" s="268"/>
      <c r="D230" s="268"/>
      <c r="E230" s="268"/>
      <c r="F230" s="268"/>
      <c r="G230" s="268"/>
      <c r="H230" s="268"/>
      <c r="I230" s="268"/>
      <c r="J230" s="268"/>
      <c r="K230" s="268"/>
      <c r="L230" s="268"/>
      <c r="M230" s="268"/>
      <c r="N230" s="268"/>
      <c r="O230" s="268"/>
      <c r="P230" s="268"/>
      <c r="Q230" s="268"/>
      <c r="R230" s="268"/>
      <c r="S230" s="268"/>
      <c r="T230" s="268"/>
      <c r="U230" s="268"/>
      <c r="V230" s="268"/>
      <c r="W230" s="268"/>
      <c r="X230" s="268"/>
      <c r="Y230" s="268"/>
      <c r="Z230" s="268"/>
    </row>
    <row r="231" customHeight="1" spans="1:26">
      <c r="A231" s="268"/>
      <c r="B231" s="268"/>
      <c r="C231" s="268"/>
      <c r="D231" s="268"/>
      <c r="E231" s="268"/>
      <c r="F231" s="268"/>
      <c r="G231" s="268"/>
      <c r="H231" s="268"/>
      <c r="I231" s="268"/>
      <c r="J231" s="268"/>
      <c r="K231" s="268"/>
      <c r="L231" s="268"/>
      <c r="M231" s="268"/>
      <c r="N231" s="268"/>
      <c r="O231" s="268"/>
      <c r="P231" s="268"/>
      <c r="Q231" s="268"/>
      <c r="R231" s="268"/>
      <c r="S231" s="268"/>
      <c r="T231" s="268"/>
      <c r="U231" s="268"/>
      <c r="V231" s="268"/>
      <c r="W231" s="268"/>
      <c r="X231" s="268"/>
      <c r="Y231" s="268"/>
      <c r="Z231" s="268"/>
    </row>
    <row r="232" customHeight="1" spans="1:26">
      <c r="A232" s="268"/>
      <c r="B232" s="268"/>
      <c r="C232" s="268"/>
      <c r="D232" s="268"/>
      <c r="E232" s="268"/>
      <c r="F232" s="268"/>
      <c r="G232" s="268"/>
      <c r="H232" s="268"/>
      <c r="I232" s="268"/>
      <c r="J232" s="268"/>
      <c r="K232" s="268"/>
      <c r="L232" s="268"/>
      <c r="M232" s="268"/>
      <c r="N232" s="268"/>
      <c r="O232" s="268"/>
      <c r="P232" s="268"/>
      <c r="Q232" s="268"/>
      <c r="R232" s="268"/>
      <c r="S232" s="268"/>
      <c r="T232" s="268"/>
      <c r="U232" s="268"/>
      <c r="V232" s="268"/>
      <c r="W232" s="268"/>
      <c r="X232" s="268"/>
      <c r="Y232" s="268"/>
      <c r="Z232" s="268"/>
    </row>
    <row r="233" customHeight="1" spans="1:26">
      <c r="A233" s="268"/>
      <c r="B233" s="268"/>
      <c r="C233" s="268"/>
      <c r="D233" s="268"/>
      <c r="E233" s="268"/>
      <c r="F233" s="268"/>
      <c r="G233" s="268"/>
      <c r="H233" s="268"/>
      <c r="I233" s="268"/>
      <c r="J233" s="268"/>
      <c r="K233" s="268"/>
      <c r="L233" s="268"/>
      <c r="M233" s="268"/>
      <c r="N233" s="268"/>
      <c r="O233" s="268"/>
      <c r="P233" s="268"/>
      <c r="Q233" s="268"/>
      <c r="R233" s="268"/>
      <c r="S233" s="268"/>
      <c r="T233" s="268"/>
      <c r="U233" s="268"/>
      <c r="V233" s="268"/>
      <c r="W233" s="268"/>
      <c r="X233" s="268"/>
      <c r="Y233" s="268"/>
      <c r="Z233" s="268"/>
    </row>
    <row r="234" customHeight="1" spans="1:26">
      <c r="A234" s="268"/>
      <c r="B234" s="268"/>
      <c r="C234" s="268"/>
      <c r="D234" s="268"/>
      <c r="E234" s="268"/>
      <c r="F234" s="268"/>
      <c r="G234" s="268"/>
      <c r="H234" s="268"/>
      <c r="I234" s="268"/>
      <c r="J234" s="268"/>
      <c r="K234" s="268"/>
      <c r="L234" s="268"/>
      <c r="M234" s="268"/>
      <c r="N234" s="268"/>
      <c r="O234" s="268"/>
      <c r="P234" s="268"/>
      <c r="Q234" s="268"/>
      <c r="R234" s="268"/>
      <c r="S234" s="268"/>
      <c r="T234" s="268"/>
      <c r="U234" s="268"/>
      <c r="V234" s="268"/>
      <c r="W234" s="268"/>
      <c r="X234" s="268"/>
      <c r="Y234" s="268"/>
      <c r="Z234" s="268"/>
    </row>
    <row r="235" customHeight="1" spans="1:26">
      <c r="A235" s="268"/>
      <c r="B235" s="268"/>
      <c r="C235" s="268"/>
      <c r="D235" s="268"/>
      <c r="E235" s="268"/>
      <c r="F235" s="268"/>
      <c r="G235" s="268"/>
      <c r="H235" s="268"/>
      <c r="I235" s="268"/>
      <c r="J235" s="268"/>
      <c r="K235" s="268"/>
      <c r="L235" s="268"/>
      <c r="M235" s="268"/>
      <c r="N235" s="268"/>
      <c r="O235" s="268"/>
      <c r="P235" s="268"/>
      <c r="Q235" s="268"/>
      <c r="R235" s="268"/>
      <c r="S235" s="268"/>
      <c r="T235" s="268"/>
      <c r="U235" s="268"/>
      <c r="V235" s="268"/>
      <c r="W235" s="268"/>
      <c r="X235" s="268"/>
      <c r="Y235" s="268"/>
      <c r="Z235" s="268"/>
    </row>
    <row r="236" customHeight="1" spans="1:26">
      <c r="A236" s="268"/>
      <c r="B236" s="268"/>
      <c r="C236" s="268"/>
      <c r="D236" s="268"/>
      <c r="E236" s="268"/>
      <c r="F236" s="268"/>
      <c r="G236" s="268"/>
      <c r="H236" s="268"/>
      <c r="I236" s="268"/>
      <c r="J236" s="268"/>
      <c r="K236" s="268"/>
      <c r="L236" s="268"/>
      <c r="M236" s="268"/>
      <c r="N236" s="268"/>
      <c r="O236" s="268"/>
      <c r="P236" s="268"/>
      <c r="Q236" s="268"/>
      <c r="R236" s="268"/>
      <c r="S236" s="268"/>
      <c r="T236" s="268"/>
      <c r="U236" s="268"/>
      <c r="V236" s="268"/>
      <c r="W236" s="268"/>
      <c r="X236" s="268"/>
      <c r="Y236" s="268"/>
      <c r="Z236" s="268"/>
    </row>
    <row r="237" customHeight="1" spans="1:26">
      <c r="A237" s="268"/>
      <c r="B237" s="268"/>
      <c r="C237" s="268"/>
      <c r="D237" s="268"/>
      <c r="E237" s="268"/>
      <c r="F237" s="268"/>
      <c r="G237" s="268"/>
      <c r="H237" s="268"/>
      <c r="I237" s="268"/>
      <c r="J237" s="268"/>
      <c r="K237" s="268"/>
      <c r="L237" s="268"/>
      <c r="M237" s="268"/>
      <c r="N237" s="268"/>
      <c r="O237" s="268"/>
      <c r="P237" s="268"/>
      <c r="Q237" s="268"/>
      <c r="R237" s="268"/>
      <c r="S237" s="268"/>
      <c r="T237" s="268"/>
      <c r="U237" s="268"/>
      <c r="V237" s="268"/>
      <c r="W237" s="268"/>
      <c r="X237" s="268"/>
      <c r="Y237" s="268"/>
      <c r="Z237" s="268"/>
    </row>
    <row r="238" customHeight="1" spans="1:26">
      <c r="A238" s="268"/>
      <c r="B238" s="268"/>
      <c r="C238" s="268"/>
      <c r="D238" s="268"/>
      <c r="E238" s="268"/>
      <c r="F238" s="268"/>
      <c r="G238" s="268"/>
      <c r="H238" s="268"/>
      <c r="I238" s="268"/>
      <c r="J238" s="268"/>
      <c r="K238" s="268"/>
      <c r="L238" s="268"/>
      <c r="M238" s="268"/>
      <c r="N238" s="268"/>
      <c r="O238" s="268"/>
      <c r="P238" s="268"/>
      <c r="Q238" s="268"/>
      <c r="R238" s="268"/>
      <c r="S238" s="268"/>
      <c r="T238" s="268"/>
      <c r="U238" s="268"/>
      <c r="V238" s="268"/>
      <c r="W238" s="268"/>
      <c r="X238" s="268"/>
      <c r="Y238" s="268"/>
      <c r="Z238" s="268"/>
    </row>
    <row r="239" customHeight="1" spans="1:26">
      <c r="A239" s="268"/>
      <c r="B239" s="268"/>
      <c r="C239" s="268"/>
      <c r="D239" s="268"/>
      <c r="E239" s="268"/>
      <c r="F239" s="268"/>
      <c r="G239" s="268"/>
      <c r="H239" s="268"/>
      <c r="I239" s="268"/>
      <c r="J239" s="268"/>
      <c r="K239" s="268"/>
      <c r="L239" s="268"/>
      <c r="M239" s="268"/>
      <c r="N239" s="268"/>
      <c r="O239" s="268"/>
      <c r="P239" s="268"/>
      <c r="Q239" s="268"/>
      <c r="R239" s="268"/>
      <c r="S239" s="268"/>
      <c r="T239" s="268"/>
      <c r="U239" s="268"/>
      <c r="V239" s="268"/>
      <c r="W239" s="268"/>
      <c r="X239" s="268"/>
      <c r="Y239" s="268"/>
      <c r="Z239" s="268"/>
    </row>
    <row r="240" customHeight="1" spans="1:26">
      <c r="A240" s="268"/>
      <c r="B240" s="268"/>
      <c r="C240" s="268"/>
      <c r="D240" s="268"/>
      <c r="E240" s="268"/>
      <c r="F240" s="268"/>
      <c r="G240" s="268"/>
      <c r="H240" s="268"/>
      <c r="I240" s="268"/>
      <c r="J240" s="268"/>
      <c r="K240" s="268"/>
      <c r="L240" s="268"/>
      <c r="M240" s="268"/>
      <c r="N240" s="268"/>
      <c r="O240" s="268"/>
      <c r="P240" s="268"/>
      <c r="Q240" s="268"/>
      <c r="R240" s="268"/>
      <c r="S240" s="268"/>
      <c r="T240" s="268"/>
      <c r="U240" s="268"/>
      <c r="V240" s="268"/>
      <c r="W240" s="268"/>
      <c r="X240" s="268"/>
      <c r="Y240" s="268"/>
      <c r="Z240" s="268"/>
    </row>
    <row r="241" customHeight="1" spans="1:26">
      <c r="A241" s="268"/>
      <c r="B241" s="268"/>
      <c r="C241" s="268"/>
      <c r="D241" s="268"/>
      <c r="E241" s="268"/>
      <c r="F241" s="268"/>
      <c r="G241" s="268"/>
      <c r="H241" s="268"/>
      <c r="I241" s="268"/>
      <c r="J241" s="268"/>
      <c r="K241" s="268"/>
      <c r="L241" s="268"/>
      <c r="M241" s="268"/>
      <c r="N241" s="268"/>
      <c r="O241" s="268"/>
      <c r="P241" s="268"/>
      <c r="Q241" s="268"/>
      <c r="R241" s="268"/>
      <c r="S241" s="268"/>
      <c r="T241" s="268"/>
      <c r="U241" s="268"/>
      <c r="V241" s="268"/>
      <c r="W241" s="268"/>
      <c r="X241" s="268"/>
      <c r="Y241" s="268"/>
      <c r="Z241" s="268"/>
    </row>
    <row r="242" customHeight="1" spans="1:26">
      <c r="A242" s="268"/>
      <c r="B242" s="268"/>
      <c r="C242" s="268"/>
      <c r="D242" s="268"/>
      <c r="E242" s="268"/>
      <c r="F242" s="268"/>
      <c r="G242" s="268"/>
      <c r="H242" s="268"/>
      <c r="I242" s="268"/>
      <c r="J242" s="268"/>
      <c r="K242" s="268"/>
      <c r="L242" s="268"/>
      <c r="M242" s="268"/>
      <c r="N242" s="268"/>
      <c r="O242" s="268"/>
      <c r="P242" s="268"/>
      <c r="Q242" s="268"/>
      <c r="R242" s="268"/>
      <c r="S242" s="268"/>
      <c r="T242" s="268"/>
      <c r="U242" s="268"/>
      <c r="V242" s="268"/>
      <c r="W242" s="268"/>
      <c r="X242" s="268"/>
      <c r="Y242" s="268"/>
      <c r="Z242" s="268"/>
    </row>
    <row r="243" customHeight="1" spans="1:26">
      <c r="A243" s="268"/>
      <c r="B243" s="268"/>
      <c r="C243" s="268"/>
      <c r="D243" s="268"/>
      <c r="E243" s="268"/>
      <c r="F243" s="268"/>
      <c r="G243" s="268"/>
      <c r="H243" s="268"/>
      <c r="I243" s="268"/>
      <c r="J243" s="268"/>
      <c r="K243" s="268"/>
      <c r="L243" s="268"/>
      <c r="M243" s="268"/>
      <c r="N243" s="268"/>
      <c r="O243" s="268"/>
      <c r="P243" s="268"/>
      <c r="Q243" s="268"/>
      <c r="R243" s="268"/>
      <c r="S243" s="268"/>
      <c r="T243" s="268"/>
      <c r="U243" s="268"/>
      <c r="V243" s="268"/>
      <c r="W243" s="268"/>
      <c r="X243" s="268"/>
      <c r="Y243" s="268"/>
      <c r="Z243" s="268"/>
    </row>
    <row r="244" customHeight="1" spans="1:26">
      <c r="A244" s="268"/>
      <c r="B244" s="268"/>
      <c r="C244" s="268"/>
      <c r="D244" s="268"/>
      <c r="E244" s="268"/>
      <c r="F244" s="268"/>
      <c r="G244" s="268"/>
      <c r="H244" s="268"/>
      <c r="I244" s="268"/>
      <c r="J244" s="268"/>
      <c r="K244" s="268"/>
      <c r="L244" s="268"/>
      <c r="M244" s="268"/>
      <c r="N244" s="268"/>
      <c r="O244" s="268"/>
      <c r="P244" s="268"/>
      <c r="Q244" s="268"/>
      <c r="R244" s="268"/>
      <c r="S244" s="268"/>
      <c r="T244" s="268"/>
      <c r="U244" s="268"/>
      <c r="V244" s="268"/>
      <c r="W244" s="268"/>
      <c r="X244" s="268"/>
      <c r="Y244" s="268"/>
      <c r="Z244" s="268"/>
    </row>
    <row r="245" customHeight="1" spans="1:26">
      <c r="A245" s="268"/>
      <c r="B245" s="268"/>
      <c r="C245" s="268"/>
      <c r="D245" s="268"/>
      <c r="E245" s="268"/>
      <c r="F245" s="268"/>
      <c r="G245" s="268"/>
      <c r="H245" s="268"/>
      <c r="I245" s="268"/>
      <c r="J245" s="268"/>
      <c r="K245" s="268"/>
      <c r="L245" s="268"/>
      <c r="M245" s="268"/>
      <c r="N245" s="268"/>
      <c r="O245" s="268"/>
      <c r="P245" s="268"/>
      <c r="Q245" s="268"/>
      <c r="R245" s="268"/>
      <c r="S245" s="268"/>
      <c r="T245" s="268"/>
      <c r="U245" s="268"/>
      <c r="V245" s="268"/>
      <c r="W245" s="268"/>
      <c r="X245" s="268"/>
      <c r="Y245" s="268"/>
      <c r="Z245" s="268"/>
    </row>
    <row r="246" customHeight="1" spans="1:26">
      <c r="A246" s="268"/>
      <c r="B246" s="268"/>
      <c r="C246" s="268"/>
      <c r="D246" s="268"/>
      <c r="E246" s="268"/>
      <c r="F246" s="268"/>
      <c r="G246" s="268"/>
      <c r="H246" s="268"/>
      <c r="I246" s="268"/>
      <c r="J246" s="268"/>
      <c r="K246" s="268"/>
      <c r="L246" s="268"/>
      <c r="M246" s="268"/>
      <c r="N246" s="268"/>
      <c r="O246" s="268"/>
      <c r="P246" s="268"/>
      <c r="Q246" s="268"/>
      <c r="R246" s="268"/>
      <c r="S246" s="268"/>
      <c r="T246" s="268"/>
      <c r="U246" s="268"/>
      <c r="V246" s="268"/>
      <c r="W246" s="268"/>
      <c r="X246" s="268"/>
      <c r="Y246" s="268"/>
      <c r="Z246" s="268"/>
    </row>
    <row r="247" customHeight="1" spans="1:26">
      <c r="A247" s="268"/>
      <c r="B247" s="268"/>
      <c r="C247" s="268"/>
      <c r="D247" s="268"/>
      <c r="E247" s="268"/>
      <c r="F247" s="268"/>
      <c r="G247" s="268"/>
      <c r="H247" s="268"/>
      <c r="I247" s="268"/>
      <c r="J247" s="268"/>
      <c r="K247" s="268"/>
      <c r="L247" s="268"/>
      <c r="M247" s="268"/>
      <c r="N247" s="268"/>
      <c r="O247" s="268"/>
      <c r="P247" s="268"/>
      <c r="Q247" s="268"/>
      <c r="R247" s="268"/>
      <c r="S247" s="268"/>
      <c r="T247" s="268"/>
      <c r="U247" s="268"/>
      <c r="V247" s="268"/>
      <c r="W247" s="268"/>
      <c r="X247" s="268"/>
      <c r="Y247" s="268"/>
      <c r="Z247" s="268"/>
    </row>
    <row r="248" customHeight="1" spans="1:26">
      <c r="A248" s="268"/>
      <c r="B248" s="268"/>
      <c r="C248" s="268"/>
      <c r="D248" s="268"/>
      <c r="E248" s="268"/>
      <c r="F248" s="268"/>
      <c r="G248" s="268"/>
      <c r="H248" s="268"/>
      <c r="I248" s="268"/>
      <c r="J248" s="268"/>
      <c r="K248" s="268"/>
      <c r="L248" s="268"/>
      <c r="M248" s="268"/>
      <c r="N248" s="268"/>
      <c r="O248" s="268"/>
      <c r="P248" s="268"/>
      <c r="Q248" s="268"/>
      <c r="R248" s="268"/>
      <c r="S248" s="268"/>
      <c r="T248" s="268"/>
      <c r="U248" s="268"/>
      <c r="V248" s="268"/>
      <c r="W248" s="268"/>
      <c r="X248" s="268"/>
      <c r="Y248" s="268"/>
      <c r="Z248" s="268"/>
    </row>
    <row r="249" customHeight="1" spans="1:26">
      <c r="A249" s="268"/>
      <c r="B249" s="268"/>
      <c r="C249" s="268"/>
      <c r="D249" s="268"/>
      <c r="E249" s="268"/>
      <c r="F249" s="268"/>
      <c r="G249" s="268"/>
      <c r="H249" s="268"/>
      <c r="I249" s="268"/>
      <c r="J249" s="268"/>
      <c r="K249" s="268"/>
      <c r="L249" s="268"/>
      <c r="M249" s="268"/>
      <c r="N249" s="268"/>
      <c r="O249" s="268"/>
      <c r="P249" s="268"/>
      <c r="Q249" s="268"/>
      <c r="R249" s="268"/>
      <c r="S249" s="268"/>
      <c r="T249" s="268"/>
      <c r="U249" s="268"/>
      <c r="V249" s="268"/>
      <c r="W249" s="268"/>
      <c r="X249" s="268"/>
      <c r="Y249" s="268"/>
      <c r="Z249" s="268"/>
    </row>
    <row r="250" customHeight="1" spans="1:26">
      <c r="A250" s="268"/>
      <c r="B250" s="268"/>
      <c r="C250" s="268"/>
      <c r="D250" s="268"/>
      <c r="E250" s="268"/>
      <c r="F250" s="268"/>
      <c r="G250" s="268"/>
      <c r="H250" s="268"/>
      <c r="I250" s="268"/>
      <c r="J250" s="268"/>
      <c r="K250" s="268"/>
      <c r="L250" s="268"/>
      <c r="M250" s="268"/>
      <c r="N250" s="268"/>
      <c r="O250" s="268"/>
      <c r="P250" s="268"/>
      <c r="Q250" s="268"/>
      <c r="R250" s="268"/>
      <c r="S250" s="268"/>
      <c r="T250" s="268"/>
      <c r="U250" s="268"/>
      <c r="V250" s="268"/>
      <c r="W250" s="268"/>
      <c r="X250" s="268"/>
      <c r="Y250" s="268"/>
      <c r="Z250" s="268"/>
    </row>
    <row r="251" customHeight="1" spans="1:26">
      <c r="A251" s="268"/>
      <c r="B251" s="268"/>
      <c r="C251" s="268"/>
      <c r="D251" s="268"/>
      <c r="E251" s="268"/>
      <c r="F251" s="268"/>
      <c r="G251" s="268"/>
      <c r="H251" s="268"/>
      <c r="I251" s="268"/>
      <c r="J251" s="268"/>
      <c r="K251" s="268"/>
      <c r="L251" s="268"/>
      <c r="M251" s="268"/>
      <c r="N251" s="268"/>
      <c r="O251" s="268"/>
      <c r="P251" s="268"/>
      <c r="Q251" s="268"/>
      <c r="R251" s="268"/>
      <c r="S251" s="268"/>
      <c r="T251" s="268"/>
      <c r="U251" s="268"/>
      <c r="V251" s="268"/>
      <c r="W251" s="268"/>
      <c r="X251" s="268"/>
      <c r="Y251" s="268"/>
      <c r="Z251" s="268"/>
    </row>
    <row r="252" customHeight="1" spans="1:26">
      <c r="A252" s="268"/>
      <c r="B252" s="268"/>
      <c r="C252" s="268"/>
      <c r="D252" s="268"/>
      <c r="E252" s="268"/>
      <c r="F252" s="268"/>
      <c r="G252" s="268"/>
      <c r="H252" s="268"/>
      <c r="I252" s="268"/>
      <c r="J252" s="268"/>
      <c r="K252" s="268"/>
      <c r="L252" s="268"/>
      <c r="M252" s="268"/>
      <c r="N252" s="268"/>
      <c r="O252" s="268"/>
      <c r="P252" s="268"/>
      <c r="Q252" s="268"/>
      <c r="R252" s="268"/>
      <c r="S252" s="268"/>
      <c r="T252" s="268"/>
      <c r="U252" s="268"/>
      <c r="V252" s="268"/>
      <c r="W252" s="268"/>
      <c r="X252" s="268"/>
      <c r="Y252" s="268"/>
      <c r="Z252" s="268"/>
    </row>
    <row r="253" customHeight="1" spans="1:26">
      <c r="A253" s="268"/>
      <c r="B253" s="268"/>
      <c r="C253" s="268"/>
      <c r="D253" s="268"/>
      <c r="E253" s="268"/>
      <c r="F253" s="268"/>
      <c r="G253" s="268"/>
      <c r="H253" s="268"/>
      <c r="I253" s="268"/>
      <c r="J253" s="268"/>
      <c r="K253" s="268"/>
      <c r="L253" s="268"/>
      <c r="M253" s="268"/>
      <c r="N253" s="268"/>
      <c r="O253" s="268"/>
      <c r="P253" s="268"/>
      <c r="Q253" s="268"/>
      <c r="R253" s="268"/>
      <c r="S253" s="268"/>
      <c r="T253" s="268"/>
      <c r="U253" s="268"/>
      <c r="V253" s="268"/>
      <c r="W253" s="268"/>
      <c r="X253" s="268"/>
      <c r="Y253" s="268"/>
      <c r="Z253" s="268"/>
    </row>
    <row r="254" customHeight="1" spans="1:26">
      <c r="A254" s="268"/>
      <c r="B254" s="268"/>
      <c r="C254" s="268"/>
      <c r="D254" s="268"/>
      <c r="E254" s="268"/>
      <c r="F254" s="268"/>
      <c r="G254" s="268"/>
      <c r="H254" s="268"/>
      <c r="I254" s="268"/>
      <c r="J254" s="268"/>
      <c r="K254" s="268"/>
      <c r="L254" s="268"/>
      <c r="M254" s="268"/>
      <c r="N254" s="268"/>
      <c r="O254" s="268"/>
      <c r="P254" s="268"/>
      <c r="Q254" s="268"/>
      <c r="R254" s="268"/>
      <c r="S254" s="268"/>
      <c r="T254" s="268"/>
      <c r="U254" s="268"/>
      <c r="V254" s="268"/>
      <c r="W254" s="268"/>
      <c r="X254" s="268"/>
      <c r="Y254" s="268"/>
      <c r="Z254" s="268"/>
    </row>
    <row r="255" customHeight="1" spans="1:26">
      <c r="A255" s="268"/>
      <c r="B255" s="268"/>
      <c r="C255" s="268"/>
      <c r="D255" s="268"/>
      <c r="E255" s="268"/>
      <c r="F255" s="268"/>
      <c r="G255" s="268"/>
      <c r="H255" s="268"/>
      <c r="I255" s="268"/>
      <c r="J255" s="268"/>
      <c r="K255" s="268"/>
      <c r="L255" s="268"/>
      <c r="M255" s="268"/>
      <c r="N255" s="268"/>
      <c r="O255" s="268"/>
      <c r="P255" s="268"/>
      <c r="Q255" s="268"/>
      <c r="R255" s="268"/>
      <c r="S255" s="268"/>
      <c r="T255" s="268"/>
      <c r="U255" s="268"/>
      <c r="V255" s="268"/>
      <c r="W255" s="268"/>
      <c r="X255" s="268"/>
      <c r="Y255" s="268"/>
      <c r="Z255" s="268"/>
    </row>
    <row r="256" customHeight="1" spans="1:26">
      <c r="A256" s="268"/>
      <c r="B256" s="268"/>
      <c r="C256" s="268"/>
      <c r="D256" s="268"/>
      <c r="E256" s="268"/>
      <c r="F256" s="268"/>
      <c r="G256" s="268"/>
      <c r="H256" s="268"/>
      <c r="I256" s="268"/>
      <c r="J256" s="268"/>
      <c r="K256" s="268"/>
      <c r="L256" s="268"/>
      <c r="M256" s="268"/>
      <c r="N256" s="268"/>
      <c r="O256" s="268"/>
      <c r="P256" s="268"/>
      <c r="Q256" s="268"/>
      <c r="R256" s="268"/>
      <c r="S256" s="268"/>
      <c r="T256" s="268"/>
      <c r="U256" s="268"/>
      <c r="V256" s="268"/>
      <c r="W256" s="268"/>
      <c r="X256" s="268"/>
      <c r="Y256" s="268"/>
      <c r="Z256" s="268"/>
    </row>
    <row r="257" customHeight="1" spans="1:26">
      <c r="A257" s="268"/>
      <c r="B257" s="268"/>
      <c r="C257" s="268"/>
      <c r="D257" s="268"/>
      <c r="E257" s="268"/>
      <c r="F257" s="268"/>
      <c r="G257" s="268"/>
      <c r="H257" s="268"/>
      <c r="I257" s="268"/>
      <c r="J257" s="268"/>
      <c r="K257" s="268"/>
      <c r="L257" s="268"/>
      <c r="M257" s="268"/>
      <c r="N257" s="268"/>
      <c r="O257" s="268"/>
      <c r="P257" s="268"/>
      <c r="Q257" s="268"/>
      <c r="R257" s="268"/>
      <c r="S257" s="268"/>
      <c r="T257" s="268"/>
      <c r="U257" s="268"/>
      <c r="V257" s="268"/>
      <c r="W257" s="268"/>
      <c r="X257" s="268"/>
      <c r="Y257" s="268"/>
      <c r="Z257" s="268"/>
    </row>
    <row r="258" customHeight="1" spans="1:26">
      <c r="A258" s="268"/>
      <c r="B258" s="268"/>
      <c r="C258" s="268"/>
      <c r="D258" s="268"/>
      <c r="E258" s="268"/>
      <c r="F258" s="268"/>
      <c r="G258" s="268"/>
      <c r="H258" s="268"/>
      <c r="I258" s="268"/>
      <c r="J258" s="268"/>
      <c r="K258" s="268"/>
      <c r="L258" s="268"/>
      <c r="M258" s="268"/>
      <c r="N258" s="268"/>
      <c r="O258" s="268"/>
      <c r="P258" s="268"/>
      <c r="Q258" s="268"/>
      <c r="R258" s="268"/>
      <c r="S258" s="268"/>
      <c r="T258" s="268"/>
      <c r="U258" s="268"/>
      <c r="V258" s="268"/>
      <c r="W258" s="268"/>
      <c r="X258" s="268"/>
      <c r="Y258" s="268"/>
      <c r="Z258" s="268"/>
    </row>
    <row r="259" customHeight="1" spans="1:26">
      <c r="A259" s="268"/>
      <c r="B259" s="268"/>
      <c r="C259" s="268"/>
      <c r="D259" s="268"/>
      <c r="E259" s="268"/>
      <c r="F259" s="268"/>
      <c r="G259" s="268"/>
      <c r="H259" s="268"/>
      <c r="I259" s="268"/>
      <c r="J259" s="268"/>
      <c r="K259" s="268"/>
      <c r="L259" s="268"/>
      <c r="M259" s="268"/>
      <c r="N259" s="268"/>
      <c r="O259" s="268"/>
      <c r="P259" s="268"/>
      <c r="Q259" s="268"/>
      <c r="R259" s="268"/>
      <c r="S259" s="268"/>
      <c r="T259" s="268"/>
      <c r="U259" s="268"/>
      <c r="V259" s="268"/>
      <c r="W259" s="268"/>
      <c r="X259" s="268"/>
      <c r="Y259" s="268"/>
      <c r="Z259" s="268"/>
    </row>
    <row r="260" customHeight="1" spans="1:26">
      <c r="A260" s="268"/>
      <c r="B260" s="268"/>
      <c r="C260" s="268"/>
      <c r="D260" s="268"/>
      <c r="E260" s="268"/>
      <c r="F260" s="268"/>
      <c r="G260" s="268"/>
      <c r="H260" s="268"/>
      <c r="I260" s="268"/>
      <c r="J260" s="268"/>
      <c r="K260" s="268"/>
      <c r="L260" s="268"/>
      <c r="M260" s="268"/>
      <c r="N260" s="268"/>
      <c r="O260" s="268"/>
      <c r="P260" s="268"/>
      <c r="Q260" s="268"/>
      <c r="R260" s="268"/>
      <c r="S260" s="268"/>
      <c r="T260" s="268"/>
      <c r="U260" s="268"/>
      <c r="V260" s="268"/>
      <c r="W260" s="268"/>
      <c r="X260" s="268"/>
      <c r="Y260" s="268"/>
      <c r="Z260" s="268"/>
    </row>
    <row r="261" customHeight="1" spans="1:26">
      <c r="A261" s="268"/>
      <c r="B261" s="268"/>
      <c r="C261" s="268"/>
      <c r="D261" s="268"/>
      <c r="E261" s="268"/>
      <c r="F261" s="268"/>
      <c r="G261" s="268"/>
      <c r="H261" s="268"/>
      <c r="I261" s="268"/>
      <c r="J261" s="268"/>
      <c r="K261" s="268"/>
      <c r="L261" s="268"/>
      <c r="M261" s="268"/>
      <c r="N261" s="268"/>
      <c r="O261" s="268"/>
      <c r="P261" s="268"/>
      <c r="Q261" s="268"/>
      <c r="R261" s="268"/>
      <c r="S261" s="268"/>
      <c r="T261" s="268"/>
      <c r="U261" s="268"/>
      <c r="V261" s="268"/>
      <c r="W261" s="268"/>
      <c r="X261" s="268"/>
      <c r="Y261" s="268"/>
      <c r="Z261" s="268"/>
    </row>
    <row r="262" customHeight="1" spans="1:26">
      <c r="A262" s="268"/>
      <c r="B262" s="268"/>
      <c r="C262" s="268"/>
      <c r="D262" s="268"/>
      <c r="E262" s="268"/>
      <c r="F262" s="268"/>
      <c r="G262" s="268"/>
      <c r="H262" s="268"/>
      <c r="I262" s="268"/>
      <c r="J262" s="268"/>
      <c r="K262" s="268"/>
      <c r="L262" s="268"/>
      <c r="M262" s="268"/>
      <c r="N262" s="268"/>
      <c r="O262" s="268"/>
      <c r="P262" s="268"/>
      <c r="Q262" s="268"/>
      <c r="R262" s="268"/>
      <c r="S262" s="268"/>
      <c r="T262" s="268"/>
      <c r="U262" s="268"/>
      <c r="V262" s="268"/>
      <c r="W262" s="268"/>
      <c r="X262" s="268"/>
      <c r="Y262" s="268"/>
      <c r="Z262" s="268"/>
    </row>
    <row r="263" customHeight="1" spans="1:26">
      <c r="A263" s="268"/>
      <c r="B263" s="268"/>
      <c r="C263" s="268"/>
      <c r="D263" s="268"/>
      <c r="E263" s="268"/>
      <c r="F263" s="268"/>
      <c r="G263" s="268"/>
      <c r="H263" s="268"/>
      <c r="I263" s="268"/>
      <c r="J263" s="268"/>
      <c r="K263" s="268"/>
      <c r="L263" s="268"/>
      <c r="M263" s="268"/>
      <c r="N263" s="268"/>
      <c r="O263" s="268"/>
      <c r="P263" s="268"/>
      <c r="Q263" s="268"/>
      <c r="R263" s="268"/>
      <c r="S263" s="268"/>
      <c r="T263" s="268"/>
      <c r="U263" s="268"/>
      <c r="V263" s="268"/>
      <c r="W263" s="268"/>
      <c r="X263" s="268"/>
      <c r="Y263" s="268"/>
      <c r="Z263" s="268"/>
    </row>
    <row r="264" customHeight="1" spans="1:26">
      <c r="A264" s="268"/>
      <c r="B264" s="268"/>
      <c r="C264" s="268"/>
      <c r="D264" s="268"/>
      <c r="E264" s="268"/>
      <c r="F264" s="268"/>
      <c r="G264" s="268"/>
      <c r="H264" s="268"/>
      <c r="I264" s="268"/>
      <c r="J264" s="268"/>
      <c r="K264" s="268"/>
      <c r="L264" s="268"/>
      <c r="M264" s="268"/>
      <c r="N264" s="268"/>
      <c r="O264" s="268"/>
      <c r="P264" s="268"/>
      <c r="Q264" s="268"/>
      <c r="R264" s="268"/>
      <c r="S264" s="268"/>
      <c r="T264" s="268"/>
      <c r="U264" s="268"/>
      <c r="V264" s="268"/>
      <c r="W264" s="268"/>
      <c r="X264" s="268"/>
      <c r="Y264" s="268"/>
      <c r="Z264" s="268"/>
    </row>
    <row r="265" customHeight="1" spans="1:26">
      <c r="A265" s="268"/>
      <c r="B265" s="268"/>
      <c r="C265" s="268"/>
      <c r="D265" s="268"/>
      <c r="E265" s="268"/>
      <c r="F265" s="268"/>
      <c r="G265" s="268"/>
      <c r="H265" s="268"/>
      <c r="I265" s="268"/>
      <c r="J265" s="268"/>
      <c r="K265" s="268"/>
      <c r="L265" s="268"/>
      <c r="M265" s="268"/>
      <c r="N265" s="268"/>
      <c r="O265" s="268"/>
      <c r="P265" s="268"/>
      <c r="Q265" s="268"/>
      <c r="R265" s="268"/>
      <c r="S265" s="268"/>
      <c r="T265" s="268"/>
      <c r="U265" s="268"/>
      <c r="V265" s="268"/>
      <c r="W265" s="268"/>
      <c r="X265" s="268"/>
      <c r="Y265" s="268"/>
      <c r="Z265" s="268"/>
    </row>
    <row r="266" customHeight="1" spans="1:26">
      <c r="A266" s="268"/>
      <c r="B266" s="268"/>
      <c r="C266" s="268"/>
      <c r="D266" s="268"/>
      <c r="E266" s="268"/>
      <c r="F266" s="268"/>
      <c r="G266" s="268"/>
      <c r="H266" s="268"/>
      <c r="I266" s="268"/>
      <c r="J266" s="268"/>
      <c r="K266" s="268"/>
      <c r="L266" s="268"/>
      <c r="M266" s="268"/>
      <c r="N266" s="268"/>
      <c r="O266" s="268"/>
      <c r="P266" s="268"/>
      <c r="Q266" s="268"/>
      <c r="R266" s="268"/>
      <c r="S266" s="268"/>
      <c r="T266" s="268"/>
      <c r="U266" s="268"/>
      <c r="V266" s="268"/>
      <c r="W266" s="268"/>
      <c r="X266" s="268"/>
      <c r="Y266" s="268"/>
      <c r="Z266" s="268"/>
    </row>
    <row r="267" customHeight="1" spans="1:26">
      <c r="A267" s="268"/>
      <c r="B267" s="268"/>
      <c r="C267" s="268"/>
      <c r="D267" s="268"/>
      <c r="E267" s="268"/>
      <c r="F267" s="268"/>
      <c r="G267" s="268"/>
      <c r="H267" s="268"/>
      <c r="I267" s="268"/>
      <c r="J267" s="268"/>
      <c r="K267" s="268"/>
      <c r="L267" s="268"/>
      <c r="M267" s="268"/>
      <c r="N267" s="268"/>
      <c r="O267" s="268"/>
      <c r="P267" s="268"/>
      <c r="Q267" s="268"/>
      <c r="R267" s="268"/>
      <c r="S267" s="268"/>
      <c r="T267" s="268"/>
      <c r="U267" s="268"/>
      <c r="V267" s="268"/>
      <c r="W267" s="268"/>
      <c r="X267" s="268"/>
      <c r="Y267" s="268"/>
      <c r="Z267" s="268"/>
    </row>
    <row r="268" customHeight="1" spans="1:26">
      <c r="A268" s="268"/>
      <c r="B268" s="268"/>
      <c r="C268" s="268"/>
      <c r="D268" s="268"/>
      <c r="E268" s="268"/>
      <c r="F268" s="268"/>
      <c r="G268" s="268"/>
      <c r="H268" s="268"/>
      <c r="I268" s="268"/>
      <c r="J268" s="268"/>
      <c r="K268" s="268"/>
      <c r="L268" s="268"/>
      <c r="M268" s="268"/>
      <c r="N268" s="268"/>
      <c r="O268" s="268"/>
      <c r="P268" s="268"/>
      <c r="Q268" s="268"/>
      <c r="R268" s="268"/>
      <c r="S268" s="268"/>
      <c r="T268" s="268"/>
      <c r="U268" s="268"/>
      <c r="V268" s="268"/>
      <c r="W268" s="268"/>
      <c r="X268" s="268"/>
      <c r="Y268" s="268"/>
      <c r="Z268" s="268"/>
    </row>
    <row r="269" customHeight="1" spans="1:26">
      <c r="A269" s="268"/>
      <c r="B269" s="268"/>
      <c r="C269" s="268"/>
      <c r="D269" s="268"/>
      <c r="E269" s="268"/>
      <c r="F269" s="268"/>
      <c r="G269" s="268"/>
      <c r="H269" s="268"/>
      <c r="I269" s="268"/>
      <c r="J269" s="268"/>
      <c r="K269" s="268"/>
      <c r="L269" s="268"/>
      <c r="M269" s="268"/>
      <c r="N269" s="268"/>
      <c r="O269" s="268"/>
      <c r="P269" s="268"/>
      <c r="Q269" s="268"/>
      <c r="R269" s="268"/>
      <c r="S269" s="268"/>
      <c r="T269" s="268"/>
      <c r="U269" s="268"/>
      <c r="V269" s="268"/>
      <c r="W269" s="268"/>
      <c r="X269" s="268"/>
      <c r="Y269" s="268"/>
      <c r="Z269" s="268"/>
    </row>
    <row r="270" customHeight="1" spans="1:26">
      <c r="A270" s="268"/>
      <c r="B270" s="268"/>
      <c r="C270" s="268"/>
      <c r="D270" s="268"/>
      <c r="E270" s="268"/>
      <c r="F270" s="268"/>
      <c r="G270" s="268"/>
      <c r="H270" s="268"/>
      <c r="I270" s="268"/>
      <c r="J270" s="268"/>
      <c r="K270" s="268"/>
      <c r="L270" s="268"/>
      <c r="M270" s="268"/>
      <c r="N270" s="268"/>
      <c r="O270" s="268"/>
      <c r="P270" s="268"/>
      <c r="Q270" s="268"/>
      <c r="R270" s="268"/>
      <c r="S270" s="268"/>
      <c r="T270" s="268"/>
      <c r="U270" s="268"/>
      <c r="V270" s="268"/>
      <c r="W270" s="268"/>
      <c r="X270" s="268"/>
      <c r="Y270" s="268"/>
      <c r="Z270" s="268"/>
    </row>
    <row r="271" customHeight="1" spans="1:26">
      <c r="A271" s="268"/>
      <c r="B271" s="268"/>
      <c r="C271" s="268"/>
      <c r="D271" s="268"/>
      <c r="E271" s="268"/>
      <c r="F271" s="268"/>
      <c r="G271" s="268"/>
      <c r="H271" s="268"/>
      <c r="I271" s="268"/>
      <c r="J271" s="268"/>
      <c r="K271" s="268"/>
      <c r="L271" s="268"/>
      <c r="M271" s="268"/>
      <c r="N271" s="268"/>
      <c r="O271" s="268"/>
      <c r="P271" s="268"/>
      <c r="Q271" s="268"/>
      <c r="R271" s="268"/>
      <c r="S271" s="268"/>
      <c r="T271" s="268"/>
      <c r="U271" s="268"/>
      <c r="V271" s="268"/>
      <c r="W271" s="268"/>
      <c r="X271" s="268"/>
      <c r="Y271" s="268"/>
      <c r="Z271" s="268"/>
    </row>
    <row r="272" customHeight="1" spans="1:26">
      <c r="A272" s="268"/>
      <c r="B272" s="268"/>
      <c r="C272" s="268"/>
      <c r="D272" s="268"/>
      <c r="E272" s="268"/>
      <c r="F272" s="268"/>
      <c r="G272" s="268"/>
      <c r="H272" s="268"/>
      <c r="I272" s="268"/>
      <c r="J272" s="268"/>
      <c r="K272" s="268"/>
      <c r="L272" s="268"/>
      <c r="M272" s="268"/>
      <c r="N272" s="268"/>
      <c r="O272" s="268"/>
      <c r="P272" s="268"/>
      <c r="Q272" s="268"/>
      <c r="R272" s="268"/>
      <c r="S272" s="268"/>
      <c r="T272" s="268"/>
      <c r="U272" s="268"/>
      <c r="V272" s="268"/>
      <c r="W272" s="268"/>
      <c r="X272" s="268"/>
      <c r="Y272" s="268"/>
      <c r="Z272" s="268"/>
    </row>
    <row r="273" customHeight="1" spans="1:26">
      <c r="A273" s="268"/>
      <c r="B273" s="268"/>
      <c r="C273" s="268"/>
      <c r="D273" s="268"/>
      <c r="E273" s="268"/>
      <c r="F273" s="268"/>
      <c r="G273" s="268"/>
      <c r="H273" s="268"/>
      <c r="I273" s="268"/>
      <c r="J273" s="268"/>
      <c r="K273" s="268"/>
      <c r="L273" s="268"/>
      <c r="M273" s="268"/>
      <c r="N273" s="268"/>
      <c r="O273" s="268"/>
      <c r="P273" s="268"/>
      <c r="Q273" s="268"/>
      <c r="R273" s="268"/>
      <c r="S273" s="268"/>
      <c r="T273" s="268"/>
      <c r="U273" s="268"/>
      <c r="V273" s="268"/>
      <c r="W273" s="268"/>
      <c r="X273" s="268"/>
      <c r="Y273" s="268"/>
      <c r="Z273" s="268"/>
    </row>
    <row r="274" customHeight="1" spans="1:26">
      <c r="A274" s="268"/>
      <c r="B274" s="268"/>
      <c r="C274" s="268"/>
      <c r="D274" s="268"/>
      <c r="E274" s="268"/>
      <c r="F274" s="268"/>
      <c r="G274" s="268"/>
      <c r="H274" s="268"/>
      <c r="I274" s="268"/>
      <c r="J274" s="268"/>
      <c r="K274" s="268"/>
      <c r="L274" s="268"/>
      <c r="M274" s="268"/>
      <c r="N274" s="268"/>
      <c r="O274" s="268"/>
      <c r="P274" s="268"/>
      <c r="Q274" s="268"/>
      <c r="R274" s="268"/>
      <c r="S274" s="268"/>
      <c r="T274" s="268"/>
      <c r="U274" s="268"/>
      <c r="V274" s="268"/>
      <c r="W274" s="268"/>
      <c r="X274" s="268"/>
      <c r="Y274" s="268"/>
      <c r="Z274" s="268"/>
    </row>
    <row r="275" customHeight="1" spans="1:26">
      <c r="A275" s="268"/>
      <c r="B275" s="268"/>
      <c r="C275" s="268"/>
      <c r="D275" s="268"/>
      <c r="E275" s="268"/>
      <c r="F275" s="268"/>
      <c r="G275" s="268"/>
      <c r="H275" s="268"/>
      <c r="I275" s="268"/>
      <c r="J275" s="268"/>
      <c r="K275" s="268"/>
      <c r="L275" s="268"/>
      <c r="M275" s="268"/>
      <c r="N275" s="268"/>
      <c r="O275" s="268"/>
      <c r="P275" s="268"/>
      <c r="Q275" s="268"/>
      <c r="R275" s="268"/>
      <c r="S275" s="268"/>
      <c r="T275" s="268"/>
      <c r="U275" s="268"/>
      <c r="V275" s="268"/>
      <c r="W275" s="268"/>
      <c r="X275" s="268"/>
      <c r="Y275" s="268"/>
      <c r="Z275" s="268"/>
    </row>
    <row r="276" customHeight="1" spans="1:26">
      <c r="A276" s="268"/>
      <c r="B276" s="268"/>
      <c r="C276" s="268"/>
      <c r="D276" s="268"/>
      <c r="E276" s="268"/>
      <c r="F276" s="268"/>
      <c r="G276" s="268"/>
      <c r="H276" s="268"/>
      <c r="I276" s="268"/>
      <c r="J276" s="268"/>
      <c r="K276" s="268"/>
      <c r="L276" s="268"/>
      <c r="M276" s="268"/>
      <c r="N276" s="268"/>
      <c r="O276" s="268"/>
      <c r="P276" s="268"/>
      <c r="Q276" s="268"/>
      <c r="R276" s="268"/>
      <c r="S276" s="268"/>
      <c r="T276" s="268"/>
      <c r="U276" s="268"/>
      <c r="V276" s="268"/>
      <c r="W276" s="268"/>
      <c r="X276" s="268"/>
      <c r="Y276" s="268"/>
      <c r="Z276" s="268"/>
    </row>
    <row r="277" customHeight="1" spans="1:26">
      <c r="A277" s="268"/>
      <c r="B277" s="268"/>
      <c r="C277" s="268"/>
      <c r="D277" s="268"/>
      <c r="E277" s="268"/>
      <c r="F277" s="268"/>
      <c r="G277" s="268"/>
      <c r="H277" s="268"/>
      <c r="I277" s="268"/>
      <c r="J277" s="268"/>
      <c r="K277" s="268"/>
      <c r="L277" s="268"/>
      <c r="M277" s="268"/>
      <c r="N277" s="268"/>
      <c r="O277" s="268"/>
      <c r="P277" s="268"/>
      <c r="Q277" s="268"/>
      <c r="R277" s="268"/>
      <c r="S277" s="268"/>
      <c r="T277" s="268"/>
      <c r="U277" s="268"/>
      <c r="V277" s="268"/>
      <c r="W277" s="268"/>
      <c r="X277" s="268"/>
      <c r="Y277" s="268"/>
      <c r="Z277" s="268"/>
    </row>
    <row r="278" customHeight="1" spans="1:26">
      <c r="A278" s="268"/>
      <c r="B278" s="268"/>
      <c r="C278" s="268"/>
      <c r="D278" s="268"/>
      <c r="E278" s="268"/>
      <c r="F278" s="268"/>
      <c r="G278" s="268"/>
      <c r="H278" s="268"/>
      <c r="I278" s="268"/>
      <c r="J278" s="268"/>
      <c r="K278" s="268"/>
      <c r="L278" s="268"/>
      <c r="M278" s="268"/>
      <c r="N278" s="268"/>
      <c r="O278" s="268"/>
      <c r="P278" s="268"/>
      <c r="Q278" s="268"/>
      <c r="R278" s="268"/>
      <c r="S278" s="268"/>
      <c r="T278" s="268"/>
      <c r="U278" s="268"/>
      <c r="V278" s="268"/>
      <c r="W278" s="268"/>
      <c r="X278" s="268"/>
      <c r="Y278" s="268"/>
      <c r="Z278" s="268"/>
    </row>
    <row r="279" customHeight="1" spans="1:26">
      <c r="A279" s="268"/>
      <c r="B279" s="268"/>
      <c r="C279" s="268"/>
      <c r="D279" s="268"/>
      <c r="E279" s="268"/>
      <c r="F279" s="268"/>
      <c r="G279" s="268"/>
      <c r="H279" s="268"/>
      <c r="I279" s="268"/>
      <c r="J279" s="268"/>
      <c r="K279" s="268"/>
      <c r="L279" s="268"/>
      <c r="M279" s="268"/>
      <c r="N279" s="268"/>
      <c r="O279" s="268"/>
      <c r="P279" s="268"/>
      <c r="Q279" s="268"/>
      <c r="R279" s="268"/>
      <c r="S279" s="268"/>
      <c r="T279" s="268"/>
      <c r="U279" s="268"/>
      <c r="V279" s="268"/>
      <c r="W279" s="268"/>
      <c r="X279" s="268"/>
      <c r="Y279" s="268"/>
      <c r="Z279" s="268"/>
    </row>
    <row r="280" customHeight="1" spans="1:26">
      <c r="A280" s="268"/>
      <c r="B280" s="268"/>
      <c r="C280" s="268"/>
      <c r="D280" s="268"/>
      <c r="E280" s="268"/>
      <c r="F280" s="268"/>
      <c r="G280" s="268"/>
      <c r="H280" s="268"/>
      <c r="I280" s="268"/>
      <c r="J280" s="268"/>
      <c r="K280" s="268"/>
      <c r="L280" s="268"/>
      <c r="M280" s="268"/>
      <c r="N280" s="268"/>
      <c r="O280" s="268"/>
      <c r="P280" s="268"/>
      <c r="Q280" s="268"/>
      <c r="R280" s="268"/>
      <c r="S280" s="268"/>
      <c r="T280" s="268"/>
      <c r="U280" s="268"/>
      <c r="V280" s="268"/>
      <c r="W280" s="268"/>
      <c r="X280" s="268"/>
      <c r="Y280" s="268"/>
      <c r="Z280" s="268"/>
    </row>
    <row r="281" customHeight="1" spans="1:26">
      <c r="A281" s="268"/>
      <c r="B281" s="268"/>
      <c r="C281" s="268"/>
      <c r="D281" s="268"/>
      <c r="E281" s="268"/>
      <c r="F281" s="268"/>
      <c r="G281" s="268"/>
      <c r="H281" s="268"/>
      <c r="I281" s="268"/>
      <c r="J281" s="268"/>
      <c r="K281" s="268"/>
      <c r="L281" s="268"/>
      <c r="M281" s="268"/>
      <c r="N281" s="268"/>
      <c r="O281" s="268"/>
      <c r="P281" s="268"/>
      <c r="Q281" s="268"/>
      <c r="R281" s="268"/>
      <c r="S281" s="268"/>
      <c r="T281" s="268"/>
      <c r="U281" s="268"/>
      <c r="V281" s="268"/>
      <c r="W281" s="268"/>
      <c r="X281" s="268"/>
      <c r="Y281" s="268"/>
      <c r="Z281" s="268"/>
    </row>
    <row r="282" customHeight="1" spans="1:26">
      <c r="A282" s="268"/>
      <c r="B282" s="268"/>
      <c r="C282" s="268"/>
      <c r="D282" s="268"/>
      <c r="E282" s="268"/>
      <c r="F282" s="268"/>
      <c r="G282" s="268"/>
      <c r="H282" s="268"/>
      <c r="I282" s="268"/>
      <c r="J282" s="268"/>
      <c r="K282" s="268"/>
      <c r="L282" s="268"/>
      <c r="M282" s="268"/>
      <c r="N282" s="268"/>
      <c r="O282" s="268"/>
      <c r="P282" s="268"/>
      <c r="Q282" s="268"/>
      <c r="R282" s="268"/>
      <c r="S282" s="268"/>
      <c r="T282" s="268"/>
      <c r="U282" s="268"/>
      <c r="V282" s="268"/>
      <c r="W282" s="268"/>
      <c r="X282" s="268"/>
      <c r="Y282" s="268"/>
      <c r="Z282" s="268"/>
    </row>
    <row r="283" customHeight="1" spans="1:26">
      <c r="A283" s="268"/>
      <c r="B283" s="268"/>
      <c r="C283" s="268"/>
      <c r="D283" s="268"/>
      <c r="E283" s="268"/>
      <c r="F283" s="268"/>
      <c r="G283" s="268"/>
      <c r="H283" s="268"/>
      <c r="I283" s="268"/>
      <c r="J283" s="268"/>
      <c r="K283" s="268"/>
      <c r="L283" s="268"/>
      <c r="M283" s="268"/>
      <c r="N283" s="268"/>
      <c r="O283" s="268"/>
      <c r="P283" s="268"/>
      <c r="Q283" s="268"/>
      <c r="R283" s="268"/>
      <c r="S283" s="268"/>
      <c r="T283" s="268"/>
      <c r="U283" s="268"/>
      <c r="V283" s="268"/>
      <c r="W283" s="268"/>
      <c r="X283" s="268"/>
      <c r="Y283" s="268"/>
      <c r="Z283" s="268"/>
    </row>
    <row r="284" customHeight="1" spans="1:26">
      <c r="A284" s="268"/>
      <c r="B284" s="268"/>
      <c r="C284" s="268"/>
      <c r="D284" s="268"/>
      <c r="E284" s="268"/>
      <c r="F284" s="268"/>
      <c r="G284" s="268"/>
      <c r="H284" s="268"/>
      <c r="I284" s="268"/>
      <c r="J284" s="268"/>
      <c r="K284" s="268"/>
      <c r="L284" s="268"/>
      <c r="M284" s="268"/>
      <c r="N284" s="268"/>
      <c r="O284" s="268"/>
      <c r="P284" s="268"/>
      <c r="Q284" s="268"/>
      <c r="R284" s="268"/>
      <c r="S284" s="268"/>
      <c r="T284" s="268"/>
      <c r="U284" s="268"/>
      <c r="V284" s="268"/>
      <c r="W284" s="268"/>
      <c r="X284" s="268"/>
      <c r="Y284" s="268"/>
      <c r="Z284" s="268"/>
    </row>
    <row r="285" customHeight="1" spans="1:26">
      <c r="A285" s="268"/>
      <c r="B285" s="268"/>
      <c r="C285" s="268"/>
      <c r="D285" s="268"/>
      <c r="E285" s="268"/>
      <c r="F285" s="268"/>
      <c r="G285" s="268"/>
      <c r="H285" s="268"/>
      <c r="I285" s="268"/>
      <c r="J285" s="268"/>
      <c r="K285" s="268"/>
      <c r="L285" s="268"/>
      <c r="M285" s="268"/>
      <c r="N285" s="268"/>
      <c r="O285" s="268"/>
      <c r="P285" s="268"/>
      <c r="Q285" s="268"/>
      <c r="R285" s="268"/>
      <c r="S285" s="268"/>
      <c r="T285" s="268"/>
      <c r="U285" s="268"/>
      <c r="V285" s="268"/>
      <c r="W285" s="268"/>
      <c r="X285" s="268"/>
      <c r="Y285" s="268"/>
      <c r="Z285" s="268"/>
    </row>
    <row r="286" customHeight="1" spans="1:26">
      <c r="A286" s="268"/>
      <c r="B286" s="268"/>
      <c r="C286" s="268"/>
      <c r="D286" s="268"/>
      <c r="E286" s="268"/>
      <c r="F286" s="268"/>
      <c r="G286" s="268"/>
      <c r="H286" s="268"/>
      <c r="I286" s="268"/>
      <c r="J286" s="268"/>
      <c r="K286" s="268"/>
      <c r="L286" s="268"/>
      <c r="M286" s="268"/>
      <c r="N286" s="268"/>
      <c r="O286" s="268"/>
      <c r="P286" s="268"/>
      <c r="Q286" s="268"/>
      <c r="R286" s="268"/>
      <c r="S286" s="268"/>
      <c r="T286" s="268"/>
      <c r="U286" s="268"/>
      <c r="V286" s="268"/>
      <c r="W286" s="268"/>
      <c r="X286" s="268"/>
      <c r="Y286" s="268"/>
      <c r="Z286" s="268"/>
    </row>
    <row r="287" customHeight="1" spans="1:26">
      <c r="A287" s="268"/>
      <c r="B287" s="268"/>
      <c r="C287" s="268"/>
      <c r="D287" s="268"/>
      <c r="E287" s="268"/>
      <c r="F287" s="268"/>
      <c r="G287" s="268"/>
      <c r="H287" s="268"/>
      <c r="I287" s="268"/>
      <c r="J287" s="268"/>
      <c r="K287" s="268"/>
      <c r="L287" s="268"/>
      <c r="M287" s="268"/>
      <c r="N287" s="268"/>
      <c r="O287" s="268"/>
      <c r="P287" s="268"/>
      <c r="Q287" s="268"/>
      <c r="R287" s="268"/>
      <c r="S287" s="268"/>
      <c r="T287" s="268"/>
      <c r="U287" s="268"/>
      <c r="V287" s="268"/>
      <c r="W287" s="268"/>
      <c r="X287" s="268"/>
      <c r="Y287" s="268"/>
      <c r="Z287" s="268"/>
    </row>
    <row r="288" customHeight="1" spans="1:26">
      <c r="A288" s="268"/>
      <c r="B288" s="268"/>
      <c r="C288" s="268"/>
      <c r="D288" s="268"/>
      <c r="E288" s="268"/>
      <c r="F288" s="268"/>
      <c r="G288" s="268"/>
      <c r="H288" s="268"/>
      <c r="I288" s="268"/>
      <c r="J288" s="268"/>
      <c r="K288" s="268"/>
      <c r="L288" s="268"/>
      <c r="M288" s="268"/>
      <c r="N288" s="268"/>
      <c r="O288" s="268"/>
      <c r="P288" s="268"/>
      <c r="Q288" s="268"/>
      <c r="R288" s="268"/>
      <c r="S288" s="268"/>
      <c r="T288" s="268"/>
      <c r="U288" s="268"/>
      <c r="V288" s="268"/>
      <c r="W288" s="268"/>
      <c r="X288" s="268"/>
      <c r="Y288" s="268"/>
      <c r="Z288" s="268"/>
    </row>
    <row r="289" customHeight="1" spans="1:26">
      <c r="A289" s="268"/>
      <c r="B289" s="268"/>
      <c r="C289" s="268"/>
      <c r="D289" s="268"/>
      <c r="E289" s="268"/>
      <c r="F289" s="268"/>
      <c r="G289" s="268"/>
      <c r="H289" s="268"/>
      <c r="I289" s="268"/>
      <c r="J289" s="268"/>
      <c r="K289" s="268"/>
      <c r="L289" s="268"/>
      <c r="M289" s="268"/>
      <c r="N289" s="268"/>
      <c r="O289" s="268"/>
      <c r="P289" s="268"/>
      <c r="Q289" s="268"/>
      <c r="R289" s="268"/>
      <c r="S289" s="268"/>
      <c r="T289" s="268"/>
      <c r="U289" s="268"/>
      <c r="V289" s="268"/>
      <c r="W289" s="268"/>
      <c r="X289" s="268"/>
      <c r="Y289" s="268"/>
      <c r="Z289" s="268"/>
    </row>
    <row r="290" customHeight="1" spans="1:26">
      <c r="A290" s="268"/>
      <c r="B290" s="268"/>
      <c r="C290" s="268"/>
      <c r="D290" s="268"/>
      <c r="E290" s="268"/>
      <c r="F290" s="268"/>
      <c r="G290" s="268"/>
      <c r="H290" s="268"/>
      <c r="I290" s="268"/>
      <c r="J290" s="268"/>
      <c r="K290" s="268"/>
      <c r="L290" s="268"/>
      <c r="M290" s="268"/>
      <c r="N290" s="268"/>
      <c r="O290" s="268"/>
      <c r="P290" s="268"/>
      <c r="Q290" s="268"/>
      <c r="R290" s="268"/>
      <c r="S290" s="268"/>
      <c r="T290" s="268"/>
      <c r="U290" s="268"/>
      <c r="V290" s="268"/>
      <c r="W290" s="268"/>
      <c r="X290" s="268"/>
      <c r="Y290" s="268"/>
      <c r="Z290" s="268"/>
    </row>
    <row r="291" customHeight="1" spans="1:26">
      <c r="A291" s="268"/>
      <c r="B291" s="268"/>
      <c r="C291" s="268"/>
      <c r="D291" s="268"/>
      <c r="E291" s="268"/>
      <c r="F291" s="268"/>
      <c r="G291" s="268"/>
      <c r="H291" s="268"/>
      <c r="I291" s="268"/>
      <c r="J291" s="268"/>
      <c r="K291" s="268"/>
      <c r="L291" s="268"/>
      <c r="M291" s="268"/>
      <c r="N291" s="268"/>
      <c r="O291" s="268"/>
      <c r="P291" s="268"/>
      <c r="Q291" s="268"/>
      <c r="R291" s="268"/>
      <c r="S291" s="268"/>
      <c r="T291" s="268"/>
      <c r="U291" s="268"/>
      <c r="V291" s="268"/>
      <c r="W291" s="268"/>
      <c r="X291" s="268"/>
      <c r="Y291" s="268"/>
      <c r="Z291" s="268"/>
    </row>
    <row r="292" customHeight="1" spans="1:26">
      <c r="A292" s="268"/>
      <c r="B292" s="268"/>
      <c r="C292" s="268"/>
      <c r="D292" s="268"/>
      <c r="E292" s="268"/>
      <c r="F292" s="268"/>
      <c r="G292" s="268"/>
      <c r="H292" s="268"/>
      <c r="I292" s="268"/>
      <c r="J292" s="268"/>
      <c r="K292" s="268"/>
      <c r="L292" s="268"/>
      <c r="M292" s="268"/>
      <c r="N292" s="268"/>
      <c r="O292" s="268"/>
      <c r="P292" s="268"/>
      <c r="Q292" s="268"/>
      <c r="R292" s="268"/>
      <c r="S292" s="268"/>
      <c r="T292" s="268"/>
      <c r="U292" s="268"/>
      <c r="V292" s="268"/>
      <c r="W292" s="268"/>
      <c r="X292" s="268"/>
      <c r="Y292" s="268"/>
      <c r="Z292" s="268"/>
    </row>
    <row r="293" customHeight="1" spans="1:26">
      <c r="A293" s="268"/>
      <c r="B293" s="268"/>
      <c r="C293" s="268"/>
      <c r="D293" s="268"/>
      <c r="E293" s="268"/>
      <c r="F293" s="268"/>
      <c r="G293" s="268"/>
      <c r="H293" s="268"/>
      <c r="I293" s="268"/>
      <c r="J293" s="268"/>
      <c r="K293" s="268"/>
      <c r="L293" s="268"/>
      <c r="M293" s="268"/>
      <c r="N293" s="268"/>
      <c r="O293" s="268"/>
      <c r="P293" s="268"/>
      <c r="Q293" s="268"/>
      <c r="R293" s="268"/>
      <c r="S293" s="268"/>
      <c r="T293" s="268"/>
      <c r="U293" s="268"/>
      <c r="V293" s="268"/>
      <c r="W293" s="268"/>
      <c r="X293" s="268"/>
      <c r="Y293" s="268"/>
      <c r="Z293" s="268"/>
    </row>
    <row r="294" customHeight="1" spans="1:26">
      <c r="A294" s="268"/>
      <c r="B294" s="268"/>
      <c r="C294" s="268"/>
      <c r="D294" s="268"/>
      <c r="E294" s="268"/>
      <c r="F294" s="268"/>
      <c r="G294" s="268"/>
      <c r="H294" s="268"/>
      <c r="I294" s="268"/>
      <c r="J294" s="268"/>
      <c r="K294" s="268"/>
      <c r="L294" s="268"/>
      <c r="M294" s="268"/>
      <c r="N294" s="268"/>
      <c r="O294" s="268"/>
      <c r="P294" s="268"/>
      <c r="Q294" s="268"/>
      <c r="R294" s="268"/>
      <c r="S294" s="268"/>
      <c r="T294" s="268"/>
      <c r="U294" s="268"/>
      <c r="V294" s="268"/>
      <c r="W294" s="268"/>
      <c r="X294" s="268"/>
      <c r="Y294" s="268"/>
      <c r="Z294" s="268"/>
    </row>
    <row r="295" customHeight="1" spans="1:26">
      <c r="A295" s="268"/>
      <c r="B295" s="268"/>
      <c r="C295" s="268"/>
      <c r="D295" s="268"/>
      <c r="E295" s="268"/>
      <c r="F295" s="268"/>
      <c r="G295" s="268"/>
      <c r="H295" s="268"/>
      <c r="I295" s="268"/>
      <c r="J295" s="268"/>
      <c r="K295" s="268"/>
      <c r="L295" s="268"/>
      <c r="M295" s="268"/>
      <c r="N295" s="268"/>
      <c r="O295" s="268"/>
      <c r="P295" s="268"/>
      <c r="Q295" s="268"/>
      <c r="R295" s="268"/>
      <c r="S295" s="268"/>
      <c r="T295" s="268"/>
      <c r="U295" s="268"/>
      <c r="V295" s="268"/>
      <c r="W295" s="268"/>
      <c r="X295" s="268"/>
      <c r="Y295" s="268"/>
      <c r="Z295" s="268"/>
    </row>
    <row r="296" customHeight="1" spans="1:26">
      <c r="A296" s="268"/>
      <c r="B296" s="268"/>
      <c r="C296" s="268"/>
      <c r="D296" s="268"/>
      <c r="E296" s="268"/>
      <c r="F296" s="268"/>
      <c r="G296" s="268"/>
      <c r="H296" s="268"/>
      <c r="I296" s="268"/>
      <c r="J296" s="268"/>
      <c r="K296" s="268"/>
      <c r="L296" s="268"/>
      <c r="M296" s="268"/>
      <c r="N296" s="268"/>
      <c r="O296" s="268"/>
      <c r="P296" s="268"/>
      <c r="Q296" s="268"/>
      <c r="R296" s="268"/>
      <c r="S296" s="268"/>
      <c r="T296" s="268"/>
      <c r="U296" s="268"/>
      <c r="V296" s="268"/>
      <c r="W296" s="268"/>
      <c r="X296" s="268"/>
      <c r="Y296" s="268"/>
      <c r="Z296" s="268"/>
    </row>
    <row r="297" customHeight="1" spans="1:26">
      <c r="A297" s="268"/>
      <c r="B297" s="268"/>
      <c r="C297" s="268"/>
      <c r="D297" s="268"/>
      <c r="E297" s="268"/>
      <c r="F297" s="268"/>
      <c r="G297" s="268"/>
      <c r="H297" s="268"/>
      <c r="I297" s="268"/>
      <c r="J297" s="268"/>
      <c r="K297" s="268"/>
      <c r="L297" s="268"/>
      <c r="M297" s="268"/>
      <c r="N297" s="268"/>
      <c r="O297" s="268"/>
      <c r="P297" s="268"/>
      <c r="Q297" s="268"/>
      <c r="R297" s="268"/>
      <c r="S297" s="268"/>
      <c r="T297" s="268"/>
      <c r="U297" s="268"/>
      <c r="V297" s="268"/>
      <c r="W297" s="268"/>
      <c r="X297" s="268"/>
      <c r="Y297" s="268"/>
      <c r="Z297" s="268"/>
    </row>
    <row r="298" customHeight="1" spans="1:26">
      <c r="A298" s="268"/>
      <c r="B298" s="268"/>
      <c r="C298" s="268"/>
      <c r="D298" s="268"/>
      <c r="E298" s="268"/>
      <c r="F298" s="268"/>
      <c r="G298" s="268"/>
      <c r="H298" s="268"/>
      <c r="I298" s="268"/>
      <c r="J298" s="268"/>
      <c r="K298" s="268"/>
      <c r="L298" s="268"/>
      <c r="M298" s="268"/>
      <c r="N298" s="268"/>
      <c r="O298" s="268"/>
      <c r="P298" s="268"/>
      <c r="Q298" s="268"/>
      <c r="R298" s="268"/>
      <c r="S298" s="268"/>
      <c r="T298" s="268"/>
      <c r="U298" s="268"/>
      <c r="V298" s="268"/>
      <c r="W298" s="268"/>
      <c r="X298" s="268"/>
      <c r="Y298" s="268"/>
      <c r="Z298" s="268"/>
    </row>
    <row r="299" customHeight="1" spans="1:26">
      <c r="A299" s="268"/>
      <c r="B299" s="268"/>
      <c r="C299" s="268"/>
      <c r="D299" s="268"/>
      <c r="E299" s="268"/>
      <c r="F299" s="268"/>
      <c r="G299" s="268"/>
      <c r="H299" s="268"/>
      <c r="I299" s="268"/>
      <c r="J299" s="268"/>
      <c r="K299" s="268"/>
      <c r="L299" s="268"/>
      <c r="M299" s="268"/>
      <c r="N299" s="268"/>
      <c r="O299" s="268"/>
      <c r="P299" s="268"/>
      <c r="Q299" s="268"/>
      <c r="R299" s="268"/>
      <c r="S299" s="268"/>
      <c r="T299" s="268"/>
      <c r="U299" s="268"/>
      <c r="V299" s="268"/>
      <c r="W299" s="268"/>
      <c r="X299" s="268"/>
      <c r="Y299" s="268"/>
      <c r="Z299" s="268"/>
    </row>
    <row r="300" customHeight="1" spans="1:26">
      <c r="A300" s="268"/>
      <c r="B300" s="268"/>
      <c r="C300" s="268"/>
      <c r="D300" s="268"/>
      <c r="E300" s="268"/>
      <c r="F300" s="268"/>
      <c r="G300" s="268"/>
      <c r="H300" s="268"/>
      <c r="I300" s="268"/>
      <c r="J300" s="268"/>
      <c r="K300" s="268"/>
      <c r="L300" s="268"/>
      <c r="M300" s="268"/>
      <c r="N300" s="268"/>
      <c r="O300" s="268"/>
      <c r="P300" s="268"/>
      <c r="Q300" s="268"/>
      <c r="R300" s="268"/>
      <c r="S300" s="268"/>
      <c r="T300" s="268"/>
      <c r="U300" s="268"/>
      <c r="V300" s="268"/>
      <c r="W300" s="268"/>
      <c r="X300" s="268"/>
      <c r="Y300" s="268"/>
      <c r="Z300" s="268"/>
    </row>
    <row r="301" customHeight="1" spans="1:26">
      <c r="A301" s="268"/>
      <c r="B301" s="268"/>
      <c r="C301" s="268"/>
      <c r="D301" s="268"/>
      <c r="E301" s="268"/>
      <c r="F301" s="268"/>
      <c r="G301" s="268"/>
      <c r="H301" s="268"/>
      <c r="I301" s="268"/>
      <c r="J301" s="268"/>
      <c r="K301" s="268"/>
      <c r="L301" s="268"/>
      <c r="M301" s="268"/>
      <c r="N301" s="268"/>
      <c r="O301" s="268"/>
      <c r="P301" s="268"/>
      <c r="Q301" s="268"/>
      <c r="R301" s="268"/>
      <c r="S301" s="268"/>
      <c r="T301" s="268"/>
      <c r="U301" s="268"/>
      <c r="V301" s="268"/>
      <c r="W301" s="268"/>
      <c r="X301" s="268"/>
      <c r="Y301" s="268"/>
      <c r="Z301" s="268"/>
    </row>
    <row r="302" customHeight="1" spans="1:26">
      <c r="A302" s="268"/>
      <c r="B302" s="268"/>
      <c r="C302" s="268"/>
      <c r="D302" s="268"/>
      <c r="E302" s="268"/>
      <c r="F302" s="268"/>
      <c r="G302" s="268"/>
      <c r="H302" s="268"/>
      <c r="I302" s="268"/>
      <c r="J302" s="268"/>
      <c r="K302" s="268"/>
      <c r="L302" s="268"/>
      <c r="M302" s="268"/>
      <c r="N302" s="268"/>
      <c r="O302" s="268"/>
      <c r="P302" s="268"/>
      <c r="Q302" s="268"/>
      <c r="R302" s="268"/>
      <c r="S302" s="268"/>
      <c r="T302" s="268"/>
      <c r="U302" s="268"/>
      <c r="V302" s="268"/>
      <c r="W302" s="268"/>
      <c r="X302" s="268"/>
      <c r="Y302" s="268"/>
      <c r="Z302" s="268"/>
    </row>
    <row r="303" customHeight="1" spans="1:26">
      <c r="A303" s="268"/>
      <c r="B303" s="268"/>
      <c r="C303" s="268"/>
      <c r="D303" s="268"/>
      <c r="E303" s="268"/>
      <c r="F303" s="268"/>
      <c r="G303" s="268"/>
      <c r="H303" s="268"/>
      <c r="I303" s="268"/>
      <c r="J303" s="268"/>
      <c r="K303" s="268"/>
      <c r="L303" s="268"/>
      <c r="M303" s="268"/>
      <c r="N303" s="268"/>
      <c r="O303" s="268"/>
      <c r="P303" s="268"/>
      <c r="Q303" s="268"/>
      <c r="R303" s="268"/>
      <c r="S303" s="268"/>
      <c r="T303" s="268"/>
      <c r="U303" s="268"/>
      <c r="V303" s="268"/>
      <c r="W303" s="268"/>
      <c r="X303" s="268"/>
      <c r="Y303" s="268"/>
      <c r="Z303" s="268"/>
    </row>
    <row r="304" customHeight="1" spans="1:26">
      <c r="A304" s="268"/>
      <c r="B304" s="268"/>
      <c r="C304" s="268"/>
      <c r="D304" s="268"/>
      <c r="E304" s="268"/>
      <c r="F304" s="268"/>
      <c r="G304" s="268"/>
      <c r="H304" s="268"/>
      <c r="I304" s="268"/>
      <c r="J304" s="268"/>
      <c r="K304" s="268"/>
      <c r="L304" s="268"/>
      <c r="M304" s="268"/>
      <c r="N304" s="268"/>
      <c r="O304" s="268"/>
      <c r="P304" s="268"/>
      <c r="Q304" s="268"/>
      <c r="R304" s="268"/>
      <c r="S304" s="268"/>
      <c r="T304" s="268"/>
      <c r="U304" s="268"/>
      <c r="V304" s="268"/>
      <c r="W304" s="268"/>
      <c r="X304" s="268"/>
      <c r="Y304" s="268"/>
      <c r="Z304" s="268"/>
    </row>
    <row r="305" customHeight="1" spans="1:26">
      <c r="A305" s="268"/>
      <c r="B305" s="268"/>
      <c r="C305" s="268"/>
      <c r="D305" s="268"/>
      <c r="E305" s="268"/>
      <c r="F305" s="268"/>
      <c r="G305" s="268"/>
      <c r="H305" s="268"/>
      <c r="I305" s="268"/>
      <c r="J305" s="268"/>
      <c r="K305" s="268"/>
      <c r="L305" s="268"/>
      <c r="M305" s="268"/>
      <c r="N305" s="268"/>
      <c r="O305" s="268"/>
      <c r="P305" s="268"/>
      <c r="Q305" s="268"/>
      <c r="R305" s="268"/>
      <c r="S305" s="268"/>
      <c r="T305" s="268"/>
      <c r="U305" s="268"/>
      <c r="V305" s="268"/>
      <c r="W305" s="268"/>
      <c r="X305" s="268"/>
      <c r="Y305" s="268"/>
      <c r="Z305" s="268"/>
    </row>
    <row r="306" customHeight="1" spans="1:26">
      <c r="A306" s="268"/>
      <c r="B306" s="268"/>
      <c r="C306" s="268"/>
      <c r="D306" s="268"/>
      <c r="E306" s="268"/>
      <c r="F306" s="268"/>
      <c r="G306" s="268"/>
      <c r="H306" s="268"/>
      <c r="I306" s="268"/>
      <c r="J306" s="268"/>
      <c r="K306" s="268"/>
      <c r="L306" s="268"/>
      <c r="M306" s="268"/>
      <c r="N306" s="268"/>
      <c r="O306" s="268"/>
      <c r="P306" s="268"/>
      <c r="Q306" s="268"/>
      <c r="R306" s="268"/>
      <c r="S306" s="268"/>
      <c r="T306" s="268"/>
      <c r="U306" s="268"/>
      <c r="V306" s="268"/>
      <c r="W306" s="268"/>
      <c r="X306" s="268"/>
      <c r="Y306" s="268"/>
      <c r="Z306" s="268"/>
    </row>
    <row r="307" customHeight="1" spans="1:26">
      <c r="A307" s="268"/>
      <c r="B307" s="268"/>
      <c r="C307" s="268"/>
      <c r="D307" s="268"/>
      <c r="E307" s="268"/>
      <c r="F307" s="268"/>
      <c r="G307" s="268"/>
      <c r="H307" s="268"/>
      <c r="I307" s="268"/>
      <c r="J307" s="268"/>
      <c r="K307" s="268"/>
      <c r="L307" s="268"/>
      <c r="M307" s="268"/>
      <c r="N307" s="268"/>
      <c r="O307" s="268"/>
      <c r="P307" s="268"/>
      <c r="Q307" s="268"/>
      <c r="R307" s="268"/>
      <c r="S307" s="268"/>
      <c r="T307" s="268"/>
      <c r="U307" s="268"/>
      <c r="V307" s="268"/>
      <c r="W307" s="268"/>
      <c r="X307" s="268"/>
      <c r="Y307" s="268"/>
      <c r="Z307" s="268"/>
    </row>
    <row r="308" customHeight="1" spans="1:26">
      <c r="A308" s="268"/>
      <c r="B308" s="268"/>
      <c r="C308" s="268"/>
      <c r="D308" s="268"/>
      <c r="E308" s="268"/>
      <c r="F308" s="268"/>
      <c r="G308" s="268"/>
      <c r="H308" s="268"/>
      <c r="I308" s="268"/>
      <c r="J308" s="268"/>
      <c r="K308" s="268"/>
      <c r="L308" s="268"/>
      <c r="M308" s="268"/>
      <c r="N308" s="268"/>
      <c r="O308" s="268"/>
      <c r="P308" s="268"/>
      <c r="Q308" s="268"/>
      <c r="R308" s="268"/>
      <c r="S308" s="268"/>
      <c r="T308" s="268"/>
      <c r="U308" s="268"/>
      <c r="V308" s="268"/>
      <c r="W308" s="268"/>
      <c r="X308" s="268"/>
      <c r="Y308" s="268"/>
      <c r="Z308" s="268"/>
    </row>
    <row r="309" customHeight="1" spans="1:26">
      <c r="A309" s="268"/>
      <c r="B309" s="268"/>
      <c r="C309" s="268"/>
      <c r="D309" s="268"/>
      <c r="E309" s="268"/>
      <c r="F309" s="268"/>
      <c r="G309" s="268"/>
      <c r="H309" s="268"/>
      <c r="I309" s="268"/>
      <c r="J309" s="268"/>
      <c r="K309" s="268"/>
      <c r="L309" s="268"/>
      <c r="M309" s="268"/>
      <c r="N309" s="268"/>
      <c r="O309" s="268"/>
      <c r="P309" s="268"/>
      <c r="Q309" s="268"/>
      <c r="R309" s="268"/>
      <c r="S309" s="268"/>
      <c r="T309" s="268"/>
      <c r="U309" s="268"/>
      <c r="V309" s="268"/>
      <c r="W309" s="268"/>
      <c r="X309" s="268"/>
      <c r="Y309" s="268"/>
      <c r="Z309" s="268"/>
    </row>
    <row r="310" customHeight="1" spans="1:26">
      <c r="A310" s="268"/>
      <c r="B310" s="268"/>
      <c r="C310" s="268"/>
      <c r="D310" s="268"/>
      <c r="E310" s="268"/>
      <c r="F310" s="268"/>
      <c r="G310" s="268"/>
      <c r="H310" s="268"/>
      <c r="I310" s="268"/>
      <c r="J310" s="268"/>
      <c r="K310" s="268"/>
      <c r="L310" s="268"/>
      <c r="M310" s="268"/>
      <c r="N310" s="268"/>
      <c r="O310" s="268"/>
      <c r="P310" s="268"/>
      <c r="Q310" s="268"/>
      <c r="R310" s="268"/>
      <c r="S310" s="268"/>
      <c r="T310" s="268"/>
      <c r="U310" s="268"/>
      <c r="V310" s="268"/>
      <c r="W310" s="268"/>
      <c r="X310" s="268"/>
      <c r="Y310" s="268"/>
      <c r="Z310" s="268"/>
    </row>
    <row r="311" customHeight="1" spans="1:26">
      <c r="A311" s="268"/>
      <c r="B311" s="268"/>
      <c r="C311" s="268"/>
      <c r="D311" s="268"/>
      <c r="E311" s="268"/>
      <c r="F311" s="268"/>
      <c r="G311" s="268"/>
      <c r="H311" s="268"/>
      <c r="I311" s="268"/>
      <c r="J311" s="268"/>
      <c r="K311" s="268"/>
      <c r="L311" s="268"/>
      <c r="M311" s="268"/>
      <c r="N311" s="268"/>
      <c r="O311" s="268"/>
      <c r="P311" s="268"/>
      <c r="Q311" s="268"/>
      <c r="R311" s="268"/>
      <c r="S311" s="268"/>
      <c r="T311" s="268"/>
      <c r="U311" s="268"/>
      <c r="V311" s="268"/>
      <c r="W311" s="268"/>
      <c r="X311" s="268"/>
      <c r="Y311" s="268"/>
      <c r="Z311" s="268"/>
    </row>
    <row r="312" customHeight="1" spans="1:26">
      <c r="A312" s="268"/>
      <c r="B312" s="268"/>
      <c r="C312" s="268"/>
      <c r="D312" s="268"/>
      <c r="E312" s="268"/>
      <c r="F312" s="268"/>
      <c r="G312" s="268"/>
      <c r="H312" s="268"/>
      <c r="I312" s="268"/>
      <c r="J312" s="268"/>
      <c r="K312" s="268"/>
      <c r="L312" s="268"/>
      <c r="M312" s="268"/>
      <c r="N312" s="268"/>
      <c r="O312" s="268"/>
      <c r="P312" s="268"/>
      <c r="Q312" s="268"/>
      <c r="R312" s="268"/>
      <c r="S312" s="268"/>
      <c r="T312" s="268"/>
      <c r="U312" s="268"/>
      <c r="V312" s="268"/>
      <c r="W312" s="268"/>
      <c r="X312" s="268"/>
      <c r="Y312" s="268"/>
      <c r="Z312" s="268"/>
    </row>
    <row r="313" customHeight="1" spans="1:26">
      <c r="A313" s="268"/>
      <c r="B313" s="268"/>
      <c r="C313" s="268"/>
      <c r="D313" s="268"/>
      <c r="E313" s="268"/>
      <c r="F313" s="268"/>
      <c r="G313" s="268"/>
      <c r="H313" s="268"/>
      <c r="I313" s="268"/>
      <c r="J313" s="268"/>
      <c r="K313" s="268"/>
      <c r="L313" s="268"/>
      <c r="M313" s="268"/>
      <c r="N313" s="268"/>
      <c r="O313" s="268"/>
      <c r="P313" s="268"/>
      <c r="Q313" s="268"/>
      <c r="R313" s="268"/>
      <c r="S313" s="268"/>
      <c r="T313" s="268"/>
      <c r="U313" s="268"/>
      <c r="V313" s="268"/>
      <c r="W313" s="268"/>
      <c r="X313" s="268"/>
      <c r="Y313" s="268"/>
      <c r="Z313" s="268"/>
    </row>
    <row r="314" customHeight="1" spans="1:26">
      <c r="A314" s="268"/>
      <c r="B314" s="268"/>
      <c r="C314" s="268"/>
      <c r="D314" s="268"/>
      <c r="E314" s="268"/>
      <c r="F314" s="268"/>
      <c r="G314" s="268"/>
      <c r="H314" s="268"/>
      <c r="I314" s="268"/>
      <c r="J314" s="268"/>
      <c r="K314" s="268"/>
      <c r="L314" s="268"/>
      <c r="M314" s="268"/>
      <c r="N314" s="268"/>
      <c r="O314" s="268"/>
      <c r="P314" s="268"/>
      <c r="Q314" s="268"/>
      <c r="R314" s="268"/>
      <c r="S314" s="268"/>
      <c r="T314" s="268"/>
      <c r="U314" s="268"/>
      <c r="V314" s="268"/>
      <c r="W314" s="268"/>
      <c r="X314" s="268"/>
      <c r="Y314" s="268"/>
      <c r="Z314" s="268"/>
    </row>
    <row r="315" customHeight="1" spans="1:26">
      <c r="A315" s="268"/>
      <c r="B315" s="268"/>
      <c r="C315" s="268"/>
      <c r="D315" s="268"/>
      <c r="E315" s="268"/>
      <c r="F315" s="268"/>
      <c r="G315" s="268"/>
      <c r="H315" s="268"/>
      <c r="I315" s="268"/>
      <c r="J315" s="268"/>
      <c r="K315" s="268"/>
      <c r="L315" s="268"/>
      <c r="M315" s="268"/>
      <c r="N315" s="268"/>
      <c r="O315" s="268"/>
      <c r="P315" s="268"/>
      <c r="Q315" s="268"/>
      <c r="R315" s="268"/>
      <c r="S315" s="268"/>
      <c r="T315" s="268"/>
      <c r="U315" s="268"/>
      <c r="V315" s="268"/>
      <c r="W315" s="268"/>
      <c r="X315" s="268"/>
      <c r="Y315" s="268"/>
      <c r="Z315" s="268"/>
    </row>
    <row r="316" customHeight="1" spans="1:26">
      <c r="A316" s="268"/>
      <c r="B316" s="268"/>
      <c r="C316" s="268"/>
      <c r="D316" s="268"/>
      <c r="E316" s="268"/>
      <c r="F316" s="268"/>
      <c r="G316" s="268"/>
      <c r="H316" s="268"/>
      <c r="I316" s="268"/>
      <c r="J316" s="268"/>
      <c r="K316" s="268"/>
      <c r="L316" s="268"/>
      <c r="M316" s="268"/>
      <c r="N316" s="268"/>
      <c r="O316" s="268"/>
      <c r="P316" s="268"/>
      <c r="Q316" s="268"/>
      <c r="R316" s="268"/>
      <c r="S316" s="268"/>
      <c r="T316" s="268"/>
      <c r="U316" s="268"/>
      <c r="V316" s="268"/>
      <c r="W316" s="268"/>
      <c r="X316" s="268"/>
      <c r="Y316" s="268"/>
      <c r="Z316" s="268"/>
    </row>
    <row r="317" customHeight="1" spans="1:26">
      <c r="A317" s="268"/>
      <c r="B317" s="268"/>
      <c r="C317" s="268"/>
      <c r="D317" s="268"/>
      <c r="E317" s="268"/>
      <c r="F317" s="268"/>
      <c r="G317" s="268"/>
      <c r="H317" s="268"/>
      <c r="I317" s="268"/>
      <c r="J317" s="268"/>
      <c r="K317" s="268"/>
      <c r="L317" s="268"/>
      <c r="M317" s="268"/>
      <c r="N317" s="268"/>
      <c r="O317" s="268"/>
      <c r="P317" s="268"/>
      <c r="Q317" s="268"/>
      <c r="R317" s="268"/>
      <c r="S317" s="268"/>
      <c r="T317" s="268"/>
      <c r="U317" s="268"/>
      <c r="V317" s="268"/>
      <c r="W317" s="268"/>
      <c r="X317" s="268"/>
      <c r="Y317" s="268"/>
      <c r="Z317" s="268"/>
    </row>
    <row r="318" customHeight="1" spans="1:26">
      <c r="A318" s="268"/>
      <c r="B318" s="268"/>
      <c r="C318" s="268"/>
      <c r="D318" s="268"/>
      <c r="E318" s="268"/>
      <c r="F318" s="268"/>
      <c r="G318" s="268"/>
      <c r="H318" s="268"/>
      <c r="I318" s="268"/>
      <c r="J318" s="268"/>
      <c r="K318" s="268"/>
      <c r="L318" s="268"/>
      <c r="M318" s="268"/>
      <c r="N318" s="268"/>
      <c r="O318" s="268"/>
      <c r="P318" s="268"/>
      <c r="Q318" s="268"/>
      <c r="R318" s="268"/>
      <c r="S318" s="268"/>
      <c r="T318" s="268"/>
      <c r="U318" s="268"/>
      <c r="V318" s="268"/>
      <c r="W318" s="268"/>
      <c r="X318" s="268"/>
      <c r="Y318" s="268"/>
      <c r="Z318" s="268"/>
    </row>
    <row r="319" customHeight="1" spans="1:26">
      <c r="A319" s="268"/>
      <c r="B319" s="268"/>
      <c r="C319" s="268"/>
      <c r="D319" s="268"/>
      <c r="E319" s="268"/>
      <c r="F319" s="268"/>
      <c r="G319" s="268"/>
      <c r="H319" s="268"/>
      <c r="I319" s="268"/>
      <c r="J319" s="268"/>
      <c r="K319" s="268"/>
      <c r="L319" s="268"/>
      <c r="M319" s="268"/>
      <c r="N319" s="268"/>
      <c r="O319" s="268"/>
      <c r="P319" s="268"/>
      <c r="Q319" s="268"/>
      <c r="R319" s="268"/>
      <c r="S319" s="268"/>
      <c r="T319" s="268"/>
      <c r="U319" s="268"/>
      <c r="V319" s="268"/>
      <c r="W319" s="268"/>
      <c r="X319" s="268"/>
      <c r="Y319" s="268"/>
      <c r="Z319" s="268"/>
    </row>
    <row r="320" customHeight="1" spans="1:26">
      <c r="A320" s="268"/>
      <c r="B320" s="268"/>
      <c r="C320" s="268"/>
      <c r="D320" s="268"/>
      <c r="E320" s="268"/>
      <c r="F320" s="268"/>
      <c r="G320" s="268"/>
      <c r="H320" s="268"/>
      <c r="I320" s="268"/>
      <c r="J320" s="268"/>
      <c r="K320" s="268"/>
      <c r="L320" s="268"/>
      <c r="M320" s="268"/>
      <c r="N320" s="268"/>
      <c r="O320" s="268"/>
      <c r="P320" s="268"/>
      <c r="Q320" s="268"/>
      <c r="R320" s="268"/>
      <c r="S320" s="268"/>
      <c r="T320" s="268"/>
      <c r="U320" s="268"/>
      <c r="V320" s="268"/>
      <c r="W320" s="268"/>
      <c r="X320" s="268"/>
      <c r="Y320" s="268"/>
      <c r="Z320" s="268"/>
    </row>
    <row r="321" customHeight="1" spans="1:26">
      <c r="A321" s="268"/>
      <c r="B321" s="268"/>
      <c r="C321" s="268"/>
      <c r="D321" s="268"/>
      <c r="E321" s="268"/>
      <c r="F321" s="268"/>
      <c r="G321" s="268"/>
      <c r="H321" s="268"/>
      <c r="I321" s="268"/>
      <c r="J321" s="268"/>
      <c r="K321" s="268"/>
      <c r="L321" s="268"/>
      <c r="M321" s="268"/>
      <c r="N321" s="268"/>
      <c r="O321" s="268"/>
      <c r="P321" s="268"/>
      <c r="Q321" s="268"/>
      <c r="R321" s="268"/>
      <c r="S321" s="268"/>
      <c r="T321" s="268"/>
      <c r="U321" s="268"/>
      <c r="V321" s="268"/>
      <c r="W321" s="268"/>
      <c r="X321" s="268"/>
      <c r="Y321" s="268"/>
      <c r="Z321" s="268"/>
    </row>
    <row r="322" customHeight="1" spans="1:26">
      <c r="A322" s="268"/>
      <c r="B322" s="268"/>
      <c r="C322" s="268"/>
      <c r="D322" s="268"/>
      <c r="E322" s="268"/>
      <c r="F322" s="268"/>
      <c r="G322" s="268"/>
      <c r="H322" s="268"/>
      <c r="I322" s="268"/>
      <c r="J322" s="268"/>
      <c r="K322" s="268"/>
      <c r="L322" s="268"/>
      <c r="M322" s="268"/>
      <c r="N322" s="268"/>
      <c r="O322" s="268"/>
      <c r="P322" s="268"/>
      <c r="Q322" s="268"/>
      <c r="R322" s="268"/>
      <c r="S322" s="268"/>
      <c r="T322" s="268"/>
      <c r="U322" s="268"/>
      <c r="V322" s="268"/>
      <c r="W322" s="268"/>
      <c r="X322" s="268"/>
      <c r="Y322" s="268"/>
      <c r="Z322" s="268"/>
    </row>
    <row r="323" customHeight="1" spans="1:26">
      <c r="A323" s="268"/>
      <c r="B323" s="268"/>
      <c r="C323" s="268"/>
      <c r="D323" s="268"/>
      <c r="E323" s="268"/>
      <c r="F323" s="268"/>
      <c r="G323" s="268"/>
      <c r="H323" s="268"/>
      <c r="I323" s="268"/>
      <c r="J323" s="268"/>
      <c r="K323" s="268"/>
      <c r="L323" s="268"/>
      <c r="M323" s="268"/>
      <c r="N323" s="268"/>
      <c r="O323" s="268"/>
      <c r="P323" s="268"/>
      <c r="Q323" s="268"/>
      <c r="R323" s="268"/>
      <c r="S323" s="268"/>
      <c r="T323" s="268"/>
      <c r="U323" s="268"/>
      <c r="V323" s="268"/>
      <c r="W323" s="268"/>
      <c r="X323" s="268"/>
      <c r="Y323" s="268"/>
      <c r="Z323" s="268"/>
    </row>
    <row r="324" customHeight="1" spans="1:26">
      <c r="A324" s="268"/>
      <c r="B324" s="268"/>
      <c r="C324" s="268"/>
      <c r="D324" s="268"/>
      <c r="E324" s="268"/>
      <c r="F324" s="268"/>
      <c r="G324" s="268"/>
      <c r="H324" s="268"/>
      <c r="I324" s="268"/>
      <c r="J324" s="268"/>
      <c r="K324" s="268"/>
      <c r="L324" s="268"/>
      <c r="M324" s="268"/>
      <c r="N324" s="268"/>
      <c r="O324" s="268"/>
      <c r="P324" s="268"/>
      <c r="Q324" s="268"/>
      <c r="R324" s="268"/>
      <c r="S324" s="268"/>
      <c r="T324" s="268"/>
      <c r="U324" s="268"/>
      <c r="V324" s="268"/>
      <c r="W324" s="268"/>
      <c r="X324" s="268"/>
      <c r="Y324" s="268"/>
      <c r="Z324" s="268"/>
    </row>
    <row r="325" customHeight="1" spans="1:26">
      <c r="A325" s="268"/>
      <c r="B325" s="268"/>
      <c r="C325" s="268"/>
      <c r="D325" s="268"/>
      <c r="E325" s="268"/>
      <c r="F325" s="268"/>
      <c r="G325" s="268"/>
      <c r="H325" s="268"/>
      <c r="I325" s="268"/>
      <c r="J325" s="268"/>
      <c r="K325" s="268"/>
      <c r="L325" s="268"/>
      <c r="M325" s="268"/>
      <c r="N325" s="268"/>
      <c r="O325" s="268"/>
      <c r="P325" s="268"/>
      <c r="Q325" s="268"/>
      <c r="R325" s="268"/>
      <c r="S325" s="268"/>
      <c r="T325" s="268"/>
      <c r="U325" s="268"/>
      <c r="V325" s="268"/>
      <c r="W325" s="268"/>
      <c r="X325" s="268"/>
      <c r="Y325" s="268"/>
      <c r="Z325" s="268"/>
    </row>
    <row r="326" customHeight="1" spans="1:26">
      <c r="A326" s="268"/>
      <c r="B326" s="268"/>
      <c r="C326" s="268"/>
      <c r="D326" s="268"/>
      <c r="E326" s="268"/>
      <c r="F326" s="268"/>
      <c r="G326" s="268"/>
      <c r="H326" s="268"/>
      <c r="I326" s="268"/>
      <c r="J326" s="268"/>
      <c r="K326" s="268"/>
      <c r="L326" s="268"/>
      <c r="M326" s="268"/>
      <c r="N326" s="268"/>
      <c r="O326" s="268"/>
      <c r="P326" s="268"/>
      <c r="Q326" s="268"/>
      <c r="R326" s="268"/>
      <c r="S326" s="268"/>
      <c r="T326" s="268"/>
      <c r="U326" s="268"/>
      <c r="V326" s="268"/>
      <c r="W326" s="268"/>
      <c r="X326" s="268"/>
      <c r="Y326" s="268"/>
      <c r="Z326" s="268"/>
    </row>
    <row r="327" customHeight="1" spans="1:26">
      <c r="A327" s="268"/>
      <c r="B327" s="268"/>
      <c r="C327" s="268"/>
      <c r="D327" s="268"/>
      <c r="E327" s="268"/>
      <c r="F327" s="268"/>
      <c r="G327" s="268"/>
      <c r="H327" s="268"/>
      <c r="I327" s="268"/>
      <c r="J327" s="268"/>
      <c r="K327" s="268"/>
      <c r="L327" s="268"/>
      <c r="M327" s="268"/>
      <c r="N327" s="268"/>
      <c r="O327" s="268"/>
      <c r="P327" s="268"/>
      <c r="Q327" s="268"/>
      <c r="R327" s="268"/>
      <c r="S327" s="268"/>
      <c r="T327" s="268"/>
      <c r="U327" s="268"/>
      <c r="V327" s="268"/>
      <c r="W327" s="268"/>
      <c r="X327" s="268"/>
      <c r="Y327" s="268"/>
      <c r="Z327" s="268"/>
    </row>
    <row r="328" customHeight="1" spans="1:26">
      <c r="A328" s="268"/>
      <c r="B328" s="268"/>
      <c r="C328" s="268"/>
      <c r="D328" s="268"/>
      <c r="E328" s="268"/>
      <c r="F328" s="268"/>
      <c r="G328" s="268"/>
      <c r="H328" s="268"/>
      <c r="I328" s="268"/>
      <c r="J328" s="268"/>
      <c r="K328" s="268"/>
      <c r="L328" s="268"/>
      <c r="M328" s="268"/>
      <c r="N328" s="268"/>
      <c r="O328" s="268"/>
      <c r="P328" s="268"/>
      <c r="Q328" s="268"/>
      <c r="R328" s="268"/>
      <c r="S328" s="268"/>
      <c r="T328" s="268"/>
      <c r="U328" s="268"/>
      <c r="V328" s="268"/>
      <c r="W328" s="268"/>
      <c r="X328" s="268"/>
      <c r="Y328" s="268"/>
      <c r="Z328" s="268"/>
    </row>
    <row r="329" customHeight="1" spans="1:26">
      <c r="A329" s="268"/>
      <c r="B329" s="268"/>
      <c r="C329" s="268"/>
      <c r="D329" s="268"/>
      <c r="E329" s="268"/>
      <c r="F329" s="268"/>
      <c r="G329" s="268"/>
      <c r="H329" s="268"/>
      <c r="I329" s="268"/>
      <c r="J329" s="268"/>
      <c r="K329" s="268"/>
      <c r="L329" s="268"/>
      <c r="M329" s="268"/>
      <c r="N329" s="268"/>
      <c r="O329" s="268"/>
      <c r="P329" s="268"/>
      <c r="Q329" s="268"/>
      <c r="R329" s="268"/>
      <c r="S329" s="268"/>
      <c r="T329" s="268"/>
      <c r="U329" s="268"/>
      <c r="V329" s="268"/>
      <c r="W329" s="268"/>
      <c r="X329" s="268"/>
      <c r="Y329" s="268"/>
      <c r="Z329" s="268"/>
    </row>
    <row r="330" customHeight="1" spans="1:26">
      <c r="A330" s="268"/>
      <c r="B330" s="268"/>
      <c r="C330" s="268"/>
      <c r="D330" s="268"/>
      <c r="E330" s="268"/>
      <c r="F330" s="268"/>
      <c r="G330" s="268"/>
      <c r="H330" s="268"/>
      <c r="I330" s="268"/>
      <c r="J330" s="268"/>
      <c r="K330" s="268"/>
      <c r="L330" s="268"/>
      <c r="M330" s="268"/>
      <c r="N330" s="268"/>
      <c r="O330" s="268"/>
      <c r="P330" s="268"/>
      <c r="Q330" s="268"/>
      <c r="R330" s="268"/>
      <c r="S330" s="268"/>
      <c r="T330" s="268"/>
      <c r="U330" s="268"/>
      <c r="V330" s="268"/>
      <c r="W330" s="268"/>
      <c r="X330" s="268"/>
      <c r="Y330" s="268"/>
      <c r="Z330" s="268"/>
    </row>
    <row r="331" customHeight="1" spans="1:26">
      <c r="A331" s="268"/>
      <c r="B331" s="268"/>
      <c r="C331" s="268"/>
      <c r="D331" s="268"/>
      <c r="E331" s="268"/>
      <c r="F331" s="268"/>
      <c r="G331" s="268"/>
      <c r="H331" s="268"/>
      <c r="I331" s="268"/>
      <c r="J331" s="268"/>
      <c r="K331" s="268"/>
      <c r="L331" s="268"/>
      <c r="M331" s="268"/>
      <c r="N331" s="268"/>
      <c r="O331" s="268"/>
      <c r="P331" s="268"/>
      <c r="Q331" s="268"/>
      <c r="R331" s="268"/>
      <c r="S331" s="268"/>
      <c r="T331" s="268"/>
      <c r="U331" s="268"/>
      <c r="V331" s="268"/>
      <c r="W331" s="268"/>
      <c r="X331" s="268"/>
      <c r="Y331" s="268"/>
      <c r="Z331" s="268"/>
    </row>
    <row r="332" customHeight="1" spans="1:26">
      <c r="A332" s="268"/>
      <c r="B332" s="268"/>
      <c r="C332" s="268"/>
      <c r="D332" s="268"/>
      <c r="E332" s="268"/>
      <c r="F332" s="268"/>
      <c r="G332" s="268"/>
      <c r="H332" s="268"/>
      <c r="I332" s="268"/>
      <c r="J332" s="268"/>
      <c r="K332" s="268"/>
      <c r="L332" s="268"/>
      <c r="M332" s="268"/>
      <c r="N332" s="268"/>
      <c r="O332" s="268"/>
      <c r="P332" s="268"/>
      <c r="Q332" s="268"/>
      <c r="R332" s="268"/>
      <c r="S332" s="268"/>
      <c r="T332" s="268"/>
      <c r="U332" s="268"/>
      <c r="V332" s="268"/>
      <c r="W332" s="268"/>
      <c r="X332" s="268"/>
      <c r="Y332" s="268"/>
      <c r="Z332" s="268"/>
    </row>
    <row r="333" customHeight="1" spans="1:26">
      <c r="A333" s="268"/>
      <c r="B333" s="268"/>
      <c r="C333" s="268"/>
      <c r="D333" s="268"/>
      <c r="E333" s="268"/>
      <c r="F333" s="268"/>
      <c r="G333" s="268"/>
      <c r="H333" s="268"/>
      <c r="I333" s="268"/>
      <c r="J333" s="268"/>
      <c r="K333" s="268"/>
      <c r="L333" s="268"/>
      <c r="M333" s="268"/>
      <c r="N333" s="268"/>
      <c r="O333" s="268"/>
      <c r="P333" s="268"/>
      <c r="Q333" s="268"/>
      <c r="R333" s="268"/>
      <c r="S333" s="268"/>
      <c r="T333" s="268"/>
      <c r="U333" s="268"/>
      <c r="V333" s="268"/>
      <c r="W333" s="268"/>
      <c r="X333" s="268"/>
      <c r="Y333" s="268"/>
      <c r="Z333" s="268"/>
    </row>
    <row r="334" customHeight="1" spans="1:26">
      <c r="A334" s="268"/>
      <c r="B334" s="268"/>
      <c r="C334" s="268"/>
      <c r="D334" s="268"/>
      <c r="E334" s="268"/>
      <c r="F334" s="268"/>
      <c r="G334" s="268"/>
      <c r="H334" s="268"/>
      <c r="I334" s="268"/>
      <c r="J334" s="268"/>
      <c r="K334" s="268"/>
      <c r="L334" s="268"/>
      <c r="M334" s="268"/>
      <c r="N334" s="268"/>
      <c r="O334" s="268"/>
      <c r="P334" s="268"/>
      <c r="Q334" s="268"/>
      <c r="R334" s="268"/>
      <c r="S334" s="268"/>
      <c r="T334" s="268"/>
      <c r="U334" s="268"/>
      <c r="V334" s="268"/>
      <c r="W334" s="268"/>
      <c r="X334" s="268"/>
      <c r="Y334" s="268"/>
      <c r="Z334" s="268"/>
    </row>
    <row r="335" customHeight="1" spans="1:26">
      <c r="A335" s="268"/>
      <c r="B335" s="268"/>
      <c r="C335" s="268"/>
      <c r="D335" s="268"/>
      <c r="E335" s="268"/>
      <c r="F335" s="268"/>
      <c r="G335" s="268"/>
      <c r="H335" s="268"/>
      <c r="I335" s="268"/>
      <c r="J335" s="268"/>
      <c r="K335" s="268"/>
      <c r="L335" s="268"/>
      <c r="M335" s="268"/>
      <c r="N335" s="268"/>
      <c r="O335" s="268"/>
      <c r="P335" s="268"/>
      <c r="Q335" s="268"/>
      <c r="R335" s="268"/>
      <c r="S335" s="268"/>
      <c r="T335" s="268"/>
      <c r="U335" s="268"/>
      <c r="V335" s="268"/>
      <c r="W335" s="268"/>
      <c r="X335" s="268"/>
      <c r="Y335" s="268"/>
      <c r="Z335" s="268"/>
    </row>
    <row r="336" customHeight="1" spans="1:26">
      <c r="A336" s="268"/>
      <c r="B336" s="268"/>
      <c r="C336" s="268"/>
      <c r="D336" s="268"/>
      <c r="E336" s="268"/>
      <c r="F336" s="268"/>
      <c r="G336" s="268"/>
      <c r="H336" s="268"/>
      <c r="I336" s="268"/>
      <c r="J336" s="268"/>
      <c r="K336" s="268"/>
      <c r="L336" s="268"/>
      <c r="M336" s="268"/>
      <c r="N336" s="268"/>
      <c r="O336" s="268"/>
      <c r="P336" s="268"/>
      <c r="Q336" s="268"/>
      <c r="R336" s="268"/>
      <c r="S336" s="268"/>
      <c r="T336" s="268"/>
      <c r="U336" s="268"/>
      <c r="V336" s="268"/>
      <c r="W336" s="268"/>
      <c r="X336" s="268"/>
      <c r="Y336" s="268"/>
      <c r="Z336" s="268"/>
    </row>
    <row r="337" customHeight="1" spans="1:26">
      <c r="A337" s="268"/>
      <c r="B337" s="268"/>
      <c r="C337" s="268"/>
      <c r="D337" s="268"/>
      <c r="E337" s="268"/>
      <c r="F337" s="268"/>
      <c r="G337" s="268"/>
      <c r="H337" s="268"/>
      <c r="I337" s="268"/>
      <c r="J337" s="268"/>
      <c r="K337" s="268"/>
      <c r="L337" s="268"/>
      <c r="M337" s="268"/>
      <c r="N337" s="268"/>
      <c r="O337" s="268"/>
      <c r="P337" s="268"/>
      <c r="Q337" s="268"/>
      <c r="R337" s="268"/>
      <c r="S337" s="268"/>
      <c r="T337" s="268"/>
      <c r="U337" s="268"/>
      <c r="V337" s="268"/>
      <c r="W337" s="268"/>
      <c r="X337" s="268"/>
      <c r="Y337" s="268"/>
      <c r="Z337" s="268"/>
    </row>
    <row r="338" customHeight="1" spans="1:26">
      <c r="A338" s="268"/>
      <c r="B338" s="268"/>
      <c r="C338" s="268"/>
      <c r="D338" s="268"/>
      <c r="E338" s="268"/>
      <c r="F338" s="268"/>
      <c r="G338" s="268"/>
      <c r="H338" s="268"/>
      <c r="I338" s="268"/>
      <c r="J338" s="268"/>
      <c r="K338" s="268"/>
      <c r="L338" s="268"/>
      <c r="M338" s="268"/>
      <c r="N338" s="268"/>
      <c r="O338" s="268"/>
      <c r="P338" s="268"/>
      <c r="Q338" s="268"/>
      <c r="R338" s="268"/>
      <c r="S338" s="268"/>
      <c r="T338" s="268"/>
      <c r="U338" s="268"/>
      <c r="V338" s="268"/>
      <c r="W338" s="268"/>
      <c r="X338" s="268"/>
      <c r="Y338" s="268"/>
      <c r="Z338" s="268"/>
    </row>
    <row r="339" customHeight="1" spans="1:26">
      <c r="A339" s="268"/>
      <c r="B339" s="268"/>
      <c r="C339" s="268"/>
      <c r="D339" s="268"/>
      <c r="E339" s="268"/>
      <c r="F339" s="268"/>
      <c r="G339" s="268"/>
      <c r="H339" s="268"/>
      <c r="I339" s="268"/>
      <c r="J339" s="268"/>
      <c r="K339" s="268"/>
      <c r="L339" s="268"/>
      <c r="M339" s="268"/>
      <c r="N339" s="268"/>
      <c r="O339" s="268"/>
      <c r="P339" s="268"/>
      <c r="Q339" s="268"/>
      <c r="R339" s="268"/>
      <c r="S339" s="268"/>
      <c r="T339" s="268"/>
      <c r="U339" s="268"/>
      <c r="V339" s="268"/>
      <c r="W339" s="268"/>
      <c r="X339" s="268"/>
      <c r="Y339" s="268"/>
      <c r="Z339" s="268"/>
    </row>
    <row r="340" customHeight="1" spans="1:26">
      <c r="A340" s="268"/>
      <c r="B340" s="268"/>
      <c r="C340" s="268"/>
      <c r="D340" s="268"/>
      <c r="E340" s="268"/>
      <c r="F340" s="268"/>
      <c r="G340" s="268"/>
      <c r="H340" s="268"/>
      <c r="I340" s="268"/>
      <c r="J340" s="268"/>
      <c r="K340" s="268"/>
      <c r="L340" s="268"/>
      <c r="M340" s="268"/>
      <c r="N340" s="268"/>
      <c r="O340" s="268"/>
      <c r="P340" s="268"/>
      <c r="Q340" s="268"/>
      <c r="R340" s="268"/>
      <c r="S340" s="268"/>
      <c r="T340" s="268"/>
      <c r="U340" s="268"/>
      <c r="V340" s="268"/>
      <c r="W340" s="268"/>
      <c r="X340" s="268"/>
      <c r="Y340" s="268"/>
      <c r="Z340" s="268"/>
    </row>
    <row r="341" customHeight="1" spans="1:26">
      <c r="A341" s="268"/>
      <c r="B341" s="268"/>
      <c r="C341" s="268"/>
      <c r="D341" s="268"/>
      <c r="E341" s="268"/>
      <c r="F341" s="268"/>
      <c r="G341" s="268"/>
      <c r="H341" s="268"/>
      <c r="I341" s="268"/>
      <c r="J341" s="268"/>
      <c r="K341" s="268"/>
      <c r="L341" s="268"/>
      <c r="M341" s="268"/>
      <c r="N341" s="268"/>
      <c r="O341" s="268"/>
      <c r="P341" s="268"/>
      <c r="Q341" s="268"/>
      <c r="R341" s="268"/>
      <c r="S341" s="268"/>
      <c r="T341" s="268"/>
      <c r="U341" s="268"/>
      <c r="V341" s="268"/>
      <c r="W341" s="268"/>
      <c r="X341" s="268"/>
      <c r="Y341" s="268"/>
      <c r="Z341" s="268"/>
    </row>
    <row r="342" customHeight="1" spans="1:26">
      <c r="A342" s="268"/>
      <c r="B342" s="268"/>
      <c r="C342" s="268"/>
      <c r="D342" s="268"/>
      <c r="E342" s="268"/>
      <c r="F342" s="268"/>
      <c r="G342" s="268"/>
      <c r="H342" s="268"/>
      <c r="I342" s="268"/>
      <c r="J342" s="268"/>
      <c r="K342" s="268"/>
      <c r="L342" s="268"/>
      <c r="M342" s="268"/>
      <c r="N342" s="268"/>
      <c r="O342" s="268"/>
      <c r="P342" s="268"/>
      <c r="Q342" s="268"/>
      <c r="R342" s="268"/>
      <c r="S342" s="268"/>
      <c r="T342" s="268"/>
      <c r="U342" s="268"/>
      <c r="V342" s="268"/>
      <c r="W342" s="268"/>
      <c r="X342" s="268"/>
      <c r="Y342" s="268"/>
      <c r="Z342" s="268"/>
    </row>
    <row r="343" customHeight="1" spans="1:26">
      <c r="A343" s="268"/>
      <c r="B343" s="268"/>
      <c r="C343" s="268"/>
      <c r="D343" s="268"/>
      <c r="E343" s="268"/>
      <c r="F343" s="268"/>
      <c r="G343" s="268"/>
      <c r="H343" s="268"/>
      <c r="I343" s="268"/>
      <c r="J343" s="268"/>
      <c r="K343" s="268"/>
      <c r="L343" s="268"/>
      <c r="M343" s="268"/>
      <c r="N343" s="268"/>
      <c r="O343" s="268"/>
      <c r="P343" s="268"/>
      <c r="Q343" s="268"/>
      <c r="R343" s="268"/>
      <c r="S343" s="268"/>
      <c r="T343" s="268"/>
      <c r="U343" s="268"/>
      <c r="V343" s="268"/>
      <c r="W343" s="268"/>
      <c r="X343" s="268"/>
      <c r="Y343" s="268"/>
      <c r="Z343" s="268"/>
    </row>
    <row r="344" customHeight="1" spans="1:26">
      <c r="A344" s="268"/>
      <c r="B344" s="268"/>
      <c r="C344" s="268"/>
      <c r="D344" s="268"/>
      <c r="E344" s="268"/>
      <c r="F344" s="268"/>
      <c r="G344" s="268"/>
      <c r="H344" s="268"/>
      <c r="I344" s="268"/>
      <c r="J344" s="268"/>
      <c r="K344" s="268"/>
      <c r="L344" s="268"/>
      <c r="M344" s="268"/>
      <c r="N344" s="268"/>
      <c r="O344" s="268"/>
      <c r="P344" s="268"/>
      <c r="Q344" s="268"/>
      <c r="R344" s="268"/>
      <c r="S344" s="268"/>
      <c r="T344" s="268"/>
      <c r="U344" s="268"/>
      <c r="V344" s="268"/>
      <c r="W344" s="268"/>
      <c r="X344" s="268"/>
      <c r="Y344" s="268"/>
      <c r="Z344" s="268"/>
    </row>
    <row r="345" customHeight="1" spans="1:26">
      <c r="A345" s="268"/>
      <c r="B345" s="268"/>
      <c r="C345" s="268"/>
      <c r="D345" s="268"/>
      <c r="E345" s="268"/>
      <c r="F345" s="268"/>
      <c r="G345" s="268"/>
      <c r="H345" s="268"/>
      <c r="I345" s="268"/>
      <c r="J345" s="268"/>
      <c r="K345" s="268"/>
      <c r="L345" s="268"/>
      <c r="M345" s="268"/>
      <c r="N345" s="268"/>
      <c r="O345" s="268"/>
      <c r="P345" s="268"/>
      <c r="Q345" s="268"/>
      <c r="R345" s="268"/>
      <c r="S345" s="268"/>
      <c r="T345" s="268"/>
      <c r="U345" s="268"/>
      <c r="V345" s="268"/>
      <c r="W345" s="268"/>
      <c r="X345" s="268"/>
      <c r="Y345" s="268"/>
      <c r="Z345" s="268"/>
    </row>
    <row r="346" customHeight="1" spans="1:26">
      <c r="A346" s="268"/>
      <c r="B346" s="268"/>
      <c r="C346" s="268"/>
      <c r="D346" s="268"/>
      <c r="E346" s="268"/>
      <c r="F346" s="268"/>
      <c r="G346" s="268"/>
      <c r="H346" s="268"/>
      <c r="I346" s="268"/>
      <c r="J346" s="268"/>
      <c r="K346" s="268"/>
      <c r="L346" s="268"/>
      <c r="M346" s="268"/>
      <c r="N346" s="268"/>
      <c r="O346" s="268"/>
      <c r="P346" s="268"/>
      <c r="Q346" s="268"/>
      <c r="R346" s="268"/>
      <c r="S346" s="268"/>
      <c r="T346" s="268"/>
      <c r="U346" s="268"/>
      <c r="V346" s="268"/>
      <c r="W346" s="268"/>
      <c r="X346" s="268"/>
      <c r="Y346" s="268"/>
      <c r="Z346" s="268"/>
    </row>
    <row r="347" customHeight="1" spans="1:26">
      <c r="A347" s="268"/>
      <c r="B347" s="268"/>
      <c r="C347" s="268"/>
      <c r="D347" s="268"/>
      <c r="E347" s="268"/>
      <c r="F347" s="268"/>
      <c r="G347" s="268"/>
      <c r="H347" s="268"/>
      <c r="I347" s="268"/>
      <c r="J347" s="268"/>
      <c r="K347" s="268"/>
      <c r="L347" s="268"/>
      <c r="M347" s="268"/>
      <c r="N347" s="268"/>
      <c r="O347" s="268"/>
      <c r="P347" s="268"/>
      <c r="Q347" s="268"/>
      <c r="R347" s="268"/>
      <c r="S347" s="268"/>
      <c r="T347" s="268"/>
      <c r="U347" s="268"/>
      <c r="V347" s="268"/>
      <c r="W347" s="268"/>
      <c r="X347" s="268"/>
      <c r="Y347" s="268"/>
      <c r="Z347" s="268"/>
    </row>
    <row r="348" customHeight="1" spans="1:26">
      <c r="A348" s="268"/>
      <c r="B348" s="268"/>
      <c r="C348" s="268"/>
      <c r="D348" s="268"/>
      <c r="E348" s="268"/>
      <c r="F348" s="268"/>
      <c r="G348" s="268"/>
      <c r="H348" s="268"/>
      <c r="I348" s="268"/>
      <c r="J348" s="268"/>
      <c r="K348" s="268"/>
      <c r="L348" s="268"/>
      <c r="M348" s="268"/>
      <c r="N348" s="268"/>
      <c r="O348" s="268"/>
      <c r="P348" s="268"/>
      <c r="Q348" s="268"/>
      <c r="R348" s="268"/>
      <c r="S348" s="268"/>
      <c r="T348" s="268"/>
      <c r="U348" s="268"/>
      <c r="V348" s="268"/>
      <c r="W348" s="268"/>
      <c r="X348" s="268"/>
      <c r="Y348" s="268"/>
      <c r="Z348" s="268"/>
    </row>
    <row r="349" customHeight="1" spans="1:26">
      <c r="A349" s="268"/>
      <c r="B349" s="268"/>
      <c r="C349" s="268"/>
      <c r="D349" s="268"/>
      <c r="E349" s="268"/>
      <c r="F349" s="268"/>
      <c r="G349" s="268"/>
      <c r="H349" s="268"/>
      <c r="I349" s="268"/>
      <c r="J349" s="268"/>
      <c r="K349" s="268"/>
      <c r="L349" s="268"/>
      <c r="M349" s="268"/>
      <c r="N349" s="268"/>
      <c r="O349" s="268"/>
      <c r="P349" s="268"/>
      <c r="Q349" s="268"/>
      <c r="R349" s="268"/>
      <c r="S349" s="268"/>
      <c r="T349" s="268"/>
      <c r="U349" s="268"/>
      <c r="V349" s="268"/>
      <c r="W349" s="268"/>
      <c r="X349" s="268"/>
      <c r="Y349" s="268"/>
      <c r="Z349" s="268"/>
    </row>
    <row r="350" customHeight="1" spans="1:26">
      <c r="A350" s="268"/>
      <c r="B350" s="268"/>
      <c r="C350" s="268"/>
      <c r="D350" s="268"/>
      <c r="E350" s="268"/>
      <c r="F350" s="268"/>
      <c r="G350" s="268"/>
      <c r="H350" s="268"/>
      <c r="I350" s="268"/>
      <c r="J350" s="268"/>
      <c r="K350" s="268"/>
      <c r="L350" s="268"/>
      <c r="M350" s="268"/>
      <c r="N350" s="268"/>
      <c r="O350" s="268"/>
      <c r="P350" s="268"/>
      <c r="Q350" s="268"/>
      <c r="R350" s="268"/>
      <c r="S350" s="268"/>
      <c r="T350" s="268"/>
      <c r="U350" s="268"/>
      <c r="V350" s="268"/>
      <c r="W350" s="268"/>
      <c r="X350" s="268"/>
      <c r="Y350" s="268"/>
      <c r="Z350" s="268"/>
    </row>
    <row r="351" customHeight="1" spans="1:26">
      <c r="A351" s="268"/>
      <c r="B351" s="268"/>
      <c r="C351" s="268"/>
      <c r="D351" s="268"/>
      <c r="E351" s="268"/>
      <c r="F351" s="268"/>
      <c r="G351" s="268"/>
      <c r="H351" s="268"/>
      <c r="I351" s="268"/>
      <c r="J351" s="268"/>
      <c r="K351" s="268"/>
      <c r="L351" s="268"/>
      <c r="M351" s="268"/>
      <c r="N351" s="268"/>
      <c r="O351" s="268"/>
      <c r="P351" s="268"/>
      <c r="Q351" s="268"/>
      <c r="R351" s="268"/>
      <c r="S351" s="268"/>
      <c r="T351" s="268"/>
      <c r="U351" s="268"/>
      <c r="V351" s="268"/>
      <c r="W351" s="268"/>
      <c r="X351" s="268"/>
      <c r="Y351" s="268"/>
      <c r="Z351" s="268"/>
    </row>
    <row r="352" customHeight="1" spans="1:26">
      <c r="A352" s="268"/>
      <c r="B352" s="268"/>
      <c r="C352" s="268"/>
      <c r="D352" s="268"/>
      <c r="E352" s="268"/>
      <c r="F352" s="268"/>
      <c r="G352" s="268"/>
      <c r="H352" s="268"/>
      <c r="I352" s="268"/>
      <c r="J352" s="268"/>
      <c r="K352" s="268"/>
      <c r="L352" s="268"/>
      <c r="M352" s="268"/>
      <c r="N352" s="268"/>
      <c r="O352" s="268"/>
      <c r="P352" s="268"/>
      <c r="Q352" s="268"/>
      <c r="R352" s="268"/>
      <c r="S352" s="268"/>
      <c r="T352" s="268"/>
      <c r="U352" s="268"/>
      <c r="V352" s="268"/>
      <c r="W352" s="268"/>
      <c r="X352" s="268"/>
      <c r="Y352" s="268"/>
      <c r="Z352" s="268"/>
    </row>
    <row r="353" customHeight="1" spans="1:26">
      <c r="A353" s="268"/>
      <c r="B353" s="268"/>
      <c r="C353" s="268"/>
      <c r="D353" s="268"/>
      <c r="E353" s="268"/>
      <c r="F353" s="268"/>
      <c r="G353" s="268"/>
      <c r="H353" s="268"/>
      <c r="I353" s="268"/>
      <c r="J353" s="268"/>
      <c r="K353" s="268"/>
      <c r="L353" s="268"/>
      <c r="M353" s="268"/>
      <c r="N353" s="268"/>
      <c r="O353" s="268"/>
      <c r="P353" s="268"/>
      <c r="Q353" s="268"/>
      <c r="R353" s="268"/>
      <c r="S353" s="268"/>
      <c r="T353" s="268"/>
      <c r="U353" s="268"/>
      <c r="V353" s="268"/>
      <c r="W353" s="268"/>
      <c r="X353" s="268"/>
      <c r="Y353" s="268"/>
      <c r="Z353" s="268"/>
    </row>
    <row r="354" customHeight="1" spans="1:26">
      <c r="A354" s="268"/>
      <c r="B354" s="268"/>
      <c r="C354" s="268"/>
      <c r="D354" s="268"/>
      <c r="E354" s="268"/>
      <c r="F354" s="268"/>
      <c r="G354" s="268"/>
      <c r="H354" s="268"/>
      <c r="I354" s="268"/>
      <c r="J354" s="268"/>
      <c r="K354" s="268"/>
      <c r="L354" s="268"/>
      <c r="M354" s="268"/>
      <c r="N354" s="268"/>
      <c r="O354" s="268"/>
      <c r="P354" s="268"/>
      <c r="Q354" s="268"/>
      <c r="R354" s="268"/>
      <c r="S354" s="268"/>
      <c r="T354" s="268"/>
      <c r="U354" s="268"/>
      <c r="V354" s="268"/>
      <c r="W354" s="268"/>
      <c r="X354" s="268"/>
      <c r="Y354" s="268"/>
      <c r="Z354" s="268"/>
    </row>
    <row r="355" customHeight="1" spans="1:26">
      <c r="A355" s="268"/>
      <c r="B355" s="268"/>
      <c r="C355" s="268"/>
      <c r="D355" s="268"/>
      <c r="E355" s="268"/>
      <c r="F355" s="268"/>
      <c r="G355" s="268"/>
      <c r="H355" s="268"/>
      <c r="I355" s="268"/>
      <c r="J355" s="268"/>
      <c r="K355" s="268"/>
      <c r="L355" s="268"/>
      <c r="M355" s="268"/>
      <c r="N355" s="268"/>
      <c r="O355" s="268"/>
      <c r="P355" s="268"/>
      <c r="Q355" s="268"/>
      <c r="R355" s="268"/>
      <c r="S355" s="268"/>
      <c r="T355" s="268"/>
      <c r="U355" s="268"/>
      <c r="V355" s="268"/>
      <c r="W355" s="268"/>
      <c r="X355" s="268"/>
      <c r="Y355" s="268"/>
      <c r="Z355" s="268"/>
    </row>
    <row r="356" customHeight="1" spans="1:26">
      <c r="A356" s="268"/>
      <c r="B356" s="268"/>
      <c r="C356" s="268"/>
      <c r="D356" s="268"/>
      <c r="E356" s="268"/>
      <c r="F356" s="268"/>
      <c r="G356" s="268"/>
      <c r="H356" s="268"/>
      <c r="I356" s="268"/>
      <c r="J356" s="268"/>
      <c r="K356" s="268"/>
      <c r="L356" s="268"/>
      <c r="M356" s="268"/>
      <c r="N356" s="268"/>
      <c r="O356" s="268"/>
      <c r="P356" s="268"/>
      <c r="Q356" s="268"/>
      <c r="R356" s="268"/>
      <c r="S356" s="268"/>
      <c r="T356" s="268"/>
      <c r="U356" s="268"/>
      <c r="V356" s="268"/>
      <c r="W356" s="268"/>
      <c r="X356" s="268"/>
      <c r="Y356" s="268"/>
      <c r="Z356" s="268"/>
    </row>
    <row r="357" customHeight="1" spans="1:26">
      <c r="A357" s="268"/>
      <c r="B357" s="268"/>
      <c r="C357" s="268"/>
      <c r="D357" s="268"/>
      <c r="E357" s="268"/>
      <c r="F357" s="268"/>
      <c r="G357" s="268"/>
      <c r="H357" s="268"/>
      <c r="I357" s="268"/>
      <c r="J357" s="268"/>
      <c r="K357" s="268"/>
      <c r="L357" s="268"/>
      <c r="M357" s="268"/>
      <c r="N357" s="268"/>
      <c r="O357" s="268"/>
      <c r="P357" s="268"/>
      <c r="Q357" s="268"/>
      <c r="R357" s="268"/>
      <c r="S357" s="268"/>
      <c r="T357" s="268"/>
      <c r="U357" s="268"/>
      <c r="V357" s="268"/>
      <c r="W357" s="268"/>
      <c r="X357" s="268"/>
      <c r="Y357" s="268"/>
      <c r="Z357" s="268"/>
    </row>
    <row r="358" customHeight="1" spans="1:26">
      <c r="A358" s="268"/>
      <c r="B358" s="268"/>
      <c r="C358" s="268"/>
      <c r="D358" s="268"/>
      <c r="E358" s="268"/>
      <c r="F358" s="268"/>
      <c r="G358" s="268"/>
      <c r="H358" s="268"/>
      <c r="I358" s="268"/>
      <c r="J358" s="268"/>
      <c r="K358" s="268"/>
      <c r="L358" s="268"/>
      <c r="M358" s="268"/>
      <c r="N358" s="268"/>
      <c r="O358" s="268"/>
      <c r="P358" s="268"/>
      <c r="Q358" s="268"/>
      <c r="R358" s="268"/>
      <c r="S358" s="268"/>
      <c r="T358" s="268"/>
      <c r="U358" s="268"/>
      <c r="V358" s="268"/>
      <c r="W358" s="268"/>
      <c r="X358" s="268"/>
      <c r="Y358" s="268"/>
      <c r="Z358" s="268"/>
    </row>
    <row r="359" customHeight="1" spans="1:26">
      <c r="A359" s="268"/>
      <c r="B359" s="268"/>
      <c r="C359" s="268"/>
      <c r="D359" s="268"/>
      <c r="E359" s="268"/>
      <c r="F359" s="268"/>
      <c r="G359" s="268"/>
      <c r="H359" s="268"/>
      <c r="I359" s="268"/>
      <c r="J359" s="268"/>
      <c r="K359" s="268"/>
      <c r="L359" s="268"/>
      <c r="M359" s="268"/>
      <c r="N359" s="268"/>
      <c r="O359" s="268"/>
      <c r="P359" s="268"/>
      <c r="Q359" s="268"/>
      <c r="R359" s="268"/>
      <c r="S359" s="268"/>
      <c r="T359" s="268"/>
      <c r="U359" s="268"/>
      <c r="V359" s="268"/>
      <c r="W359" s="268"/>
      <c r="X359" s="268"/>
      <c r="Y359" s="268"/>
      <c r="Z359" s="268"/>
    </row>
    <row r="360" customHeight="1" spans="1:26">
      <c r="A360" s="268"/>
      <c r="B360" s="268"/>
      <c r="C360" s="268"/>
      <c r="D360" s="268"/>
      <c r="E360" s="268"/>
      <c r="F360" s="268"/>
      <c r="G360" s="268"/>
      <c r="H360" s="268"/>
      <c r="I360" s="268"/>
      <c r="J360" s="268"/>
      <c r="K360" s="268"/>
      <c r="L360" s="268"/>
      <c r="M360" s="268"/>
      <c r="N360" s="268"/>
      <c r="O360" s="268"/>
      <c r="P360" s="268"/>
      <c r="Q360" s="268"/>
      <c r="R360" s="268"/>
      <c r="S360" s="268"/>
      <c r="T360" s="268"/>
      <c r="U360" s="268"/>
      <c r="V360" s="268"/>
      <c r="W360" s="268"/>
      <c r="X360" s="268"/>
      <c r="Y360" s="268"/>
      <c r="Z360" s="268"/>
    </row>
    <row r="361" customHeight="1" spans="1:26">
      <c r="A361" s="268"/>
      <c r="B361" s="268"/>
      <c r="C361" s="268"/>
      <c r="D361" s="268"/>
      <c r="E361" s="268"/>
      <c r="F361" s="268"/>
      <c r="G361" s="268"/>
      <c r="H361" s="268"/>
      <c r="I361" s="268"/>
      <c r="J361" s="268"/>
      <c r="K361" s="268"/>
      <c r="L361" s="268"/>
      <c r="M361" s="268"/>
      <c r="N361" s="268"/>
      <c r="O361" s="268"/>
      <c r="P361" s="268"/>
      <c r="Q361" s="268"/>
      <c r="R361" s="268"/>
      <c r="S361" s="268"/>
      <c r="T361" s="268"/>
      <c r="U361" s="268"/>
      <c r="V361" s="268"/>
      <c r="W361" s="268"/>
      <c r="X361" s="268"/>
      <c r="Y361" s="268"/>
      <c r="Z361" s="268"/>
    </row>
    <row r="362" customHeight="1" spans="1:26">
      <c r="A362" s="268"/>
      <c r="B362" s="268"/>
      <c r="C362" s="268"/>
      <c r="D362" s="268"/>
      <c r="E362" s="268"/>
      <c r="F362" s="268"/>
      <c r="G362" s="268"/>
      <c r="H362" s="268"/>
      <c r="I362" s="268"/>
      <c r="J362" s="268"/>
      <c r="K362" s="268"/>
      <c r="L362" s="268"/>
      <c r="M362" s="268"/>
      <c r="N362" s="268"/>
      <c r="O362" s="268"/>
      <c r="P362" s="268"/>
      <c r="Q362" s="268"/>
      <c r="R362" s="268"/>
      <c r="S362" s="268"/>
      <c r="T362" s="268"/>
      <c r="U362" s="268"/>
      <c r="V362" s="268"/>
      <c r="W362" s="268"/>
      <c r="X362" s="268"/>
      <c r="Y362" s="268"/>
      <c r="Z362" s="268"/>
    </row>
    <row r="363" customHeight="1" spans="1:26">
      <c r="A363" s="268"/>
      <c r="B363" s="268"/>
      <c r="C363" s="268"/>
      <c r="D363" s="268"/>
      <c r="E363" s="268"/>
      <c r="F363" s="268"/>
      <c r="G363" s="268"/>
      <c r="H363" s="268"/>
      <c r="I363" s="268"/>
      <c r="J363" s="268"/>
      <c r="K363" s="268"/>
      <c r="L363" s="268"/>
      <c r="M363" s="268"/>
      <c r="N363" s="268"/>
      <c r="O363" s="268"/>
      <c r="P363" s="268"/>
      <c r="Q363" s="268"/>
      <c r="R363" s="268"/>
      <c r="S363" s="268"/>
      <c r="T363" s="268"/>
      <c r="U363" s="268"/>
      <c r="V363" s="268"/>
      <c r="W363" s="268"/>
      <c r="X363" s="268"/>
      <c r="Y363" s="268"/>
      <c r="Z363" s="268"/>
    </row>
    <row r="364" customHeight="1" spans="1:26">
      <c r="A364" s="268"/>
      <c r="B364" s="268"/>
      <c r="C364" s="268"/>
      <c r="D364" s="268"/>
      <c r="E364" s="268"/>
      <c r="F364" s="268"/>
      <c r="G364" s="268"/>
      <c r="H364" s="268"/>
      <c r="I364" s="268"/>
      <c r="J364" s="268"/>
      <c r="K364" s="268"/>
      <c r="L364" s="268"/>
      <c r="M364" s="268"/>
      <c r="N364" s="268"/>
      <c r="O364" s="268"/>
      <c r="P364" s="268"/>
      <c r="Q364" s="268"/>
      <c r="R364" s="268"/>
      <c r="S364" s="268"/>
      <c r="T364" s="268"/>
      <c r="U364" s="268"/>
      <c r="V364" s="268"/>
      <c r="W364" s="268"/>
      <c r="X364" s="268"/>
      <c r="Y364" s="268"/>
      <c r="Z364" s="268"/>
    </row>
    <row r="365" customHeight="1" spans="1:26">
      <c r="A365" s="268"/>
      <c r="B365" s="268"/>
      <c r="C365" s="268"/>
      <c r="D365" s="268"/>
      <c r="E365" s="268"/>
      <c r="F365" s="268"/>
      <c r="G365" s="268"/>
      <c r="H365" s="268"/>
      <c r="I365" s="268"/>
      <c r="J365" s="268"/>
      <c r="K365" s="268"/>
      <c r="L365" s="268"/>
      <c r="M365" s="268"/>
      <c r="N365" s="268"/>
      <c r="O365" s="268"/>
      <c r="P365" s="268"/>
      <c r="Q365" s="268"/>
      <c r="R365" s="268"/>
      <c r="S365" s="268"/>
      <c r="T365" s="268"/>
      <c r="U365" s="268"/>
      <c r="V365" s="268"/>
      <c r="W365" s="268"/>
      <c r="X365" s="268"/>
      <c r="Y365" s="268"/>
      <c r="Z365" s="268"/>
    </row>
    <row r="366" customHeight="1" spans="1:26">
      <c r="A366" s="268"/>
      <c r="B366" s="268"/>
      <c r="C366" s="268"/>
      <c r="D366" s="268"/>
      <c r="E366" s="268"/>
      <c r="F366" s="268"/>
      <c r="G366" s="268"/>
      <c r="H366" s="268"/>
      <c r="I366" s="268"/>
      <c r="J366" s="268"/>
      <c r="K366" s="268"/>
      <c r="L366" s="268"/>
      <c r="M366" s="268"/>
      <c r="N366" s="268"/>
      <c r="O366" s="268"/>
      <c r="P366" s="268"/>
      <c r="Q366" s="268"/>
      <c r="R366" s="268"/>
      <c r="S366" s="268"/>
      <c r="T366" s="268"/>
      <c r="U366" s="268"/>
      <c r="V366" s="268"/>
      <c r="W366" s="268"/>
      <c r="X366" s="268"/>
      <c r="Y366" s="268"/>
      <c r="Z366" s="268"/>
    </row>
    <row r="367" customHeight="1" spans="1:26">
      <c r="A367" s="268"/>
      <c r="B367" s="268"/>
      <c r="C367" s="268"/>
      <c r="D367" s="268"/>
      <c r="E367" s="268"/>
      <c r="F367" s="268"/>
      <c r="G367" s="268"/>
      <c r="H367" s="268"/>
      <c r="I367" s="268"/>
      <c r="J367" s="268"/>
      <c r="K367" s="268"/>
      <c r="L367" s="268"/>
      <c r="M367" s="268"/>
      <c r="N367" s="268"/>
      <c r="O367" s="268"/>
      <c r="P367" s="268"/>
      <c r="Q367" s="268"/>
      <c r="R367" s="268"/>
      <c r="S367" s="268"/>
      <c r="T367" s="268"/>
      <c r="U367" s="268"/>
      <c r="V367" s="268"/>
      <c r="W367" s="268"/>
      <c r="X367" s="268"/>
      <c r="Y367" s="268"/>
      <c r="Z367" s="268"/>
    </row>
    <row r="368" customHeight="1" spans="1:26">
      <c r="A368" s="268"/>
      <c r="B368" s="268"/>
      <c r="C368" s="268"/>
      <c r="D368" s="268"/>
      <c r="E368" s="268"/>
      <c r="F368" s="268"/>
      <c r="G368" s="268"/>
      <c r="H368" s="268"/>
      <c r="I368" s="268"/>
      <c r="J368" s="268"/>
      <c r="K368" s="268"/>
      <c r="L368" s="268"/>
      <c r="M368" s="268"/>
      <c r="N368" s="268"/>
      <c r="O368" s="268"/>
      <c r="P368" s="268"/>
      <c r="Q368" s="268"/>
      <c r="R368" s="268"/>
      <c r="S368" s="268"/>
      <c r="T368" s="268"/>
      <c r="U368" s="268"/>
      <c r="V368" s="268"/>
      <c r="W368" s="268"/>
      <c r="X368" s="268"/>
      <c r="Y368" s="268"/>
      <c r="Z368" s="268"/>
    </row>
    <row r="369" customHeight="1" spans="1:26">
      <c r="A369" s="268"/>
      <c r="B369" s="268"/>
      <c r="C369" s="268"/>
      <c r="D369" s="268"/>
      <c r="E369" s="268"/>
      <c r="F369" s="268"/>
      <c r="G369" s="268"/>
      <c r="H369" s="268"/>
      <c r="I369" s="268"/>
      <c r="J369" s="268"/>
      <c r="K369" s="268"/>
      <c r="L369" s="268"/>
      <c r="M369" s="268"/>
      <c r="N369" s="268"/>
      <c r="O369" s="268"/>
      <c r="P369" s="268"/>
      <c r="Q369" s="268"/>
      <c r="R369" s="268"/>
      <c r="S369" s="268"/>
      <c r="T369" s="268"/>
      <c r="U369" s="268"/>
      <c r="V369" s="268"/>
      <c r="W369" s="268"/>
      <c r="X369" s="268"/>
      <c r="Y369" s="268"/>
      <c r="Z369" s="268"/>
    </row>
    <row r="370" customHeight="1" spans="1:26">
      <c r="A370" s="268"/>
      <c r="B370" s="268"/>
      <c r="C370" s="268"/>
      <c r="D370" s="268"/>
      <c r="E370" s="268"/>
      <c r="F370" s="268"/>
      <c r="G370" s="268"/>
      <c r="H370" s="268"/>
      <c r="I370" s="268"/>
      <c r="J370" s="268"/>
      <c r="K370" s="268"/>
      <c r="L370" s="268"/>
      <c r="M370" s="268"/>
      <c r="N370" s="268"/>
      <c r="O370" s="268"/>
      <c r="P370" s="268"/>
      <c r="Q370" s="268"/>
      <c r="R370" s="268"/>
      <c r="S370" s="268"/>
      <c r="T370" s="268"/>
      <c r="U370" s="268"/>
      <c r="V370" s="268"/>
      <c r="W370" s="268"/>
      <c r="X370" s="268"/>
      <c r="Y370" s="268"/>
      <c r="Z370" s="268"/>
    </row>
    <row r="371" customHeight="1" spans="1:26">
      <c r="A371" s="268"/>
      <c r="B371" s="268"/>
      <c r="C371" s="268"/>
      <c r="D371" s="268"/>
      <c r="E371" s="268"/>
      <c r="F371" s="268"/>
      <c r="G371" s="268"/>
      <c r="H371" s="268"/>
      <c r="I371" s="268"/>
      <c r="J371" s="268"/>
      <c r="K371" s="268"/>
      <c r="L371" s="268"/>
      <c r="M371" s="268"/>
      <c r="N371" s="268"/>
      <c r="O371" s="268"/>
      <c r="P371" s="268"/>
      <c r="Q371" s="268"/>
      <c r="R371" s="268"/>
      <c r="S371" s="268"/>
      <c r="T371" s="268"/>
      <c r="U371" s="268"/>
      <c r="V371" s="268"/>
      <c r="W371" s="268"/>
      <c r="X371" s="268"/>
      <c r="Y371" s="268"/>
      <c r="Z371" s="268"/>
    </row>
    <row r="372" customHeight="1" spans="1:26">
      <c r="A372" s="268"/>
      <c r="B372" s="268"/>
      <c r="C372" s="268"/>
      <c r="D372" s="268"/>
      <c r="E372" s="268"/>
      <c r="F372" s="268"/>
      <c r="G372" s="268"/>
      <c r="H372" s="268"/>
      <c r="I372" s="268"/>
      <c r="J372" s="268"/>
      <c r="K372" s="268"/>
      <c r="L372" s="268"/>
      <c r="M372" s="268"/>
      <c r="N372" s="268"/>
      <c r="O372" s="268"/>
      <c r="P372" s="268"/>
      <c r="Q372" s="268"/>
      <c r="R372" s="268"/>
      <c r="S372" s="268"/>
      <c r="T372" s="268"/>
      <c r="U372" s="268"/>
      <c r="V372" s="268"/>
      <c r="W372" s="268"/>
      <c r="X372" s="268"/>
      <c r="Y372" s="268"/>
      <c r="Z372" s="268"/>
    </row>
    <row r="373" customHeight="1" spans="1:26">
      <c r="A373" s="268"/>
      <c r="B373" s="268"/>
      <c r="C373" s="268"/>
      <c r="D373" s="268"/>
      <c r="E373" s="268"/>
      <c r="F373" s="268"/>
      <c r="G373" s="268"/>
      <c r="H373" s="268"/>
      <c r="I373" s="268"/>
      <c r="J373" s="268"/>
      <c r="K373" s="268"/>
      <c r="L373" s="268"/>
      <c r="M373" s="268"/>
      <c r="N373" s="268"/>
      <c r="O373" s="268"/>
      <c r="P373" s="268"/>
      <c r="Q373" s="268"/>
      <c r="R373" s="268"/>
      <c r="S373" s="268"/>
      <c r="T373" s="268"/>
      <c r="U373" s="268"/>
      <c r="V373" s="268"/>
      <c r="W373" s="268"/>
      <c r="X373" s="268"/>
      <c r="Y373" s="268"/>
      <c r="Z373" s="268"/>
    </row>
    <row r="374" customHeight="1" spans="1:26">
      <c r="A374" s="268"/>
      <c r="B374" s="268"/>
      <c r="C374" s="268"/>
      <c r="D374" s="268"/>
      <c r="E374" s="268"/>
      <c r="F374" s="268"/>
      <c r="G374" s="268"/>
      <c r="H374" s="268"/>
      <c r="I374" s="268"/>
      <c r="J374" s="268"/>
      <c r="K374" s="268"/>
      <c r="L374" s="268"/>
      <c r="M374" s="268"/>
      <c r="N374" s="268"/>
      <c r="O374" s="268"/>
      <c r="P374" s="268"/>
      <c r="Q374" s="268"/>
      <c r="R374" s="268"/>
      <c r="S374" s="268"/>
      <c r="T374" s="268"/>
      <c r="U374" s="268"/>
      <c r="V374" s="268"/>
      <c r="W374" s="268"/>
      <c r="X374" s="268"/>
      <c r="Y374" s="268"/>
      <c r="Z374" s="268"/>
    </row>
    <row r="375" customHeight="1" spans="1:26">
      <c r="A375" s="268"/>
      <c r="B375" s="268"/>
      <c r="C375" s="268"/>
      <c r="D375" s="268"/>
      <c r="E375" s="268"/>
      <c r="F375" s="268"/>
      <c r="G375" s="268"/>
      <c r="H375" s="268"/>
      <c r="I375" s="268"/>
      <c r="J375" s="268"/>
      <c r="K375" s="268"/>
      <c r="L375" s="268"/>
      <c r="M375" s="268"/>
      <c r="N375" s="268"/>
      <c r="O375" s="268"/>
      <c r="P375" s="268"/>
      <c r="Q375" s="268"/>
      <c r="R375" s="268"/>
      <c r="S375" s="268"/>
      <c r="T375" s="268"/>
      <c r="U375" s="268"/>
      <c r="V375" s="268"/>
      <c r="W375" s="268"/>
      <c r="X375" s="268"/>
      <c r="Y375" s="268"/>
      <c r="Z375" s="268"/>
    </row>
    <row r="376" customHeight="1" spans="1:26">
      <c r="A376" s="268"/>
      <c r="B376" s="268"/>
      <c r="C376" s="268"/>
      <c r="D376" s="268"/>
      <c r="E376" s="268"/>
      <c r="F376" s="268"/>
      <c r="G376" s="268"/>
      <c r="H376" s="268"/>
      <c r="I376" s="268"/>
      <c r="J376" s="268"/>
      <c r="K376" s="268"/>
      <c r="L376" s="268"/>
      <c r="M376" s="268"/>
      <c r="N376" s="268"/>
      <c r="O376" s="268"/>
      <c r="P376" s="268"/>
      <c r="Q376" s="268"/>
      <c r="R376" s="268"/>
      <c r="S376" s="268"/>
      <c r="T376" s="268"/>
      <c r="U376" s="268"/>
      <c r="V376" s="268"/>
      <c r="W376" s="268"/>
      <c r="X376" s="268"/>
      <c r="Y376" s="268"/>
      <c r="Z376" s="268"/>
    </row>
    <row r="377" customHeight="1" spans="1:26">
      <c r="A377" s="268"/>
      <c r="B377" s="268"/>
      <c r="C377" s="268"/>
      <c r="D377" s="268"/>
      <c r="E377" s="268"/>
      <c r="F377" s="268"/>
      <c r="G377" s="268"/>
      <c r="H377" s="268"/>
      <c r="I377" s="268"/>
      <c r="J377" s="268"/>
      <c r="K377" s="268"/>
      <c r="L377" s="268"/>
      <c r="M377" s="268"/>
      <c r="N377" s="268"/>
      <c r="O377" s="268"/>
      <c r="P377" s="268"/>
      <c r="Q377" s="268"/>
      <c r="R377" s="268"/>
      <c r="S377" s="268"/>
      <c r="T377" s="268"/>
      <c r="U377" s="268"/>
      <c r="V377" s="268"/>
      <c r="W377" s="268"/>
      <c r="X377" s="268"/>
      <c r="Y377" s="268"/>
      <c r="Z377" s="268"/>
    </row>
    <row r="378" customHeight="1" spans="1:26">
      <c r="A378" s="268"/>
      <c r="B378" s="268"/>
      <c r="C378" s="268"/>
      <c r="D378" s="268"/>
      <c r="E378" s="268"/>
      <c r="F378" s="268"/>
      <c r="G378" s="268"/>
      <c r="H378" s="268"/>
      <c r="I378" s="268"/>
      <c r="J378" s="268"/>
      <c r="K378" s="268"/>
      <c r="L378" s="268"/>
      <c r="M378" s="268"/>
      <c r="N378" s="268"/>
      <c r="O378" s="268"/>
      <c r="P378" s="268"/>
      <c r="Q378" s="268"/>
      <c r="R378" s="268"/>
      <c r="S378" s="268"/>
      <c r="T378" s="268"/>
      <c r="U378" s="268"/>
      <c r="V378" s="268"/>
      <c r="W378" s="268"/>
      <c r="X378" s="268"/>
      <c r="Y378" s="268"/>
      <c r="Z378" s="268"/>
    </row>
    <row r="379" customHeight="1" spans="1:26">
      <c r="A379" s="268"/>
      <c r="B379" s="268"/>
      <c r="C379" s="268"/>
      <c r="D379" s="268"/>
      <c r="E379" s="268"/>
      <c r="F379" s="268"/>
      <c r="G379" s="268"/>
      <c r="H379" s="268"/>
      <c r="I379" s="268"/>
      <c r="J379" s="268"/>
      <c r="K379" s="268"/>
      <c r="L379" s="268"/>
      <c r="M379" s="268"/>
      <c r="N379" s="268"/>
      <c r="O379" s="268"/>
      <c r="P379" s="268"/>
      <c r="Q379" s="268"/>
      <c r="R379" s="268"/>
      <c r="S379" s="268"/>
      <c r="T379" s="268"/>
      <c r="U379" s="268"/>
      <c r="V379" s="268"/>
      <c r="W379" s="268"/>
      <c r="X379" s="268"/>
      <c r="Y379" s="268"/>
      <c r="Z379" s="268"/>
    </row>
    <row r="380" customHeight="1" spans="1:26">
      <c r="A380" s="268"/>
      <c r="B380" s="268"/>
      <c r="C380" s="268"/>
      <c r="D380" s="268"/>
      <c r="E380" s="268"/>
      <c r="F380" s="268"/>
      <c r="G380" s="268"/>
      <c r="H380" s="268"/>
      <c r="I380" s="268"/>
      <c r="J380" s="268"/>
      <c r="K380" s="268"/>
      <c r="L380" s="268"/>
      <c r="M380" s="268"/>
      <c r="N380" s="268"/>
      <c r="O380" s="268"/>
      <c r="P380" s="268"/>
      <c r="Q380" s="268"/>
      <c r="R380" s="268"/>
      <c r="S380" s="268"/>
      <c r="T380" s="268"/>
      <c r="U380" s="268"/>
      <c r="V380" s="268"/>
      <c r="W380" s="268"/>
      <c r="X380" s="268"/>
      <c r="Y380" s="268"/>
      <c r="Z380" s="268"/>
    </row>
    <row r="381" customHeight="1" spans="1:26">
      <c r="A381" s="268"/>
      <c r="B381" s="268"/>
      <c r="C381" s="268"/>
      <c r="D381" s="268"/>
      <c r="E381" s="268"/>
      <c r="F381" s="268"/>
      <c r="G381" s="268"/>
      <c r="H381" s="268"/>
      <c r="I381" s="268"/>
      <c r="J381" s="268"/>
      <c r="K381" s="268"/>
      <c r="L381" s="268"/>
      <c r="M381" s="268"/>
      <c r="N381" s="268"/>
      <c r="O381" s="268"/>
      <c r="P381" s="268"/>
      <c r="Q381" s="268"/>
      <c r="R381" s="268"/>
      <c r="S381" s="268"/>
      <c r="T381" s="268"/>
      <c r="U381" s="268"/>
      <c r="V381" s="268"/>
      <c r="W381" s="268"/>
      <c r="X381" s="268"/>
      <c r="Y381" s="268"/>
      <c r="Z381" s="268"/>
    </row>
    <row r="382" customHeight="1" spans="1:26">
      <c r="A382" s="268"/>
      <c r="B382" s="268"/>
      <c r="C382" s="268"/>
      <c r="D382" s="268"/>
      <c r="E382" s="268"/>
      <c r="F382" s="268"/>
      <c r="G382" s="268"/>
      <c r="H382" s="268"/>
      <c r="I382" s="268"/>
      <c r="J382" s="268"/>
      <c r="K382" s="268"/>
      <c r="L382" s="268"/>
      <c r="M382" s="268"/>
      <c r="N382" s="268"/>
      <c r="O382" s="268"/>
      <c r="P382" s="268"/>
      <c r="Q382" s="268"/>
      <c r="R382" s="268"/>
      <c r="S382" s="268"/>
      <c r="T382" s="268"/>
      <c r="U382" s="268"/>
      <c r="V382" s="268"/>
      <c r="W382" s="268"/>
      <c r="X382" s="268"/>
      <c r="Y382" s="268"/>
      <c r="Z382" s="268"/>
    </row>
    <row r="383" customHeight="1" spans="1:26">
      <c r="A383" s="268"/>
      <c r="B383" s="268"/>
      <c r="C383" s="268"/>
      <c r="D383" s="268"/>
      <c r="E383" s="268"/>
      <c r="F383" s="268"/>
      <c r="G383" s="268"/>
      <c r="H383" s="268"/>
      <c r="I383" s="268"/>
      <c r="J383" s="268"/>
      <c r="K383" s="268"/>
      <c r="L383" s="268"/>
      <c r="M383" s="268"/>
      <c r="N383" s="268"/>
      <c r="O383" s="268"/>
      <c r="P383" s="268"/>
      <c r="Q383" s="268"/>
      <c r="R383" s="268"/>
      <c r="S383" s="268"/>
      <c r="T383" s="268"/>
      <c r="U383" s="268"/>
      <c r="V383" s="268"/>
      <c r="W383" s="268"/>
      <c r="X383" s="268"/>
      <c r="Y383" s="268"/>
      <c r="Z383" s="268"/>
    </row>
    <row r="384" customHeight="1" spans="1:26">
      <c r="A384" s="268"/>
      <c r="B384" s="268"/>
      <c r="C384" s="268"/>
      <c r="D384" s="268"/>
      <c r="E384" s="268"/>
      <c r="F384" s="268"/>
      <c r="G384" s="268"/>
      <c r="H384" s="268"/>
      <c r="I384" s="268"/>
      <c r="J384" s="268"/>
      <c r="K384" s="268"/>
      <c r="L384" s="268"/>
      <c r="M384" s="268"/>
      <c r="N384" s="268"/>
      <c r="O384" s="268"/>
      <c r="P384" s="268"/>
      <c r="Q384" s="268"/>
      <c r="R384" s="268"/>
      <c r="S384" s="268"/>
      <c r="T384" s="268"/>
      <c r="U384" s="268"/>
      <c r="V384" s="268"/>
      <c r="W384" s="268"/>
      <c r="X384" s="268"/>
      <c r="Y384" s="268"/>
      <c r="Z384" s="268"/>
    </row>
    <row r="385" customHeight="1" spans="1:26">
      <c r="A385" s="268"/>
      <c r="B385" s="268"/>
      <c r="C385" s="268"/>
      <c r="D385" s="268"/>
      <c r="E385" s="268"/>
      <c r="F385" s="268"/>
      <c r="G385" s="268"/>
      <c r="H385" s="268"/>
      <c r="I385" s="268"/>
      <c r="J385" s="268"/>
      <c r="K385" s="268"/>
      <c r="L385" s="268"/>
      <c r="M385" s="268"/>
      <c r="N385" s="268"/>
      <c r="O385" s="268"/>
      <c r="P385" s="268"/>
      <c r="Q385" s="268"/>
      <c r="R385" s="268"/>
      <c r="S385" s="268"/>
      <c r="T385" s="268"/>
      <c r="U385" s="268"/>
      <c r="V385" s="268"/>
      <c r="W385" s="268"/>
      <c r="X385" s="268"/>
      <c r="Y385" s="268"/>
      <c r="Z385" s="268"/>
    </row>
    <row r="386" customHeight="1" spans="1:26">
      <c r="A386" s="268"/>
      <c r="B386" s="268"/>
      <c r="C386" s="268"/>
      <c r="D386" s="268"/>
      <c r="E386" s="268"/>
      <c r="F386" s="268"/>
      <c r="G386" s="268"/>
      <c r="H386" s="268"/>
      <c r="I386" s="268"/>
      <c r="J386" s="268"/>
      <c r="K386" s="268"/>
      <c r="L386" s="268"/>
      <c r="M386" s="268"/>
      <c r="N386" s="268"/>
      <c r="O386" s="268"/>
      <c r="P386" s="268"/>
      <c r="Q386" s="268"/>
      <c r="R386" s="268"/>
      <c r="S386" s="268"/>
      <c r="T386" s="268"/>
      <c r="U386" s="268"/>
      <c r="V386" s="268"/>
      <c r="W386" s="268"/>
      <c r="X386" s="268"/>
      <c r="Y386" s="268"/>
      <c r="Z386" s="268"/>
    </row>
    <row r="387" customHeight="1" spans="1:26">
      <c r="A387" s="268"/>
      <c r="B387" s="268"/>
      <c r="C387" s="268"/>
      <c r="D387" s="268"/>
      <c r="E387" s="268"/>
      <c r="F387" s="268"/>
      <c r="G387" s="268"/>
      <c r="H387" s="268"/>
      <c r="I387" s="268"/>
      <c r="J387" s="268"/>
      <c r="K387" s="268"/>
      <c r="L387" s="268"/>
      <c r="M387" s="268"/>
      <c r="N387" s="268"/>
      <c r="O387" s="268"/>
      <c r="P387" s="268"/>
      <c r="Q387" s="268"/>
      <c r="R387" s="268"/>
      <c r="S387" s="268"/>
      <c r="T387" s="268"/>
      <c r="U387" s="268"/>
      <c r="V387" s="268"/>
      <c r="W387" s="268"/>
      <c r="X387" s="268"/>
      <c r="Y387" s="268"/>
      <c r="Z387" s="268"/>
    </row>
    <row r="388" customHeight="1" spans="1:26">
      <c r="A388" s="268"/>
      <c r="B388" s="268"/>
      <c r="C388" s="268"/>
      <c r="D388" s="268"/>
      <c r="E388" s="268"/>
      <c r="F388" s="268"/>
      <c r="G388" s="268"/>
      <c r="H388" s="268"/>
      <c r="I388" s="268"/>
      <c r="J388" s="268"/>
      <c r="K388" s="268"/>
      <c r="L388" s="268"/>
      <c r="M388" s="268"/>
      <c r="N388" s="268"/>
      <c r="O388" s="268"/>
      <c r="P388" s="268"/>
      <c r="Q388" s="268"/>
      <c r="R388" s="268"/>
      <c r="S388" s="268"/>
      <c r="T388" s="268"/>
      <c r="U388" s="268"/>
      <c r="V388" s="268"/>
      <c r="W388" s="268"/>
      <c r="X388" s="268"/>
      <c r="Y388" s="268"/>
      <c r="Z388" s="268"/>
    </row>
    <row r="389" customHeight="1" spans="1:26">
      <c r="A389" s="268"/>
      <c r="B389" s="268"/>
      <c r="C389" s="268"/>
      <c r="D389" s="268"/>
      <c r="E389" s="268"/>
      <c r="F389" s="268"/>
      <c r="G389" s="268"/>
      <c r="H389" s="268"/>
      <c r="I389" s="268"/>
      <c r="J389" s="268"/>
      <c r="K389" s="268"/>
      <c r="L389" s="268"/>
      <c r="M389" s="268"/>
      <c r="N389" s="268"/>
      <c r="O389" s="268"/>
      <c r="P389" s="268"/>
      <c r="Q389" s="268"/>
      <c r="R389" s="268"/>
      <c r="S389" s="268"/>
      <c r="T389" s="268"/>
      <c r="U389" s="268"/>
      <c r="V389" s="268"/>
      <c r="W389" s="268"/>
      <c r="X389" s="268"/>
      <c r="Y389" s="268"/>
      <c r="Z389" s="268"/>
    </row>
    <row r="390" customHeight="1" spans="1:26">
      <c r="A390" s="268"/>
      <c r="B390" s="268"/>
      <c r="C390" s="268"/>
      <c r="D390" s="268"/>
      <c r="E390" s="268"/>
      <c r="F390" s="268"/>
      <c r="G390" s="268"/>
      <c r="H390" s="268"/>
      <c r="I390" s="268"/>
      <c r="J390" s="268"/>
      <c r="K390" s="268"/>
      <c r="L390" s="268"/>
      <c r="M390" s="268"/>
      <c r="N390" s="268"/>
      <c r="O390" s="268"/>
      <c r="P390" s="268"/>
      <c r="Q390" s="268"/>
      <c r="R390" s="268"/>
      <c r="S390" s="268"/>
      <c r="T390" s="268"/>
      <c r="U390" s="268"/>
      <c r="V390" s="268"/>
      <c r="W390" s="268"/>
      <c r="X390" s="268"/>
      <c r="Y390" s="268"/>
      <c r="Z390" s="268"/>
    </row>
    <row r="391" customHeight="1" spans="1:26">
      <c r="A391" s="268"/>
      <c r="B391" s="268"/>
      <c r="C391" s="268"/>
      <c r="D391" s="268"/>
      <c r="E391" s="268"/>
      <c r="F391" s="268"/>
      <c r="G391" s="268"/>
      <c r="H391" s="268"/>
      <c r="I391" s="268"/>
      <c r="J391" s="268"/>
      <c r="K391" s="268"/>
      <c r="L391" s="268"/>
      <c r="M391" s="268"/>
      <c r="N391" s="268"/>
      <c r="O391" s="268"/>
      <c r="P391" s="268"/>
      <c r="Q391" s="268"/>
      <c r="R391" s="268"/>
      <c r="S391" s="268"/>
      <c r="T391" s="268"/>
      <c r="U391" s="268"/>
      <c r="V391" s="268"/>
      <c r="W391" s="268"/>
      <c r="X391" s="268"/>
      <c r="Y391" s="268"/>
      <c r="Z391" s="268"/>
    </row>
    <row r="392" customHeight="1" spans="1:26">
      <c r="A392" s="268"/>
      <c r="B392" s="268"/>
      <c r="C392" s="268"/>
      <c r="D392" s="268"/>
      <c r="E392" s="268"/>
      <c r="F392" s="268"/>
      <c r="G392" s="268"/>
      <c r="H392" s="268"/>
      <c r="I392" s="268"/>
      <c r="J392" s="268"/>
      <c r="K392" s="268"/>
      <c r="L392" s="268"/>
      <c r="M392" s="268"/>
      <c r="N392" s="268"/>
      <c r="O392" s="268"/>
      <c r="P392" s="268"/>
      <c r="Q392" s="268"/>
      <c r="R392" s="268"/>
      <c r="S392" s="268"/>
      <c r="T392" s="268"/>
      <c r="U392" s="268"/>
      <c r="V392" s="268"/>
      <c r="W392" s="268"/>
      <c r="X392" s="268"/>
      <c r="Y392" s="268"/>
      <c r="Z392" s="268"/>
    </row>
    <row r="393" customHeight="1" spans="1:26">
      <c r="A393" s="268"/>
      <c r="B393" s="268"/>
      <c r="C393" s="268"/>
      <c r="D393" s="268"/>
      <c r="E393" s="268"/>
      <c r="F393" s="268"/>
      <c r="G393" s="268"/>
      <c r="H393" s="268"/>
      <c r="I393" s="268"/>
      <c r="J393" s="268"/>
      <c r="K393" s="268"/>
      <c r="L393" s="268"/>
      <c r="M393" s="268"/>
      <c r="N393" s="268"/>
      <c r="O393" s="268"/>
      <c r="P393" s="268"/>
      <c r="Q393" s="268"/>
      <c r="R393" s="268"/>
      <c r="S393" s="268"/>
      <c r="T393" s="268"/>
      <c r="U393" s="268"/>
      <c r="V393" s="268"/>
      <c r="W393" s="268"/>
      <c r="X393" s="268"/>
      <c r="Y393" s="268"/>
      <c r="Z393" s="268"/>
    </row>
    <row r="394" customHeight="1" spans="1:26">
      <c r="A394" s="268"/>
      <c r="B394" s="268"/>
      <c r="C394" s="268"/>
      <c r="D394" s="268"/>
      <c r="E394" s="268"/>
      <c r="F394" s="268"/>
      <c r="G394" s="268"/>
      <c r="H394" s="268"/>
      <c r="I394" s="268"/>
      <c r="J394" s="268"/>
      <c r="K394" s="268"/>
      <c r="L394" s="268"/>
      <c r="M394" s="268"/>
      <c r="N394" s="268"/>
      <c r="O394" s="268"/>
      <c r="P394" s="268"/>
      <c r="Q394" s="268"/>
      <c r="R394" s="268"/>
      <c r="S394" s="268"/>
      <c r="T394" s="268"/>
      <c r="U394" s="268"/>
      <c r="V394" s="268"/>
      <c r="W394" s="268"/>
      <c r="X394" s="268"/>
      <c r="Y394" s="268"/>
      <c r="Z394" s="268"/>
    </row>
    <row r="395" customHeight="1" spans="1:26">
      <c r="A395" s="268"/>
      <c r="B395" s="268"/>
      <c r="C395" s="268"/>
      <c r="D395" s="268"/>
      <c r="E395" s="268"/>
      <c r="F395" s="268"/>
      <c r="G395" s="268"/>
      <c r="H395" s="268"/>
      <c r="I395" s="268"/>
      <c r="J395" s="268"/>
      <c r="K395" s="268"/>
      <c r="L395" s="268"/>
      <c r="M395" s="268"/>
      <c r="N395" s="268"/>
      <c r="O395" s="268"/>
      <c r="P395" s="268"/>
      <c r="Q395" s="268"/>
      <c r="R395" s="268"/>
      <c r="S395" s="268"/>
      <c r="T395" s="268"/>
      <c r="U395" s="268"/>
      <c r="V395" s="268"/>
      <c r="W395" s="268"/>
      <c r="X395" s="268"/>
      <c r="Y395" s="268"/>
      <c r="Z395" s="268"/>
    </row>
    <row r="396" customHeight="1" spans="1:26">
      <c r="A396" s="268"/>
      <c r="B396" s="268"/>
      <c r="C396" s="268"/>
      <c r="D396" s="268"/>
      <c r="E396" s="268"/>
      <c r="F396" s="268"/>
      <c r="G396" s="268"/>
      <c r="H396" s="268"/>
      <c r="I396" s="268"/>
      <c r="J396" s="268"/>
      <c r="K396" s="268"/>
      <c r="L396" s="268"/>
      <c r="M396" s="268"/>
      <c r="N396" s="268"/>
      <c r="O396" s="268"/>
      <c r="P396" s="268"/>
      <c r="Q396" s="268"/>
      <c r="R396" s="268"/>
      <c r="S396" s="268"/>
      <c r="T396" s="268"/>
      <c r="U396" s="268"/>
      <c r="V396" s="268"/>
      <c r="W396" s="268"/>
      <c r="X396" s="268"/>
      <c r="Y396" s="268"/>
      <c r="Z396" s="268"/>
    </row>
    <row r="397" customHeight="1" spans="1:26">
      <c r="A397" s="268"/>
      <c r="B397" s="268"/>
      <c r="C397" s="268"/>
      <c r="D397" s="268"/>
      <c r="E397" s="268"/>
      <c r="F397" s="268"/>
      <c r="G397" s="268"/>
      <c r="H397" s="268"/>
      <c r="I397" s="268"/>
      <c r="J397" s="268"/>
      <c r="K397" s="268"/>
      <c r="L397" s="268"/>
      <c r="M397" s="268"/>
      <c r="N397" s="268"/>
      <c r="O397" s="268"/>
      <c r="P397" s="268"/>
      <c r="Q397" s="268"/>
      <c r="R397" s="268"/>
      <c r="S397" s="268"/>
      <c r="T397" s="268"/>
      <c r="U397" s="268"/>
      <c r="V397" s="268"/>
      <c r="W397" s="268"/>
      <c r="X397" s="268"/>
      <c r="Y397" s="268"/>
      <c r="Z397" s="268"/>
    </row>
    <row r="398" customHeight="1" spans="1:26">
      <c r="A398" s="268"/>
      <c r="B398" s="268"/>
      <c r="C398" s="268"/>
      <c r="D398" s="268"/>
      <c r="E398" s="268"/>
      <c r="F398" s="268"/>
      <c r="G398" s="268"/>
      <c r="H398" s="268"/>
      <c r="I398" s="268"/>
      <c r="J398" s="268"/>
      <c r="K398" s="268"/>
      <c r="L398" s="268"/>
      <c r="M398" s="268"/>
      <c r="N398" s="268"/>
      <c r="O398" s="268"/>
      <c r="P398" s="268"/>
      <c r="Q398" s="268"/>
      <c r="R398" s="268"/>
      <c r="S398" s="268"/>
      <c r="T398" s="268"/>
      <c r="U398" s="268"/>
      <c r="V398" s="268"/>
      <c r="W398" s="268"/>
      <c r="X398" s="268"/>
      <c r="Y398" s="268"/>
      <c r="Z398" s="268"/>
    </row>
    <row r="399" customHeight="1" spans="1:26">
      <c r="A399" s="268"/>
      <c r="B399" s="268"/>
      <c r="C399" s="268"/>
      <c r="D399" s="268"/>
      <c r="E399" s="268"/>
      <c r="F399" s="268"/>
      <c r="G399" s="268"/>
      <c r="H399" s="268"/>
      <c r="I399" s="268"/>
      <c r="J399" s="268"/>
      <c r="K399" s="268"/>
      <c r="L399" s="268"/>
      <c r="M399" s="268"/>
      <c r="N399" s="268"/>
      <c r="O399" s="268"/>
      <c r="P399" s="268"/>
      <c r="Q399" s="268"/>
      <c r="R399" s="268"/>
      <c r="S399" s="268"/>
      <c r="T399" s="268"/>
      <c r="U399" s="268"/>
      <c r="V399" s="268"/>
      <c r="W399" s="268"/>
      <c r="X399" s="268"/>
      <c r="Y399" s="268"/>
      <c r="Z399" s="268"/>
    </row>
    <row r="400" customHeight="1" spans="1:26">
      <c r="A400" s="268"/>
      <c r="B400" s="268"/>
      <c r="C400" s="268"/>
      <c r="D400" s="268"/>
      <c r="E400" s="268"/>
      <c r="F400" s="268"/>
      <c r="G400" s="268"/>
      <c r="H400" s="268"/>
      <c r="I400" s="268"/>
      <c r="J400" s="268"/>
      <c r="K400" s="268"/>
      <c r="L400" s="268"/>
      <c r="M400" s="268"/>
      <c r="N400" s="268"/>
      <c r="O400" s="268"/>
      <c r="P400" s="268"/>
      <c r="Q400" s="268"/>
      <c r="R400" s="268"/>
      <c r="S400" s="268"/>
      <c r="T400" s="268"/>
      <c r="U400" s="268"/>
      <c r="V400" s="268"/>
      <c r="W400" s="268"/>
      <c r="X400" s="268"/>
      <c r="Y400" s="268"/>
      <c r="Z400" s="268"/>
    </row>
    <row r="401" customHeight="1" spans="1:26">
      <c r="A401" s="268"/>
      <c r="B401" s="268"/>
      <c r="C401" s="268"/>
      <c r="D401" s="268"/>
      <c r="E401" s="268"/>
      <c r="F401" s="268"/>
      <c r="G401" s="268"/>
      <c r="H401" s="268"/>
      <c r="I401" s="268"/>
      <c r="J401" s="268"/>
      <c r="K401" s="268"/>
      <c r="L401" s="268"/>
      <c r="M401" s="268"/>
      <c r="N401" s="268"/>
      <c r="O401" s="268"/>
      <c r="P401" s="268"/>
      <c r="Q401" s="268"/>
      <c r="R401" s="268"/>
      <c r="S401" s="268"/>
      <c r="T401" s="268"/>
      <c r="U401" s="268"/>
      <c r="V401" s="268"/>
      <c r="W401" s="268"/>
      <c r="X401" s="268"/>
      <c r="Y401" s="268"/>
      <c r="Z401" s="268"/>
    </row>
    <row r="402" customHeight="1" spans="1:26">
      <c r="A402" s="268"/>
      <c r="B402" s="268"/>
      <c r="C402" s="268"/>
      <c r="D402" s="268"/>
      <c r="E402" s="268"/>
      <c r="F402" s="268"/>
      <c r="G402" s="268"/>
      <c r="H402" s="268"/>
      <c r="I402" s="268"/>
      <c r="J402" s="268"/>
      <c r="K402" s="268"/>
      <c r="L402" s="268"/>
      <c r="M402" s="268"/>
      <c r="N402" s="268"/>
      <c r="O402" s="268"/>
      <c r="P402" s="268"/>
      <c r="Q402" s="268"/>
      <c r="R402" s="268"/>
      <c r="S402" s="268"/>
      <c r="T402" s="268"/>
      <c r="U402" s="268"/>
      <c r="V402" s="268"/>
      <c r="W402" s="268"/>
      <c r="X402" s="268"/>
      <c r="Y402" s="268"/>
      <c r="Z402" s="268"/>
    </row>
    <row r="403" customHeight="1" spans="1:26">
      <c r="A403" s="268"/>
      <c r="B403" s="268"/>
      <c r="C403" s="268"/>
      <c r="D403" s="268"/>
      <c r="E403" s="268"/>
      <c r="F403" s="268"/>
      <c r="G403" s="268"/>
      <c r="H403" s="268"/>
      <c r="I403" s="268"/>
      <c r="J403" s="268"/>
      <c r="K403" s="268"/>
      <c r="L403" s="268"/>
      <c r="M403" s="268"/>
      <c r="N403" s="268"/>
      <c r="O403" s="268"/>
      <c r="P403" s="268"/>
      <c r="Q403" s="268"/>
      <c r="R403" s="268"/>
      <c r="S403" s="268"/>
      <c r="T403" s="268"/>
      <c r="U403" s="268"/>
      <c r="V403" s="268"/>
      <c r="W403" s="268"/>
      <c r="X403" s="268"/>
      <c r="Y403" s="268"/>
      <c r="Z403" s="268"/>
    </row>
    <row r="404" customHeight="1" spans="1:26">
      <c r="A404" s="268"/>
      <c r="B404" s="268"/>
      <c r="C404" s="268"/>
      <c r="D404" s="268"/>
      <c r="E404" s="268"/>
      <c r="F404" s="268"/>
      <c r="G404" s="268"/>
      <c r="H404" s="268"/>
      <c r="I404" s="268"/>
      <c r="J404" s="268"/>
      <c r="K404" s="268"/>
      <c r="L404" s="268"/>
      <c r="M404" s="268"/>
      <c r="N404" s="268"/>
      <c r="O404" s="268"/>
      <c r="P404" s="268"/>
      <c r="Q404" s="268"/>
      <c r="R404" s="268"/>
      <c r="S404" s="268"/>
      <c r="T404" s="268"/>
      <c r="U404" s="268"/>
      <c r="V404" s="268"/>
      <c r="W404" s="268"/>
      <c r="X404" s="268"/>
      <c r="Y404" s="268"/>
      <c r="Z404" s="268"/>
    </row>
    <row r="405" customHeight="1" spans="1:26">
      <c r="A405" s="268"/>
      <c r="B405" s="268"/>
      <c r="C405" s="268"/>
      <c r="D405" s="268"/>
      <c r="E405" s="268"/>
      <c r="F405" s="268"/>
      <c r="G405" s="268"/>
      <c r="H405" s="268"/>
      <c r="I405" s="268"/>
      <c r="J405" s="268"/>
      <c r="K405" s="268"/>
      <c r="L405" s="268"/>
      <c r="M405" s="268"/>
      <c r="N405" s="268"/>
      <c r="O405" s="268"/>
      <c r="P405" s="268"/>
      <c r="Q405" s="268"/>
      <c r="R405" s="268"/>
      <c r="S405" s="268"/>
      <c r="T405" s="268"/>
      <c r="U405" s="268"/>
      <c r="V405" s="268"/>
      <c r="W405" s="268"/>
      <c r="X405" s="268"/>
      <c r="Y405" s="268"/>
      <c r="Z405" s="268"/>
    </row>
    <row r="406" customHeight="1" spans="1:26">
      <c r="A406" s="268"/>
      <c r="B406" s="268"/>
      <c r="C406" s="268"/>
      <c r="D406" s="268"/>
      <c r="E406" s="268"/>
      <c r="F406" s="268"/>
      <c r="G406" s="268"/>
      <c r="H406" s="268"/>
      <c r="I406" s="268"/>
      <c r="J406" s="268"/>
      <c r="K406" s="268"/>
      <c r="L406" s="268"/>
      <c r="M406" s="268"/>
      <c r="N406" s="268"/>
      <c r="O406" s="268"/>
      <c r="P406" s="268"/>
      <c r="Q406" s="268"/>
      <c r="R406" s="268"/>
      <c r="S406" s="268"/>
      <c r="T406" s="268"/>
      <c r="U406" s="268"/>
      <c r="V406" s="268"/>
      <c r="W406" s="268"/>
      <c r="X406" s="268"/>
      <c r="Y406" s="268"/>
      <c r="Z406" s="268"/>
    </row>
    <row r="407" customHeight="1" spans="1:26">
      <c r="A407" s="268"/>
      <c r="B407" s="268"/>
      <c r="C407" s="268"/>
      <c r="D407" s="268"/>
      <c r="E407" s="268"/>
      <c r="F407" s="268"/>
      <c r="G407" s="268"/>
      <c r="H407" s="268"/>
      <c r="I407" s="268"/>
      <c r="J407" s="268"/>
      <c r="K407" s="268"/>
      <c r="L407" s="268"/>
      <c r="M407" s="268"/>
      <c r="N407" s="268"/>
      <c r="O407" s="268"/>
      <c r="P407" s="268"/>
      <c r="Q407" s="268"/>
      <c r="R407" s="268"/>
      <c r="S407" s="268"/>
      <c r="T407" s="268"/>
      <c r="U407" s="268"/>
      <c r="V407" s="268"/>
      <c r="W407" s="268"/>
      <c r="X407" s="268"/>
      <c r="Y407" s="268"/>
      <c r="Z407" s="268"/>
    </row>
    <row r="408" customHeight="1" spans="1:26">
      <c r="A408" s="268"/>
      <c r="B408" s="268"/>
      <c r="C408" s="268"/>
      <c r="D408" s="268"/>
      <c r="E408" s="268"/>
      <c r="F408" s="268"/>
      <c r="G408" s="268"/>
      <c r="H408" s="268"/>
      <c r="I408" s="268"/>
      <c r="J408" s="268"/>
      <c r="K408" s="268"/>
      <c r="L408" s="268"/>
      <c r="M408" s="268"/>
      <c r="N408" s="268"/>
      <c r="O408" s="268"/>
      <c r="P408" s="268"/>
      <c r="Q408" s="268"/>
      <c r="R408" s="268"/>
      <c r="S408" s="268"/>
      <c r="T408" s="268"/>
      <c r="U408" s="268"/>
      <c r="V408" s="268"/>
      <c r="W408" s="268"/>
      <c r="X408" s="268"/>
      <c r="Y408" s="268"/>
      <c r="Z408" s="268"/>
    </row>
    <row r="409" customHeight="1" spans="1:26">
      <c r="A409" s="268"/>
      <c r="B409" s="268"/>
      <c r="C409" s="268"/>
      <c r="D409" s="268"/>
      <c r="E409" s="268"/>
      <c r="F409" s="268"/>
      <c r="G409" s="268"/>
      <c r="H409" s="268"/>
      <c r="I409" s="268"/>
      <c r="J409" s="268"/>
      <c r="K409" s="268"/>
      <c r="L409" s="268"/>
      <c r="M409" s="268"/>
      <c r="N409" s="268"/>
      <c r="O409" s="268"/>
      <c r="P409" s="268"/>
      <c r="Q409" s="268"/>
      <c r="R409" s="268"/>
      <c r="S409" s="268"/>
      <c r="T409" s="268"/>
      <c r="U409" s="268"/>
      <c r="V409" s="268"/>
      <c r="W409" s="268"/>
      <c r="X409" s="268"/>
      <c r="Y409" s="268"/>
      <c r="Z409" s="268"/>
    </row>
    <row r="410" customHeight="1" spans="1:26">
      <c r="A410" s="268"/>
      <c r="B410" s="268"/>
      <c r="C410" s="268"/>
      <c r="D410" s="268"/>
      <c r="E410" s="268"/>
      <c r="F410" s="268"/>
      <c r="G410" s="268"/>
      <c r="H410" s="268"/>
      <c r="I410" s="268"/>
      <c r="J410" s="268"/>
      <c r="K410" s="268"/>
      <c r="L410" s="268"/>
      <c r="M410" s="268"/>
      <c r="N410" s="268"/>
      <c r="O410" s="268"/>
      <c r="P410" s="268"/>
      <c r="Q410" s="268"/>
      <c r="R410" s="268"/>
      <c r="S410" s="268"/>
      <c r="T410" s="268"/>
      <c r="U410" s="268"/>
      <c r="V410" s="268"/>
      <c r="W410" s="268"/>
      <c r="X410" s="268"/>
      <c r="Y410" s="268"/>
      <c r="Z410" s="268"/>
    </row>
    <row r="411" customHeight="1" spans="1:26">
      <c r="A411" s="268"/>
      <c r="B411" s="268"/>
      <c r="C411" s="268"/>
      <c r="D411" s="268"/>
      <c r="E411" s="268"/>
      <c r="F411" s="268"/>
      <c r="G411" s="268"/>
      <c r="H411" s="268"/>
      <c r="I411" s="268"/>
      <c r="J411" s="268"/>
      <c r="K411" s="268"/>
      <c r="L411" s="268"/>
      <c r="M411" s="268"/>
      <c r="N411" s="268"/>
      <c r="O411" s="268"/>
      <c r="P411" s="268"/>
      <c r="Q411" s="268"/>
      <c r="R411" s="268"/>
      <c r="S411" s="268"/>
      <c r="T411" s="268"/>
      <c r="U411" s="268"/>
      <c r="V411" s="268"/>
      <c r="W411" s="268"/>
      <c r="X411" s="268"/>
      <c r="Y411" s="268"/>
      <c r="Z411" s="268"/>
    </row>
    <row r="412" customHeight="1" spans="1:26">
      <c r="A412" s="268"/>
      <c r="B412" s="268"/>
      <c r="C412" s="268"/>
      <c r="D412" s="268"/>
      <c r="E412" s="268"/>
      <c r="F412" s="268"/>
      <c r="G412" s="268"/>
      <c r="H412" s="268"/>
      <c r="I412" s="268"/>
      <c r="J412" s="268"/>
      <c r="K412" s="268"/>
      <c r="L412" s="268"/>
      <c r="M412" s="268"/>
      <c r="N412" s="268"/>
      <c r="O412" s="268"/>
      <c r="P412" s="268"/>
      <c r="Q412" s="268"/>
      <c r="R412" s="268"/>
      <c r="S412" s="268"/>
      <c r="T412" s="268"/>
      <c r="U412" s="268"/>
      <c r="V412" s="268"/>
      <c r="W412" s="268"/>
      <c r="X412" s="268"/>
      <c r="Y412" s="268"/>
      <c r="Z412" s="268"/>
    </row>
    <row r="413" customHeight="1" spans="1:26">
      <c r="A413" s="268"/>
      <c r="B413" s="268"/>
      <c r="C413" s="268"/>
      <c r="D413" s="268"/>
      <c r="E413" s="268"/>
      <c r="F413" s="268"/>
      <c r="G413" s="268"/>
      <c r="H413" s="268"/>
      <c r="I413" s="268"/>
      <c r="J413" s="268"/>
      <c r="K413" s="268"/>
      <c r="L413" s="268"/>
      <c r="M413" s="268"/>
      <c r="N413" s="268"/>
      <c r="O413" s="268"/>
      <c r="P413" s="268"/>
      <c r="Q413" s="268"/>
      <c r="R413" s="268"/>
      <c r="S413" s="268"/>
      <c r="T413" s="268"/>
      <c r="U413" s="268"/>
      <c r="V413" s="268"/>
      <c r="W413" s="268"/>
      <c r="X413" s="268"/>
      <c r="Y413" s="268"/>
      <c r="Z413" s="268"/>
    </row>
    <row r="414" customHeight="1" spans="1:26">
      <c r="A414" s="268"/>
      <c r="B414" s="268"/>
      <c r="C414" s="268"/>
      <c r="D414" s="268"/>
      <c r="E414" s="268"/>
      <c r="F414" s="268"/>
      <c r="G414" s="268"/>
      <c r="H414" s="268"/>
      <c r="I414" s="268"/>
      <c r="J414" s="268"/>
      <c r="K414" s="268"/>
      <c r="L414" s="268"/>
      <c r="M414" s="268"/>
      <c r="N414" s="268"/>
      <c r="O414" s="268"/>
      <c r="P414" s="268"/>
      <c r="Q414" s="268"/>
      <c r="R414" s="268"/>
      <c r="S414" s="268"/>
      <c r="T414" s="268"/>
      <c r="U414" s="268"/>
      <c r="V414" s="268"/>
      <c r="W414" s="268"/>
      <c r="X414" s="268"/>
      <c r="Y414" s="268"/>
      <c r="Z414" s="268"/>
    </row>
    <row r="415" customHeight="1" spans="1:26">
      <c r="A415" s="268"/>
      <c r="B415" s="268"/>
      <c r="C415" s="268"/>
      <c r="D415" s="268"/>
      <c r="E415" s="268"/>
      <c r="F415" s="268"/>
      <c r="G415" s="268"/>
      <c r="H415" s="268"/>
      <c r="I415" s="268"/>
      <c r="J415" s="268"/>
      <c r="K415" s="268"/>
      <c r="L415" s="268"/>
      <c r="M415" s="268"/>
      <c r="N415" s="268"/>
      <c r="O415" s="268"/>
      <c r="P415" s="268"/>
      <c r="Q415" s="268"/>
      <c r="R415" s="268"/>
      <c r="S415" s="268"/>
      <c r="T415" s="268"/>
      <c r="U415" s="268"/>
      <c r="V415" s="268"/>
      <c r="W415" s="268"/>
      <c r="X415" s="268"/>
      <c r="Y415" s="268"/>
      <c r="Z415" s="268"/>
    </row>
    <row r="416" customHeight="1" spans="1:26">
      <c r="A416" s="268"/>
      <c r="B416" s="268"/>
      <c r="C416" s="268"/>
      <c r="D416" s="268"/>
      <c r="E416" s="268"/>
      <c r="F416" s="268"/>
      <c r="G416" s="268"/>
      <c r="H416" s="268"/>
      <c r="I416" s="268"/>
      <c r="J416" s="268"/>
      <c r="K416" s="268"/>
      <c r="L416" s="268"/>
      <c r="M416" s="268"/>
      <c r="N416" s="268"/>
      <c r="O416" s="268"/>
      <c r="P416" s="268"/>
      <c r="Q416" s="268"/>
      <c r="R416" s="268"/>
      <c r="S416" s="268"/>
      <c r="T416" s="268"/>
      <c r="U416" s="268"/>
      <c r="V416" s="268"/>
      <c r="W416" s="268"/>
      <c r="X416" s="268"/>
      <c r="Y416" s="268"/>
      <c r="Z416" s="268"/>
    </row>
    <row r="417" customHeight="1" spans="1:26">
      <c r="A417" s="268"/>
      <c r="B417" s="268"/>
      <c r="C417" s="268"/>
      <c r="D417" s="268"/>
      <c r="E417" s="268"/>
      <c r="F417" s="268"/>
      <c r="G417" s="268"/>
      <c r="H417" s="268"/>
      <c r="I417" s="268"/>
      <c r="J417" s="268"/>
      <c r="K417" s="268"/>
      <c r="L417" s="268"/>
      <c r="M417" s="268"/>
      <c r="N417" s="268"/>
      <c r="O417" s="268"/>
      <c r="P417" s="268"/>
      <c r="Q417" s="268"/>
      <c r="R417" s="268"/>
      <c r="S417" s="268"/>
      <c r="T417" s="268"/>
      <c r="U417" s="268"/>
      <c r="V417" s="268"/>
      <c r="W417" s="268"/>
      <c r="X417" s="268"/>
      <c r="Y417" s="268"/>
      <c r="Z417" s="268"/>
    </row>
    <row r="418" customHeight="1" spans="1:26">
      <c r="A418" s="268"/>
      <c r="B418" s="268"/>
      <c r="C418" s="268"/>
      <c r="D418" s="268"/>
      <c r="E418" s="268"/>
      <c r="F418" s="268"/>
      <c r="G418" s="268"/>
      <c r="H418" s="268"/>
      <c r="I418" s="268"/>
      <c r="J418" s="268"/>
      <c r="K418" s="268"/>
      <c r="L418" s="268"/>
      <c r="M418" s="268"/>
      <c r="N418" s="268"/>
      <c r="O418" s="268"/>
      <c r="P418" s="268"/>
      <c r="Q418" s="268"/>
      <c r="R418" s="268"/>
      <c r="S418" s="268"/>
      <c r="T418" s="268"/>
      <c r="U418" s="268"/>
      <c r="V418" s="268"/>
      <c r="W418" s="268"/>
      <c r="X418" s="268"/>
      <c r="Y418" s="268"/>
      <c r="Z418" s="268"/>
    </row>
    <row r="419" customHeight="1" spans="1:26">
      <c r="A419" s="268"/>
      <c r="B419" s="268"/>
      <c r="C419" s="268"/>
      <c r="D419" s="268"/>
      <c r="E419" s="268"/>
      <c r="F419" s="268"/>
      <c r="G419" s="268"/>
      <c r="H419" s="268"/>
      <c r="I419" s="268"/>
      <c r="J419" s="268"/>
      <c r="K419" s="268"/>
      <c r="L419" s="268"/>
      <c r="M419" s="268"/>
      <c r="N419" s="268"/>
      <c r="O419" s="268"/>
      <c r="P419" s="268"/>
      <c r="Q419" s="268"/>
      <c r="R419" s="268"/>
      <c r="S419" s="268"/>
      <c r="T419" s="268"/>
      <c r="U419" s="268"/>
      <c r="V419" s="268"/>
      <c r="W419" s="268"/>
      <c r="X419" s="268"/>
      <c r="Y419" s="268"/>
      <c r="Z419" s="268"/>
    </row>
    <row r="420" customHeight="1" spans="1:26">
      <c r="A420" s="268"/>
      <c r="B420" s="268"/>
      <c r="C420" s="268"/>
      <c r="D420" s="268"/>
      <c r="E420" s="268"/>
      <c r="F420" s="268"/>
      <c r="G420" s="268"/>
      <c r="H420" s="268"/>
      <c r="I420" s="268"/>
      <c r="J420" s="268"/>
      <c r="K420" s="268"/>
      <c r="L420" s="268"/>
      <c r="M420" s="268"/>
      <c r="N420" s="268"/>
      <c r="O420" s="268"/>
      <c r="P420" s="268"/>
      <c r="Q420" s="268"/>
      <c r="R420" s="268"/>
      <c r="S420" s="268"/>
      <c r="T420" s="268"/>
      <c r="U420" s="268"/>
      <c r="V420" s="268"/>
      <c r="W420" s="268"/>
      <c r="X420" s="268"/>
      <c r="Y420" s="268"/>
      <c r="Z420" s="268"/>
    </row>
    <row r="421" customHeight="1" spans="1:26">
      <c r="A421" s="268"/>
      <c r="B421" s="268"/>
      <c r="C421" s="268"/>
      <c r="D421" s="268"/>
      <c r="E421" s="268"/>
      <c r="F421" s="268"/>
      <c r="G421" s="268"/>
      <c r="H421" s="268"/>
      <c r="I421" s="268"/>
      <c r="J421" s="268"/>
      <c r="K421" s="268"/>
      <c r="L421" s="268"/>
      <c r="M421" s="268"/>
      <c r="N421" s="268"/>
      <c r="O421" s="268"/>
      <c r="P421" s="268"/>
      <c r="Q421" s="268"/>
      <c r="R421" s="268"/>
      <c r="S421" s="268"/>
      <c r="T421" s="268"/>
      <c r="U421" s="268"/>
      <c r="V421" s="268"/>
      <c r="W421" s="268"/>
      <c r="X421" s="268"/>
      <c r="Y421" s="268"/>
      <c r="Z421" s="268"/>
    </row>
    <row r="422" customHeight="1" spans="1:26">
      <c r="A422" s="268"/>
      <c r="B422" s="268"/>
      <c r="C422" s="268"/>
      <c r="D422" s="268"/>
      <c r="E422" s="268"/>
      <c r="F422" s="268"/>
      <c r="G422" s="268"/>
      <c r="H422" s="268"/>
      <c r="I422" s="268"/>
      <c r="J422" s="268"/>
      <c r="K422" s="268"/>
      <c r="L422" s="268"/>
      <c r="M422" s="268"/>
      <c r="N422" s="268"/>
      <c r="O422" s="268"/>
      <c r="P422" s="268"/>
      <c r="Q422" s="268"/>
      <c r="R422" s="268"/>
      <c r="S422" s="268"/>
      <c r="T422" s="268"/>
      <c r="U422" s="268"/>
      <c r="V422" s="268"/>
      <c r="W422" s="268"/>
      <c r="X422" s="268"/>
      <c r="Y422" s="268"/>
      <c r="Z422" s="268"/>
    </row>
    <row r="423" customHeight="1" spans="1:26">
      <c r="A423" s="268"/>
      <c r="B423" s="268"/>
      <c r="C423" s="268"/>
      <c r="D423" s="268"/>
      <c r="E423" s="268"/>
      <c r="F423" s="268"/>
      <c r="G423" s="268"/>
      <c r="H423" s="268"/>
      <c r="I423" s="268"/>
      <c r="J423" s="268"/>
      <c r="K423" s="268"/>
      <c r="L423" s="268"/>
      <c r="M423" s="268"/>
      <c r="N423" s="268"/>
      <c r="O423" s="268"/>
      <c r="P423" s="268"/>
      <c r="Q423" s="268"/>
      <c r="R423" s="268"/>
      <c r="S423" s="268"/>
      <c r="T423" s="268"/>
      <c r="U423" s="268"/>
      <c r="V423" s="268"/>
      <c r="W423" s="268"/>
      <c r="X423" s="268"/>
      <c r="Y423" s="268"/>
      <c r="Z423" s="268"/>
    </row>
    <row r="424" customHeight="1" spans="1:26">
      <c r="A424" s="268"/>
      <c r="B424" s="268"/>
      <c r="C424" s="268"/>
      <c r="D424" s="268"/>
      <c r="E424" s="268"/>
      <c r="F424" s="268"/>
      <c r="G424" s="268"/>
      <c r="H424" s="268"/>
      <c r="I424" s="268"/>
      <c r="J424" s="268"/>
      <c r="K424" s="268"/>
      <c r="L424" s="268"/>
      <c r="M424" s="268"/>
      <c r="N424" s="268"/>
      <c r="O424" s="268"/>
      <c r="P424" s="268"/>
      <c r="Q424" s="268"/>
      <c r="R424" s="268"/>
      <c r="S424" s="268"/>
      <c r="T424" s="268"/>
      <c r="U424" s="268"/>
      <c r="V424" s="268"/>
      <c r="W424" s="268"/>
      <c r="X424" s="268"/>
      <c r="Y424" s="268"/>
      <c r="Z424" s="268"/>
    </row>
    <row r="425" customHeight="1" spans="1:26">
      <c r="A425" s="268"/>
      <c r="B425" s="268"/>
      <c r="C425" s="268"/>
      <c r="D425" s="268"/>
      <c r="E425" s="268"/>
      <c r="F425" s="268"/>
      <c r="G425" s="268"/>
      <c r="H425" s="268"/>
      <c r="I425" s="268"/>
      <c r="J425" s="268"/>
      <c r="K425" s="268"/>
      <c r="L425" s="268"/>
      <c r="M425" s="268"/>
      <c r="N425" s="268"/>
      <c r="O425" s="268"/>
      <c r="P425" s="268"/>
      <c r="Q425" s="268"/>
      <c r="R425" s="268"/>
      <c r="S425" s="268"/>
      <c r="T425" s="268"/>
      <c r="U425" s="268"/>
      <c r="V425" s="268"/>
      <c r="W425" s="268"/>
      <c r="X425" s="268"/>
      <c r="Y425" s="268"/>
      <c r="Z425" s="268"/>
    </row>
    <row r="426" customHeight="1" spans="1:26">
      <c r="A426" s="268"/>
      <c r="B426" s="268"/>
      <c r="C426" s="268"/>
      <c r="D426" s="268"/>
      <c r="E426" s="268"/>
      <c r="F426" s="268"/>
      <c r="G426" s="268"/>
      <c r="H426" s="268"/>
      <c r="I426" s="268"/>
      <c r="J426" s="268"/>
      <c r="K426" s="268"/>
      <c r="L426" s="268"/>
      <c r="M426" s="268"/>
      <c r="N426" s="268"/>
      <c r="O426" s="268"/>
      <c r="P426" s="268"/>
      <c r="Q426" s="268"/>
      <c r="R426" s="268"/>
      <c r="S426" s="268"/>
      <c r="T426" s="268"/>
      <c r="U426" s="268"/>
      <c r="V426" s="268"/>
      <c r="W426" s="268"/>
      <c r="X426" s="268"/>
      <c r="Y426" s="268"/>
      <c r="Z426" s="268"/>
    </row>
    <row r="427" customHeight="1" spans="1:26">
      <c r="A427" s="268"/>
      <c r="B427" s="268"/>
      <c r="C427" s="268"/>
      <c r="D427" s="268"/>
      <c r="E427" s="268"/>
      <c r="F427" s="268"/>
      <c r="G427" s="268"/>
      <c r="H427" s="268"/>
      <c r="I427" s="268"/>
      <c r="J427" s="268"/>
      <c r="K427" s="268"/>
      <c r="L427" s="268"/>
      <c r="M427" s="268"/>
      <c r="N427" s="268"/>
      <c r="O427" s="268"/>
      <c r="P427" s="268"/>
      <c r="Q427" s="268"/>
      <c r="R427" s="268"/>
      <c r="S427" s="268"/>
      <c r="T427" s="268"/>
      <c r="U427" s="268"/>
      <c r="V427" s="268"/>
      <c r="W427" s="268"/>
      <c r="X427" s="268"/>
      <c r="Y427" s="268"/>
      <c r="Z427" s="268"/>
    </row>
    <row r="428" customHeight="1" spans="1:26">
      <c r="A428" s="268"/>
      <c r="B428" s="268"/>
      <c r="C428" s="268"/>
      <c r="D428" s="268"/>
      <c r="E428" s="268"/>
      <c r="F428" s="268"/>
      <c r="G428" s="268"/>
      <c r="H428" s="268"/>
      <c r="I428" s="268"/>
      <c r="J428" s="268"/>
      <c r="K428" s="268"/>
      <c r="L428" s="268"/>
      <c r="M428" s="268"/>
      <c r="N428" s="268"/>
      <c r="O428" s="268"/>
      <c r="P428" s="268"/>
      <c r="Q428" s="268"/>
      <c r="R428" s="268"/>
      <c r="S428" s="268"/>
      <c r="T428" s="268"/>
      <c r="U428" s="268"/>
      <c r="V428" s="268"/>
      <c r="W428" s="268"/>
      <c r="X428" s="268"/>
      <c r="Y428" s="268"/>
      <c r="Z428" s="268"/>
    </row>
    <row r="429" customHeight="1" spans="1:26">
      <c r="A429" s="268"/>
      <c r="B429" s="268"/>
      <c r="C429" s="268"/>
      <c r="D429" s="268"/>
      <c r="E429" s="268"/>
      <c r="F429" s="268"/>
      <c r="G429" s="268"/>
      <c r="H429" s="268"/>
      <c r="I429" s="268"/>
      <c r="J429" s="268"/>
      <c r="K429" s="268"/>
      <c r="L429" s="268"/>
      <c r="M429" s="268"/>
      <c r="N429" s="268"/>
      <c r="O429" s="268"/>
      <c r="P429" s="268"/>
      <c r="Q429" s="268"/>
      <c r="R429" s="268"/>
      <c r="S429" s="268"/>
      <c r="T429" s="268"/>
      <c r="U429" s="268"/>
      <c r="V429" s="268"/>
      <c r="W429" s="268"/>
      <c r="X429" s="268"/>
      <c r="Y429" s="268"/>
      <c r="Z429" s="268"/>
    </row>
    <row r="430" customHeight="1" spans="1:26">
      <c r="A430" s="268"/>
      <c r="B430" s="268"/>
      <c r="C430" s="268"/>
      <c r="D430" s="268"/>
      <c r="E430" s="268"/>
      <c r="F430" s="268"/>
      <c r="G430" s="268"/>
      <c r="H430" s="268"/>
      <c r="I430" s="268"/>
      <c r="J430" s="268"/>
      <c r="K430" s="268"/>
      <c r="L430" s="268"/>
      <c r="M430" s="268"/>
      <c r="N430" s="268"/>
      <c r="O430" s="268"/>
      <c r="P430" s="268"/>
      <c r="Q430" s="268"/>
      <c r="R430" s="268"/>
      <c r="S430" s="268"/>
      <c r="T430" s="268"/>
      <c r="U430" s="268"/>
      <c r="V430" s="268"/>
      <c r="W430" s="268"/>
      <c r="X430" s="268"/>
      <c r="Y430" s="268"/>
      <c r="Z430" s="268"/>
    </row>
    <row r="431" customHeight="1" spans="1:26">
      <c r="A431" s="268"/>
      <c r="B431" s="268"/>
      <c r="C431" s="268"/>
      <c r="D431" s="268"/>
      <c r="E431" s="268"/>
      <c r="F431" s="268"/>
      <c r="G431" s="268"/>
      <c r="H431" s="268"/>
      <c r="I431" s="268"/>
      <c r="J431" s="268"/>
      <c r="K431" s="268"/>
      <c r="L431" s="268"/>
      <c r="M431" s="268"/>
      <c r="N431" s="268"/>
      <c r="O431" s="268"/>
      <c r="P431" s="268"/>
      <c r="Q431" s="268"/>
      <c r="R431" s="268"/>
      <c r="S431" s="268"/>
      <c r="T431" s="268"/>
      <c r="U431" s="268"/>
      <c r="V431" s="268"/>
      <c r="W431" s="268"/>
      <c r="X431" s="268"/>
      <c r="Y431" s="268"/>
      <c r="Z431" s="268"/>
    </row>
    <row r="432" customHeight="1" spans="1:26">
      <c r="A432" s="268"/>
      <c r="B432" s="268"/>
      <c r="C432" s="268"/>
      <c r="D432" s="268"/>
      <c r="E432" s="268"/>
      <c r="F432" s="268"/>
      <c r="G432" s="268"/>
      <c r="H432" s="268"/>
      <c r="I432" s="268"/>
      <c r="J432" s="268"/>
      <c r="K432" s="268"/>
      <c r="L432" s="268"/>
      <c r="M432" s="268"/>
      <c r="N432" s="268"/>
      <c r="O432" s="268"/>
      <c r="P432" s="268"/>
      <c r="Q432" s="268"/>
      <c r="R432" s="268"/>
      <c r="S432" s="268"/>
      <c r="T432" s="268"/>
      <c r="U432" s="268"/>
      <c r="V432" s="268"/>
      <c r="W432" s="268"/>
      <c r="X432" s="268"/>
      <c r="Y432" s="268"/>
      <c r="Z432" s="268"/>
    </row>
    <row r="433" customHeight="1" spans="1:26">
      <c r="A433" s="268"/>
      <c r="B433" s="268"/>
      <c r="C433" s="268"/>
      <c r="D433" s="268"/>
      <c r="E433" s="268"/>
      <c r="F433" s="268"/>
      <c r="G433" s="268"/>
      <c r="H433" s="268"/>
      <c r="I433" s="268"/>
      <c r="J433" s="268"/>
      <c r="K433" s="268"/>
      <c r="L433" s="268"/>
      <c r="M433" s="268"/>
      <c r="N433" s="268"/>
      <c r="O433" s="268"/>
      <c r="P433" s="268"/>
      <c r="Q433" s="268"/>
      <c r="R433" s="268"/>
      <c r="S433" s="268"/>
      <c r="T433" s="268"/>
      <c r="U433" s="268"/>
      <c r="V433" s="268"/>
      <c r="W433" s="268"/>
      <c r="X433" s="268"/>
      <c r="Y433" s="268"/>
      <c r="Z433" s="268"/>
    </row>
    <row r="434" customHeight="1" spans="1:26">
      <c r="A434" s="268"/>
      <c r="B434" s="268"/>
      <c r="C434" s="268"/>
      <c r="D434" s="268"/>
      <c r="E434" s="268"/>
      <c r="F434" s="268"/>
      <c r="G434" s="268"/>
      <c r="H434" s="268"/>
      <c r="I434" s="268"/>
      <c r="J434" s="268"/>
      <c r="K434" s="268"/>
      <c r="L434" s="268"/>
      <c r="M434" s="268"/>
      <c r="N434" s="268"/>
      <c r="O434" s="268"/>
      <c r="P434" s="268"/>
      <c r="Q434" s="268"/>
      <c r="R434" s="268"/>
      <c r="S434" s="268"/>
      <c r="T434" s="268"/>
      <c r="U434" s="268"/>
      <c r="V434" s="268"/>
      <c r="W434" s="268"/>
      <c r="X434" s="268"/>
      <c r="Y434" s="268"/>
      <c r="Z434" s="268"/>
    </row>
    <row r="435" customHeight="1" spans="1:26">
      <c r="A435" s="268"/>
      <c r="B435" s="268"/>
      <c r="C435" s="268"/>
      <c r="D435" s="268"/>
      <c r="E435" s="268"/>
      <c r="F435" s="268"/>
      <c r="G435" s="268"/>
      <c r="H435" s="268"/>
      <c r="I435" s="268"/>
      <c r="J435" s="268"/>
      <c r="K435" s="268"/>
      <c r="L435" s="268"/>
      <c r="M435" s="268"/>
      <c r="N435" s="268"/>
      <c r="O435" s="268"/>
      <c r="P435" s="268"/>
      <c r="Q435" s="268"/>
      <c r="R435" s="268"/>
      <c r="S435" s="268"/>
      <c r="T435" s="268"/>
      <c r="U435" s="268"/>
      <c r="V435" s="268"/>
      <c r="W435" s="268"/>
      <c r="X435" s="268"/>
      <c r="Y435" s="268"/>
      <c r="Z435" s="268"/>
    </row>
    <row r="436" customHeight="1" spans="1:26">
      <c r="A436" s="268"/>
      <c r="B436" s="268"/>
      <c r="C436" s="268"/>
      <c r="D436" s="268"/>
      <c r="E436" s="268"/>
      <c r="F436" s="268"/>
      <c r="G436" s="268"/>
      <c r="H436" s="268"/>
      <c r="I436" s="268"/>
      <c r="J436" s="268"/>
      <c r="K436" s="268"/>
      <c r="L436" s="268"/>
      <c r="M436" s="268"/>
      <c r="N436" s="268"/>
      <c r="O436" s="268"/>
      <c r="P436" s="268"/>
      <c r="Q436" s="268"/>
      <c r="R436" s="268"/>
      <c r="S436" s="268"/>
      <c r="T436" s="268"/>
      <c r="U436" s="268"/>
      <c r="V436" s="268"/>
      <c r="W436" s="268"/>
      <c r="X436" s="268"/>
      <c r="Y436" s="268"/>
      <c r="Z436" s="268"/>
    </row>
    <row r="437" customHeight="1" spans="1:26">
      <c r="A437" s="268"/>
      <c r="B437" s="268"/>
      <c r="C437" s="268"/>
      <c r="D437" s="268"/>
      <c r="E437" s="268"/>
      <c r="F437" s="268"/>
      <c r="G437" s="268"/>
      <c r="H437" s="268"/>
      <c r="I437" s="268"/>
      <c r="J437" s="268"/>
      <c r="K437" s="268"/>
      <c r="L437" s="268"/>
      <c r="M437" s="268"/>
      <c r="N437" s="268"/>
      <c r="O437" s="268"/>
      <c r="P437" s="268"/>
      <c r="Q437" s="268"/>
      <c r="R437" s="268"/>
      <c r="S437" s="268"/>
      <c r="T437" s="268"/>
      <c r="U437" s="268"/>
      <c r="V437" s="268"/>
      <c r="W437" s="268"/>
      <c r="X437" s="268"/>
      <c r="Y437" s="268"/>
      <c r="Z437" s="268"/>
    </row>
    <row r="438" customHeight="1" spans="1:26">
      <c r="A438" s="268"/>
      <c r="B438" s="268"/>
      <c r="C438" s="268"/>
      <c r="D438" s="268"/>
      <c r="E438" s="268"/>
      <c r="F438" s="268"/>
      <c r="G438" s="268"/>
      <c r="H438" s="268"/>
      <c r="I438" s="268"/>
      <c r="J438" s="268"/>
      <c r="K438" s="268"/>
      <c r="L438" s="268"/>
      <c r="M438" s="268"/>
      <c r="N438" s="268"/>
      <c r="O438" s="268"/>
      <c r="P438" s="268"/>
      <c r="Q438" s="268"/>
      <c r="R438" s="268"/>
      <c r="S438" s="268"/>
      <c r="T438" s="268"/>
      <c r="U438" s="268"/>
      <c r="V438" s="268"/>
      <c r="W438" s="268"/>
      <c r="X438" s="268"/>
      <c r="Y438" s="268"/>
      <c r="Z438" s="268"/>
    </row>
    <row r="439" customHeight="1" spans="1:26">
      <c r="A439" s="268"/>
      <c r="B439" s="268"/>
      <c r="C439" s="268"/>
      <c r="D439" s="268"/>
      <c r="E439" s="268"/>
      <c r="F439" s="268"/>
      <c r="G439" s="268"/>
      <c r="H439" s="268"/>
      <c r="I439" s="268"/>
      <c r="J439" s="268"/>
      <c r="K439" s="268"/>
      <c r="L439" s="268"/>
      <c r="M439" s="268"/>
      <c r="N439" s="268"/>
      <c r="O439" s="268"/>
      <c r="P439" s="268"/>
      <c r="Q439" s="268"/>
      <c r="R439" s="268"/>
      <c r="S439" s="268"/>
      <c r="T439" s="268"/>
      <c r="U439" s="268"/>
      <c r="V439" s="268"/>
      <c r="W439" s="268"/>
      <c r="X439" s="268"/>
      <c r="Y439" s="268"/>
      <c r="Z439" s="268"/>
    </row>
    <row r="440" customHeight="1" spans="1:26">
      <c r="A440" s="268"/>
      <c r="B440" s="268"/>
      <c r="C440" s="268"/>
      <c r="D440" s="268"/>
      <c r="E440" s="268"/>
      <c r="F440" s="268"/>
      <c r="G440" s="268"/>
      <c r="H440" s="268"/>
      <c r="I440" s="268"/>
      <c r="J440" s="268"/>
      <c r="K440" s="268"/>
      <c r="L440" s="268"/>
      <c r="M440" s="268"/>
      <c r="N440" s="268"/>
      <c r="O440" s="268"/>
      <c r="P440" s="268"/>
      <c r="Q440" s="268"/>
      <c r="R440" s="268"/>
      <c r="S440" s="268"/>
      <c r="T440" s="268"/>
      <c r="U440" s="268"/>
      <c r="V440" s="268"/>
      <c r="W440" s="268"/>
      <c r="X440" s="268"/>
      <c r="Y440" s="268"/>
      <c r="Z440" s="268"/>
    </row>
    <row r="441" customHeight="1" spans="1:26">
      <c r="A441" s="268"/>
      <c r="B441" s="268"/>
      <c r="C441" s="268"/>
      <c r="D441" s="268"/>
      <c r="E441" s="268"/>
      <c r="F441" s="268"/>
      <c r="G441" s="268"/>
      <c r="H441" s="268"/>
      <c r="I441" s="268"/>
      <c r="J441" s="268"/>
      <c r="K441" s="268"/>
      <c r="L441" s="268"/>
      <c r="M441" s="268"/>
      <c r="N441" s="268"/>
      <c r="O441" s="268"/>
      <c r="P441" s="268"/>
      <c r="Q441" s="268"/>
      <c r="R441" s="268"/>
      <c r="S441" s="268"/>
      <c r="T441" s="268"/>
      <c r="U441" s="268"/>
      <c r="V441" s="268"/>
      <c r="W441" s="268"/>
      <c r="X441" s="268"/>
      <c r="Y441" s="268"/>
      <c r="Z441" s="268"/>
    </row>
    <row r="442" customHeight="1" spans="1:26">
      <c r="A442" s="268"/>
      <c r="B442" s="268"/>
      <c r="C442" s="268"/>
      <c r="D442" s="268"/>
      <c r="E442" s="268"/>
      <c r="F442" s="268"/>
      <c r="G442" s="268"/>
      <c r="H442" s="268"/>
      <c r="I442" s="268"/>
      <c r="J442" s="268"/>
      <c r="K442" s="268"/>
      <c r="L442" s="268"/>
      <c r="M442" s="268"/>
      <c r="N442" s="268"/>
      <c r="O442" s="268"/>
      <c r="P442" s="268"/>
      <c r="Q442" s="268"/>
      <c r="R442" s="268"/>
      <c r="S442" s="268"/>
      <c r="T442" s="268"/>
      <c r="U442" s="268"/>
      <c r="V442" s="268"/>
      <c r="W442" s="268"/>
      <c r="X442" s="268"/>
      <c r="Y442" s="268"/>
      <c r="Z442" s="268"/>
    </row>
    <row r="443" customHeight="1" spans="1:26">
      <c r="A443" s="268"/>
      <c r="B443" s="268"/>
      <c r="C443" s="268"/>
      <c r="D443" s="268"/>
      <c r="E443" s="268"/>
      <c r="F443" s="268"/>
      <c r="G443" s="268"/>
      <c r="H443" s="268"/>
      <c r="I443" s="268"/>
      <c r="J443" s="268"/>
      <c r="K443" s="268"/>
      <c r="L443" s="268"/>
      <c r="M443" s="268"/>
      <c r="N443" s="268"/>
      <c r="O443" s="268"/>
      <c r="P443" s="268"/>
      <c r="Q443" s="268"/>
      <c r="R443" s="268"/>
      <c r="S443" s="268"/>
      <c r="T443" s="268"/>
      <c r="U443" s="268"/>
      <c r="V443" s="268"/>
      <c r="W443" s="268"/>
      <c r="X443" s="268"/>
      <c r="Y443" s="268"/>
      <c r="Z443" s="268"/>
    </row>
    <row r="444" customHeight="1" spans="1:26">
      <c r="A444" s="268"/>
      <c r="B444" s="268"/>
      <c r="C444" s="268"/>
      <c r="D444" s="268"/>
      <c r="E444" s="268"/>
      <c r="F444" s="268"/>
      <c r="G444" s="268"/>
      <c r="H444" s="268"/>
      <c r="I444" s="268"/>
      <c r="J444" s="268"/>
      <c r="K444" s="268"/>
      <c r="L444" s="268"/>
      <c r="M444" s="268"/>
      <c r="N444" s="268"/>
      <c r="O444" s="268"/>
      <c r="P444" s="268"/>
      <c r="Q444" s="268"/>
      <c r="R444" s="268"/>
      <c r="S444" s="268"/>
      <c r="T444" s="268"/>
      <c r="U444" s="268"/>
      <c r="V444" s="268"/>
      <c r="W444" s="268"/>
      <c r="X444" s="268"/>
      <c r="Y444" s="268"/>
      <c r="Z444" s="268"/>
    </row>
    <row r="445" customHeight="1" spans="1:26">
      <c r="A445" s="268"/>
      <c r="B445" s="268"/>
      <c r="C445" s="268"/>
      <c r="D445" s="268"/>
      <c r="E445" s="268"/>
      <c r="F445" s="268"/>
      <c r="G445" s="268"/>
      <c r="H445" s="268"/>
      <c r="I445" s="268"/>
      <c r="J445" s="268"/>
      <c r="K445" s="268"/>
      <c r="L445" s="268"/>
      <c r="M445" s="268"/>
      <c r="N445" s="268"/>
      <c r="O445" s="268"/>
      <c r="P445" s="268"/>
      <c r="Q445" s="268"/>
      <c r="R445" s="268"/>
      <c r="S445" s="268"/>
      <c r="T445" s="268"/>
      <c r="U445" s="268"/>
      <c r="V445" s="268"/>
      <c r="W445" s="268"/>
      <c r="X445" s="268"/>
      <c r="Y445" s="268"/>
      <c r="Z445" s="268"/>
    </row>
    <row r="446" customHeight="1" spans="1:26">
      <c r="A446" s="268"/>
      <c r="B446" s="268"/>
      <c r="C446" s="268"/>
      <c r="D446" s="268"/>
      <c r="E446" s="268"/>
      <c r="F446" s="268"/>
      <c r="G446" s="268"/>
      <c r="H446" s="268"/>
      <c r="I446" s="268"/>
      <c r="J446" s="268"/>
      <c r="K446" s="268"/>
      <c r="L446" s="268"/>
      <c r="M446" s="268"/>
      <c r="N446" s="268"/>
      <c r="O446" s="268"/>
      <c r="P446" s="268"/>
      <c r="Q446" s="268"/>
      <c r="R446" s="268"/>
      <c r="S446" s="268"/>
      <c r="T446" s="268"/>
      <c r="U446" s="268"/>
      <c r="V446" s="268"/>
      <c r="W446" s="268"/>
      <c r="X446" s="268"/>
      <c r="Y446" s="268"/>
      <c r="Z446" s="268"/>
    </row>
    <row r="447" customHeight="1" spans="1:26">
      <c r="A447" s="268"/>
      <c r="B447" s="268"/>
      <c r="C447" s="268"/>
      <c r="D447" s="268"/>
      <c r="E447" s="268"/>
      <c r="F447" s="268"/>
      <c r="G447" s="268"/>
      <c r="H447" s="268"/>
      <c r="I447" s="268"/>
      <c r="J447" s="268"/>
      <c r="K447" s="268"/>
      <c r="L447" s="268"/>
      <c r="M447" s="268"/>
      <c r="N447" s="268"/>
      <c r="O447" s="268"/>
      <c r="P447" s="268"/>
      <c r="Q447" s="268"/>
      <c r="R447" s="268"/>
      <c r="S447" s="268"/>
      <c r="T447" s="268"/>
      <c r="U447" s="268"/>
      <c r="V447" s="268"/>
      <c r="W447" s="268"/>
      <c r="X447" s="268"/>
      <c r="Y447" s="268"/>
      <c r="Z447" s="268"/>
    </row>
    <row r="448" customHeight="1" spans="1:26">
      <c r="A448" s="268"/>
      <c r="B448" s="268"/>
      <c r="C448" s="268"/>
      <c r="D448" s="268"/>
      <c r="E448" s="268"/>
      <c r="F448" s="268"/>
      <c r="G448" s="268"/>
      <c r="H448" s="268"/>
      <c r="I448" s="268"/>
      <c r="J448" s="268"/>
      <c r="K448" s="268"/>
      <c r="L448" s="268"/>
      <c r="M448" s="268"/>
      <c r="N448" s="268"/>
      <c r="O448" s="268"/>
      <c r="P448" s="268"/>
      <c r="Q448" s="268"/>
      <c r="R448" s="268"/>
      <c r="S448" s="268"/>
      <c r="T448" s="268"/>
      <c r="U448" s="268"/>
      <c r="V448" s="268"/>
      <c r="W448" s="268"/>
      <c r="X448" s="268"/>
      <c r="Y448" s="268"/>
      <c r="Z448" s="268"/>
    </row>
    <row r="449" customHeight="1" spans="1:26">
      <c r="A449" s="268"/>
      <c r="B449" s="268"/>
      <c r="C449" s="268"/>
      <c r="D449" s="268"/>
      <c r="E449" s="268"/>
      <c r="F449" s="268"/>
      <c r="G449" s="268"/>
      <c r="H449" s="268"/>
      <c r="I449" s="268"/>
      <c r="J449" s="268"/>
      <c r="K449" s="268"/>
      <c r="L449" s="268"/>
      <c r="M449" s="268"/>
      <c r="N449" s="268"/>
      <c r="O449" s="268"/>
      <c r="P449" s="268"/>
      <c r="Q449" s="268"/>
      <c r="R449" s="268"/>
      <c r="S449" s="268"/>
      <c r="T449" s="268"/>
      <c r="U449" s="268"/>
      <c r="V449" s="268"/>
      <c r="W449" s="268"/>
      <c r="X449" s="268"/>
      <c r="Y449" s="268"/>
      <c r="Z449" s="268"/>
    </row>
    <row r="450" customHeight="1" spans="1:26">
      <c r="A450" s="268"/>
      <c r="B450" s="268"/>
      <c r="C450" s="268"/>
      <c r="D450" s="268"/>
      <c r="E450" s="268"/>
      <c r="F450" s="268"/>
      <c r="G450" s="268"/>
      <c r="H450" s="268"/>
      <c r="I450" s="268"/>
      <c r="J450" s="268"/>
      <c r="K450" s="268"/>
      <c r="L450" s="268"/>
      <c r="M450" s="268"/>
      <c r="N450" s="268"/>
      <c r="O450" s="268"/>
      <c r="P450" s="268"/>
      <c r="Q450" s="268"/>
      <c r="R450" s="268"/>
      <c r="S450" s="268"/>
      <c r="T450" s="268"/>
      <c r="U450" s="268"/>
      <c r="V450" s="268"/>
      <c r="W450" s="268"/>
      <c r="X450" s="268"/>
      <c r="Y450" s="268"/>
      <c r="Z450" s="268"/>
    </row>
    <row r="451" customHeight="1" spans="1:26">
      <c r="A451" s="268"/>
      <c r="B451" s="268"/>
      <c r="C451" s="268"/>
      <c r="D451" s="268"/>
      <c r="E451" s="268"/>
      <c r="F451" s="268"/>
      <c r="G451" s="268"/>
      <c r="H451" s="268"/>
      <c r="I451" s="268"/>
      <c r="J451" s="268"/>
      <c r="K451" s="268"/>
      <c r="L451" s="268"/>
      <c r="M451" s="268"/>
      <c r="N451" s="268"/>
      <c r="O451" s="268"/>
      <c r="P451" s="268"/>
      <c r="Q451" s="268"/>
      <c r="R451" s="268"/>
      <c r="S451" s="268"/>
      <c r="T451" s="268"/>
      <c r="U451" s="268"/>
      <c r="V451" s="268"/>
      <c r="W451" s="268"/>
      <c r="X451" s="268"/>
      <c r="Y451" s="268"/>
      <c r="Z451" s="268"/>
    </row>
    <row r="452" customHeight="1" spans="1:26">
      <c r="A452" s="268"/>
      <c r="B452" s="268"/>
      <c r="C452" s="268"/>
      <c r="D452" s="268"/>
      <c r="E452" s="268"/>
      <c r="F452" s="268"/>
      <c r="G452" s="268"/>
      <c r="H452" s="268"/>
      <c r="I452" s="268"/>
      <c r="J452" s="268"/>
      <c r="K452" s="268"/>
      <c r="L452" s="268"/>
      <c r="M452" s="268"/>
      <c r="N452" s="268"/>
      <c r="O452" s="268"/>
      <c r="P452" s="268"/>
      <c r="Q452" s="268"/>
      <c r="R452" s="268"/>
      <c r="S452" s="268"/>
      <c r="T452" s="268"/>
      <c r="U452" s="268"/>
      <c r="V452" s="268"/>
      <c r="W452" s="268"/>
      <c r="X452" s="268"/>
      <c r="Y452" s="268"/>
      <c r="Z452" s="268"/>
    </row>
    <row r="453" customHeight="1" spans="1:26">
      <c r="A453" s="268"/>
      <c r="B453" s="268"/>
      <c r="C453" s="268"/>
      <c r="D453" s="268"/>
      <c r="E453" s="268"/>
      <c r="F453" s="268"/>
      <c r="G453" s="268"/>
      <c r="H453" s="268"/>
      <c r="I453" s="268"/>
      <c r="J453" s="268"/>
      <c r="K453" s="268"/>
      <c r="L453" s="268"/>
      <c r="M453" s="268"/>
      <c r="N453" s="268"/>
      <c r="O453" s="268"/>
      <c r="P453" s="268"/>
      <c r="Q453" s="268"/>
      <c r="R453" s="268"/>
      <c r="S453" s="268"/>
      <c r="T453" s="268"/>
      <c r="U453" s="268"/>
      <c r="V453" s="268"/>
      <c r="W453" s="268"/>
      <c r="X453" s="268"/>
      <c r="Y453" s="268"/>
      <c r="Z453" s="268"/>
    </row>
    <row r="454" customHeight="1" spans="1:26">
      <c r="A454" s="268"/>
      <c r="B454" s="268"/>
      <c r="C454" s="268"/>
      <c r="D454" s="268"/>
      <c r="E454" s="268"/>
      <c r="F454" s="268"/>
      <c r="G454" s="268"/>
      <c r="H454" s="268"/>
      <c r="I454" s="268"/>
      <c r="J454" s="268"/>
      <c r="K454" s="268"/>
      <c r="L454" s="268"/>
      <c r="M454" s="268"/>
      <c r="N454" s="268"/>
      <c r="O454" s="268"/>
      <c r="P454" s="268"/>
      <c r="Q454" s="268"/>
      <c r="R454" s="268"/>
      <c r="S454" s="268"/>
      <c r="T454" s="268"/>
      <c r="U454" s="268"/>
      <c r="V454" s="268"/>
      <c r="W454" s="268"/>
      <c r="X454" s="268"/>
      <c r="Y454" s="268"/>
      <c r="Z454" s="268"/>
    </row>
    <row r="455" customHeight="1" spans="1:26">
      <c r="A455" s="268"/>
      <c r="B455" s="268"/>
      <c r="C455" s="268"/>
      <c r="D455" s="268"/>
      <c r="E455" s="268"/>
      <c r="F455" s="268"/>
      <c r="G455" s="268"/>
      <c r="H455" s="268"/>
      <c r="I455" s="268"/>
      <c r="J455" s="268"/>
      <c r="K455" s="268"/>
      <c r="L455" s="268"/>
      <c r="M455" s="268"/>
      <c r="N455" s="268"/>
      <c r="O455" s="268"/>
      <c r="P455" s="268"/>
      <c r="Q455" s="268"/>
      <c r="R455" s="268"/>
      <c r="S455" s="268"/>
      <c r="T455" s="268"/>
      <c r="U455" s="268"/>
      <c r="V455" s="268"/>
      <c r="W455" s="268"/>
      <c r="X455" s="268"/>
      <c r="Y455" s="268"/>
      <c r="Z455" s="268"/>
    </row>
    <row r="456" customHeight="1" spans="1:26">
      <c r="A456" s="268"/>
      <c r="B456" s="268"/>
      <c r="C456" s="268"/>
      <c r="D456" s="268"/>
      <c r="E456" s="268"/>
      <c r="F456" s="268"/>
      <c r="G456" s="268"/>
      <c r="H456" s="268"/>
      <c r="I456" s="268"/>
      <c r="J456" s="268"/>
      <c r="K456" s="268"/>
      <c r="L456" s="268"/>
      <c r="M456" s="268"/>
      <c r="N456" s="268"/>
      <c r="O456" s="268"/>
      <c r="P456" s="268"/>
      <c r="Q456" s="268"/>
      <c r="R456" s="268"/>
      <c r="S456" s="268"/>
      <c r="T456" s="268"/>
      <c r="U456" s="268"/>
      <c r="V456" s="268"/>
      <c r="W456" s="268"/>
      <c r="X456" s="268"/>
      <c r="Y456" s="268"/>
      <c r="Z456" s="268"/>
    </row>
    <row r="457" customHeight="1" spans="1:26">
      <c r="A457" s="268"/>
      <c r="B457" s="268"/>
      <c r="C457" s="268"/>
      <c r="D457" s="268"/>
      <c r="E457" s="268"/>
      <c r="F457" s="268"/>
      <c r="G457" s="268"/>
      <c r="H457" s="268"/>
      <c r="I457" s="268"/>
      <c r="J457" s="268"/>
      <c r="K457" s="268"/>
      <c r="L457" s="268"/>
      <c r="M457" s="268"/>
      <c r="N457" s="268"/>
      <c r="O457" s="268"/>
      <c r="P457" s="268"/>
      <c r="Q457" s="268"/>
      <c r="R457" s="268"/>
      <c r="S457" s="268"/>
      <c r="T457" s="268"/>
      <c r="U457" s="268"/>
      <c r="V457" s="268"/>
      <c r="W457" s="268"/>
      <c r="X457" s="268"/>
      <c r="Y457" s="268"/>
      <c r="Z457" s="268"/>
    </row>
    <row r="458" customHeight="1" spans="1:26">
      <c r="A458" s="268"/>
      <c r="B458" s="268"/>
      <c r="C458" s="268"/>
      <c r="D458" s="268"/>
      <c r="E458" s="268"/>
      <c r="F458" s="268"/>
      <c r="G458" s="268"/>
      <c r="H458" s="268"/>
      <c r="I458" s="268"/>
      <c r="J458" s="268"/>
      <c r="K458" s="268"/>
      <c r="L458" s="268"/>
      <c r="M458" s="268"/>
      <c r="N458" s="268"/>
      <c r="O458" s="268"/>
      <c r="P458" s="268"/>
      <c r="Q458" s="268"/>
      <c r="R458" s="268"/>
      <c r="S458" s="268"/>
      <c r="T458" s="268"/>
      <c r="U458" s="268"/>
      <c r="V458" s="268"/>
      <c r="W458" s="268"/>
      <c r="X458" s="268"/>
      <c r="Y458" s="268"/>
      <c r="Z458" s="268"/>
    </row>
    <row r="459" customHeight="1" spans="1:26">
      <c r="A459" s="268"/>
      <c r="B459" s="268"/>
      <c r="C459" s="268"/>
      <c r="D459" s="268"/>
      <c r="E459" s="268"/>
      <c r="F459" s="268"/>
      <c r="G459" s="268"/>
      <c r="H459" s="268"/>
      <c r="I459" s="268"/>
      <c r="J459" s="268"/>
      <c r="K459" s="268"/>
      <c r="L459" s="268"/>
      <c r="M459" s="268"/>
      <c r="N459" s="268"/>
      <c r="O459" s="268"/>
      <c r="P459" s="268"/>
      <c r="Q459" s="268"/>
      <c r="R459" s="268"/>
      <c r="S459" s="268"/>
      <c r="T459" s="268"/>
      <c r="U459" s="268"/>
      <c r="V459" s="268"/>
      <c r="W459" s="268"/>
      <c r="X459" s="268"/>
      <c r="Y459" s="268"/>
      <c r="Z459" s="268"/>
    </row>
    <row r="460" customHeight="1" spans="1:26">
      <c r="A460" s="268"/>
      <c r="B460" s="268"/>
      <c r="C460" s="268"/>
      <c r="D460" s="268"/>
      <c r="E460" s="268"/>
      <c r="F460" s="268"/>
      <c r="G460" s="268"/>
      <c r="H460" s="268"/>
      <c r="I460" s="268"/>
      <c r="J460" s="268"/>
      <c r="K460" s="268"/>
      <c r="L460" s="268"/>
      <c r="M460" s="268"/>
      <c r="N460" s="268"/>
      <c r="O460" s="268"/>
      <c r="P460" s="268"/>
      <c r="Q460" s="268"/>
      <c r="R460" s="268"/>
      <c r="S460" s="268"/>
      <c r="T460" s="268"/>
      <c r="U460" s="268"/>
      <c r="V460" s="268"/>
      <c r="W460" s="268"/>
      <c r="X460" s="268"/>
      <c r="Y460" s="268"/>
      <c r="Z460" s="268"/>
    </row>
    <row r="461" customHeight="1" spans="1:26">
      <c r="A461" s="268"/>
      <c r="B461" s="268"/>
      <c r="C461" s="268"/>
      <c r="D461" s="268"/>
      <c r="E461" s="268"/>
      <c r="F461" s="268"/>
      <c r="G461" s="268"/>
      <c r="H461" s="268"/>
      <c r="I461" s="268"/>
      <c r="J461" s="268"/>
      <c r="K461" s="268"/>
      <c r="L461" s="268"/>
      <c r="M461" s="268"/>
      <c r="N461" s="268"/>
      <c r="O461" s="268"/>
      <c r="P461" s="268"/>
      <c r="Q461" s="268"/>
      <c r="R461" s="268"/>
      <c r="S461" s="268"/>
      <c r="T461" s="268"/>
      <c r="U461" s="268"/>
      <c r="V461" s="268"/>
      <c r="W461" s="268"/>
      <c r="X461" s="268"/>
      <c r="Y461" s="268"/>
      <c r="Z461" s="268"/>
    </row>
    <row r="462" customHeight="1" spans="1:26">
      <c r="A462" s="268"/>
      <c r="B462" s="268"/>
      <c r="C462" s="268"/>
      <c r="D462" s="268"/>
      <c r="E462" s="268"/>
      <c r="F462" s="268"/>
      <c r="G462" s="268"/>
      <c r="H462" s="268"/>
      <c r="I462" s="268"/>
      <c r="J462" s="268"/>
      <c r="K462" s="268"/>
      <c r="L462" s="268"/>
      <c r="M462" s="268"/>
      <c r="N462" s="268"/>
      <c r="O462" s="268"/>
      <c r="P462" s="268"/>
      <c r="Q462" s="268"/>
      <c r="R462" s="268"/>
      <c r="S462" s="268"/>
      <c r="T462" s="268"/>
      <c r="U462" s="268"/>
      <c r="V462" s="268"/>
      <c r="W462" s="268"/>
      <c r="X462" s="268"/>
      <c r="Y462" s="268"/>
      <c r="Z462" s="268"/>
    </row>
    <row r="463" customHeight="1" spans="1:26">
      <c r="A463" s="268"/>
      <c r="B463" s="268"/>
      <c r="C463" s="268"/>
      <c r="D463" s="268"/>
      <c r="E463" s="268"/>
      <c r="F463" s="268"/>
      <c r="G463" s="268"/>
      <c r="H463" s="268"/>
      <c r="I463" s="268"/>
      <c r="J463" s="268"/>
      <c r="K463" s="268"/>
      <c r="L463" s="268"/>
      <c r="M463" s="268"/>
      <c r="N463" s="268"/>
      <c r="O463" s="268"/>
      <c r="P463" s="268"/>
      <c r="Q463" s="268"/>
      <c r="R463" s="268"/>
      <c r="S463" s="268"/>
      <c r="T463" s="268"/>
      <c r="U463" s="268"/>
      <c r="V463" s="268"/>
      <c r="W463" s="268"/>
      <c r="X463" s="268"/>
      <c r="Y463" s="268"/>
      <c r="Z463" s="268"/>
    </row>
    <row r="464" customHeight="1" spans="1:26">
      <c r="A464" s="268"/>
      <c r="B464" s="268"/>
      <c r="C464" s="268"/>
      <c r="D464" s="268"/>
      <c r="E464" s="268"/>
      <c r="F464" s="268"/>
      <c r="G464" s="268"/>
      <c r="H464" s="268"/>
      <c r="I464" s="268"/>
      <c r="J464" s="268"/>
      <c r="K464" s="268"/>
      <c r="L464" s="268"/>
      <c r="M464" s="268"/>
      <c r="N464" s="268"/>
      <c r="O464" s="268"/>
      <c r="P464" s="268"/>
      <c r="Q464" s="268"/>
      <c r="R464" s="268"/>
      <c r="S464" s="268"/>
      <c r="T464" s="268"/>
      <c r="U464" s="268"/>
      <c r="V464" s="268"/>
      <c r="W464" s="268"/>
      <c r="X464" s="268"/>
      <c r="Y464" s="268"/>
      <c r="Z464" s="268"/>
    </row>
    <row r="465" customHeight="1" spans="1:26">
      <c r="A465" s="268"/>
      <c r="B465" s="268"/>
      <c r="C465" s="268"/>
      <c r="D465" s="268"/>
      <c r="E465" s="268"/>
      <c r="F465" s="268"/>
      <c r="G465" s="268"/>
      <c r="H465" s="268"/>
      <c r="I465" s="268"/>
      <c r="J465" s="268"/>
      <c r="K465" s="268"/>
      <c r="L465" s="268"/>
      <c r="M465" s="268"/>
      <c r="N465" s="268"/>
      <c r="O465" s="268"/>
      <c r="P465" s="268"/>
      <c r="Q465" s="268"/>
      <c r="R465" s="268"/>
      <c r="S465" s="268"/>
      <c r="T465" s="268"/>
      <c r="U465" s="268"/>
      <c r="V465" s="268"/>
      <c r="W465" s="268"/>
      <c r="X465" s="268"/>
      <c r="Y465" s="268"/>
      <c r="Z465" s="268"/>
    </row>
    <row r="466" customHeight="1" spans="1:26">
      <c r="A466" s="268"/>
      <c r="B466" s="268"/>
      <c r="C466" s="268"/>
      <c r="D466" s="268"/>
      <c r="E466" s="268"/>
      <c r="F466" s="268"/>
      <c r="G466" s="268"/>
      <c r="H466" s="268"/>
      <c r="I466" s="268"/>
      <c r="J466" s="268"/>
      <c r="K466" s="268"/>
      <c r="L466" s="268"/>
      <c r="M466" s="268"/>
      <c r="N466" s="268"/>
      <c r="O466" s="268"/>
      <c r="P466" s="268"/>
      <c r="Q466" s="268"/>
      <c r="R466" s="268"/>
      <c r="S466" s="268"/>
      <c r="T466" s="268"/>
      <c r="U466" s="268"/>
      <c r="V466" s="268"/>
      <c r="W466" s="268"/>
      <c r="X466" s="268"/>
      <c r="Y466" s="268"/>
      <c r="Z466" s="268"/>
    </row>
    <row r="467" customHeight="1" spans="1:26">
      <c r="A467" s="268"/>
      <c r="B467" s="268"/>
      <c r="C467" s="268"/>
      <c r="D467" s="268"/>
      <c r="E467" s="268"/>
      <c r="F467" s="268"/>
      <c r="G467" s="268"/>
      <c r="H467" s="268"/>
      <c r="I467" s="268"/>
      <c r="J467" s="268"/>
      <c r="K467" s="268"/>
      <c r="L467" s="268"/>
      <c r="M467" s="268"/>
      <c r="N467" s="268"/>
      <c r="O467" s="268"/>
      <c r="P467" s="268"/>
      <c r="Q467" s="268"/>
      <c r="R467" s="268"/>
      <c r="S467" s="268"/>
      <c r="T467" s="268"/>
      <c r="U467" s="268"/>
      <c r="V467" s="268"/>
      <c r="W467" s="268"/>
      <c r="X467" s="268"/>
      <c r="Y467" s="268"/>
      <c r="Z467" s="268"/>
    </row>
    <row r="468" customHeight="1" spans="1:26">
      <c r="A468" s="268"/>
      <c r="B468" s="268"/>
      <c r="C468" s="268"/>
      <c r="D468" s="268"/>
      <c r="E468" s="268"/>
      <c r="F468" s="268"/>
      <c r="G468" s="268"/>
      <c r="H468" s="268"/>
      <c r="I468" s="268"/>
      <c r="J468" s="268"/>
      <c r="K468" s="268"/>
      <c r="L468" s="268"/>
      <c r="M468" s="268"/>
      <c r="N468" s="268"/>
      <c r="O468" s="268"/>
      <c r="P468" s="268"/>
      <c r="Q468" s="268"/>
      <c r="R468" s="268"/>
      <c r="S468" s="268"/>
      <c r="T468" s="268"/>
      <c r="U468" s="268"/>
      <c r="V468" s="268"/>
      <c r="W468" s="268"/>
      <c r="X468" s="268"/>
      <c r="Y468" s="268"/>
      <c r="Z468" s="268"/>
    </row>
    <row r="469" customHeight="1" spans="1:26">
      <c r="A469" s="268"/>
      <c r="B469" s="268"/>
      <c r="C469" s="268"/>
      <c r="D469" s="268"/>
      <c r="E469" s="268"/>
      <c r="F469" s="268"/>
      <c r="G469" s="268"/>
      <c r="H469" s="268"/>
      <c r="I469" s="268"/>
      <c r="J469" s="268"/>
      <c r="K469" s="268"/>
      <c r="L469" s="268"/>
      <c r="M469" s="268"/>
      <c r="N469" s="268"/>
      <c r="O469" s="268"/>
      <c r="P469" s="268"/>
      <c r="Q469" s="268"/>
      <c r="R469" s="268"/>
      <c r="S469" s="268"/>
      <c r="T469" s="268"/>
      <c r="U469" s="268"/>
      <c r="V469" s="268"/>
      <c r="W469" s="268"/>
      <c r="X469" s="268"/>
      <c r="Y469" s="268"/>
      <c r="Z469" s="268"/>
    </row>
    <row r="470" customHeight="1" spans="1:26">
      <c r="A470" s="268"/>
      <c r="B470" s="268"/>
      <c r="C470" s="268"/>
      <c r="D470" s="268"/>
      <c r="E470" s="268"/>
      <c r="F470" s="268"/>
      <c r="G470" s="268"/>
      <c r="H470" s="268"/>
      <c r="I470" s="268"/>
      <c r="J470" s="268"/>
      <c r="K470" s="268"/>
      <c r="L470" s="268"/>
      <c r="M470" s="268"/>
      <c r="N470" s="268"/>
      <c r="O470" s="268"/>
      <c r="P470" s="268"/>
      <c r="Q470" s="268"/>
      <c r="R470" s="268"/>
      <c r="S470" s="268"/>
      <c r="T470" s="268"/>
      <c r="U470" s="268"/>
      <c r="V470" s="268"/>
      <c r="W470" s="268"/>
      <c r="X470" s="268"/>
      <c r="Y470" s="268"/>
      <c r="Z470" s="268"/>
    </row>
    <row r="471" customHeight="1" spans="1:26">
      <c r="A471" s="268"/>
      <c r="B471" s="268"/>
      <c r="C471" s="268"/>
      <c r="D471" s="268"/>
      <c r="E471" s="268"/>
      <c r="F471" s="268"/>
      <c r="G471" s="268"/>
      <c r="H471" s="268"/>
      <c r="I471" s="268"/>
      <c r="J471" s="268"/>
      <c r="K471" s="268"/>
      <c r="L471" s="268"/>
      <c r="M471" s="268"/>
      <c r="N471" s="268"/>
      <c r="O471" s="268"/>
      <c r="P471" s="268"/>
      <c r="Q471" s="268"/>
      <c r="R471" s="268"/>
      <c r="S471" s="268"/>
      <c r="T471" s="268"/>
      <c r="U471" s="268"/>
      <c r="V471" s="268"/>
      <c r="W471" s="268"/>
      <c r="X471" s="268"/>
      <c r="Y471" s="268"/>
      <c r="Z471" s="268"/>
    </row>
    <row r="472" customHeight="1" spans="1:26">
      <c r="A472" s="268"/>
      <c r="B472" s="268"/>
      <c r="C472" s="268"/>
      <c r="D472" s="268"/>
      <c r="E472" s="268"/>
      <c r="F472" s="268"/>
      <c r="G472" s="268"/>
      <c r="H472" s="268"/>
      <c r="I472" s="268"/>
      <c r="J472" s="268"/>
      <c r="K472" s="268"/>
      <c r="L472" s="268"/>
      <c r="M472" s="268"/>
      <c r="N472" s="268"/>
      <c r="O472" s="268"/>
      <c r="P472" s="268"/>
      <c r="Q472" s="268"/>
      <c r="R472" s="268"/>
      <c r="S472" s="268"/>
      <c r="T472" s="268"/>
      <c r="U472" s="268"/>
      <c r="V472" s="268"/>
      <c r="W472" s="268"/>
      <c r="X472" s="268"/>
      <c r="Y472" s="268"/>
      <c r="Z472" s="268"/>
    </row>
    <row r="473" customHeight="1" spans="1:26">
      <c r="A473" s="268"/>
      <c r="B473" s="268"/>
      <c r="C473" s="268"/>
      <c r="D473" s="268"/>
      <c r="E473" s="268"/>
      <c r="F473" s="268"/>
      <c r="G473" s="268"/>
      <c r="H473" s="268"/>
      <c r="I473" s="268"/>
      <c r="J473" s="268"/>
      <c r="K473" s="268"/>
      <c r="L473" s="268"/>
      <c r="M473" s="268"/>
      <c r="N473" s="268"/>
      <c r="O473" s="268"/>
      <c r="P473" s="268"/>
      <c r="Q473" s="268"/>
      <c r="R473" s="268"/>
      <c r="S473" s="268"/>
      <c r="T473" s="268"/>
      <c r="U473" s="268"/>
      <c r="V473" s="268"/>
      <c r="W473" s="268"/>
      <c r="X473" s="268"/>
      <c r="Y473" s="268"/>
      <c r="Z473" s="268"/>
    </row>
    <row r="474" customHeight="1" spans="1:26">
      <c r="A474" s="268"/>
      <c r="B474" s="268"/>
      <c r="C474" s="268"/>
      <c r="D474" s="268"/>
      <c r="E474" s="268"/>
      <c r="F474" s="268"/>
      <c r="G474" s="268"/>
      <c r="H474" s="268"/>
      <c r="I474" s="268"/>
      <c r="J474" s="268"/>
      <c r="K474" s="268"/>
      <c r="L474" s="268"/>
      <c r="M474" s="268"/>
      <c r="N474" s="268"/>
      <c r="O474" s="268"/>
      <c r="P474" s="268"/>
      <c r="Q474" s="268"/>
      <c r="R474" s="268"/>
      <c r="S474" s="268"/>
      <c r="T474" s="268"/>
      <c r="U474" s="268"/>
      <c r="V474" s="268"/>
      <c r="W474" s="268"/>
      <c r="X474" s="268"/>
      <c r="Y474" s="268"/>
      <c r="Z474" s="268"/>
    </row>
    <row r="475" customHeight="1" spans="1:26">
      <c r="A475" s="268"/>
      <c r="B475" s="268"/>
      <c r="C475" s="268"/>
      <c r="D475" s="268"/>
      <c r="E475" s="268"/>
      <c r="F475" s="268"/>
      <c r="G475" s="268"/>
      <c r="H475" s="268"/>
      <c r="I475" s="268"/>
      <c r="J475" s="268"/>
      <c r="K475" s="268"/>
      <c r="L475" s="268"/>
      <c r="M475" s="268"/>
      <c r="N475" s="268"/>
      <c r="O475" s="268"/>
      <c r="P475" s="268"/>
      <c r="Q475" s="268"/>
      <c r="R475" s="268"/>
      <c r="S475" s="268"/>
      <c r="T475" s="268"/>
      <c r="U475" s="268"/>
      <c r="V475" s="268"/>
      <c r="W475" s="268"/>
      <c r="X475" s="268"/>
      <c r="Y475" s="268"/>
      <c r="Z475" s="268"/>
    </row>
    <row r="476" customHeight="1" spans="1:26">
      <c r="A476" s="268"/>
      <c r="B476" s="268"/>
      <c r="C476" s="268"/>
      <c r="D476" s="268"/>
      <c r="E476" s="268"/>
      <c r="F476" s="268"/>
      <c r="G476" s="268"/>
      <c r="H476" s="268"/>
      <c r="I476" s="268"/>
      <c r="J476" s="268"/>
      <c r="K476" s="268"/>
      <c r="L476" s="268"/>
      <c r="M476" s="268"/>
      <c r="N476" s="268"/>
      <c r="O476" s="268"/>
      <c r="P476" s="268"/>
      <c r="Q476" s="268"/>
      <c r="R476" s="268"/>
      <c r="S476" s="268"/>
      <c r="T476" s="268"/>
      <c r="U476" s="268"/>
      <c r="V476" s="268"/>
      <c r="W476" s="268"/>
      <c r="X476" s="268"/>
      <c r="Y476" s="268"/>
      <c r="Z476" s="268"/>
    </row>
    <row r="477" customHeight="1" spans="1:26">
      <c r="A477" s="268"/>
      <c r="B477" s="268"/>
      <c r="C477" s="268"/>
      <c r="D477" s="268"/>
      <c r="E477" s="268"/>
      <c r="F477" s="268"/>
      <c r="G477" s="268"/>
      <c r="H477" s="268"/>
      <c r="I477" s="268"/>
      <c r="J477" s="268"/>
      <c r="K477" s="268"/>
      <c r="L477" s="268"/>
      <c r="M477" s="268"/>
      <c r="N477" s="268"/>
      <c r="O477" s="268"/>
      <c r="P477" s="268"/>
      <c r="Q477" s="268"/>
      <c r="R477" s="268"/>
      <c r="S477" s="268"/>
      <c r="T477" s="268"/>
      <c r="U477" s="268"/>
      <c r="V477" s="268"/>
      <c r="W477" s="268"/>
      <c r="X477" s="268"/>
      <c r="Y477" s="268"/>
      <c r="Z477" s="268"/>
    </row>
    <row r="478" customHeight="1" spans="1:26">
      <c r="A478" s="268"/>
      <c r="B478" s="268"/>
      <c r="C478" s="268"/>
      <c r="D478" s="268"/>
      <c r="E478" s="268"/>
      <c r="F478" s="268"/>
      <c r="G478" s="268"/>
      <c r="H478" s="268"/>
      <c r="I478" s="268"/>
      <c r="J478" s="268"/>
      <c r="K478" s="268"/>
      <c r="L478" s="268"/>
      <c r="M478" s="268"/>
      <c r="N478" s="268"/>
      <c r="O478" s="268"/>
      <c r="P478" s="268"/>
      <c r="Q478" s="268"/>
      <c r="R478" s="268"/>
      <c r="S478" s="268"/>
      <c r="T478" s="268"/>
      <c r="U478" s="268"/>
      <c r="V478" s="268"/>
      <c r="W478" s="268"/>
      <c r="X478" s="268"/>
      <c r="Y478" s="268"/>
      <c r="Z478" s="268"/>
    </row>
    <row r="479" customHeight="1" spans="1:26">
      <c r="A479" s="268"/>
      <c r="B479" s="268"/>
      <c r="C479" s="268"/>
      <c r="D479" s="268"/>
      <c r="E479" s="268"/>
      <c r="F479" s="268"/>
      <c r="G479" s="268"/>
      <c r="H479" s="268"/>
      <c r="I479" s="268"/>
      <c r="J479" s="268"/>
      <c r="K479" s="268"/>
      <c r="L479" s="268"/>
      <c r="M479" s="268"/>
      <c r="N479" s="268"/>
      <c r="O479" s="268"/>
      <c r="P479" s="268"/>
      <c r="Q479" s="268"/>
      <c r="R479" s="268"/>
      <c r="S479" s="268"/>
      <c r="T479" s="268"/>
      <c r="U479" s="268"/>
      <c r="V479" s="268"/>
      <c r="W479" s="268"/>
      <c r="X479" s="268"/>
      <c r="Y479" s="268"/>
      <c r="Z479" s="268"/>
    </row>
    <row r="480" customHeight="1" spans="1:26">
      <c r="A480" s="268"/>
      <c r="B480" s="268"/>
      <c r="C480" s="268"/>
      <c r="D480" s="268"/>
      <c r="E480" s="268"/>
      <c r="F480" s="268"/>
      <c r="G480" s="268"/>
      <c r="H480" s="268"/>
      <c r="I480" s="268"/>
      <c r="J480" s="268"/>
      <c r="K480" s="268"/>
      <c r="L480" s="268"/>
      <c r="M480" s="268"/>
      <c r="N480" s="268"/>
      <c r="O480" s="268"/>
      <c r="P480" s="268"/>
      <c r="Q480" s="268"/>
      <c r="R480" s="268"/>
      <c r="S480" s="268"/>
      <c r="T480" s="268"/>
      <c r="U480" s="268"/>
      <c r="V480" s="268"/>
      <c r="W480" s="268"/>
      <c r="X480" s="268"/>
      <c r="Y480" s="268"/>
      <c r="Z480" s="268"/>
    </row>
    <row r="481" customHeight="1" spans="1:26">
      <c r="A481" s="268"/>
      <c r="B481" s="268"/>
      <c r="C481" s="268"/>
      <c r="D481" s="268"/>
      <c r="E481" s="268"/>
      <c r="F481" s="268"/>
      <c r="G481" s="268"/>
      <c r="H481" s="268"/>
      <c r="I481" s="268"/>
      <c r="J481" s="268"/>
      <c r="K481" s="268"/>
      <c r="L481" s="268"/>
      <c r="M481" s="268"/>
      <c r="N481" s="268"/>
      <c r="O481" s="268"/>
      <c r="P481" s="268"/>
      <c r="Q481" s="268"/>
      <c r="R481" s="268"/>
      <c r="S481" s="268"/>
      <c r="T481" s="268"/>
      <c r="U481" s="268"/>
      <c r="V481" s="268"/>
      <c r="W481" s="268"/>
      <c r="X481" s="268"/>
      <c r="Y481" s="268"/>
      <c r="Z481" s="268"/>
    </row>
    <row r="482" customHeight="1" spans="1:26">
      <c r="A482" s="268"/>
      <c r="B482" s="268"/>
      <c r="C482" s="268"/>
      <c r="D482" s="268"/>
      <c r="E482" s="268"/>
      <c r="F482" s="268"/>
      <c r="G482" s="268"/>
      <c r="H482" s="268"/>
      <c r="I482" s="268"/>
      <c r="J482" s="268"/>
      <c r="K482" s="268"/>
      <c r="L482" s="268"/>
      <c r="M482" s="268"/>
      <c r="N482" s="268"/>
      <c r="O482" s="268"/>
      <c r="P482" s="268"/>
      <c r="Q482" s="268"/>
      <c r="R482" s="268"/>
      <c r="S482" s="268"/>
      <c r="T482" s="268"/>
      <c r="U482" s="268"/>
      <c r="V482" s="268"/>
      <c r="W482" s="268"/>
      <c r="X482" s="268"/>
      <c r="Y482" s="268"/>
      <c r="Z482" s="268"/>
    </row>
    <row r="483" customHeight="1" spans="1:26">
      <c r="A483" s="268"/>
      <c r="B483" s="268"/>
      <c r="C483" s="268"/>
      <c r="D483" s="268"/>
      <c r="E483" s="268"/>
      <c r="F483" s="268"/>
      <c r="G483" s="268"/>
      <c r="H483" s="268"/>
      <c r="I483" s="268"/>
      <c r="J483" s="268"/>
      <c r="K483" s="268"/>
      <c r="L483" s="268"/>
      <c r="M483" s="268"/>
      <c r="N483" s="268"/>
      <c r="O483" s="268"/>
      <c r="P483" s="268"/>
      <c r="Q483" s="268"/>
      <c r="R483" s="268"/>
      <c r="S483" s="268"/>
      <c r="T483" s="268"/>
      <c r="U483" s="268"/>
      <c r="V483" s="268"/>
      <c r="W483" s="268"/>
      <c r="X483" s="268"/>
      <c r="Y483" s="268"/>
      <c r="Z483" s="268"/>
    </row>
    <row r="484" customHeight="1" spans="1:26">
      <c r="A484" s="268"/>
      <c r="B484" s="268"/>
      <c r="C484" s="268"/>
      <c r="D484" s="268"/>
      <c r="E484" s="268"/>
      <c r="F484" s="268"/>
      <c r="G484" s="268"/>
      <c r="H484" s="268"/>
      <c r="I484" s="268"/>
      <c r="J484" s="268"/>
      <c r="K484" s="268"/>
      <c r="L484" s="268"/>
      <c r="M484" s="268"/>
      <c r="N484" s="268"/>
      <c r="O484" s="268"/>
      <c r="P484" s="268"/>
      <c r="Q484" s="268"/>
      <c r="R484" s="268"/>
      <c r="S484" s="268"/>
      <c r="T484" s="268"/>
      <c r="U484" s="268"/>
      <c r="V484" s="268"/>
      <c r="W484" s="268"/>
      <c r="X484" s="268"/>
      <c r="Y484" s="268"/>
      <c r="Z484" s="268"/>
    </row>
    <row r="485" customHeight="1" spans="1:26">
      <c r="A485" s="268"/>
      <c r="B485" s="268"/>
      <c r="C485" s="268"/>
      <c r="D485" s="268"/>
      <c r="E485" s="268"/>
      <c r="F485" s="268"/>
      <c r="G485" s="268"/>
      <c r="H485" s="268"/>
      <c r="I485" s="268"/>
      <c r="J485" s="268"/>
      <c r="K485" s="268"/>
      <c r="L485" s="268"/>
      <c r="M485" s="268"/>
      <c r="N485" s="268"/>
      <c r="O485" s="268"/>
      <c r="P485" s="268"/>
      <c r="Q485" s="268"/>
      <c r="R485" s="268"/>
      <c r="S485" s="268"/>
      <c r="T485" s="268"/>
      <c r="U485" s="268"/>
      <c r="V485" s="268"/>
      <c r="W485" s="268"/>
      <c r="X485" s="268"/>
      <c r="Y485" s="268"/>
      <c r="Z485" s="268"/>
    </row>
    <row r="486" customHeight="1" spans="1:26">
      <c r="A486" s="268"/>
      <c r="B486" s="268"/>
      <c r="C486" s="268"/>
      <c r="D486" s="268"/>
      <c r="E486" s="268"/>
      <c r="F486" s="268"/>
      <c r="G486" s="268"/>
      <c r="H486" s="268"/>
      <c r="I486" s="268"/>
      <c r="J486" s="268"/>
      <c r="K486" s="268"/>
      <c r="L486" s="268"/>
      <c r="M486" s="268"/>
      <c r="N486" s="268"/>
      <c r="O486" s="268"/>
      <c r="P486" s="268"/>
      <c r="Q486" s="268"/>
      <c r="R486" s="268"/>
      <c r="S486" s="268"/>
      <c r="T486" s="268"/>
      <c r="U486" s="268"/>
      <c r="V486" s="268"/>
      <c r="W486" s="268"/>
      <c r="X486" s="268"/>
      <c r="Y486" s="268"/>
      <c r="Z486" s="268"/>
    </row>
    <row r="487" customHeight="1" spans="1:26">
      <c r="A487" s="268"/>
      <c r="B487" s="268"/>
      <c r="C487" s="268"/>
      <c r="D487" s="268"/>
      <c r="E487" s="268"/>
      <c r="F487" s="268"/>
      <c r="G487" s="268"/>
      <c r="H487" s="268"/>
      <c r="I487" s="268"/>
      <c r="J487" s="268"/>
      <c r="K487" s="268"/>
      <c r="L487" s="268"/>
      <c r="M487" s="268"/>
      <c r="N487" s="268"/>
      <c r="O487" s="268"/>
      <c r="P487" s="268"/>
      <c r="Q487" s="268"/>
      <c r="R487" s="268"/>
      <c r="S487" s="268"/>
      <c r="T487" s="268"/>
      <c r="U487" s="268"/>
      <c r="V487" s="268"/>
      <c r="W487" s="268"/>
      <c r="X487" s="268"/>
      <c r="Y487" s="268"/>
      <c r="Z487" s="268"/>
    </row>
    <row r="488" customHeight="1" spans="1:26">
      <c r="A488" s="268"/>
      <c r="B488" s="268"/>
      <c r="C488" s="268"/>
      <c r="D488" s="268"/>
      <c r="E488" s="268"/>
      <c r="F488" s="268"/>
      <c r="G488" s="268"/>
      <c r="H488" s="268"/>
      <c r="I488" s="268"/>
      <c r="J488" s="268"/>
      <c r="K488" s="268"/>
      <c r="L488" s="268"/>
      <c r="M488" s="268"/>
      <c r="N488" s="268"/>
      <c r="O488" s="268"/>
      <c r="P488" s="268"/>
      <c r="Q488" s="268"/>
      <c r="R488" s="268"/>
      <c r="S488" s="268"/>
      <c r="T488" s="268"/>
      <c r="U488" s="268"/>
      <c r="V488" s="268"/>
      <c r="W488" s="268"/>
      <c r="X488" s="268"/>
      <c r="Y488" s="268"/>
      <c r="Z488" s="268"/>
    </row>
    <row r="489" customHeight="1" spans="1:26">
      <c r="A489" s="268"/>
      <c r="B489" s="268"/>
      <c r="C489" s="268"/>
      <c r="D489" s="268"/>
      <c r="E489" s="268"/>
      <c r="F489" s="268"/>
      <c r="G489" s="268"/>
      <c r="H489" s="268"/>
      <c r="I489" s="268"/>
      <c r="J489" s="268"/>
      <c r="K489" s="268"/>
      <c r="L489" s="268"/>
      <c r="M489" s="268"/>
      <c r="N489" s="268"/>
      <c r="O489" s="268"/>
      <c r="P489" s="268"/>
      <c r="Q489" s="268"/>
      <c r="R489" s="268"/>
      <c r="S489" s="268"/>
      <c r="T489" s="268"/>
      <c r="U489" s="268"/>
      <c r="V489" s="268"/>
      <c r="W489" s="268"/>
      <c r="X489" s="268"/>
      <c r="Y489" s="268"/>
      <c r="Z489" s="268"/>
    </row>
    <row r="490" customHeight="1" spans="1:26">
      <c r="A490" s="268"/>
      <c r="B490" s="268"/>
      <c r="C490" s="268"/>
      <c r="D490" s="268"/>
      <c r="E490" s="268"/>
      <c r="F490" s="268"/>
      <c r="G490" s="268"/>
      <c r="H490" s="268"/>
      <c r="I490" s="268"/>
      <c r="J490" s="268"/>
      <c r="K490" s="268"/>
      <c r="L490" s="268"/>
      <c r="M490" s="268"/>
      <c r="N490" s="268"/>
      <c r="O490" s="268"/>
      <c r="P490" s="268"/>
      <c r="Q490" s="268"/>
      <c r="R490" s="268"/>
      <c r="S490" s="268"/>
      <c r="T490" s="268"/>
      <c r="U490" s="268"/>
      <c r="V490" s="268"/>
      <c r="W490" s="268"/>
      <c r="X490" s="268"/>
      <c r="Y490" s="268"/>
      <c r="Z490" s="268"/>
    </row>
    <row r="491" customHeight="1" spans="1:26">
      <c r="A491" s="268"/>
      <c r="B491" s="268"/>
      <c r="C491" s="268"/>
      <c r="D491" s="268"/>
      <c r="E491" s="268"/>
      <c r="F491" s="268"/>
      <c r="G491" s="268"/>
      <c r="H491" s="268"/>
      <c r="I491" s="268"/>
      <c r="J491" s="268"/>
      <c r="K491" s="268"/>
      <c r="L491" s="268"/>
      <c r="M491" s="268"/>
      <c r="N491" s="268"/>
      <c r="O491" s="268"/>
      <c r="P491" s="268"/>
      <c r="Q491" s="268"/>
      <c r="R491" s="268"/>
      <c r="S491" s="268"/>
      <c r="T491" s="268"/>
      <c r="U491" s="268"/>
      <c r="V491" s="268"/>
      <c r="W491" s="268"/>
      <c r="X491" s="268"/>
      <c r="Y491" s="268"/>
      <c r="Z491" s="268"/>
    </row>
    <row r="492" customHeight="1" spans="1:26">
      <c r="A492" s="268"/>
      <c r="B492" s="268"/>
      <c r="C492" s="268"/>
      <c r="D492" s="268"/>
      <c r="E492" s="268"/>
      <c r="F492" s="268"/>
      <c r="G492" s="268"/>
      <c r="H492" s="268"/>
      <c r="I492" s="268"/>
      <c r="J492" s="268"/>
      <c r="K492" s="268"/>
      <c r="L492" s="268"/>
      <c r="M492" s="268"/>
      <c r="N492" s="268"/>
      <c r="O492" s="268"/>
      <c r="P492" s="268"/>
      <c r="Q492" s="268"/>
      <c r="R492" s="268"/>
      <c r="S492" s="268"/>
      <c r="T492" s="268"/>
      <c r="U492" s="268"/>
      <c r="V492" s="268"/>
      <c r="W492" s="268"/>
      <c r="X492" s="268"/>
      <c r="Y492" s="268"/>
      <c r="Z492" s="268"/>
    </row>
    <row r="493" customHeight="1" spans="1:26">
      <c r="A493" s="268"/>
      <c r="B493" s="268"/>
      <c r="C493" s="268"/>
      <c r="D493" s="268"/>
      <c r="E493" s="268"/>
      <c r="F493" s="268"/>
      <c r="G493" s="268"/>
      <c r="H493" s="268"/>
      <c r="I493" s="268"/>
      <c r="J493" s="268"/>
      <c r="K493" s="268"/>
      <c r="L493" s="268"/>
      <c r="M493" s="268"/>
      <c r="N493" s="268"/>
      <c r="O493" s="268"/>
      <c r="P493" s="268"/>
      <c r="Q493" s="268"/>
      <c r="R493" s="268"/>
      <c r="S493" s="268"/>
      <c r="T493" s="268"/>
      <c r="U493" s="268"/>
      <c r="V493" s="268"/>
      <c r="W493" s="268"/>
      <c r="X493" s="268"/>
      <c r="Y493" s="268"/>
      <c r="Z493" s="268"/>
    </row>
    <row r="494" customHeight="1" spans="1:26">
      <c r="A494" s="268"/>
      <c r="B494" s="268"/>
      <c r="C494" s="268"/>
      <c r="D494" s="268"/>
      <c r="E494" s="268"/>
      <c r="F494" s="268"/>
      <c r="G494" s="268"/>
      <c r="H494" s="268"/>
      <c r="I494" s="268"/>
      <c r="J494" s="268"/>
      <c r="K494" s="268"/>
      <c r="L494" s="268"/>
      <c r="M494" s="268"/>
      <c r="N494" s="268"/>
      <c r="O494" s="268"/>
      <c r="P494" s="268"/>
      <c r="Q494" s="268"/>
      <c r="R494" s="268"/>
      <c r="S494" s="268"/>
      <c r="T494" s="268"/>
      <c r="U494" s="268"/>
      <c r="V494" s="268"/>
      <c r="W494" s="268"/>
      <c r="X494" s="268"/>
      <c r="Y494" s="268"/>
      <c r="Z494" s="268"/>
    </row>
    <row r="495" customHeight="1" spans="1:26">
      <c r="A495" s="268"/>
      <c r="B495" s="268"/>
      <c r="C495" s="268"/>
      <c r="D495" s="268"/>
      <c r="E495" s="268"/>
      <c r="F495" s="268"/>
      <c r="G495" s="268"/>
      <c r="H495" s="268"/>
      <c r="I495" s="268"/>
      <c r="J495" s="268"/>
      <c r="K495" s="268"/>
      <c r="L495" s="268"/>
      <c r="M495" s="268"/>
      <c r="N495" s="268"/>
      <c r="O495" s="268"/>
      <c r="P495" s="268"/>
      <c r="Q495" s="268"/>
      <c r="R495" s="268"/>
      <c r="S495" s="268"/>
      <c r="T495" s="268"/>
      <c r="U495" s="268"/>
      <c r="V495" s="268"/>
      <c r="W495" s="268"/>
      <c r="X495" s="268"/>
      <c r="Y495" s="268"/>
      <c r="Z495" s="268"/>
    </row>
    <row r="496" customHeight="1" spans="1:26">
      <c r="A496" s="268"/>
      <c r="B496" s="268"/>
      <c r="C496" s="268"/>
      <c r="D496" s="268"/>
      <c r="E496" s="268"/>
      <c r="F496" s="268"/>
      <c r="G496" s="268"/>
      <c r="H496" s="268"/>
      <c r="I496" s="268"/>
      <c r="J496" s="268"/>
      <c r="K496" s="268"/>
      <c r="L496" s="268"/>
      <c r="M496" s="268"/>
      <c r="N496" s="268"/>
      <c r="O496" s="268"/>
      <c r="P496" s="268"/>
      <c r="Q496" s="268"/>
      <c r="R496" s="268"/>
      <c r="S496" s="268"/>
      <c r="T496" s="268"/>
      <c r="U496" s="268"/>
      <c r="V496" s="268"/>
      <c r="W496" s="268"/>
      <c r="X496" s="268"/>
      <c r="Y496" s="268"/>
      <c r="Z496" s="268"/>
    </row>
    <row r="497" customHeight="1" spans="1:26">
      <c r="A497" s="268"/>
      <c r="B497" s="268"/>
      <c r="C497" s="268"/>
      <c r="D497" s="268"/>
      <c r="E497" s="268"/>
      <c r="F497" s="268"/>
      <c r="G497" s="268"/>
      <c r="H497" s="268"/>
      <c r="I497" s="268"/>
      <c r="J497" s="268"/>
      <c r="K497" s="268"/>
      <c r="L497" s="268"/>
      <c r="M497" s="268"/>
      <c r="N497" s="268"/>
      <c r="O497" s="268"/>
      <c r="P497" s="268"/>
      <c r="Q497" s="268"/>
      <c r="R497" s="268"/>
      <c r="S497" s="268"/>
      <c r="T497" s="268"/>
      <c r="U497" s="268"/>
      <c r="V497" s="268"/>
      <c r="W497" s="268"/>
      <c r="X497" s="268"/>
      <c r="Y497" s="268"/>
      <c r="Z497" s="268"/>
    </row>
    <row r="498" customHeight="1" spans="1:26">
      <c r="A498" s="268"/>
      <c r="B498" s="268"/>
      <c r="C498" s="268"/>
      <c r="D498" s="268"/>
      <c r="E498" s="268"/>
      <c r="F498" s="268"/>
      <c r="G498" s="268"/>
      <c r="H498" s="268"/>
      <c r="I498" s="268"/>
      <c r="J498" s="268"/>
      <c r="K498" s="268"/>
      <c r="L498" s="268"/>
      <c r="M498" s="268"/>
      <c r="N498" s="268"/>
      <c r="O498" s="268"/>
      <c r="P498" s="268"/>
      <c r="Q498" s="268"/>
      <c r="R498" s="268"/>
      <c r="S498" s="268"/>
      <c r="T498" s="268"/>
      <c r="U498" s="268"/>
      <c r="V498" s="268"/>
      <c r="W498" s="268"/>
      <c r="X498" s="268"/>
      <c r="Y498" s="268"/>
      <c r="Z498" s="268"/>
    </row>
    <row r="499" customHeight="1" spans="1:26">
      <c r="A499" s="268"/>
      <c r="B499" s="268"/>
      <c r="C499" s="268"/>
      <c r="D499" s="268"/>
      <c r="E499" s="268"/>
      <c r="F499" s="268"/>
      <c r="G499" s="268"/>
      <c r="H499" s="268"/>
      <c r="I499" s="268"/>
      <c r="J499" s="268"/>
      <c r="K499" s="268"/>
      <c r="L499" s="268"/>
      <c r="M499" s="268"/>
      <c r="N499" s="268"/>
      <c r="O499" s="268"/>
      <c r="P499" s="268"/>
      <c r="Q499" s="268"/>
      <c r="R499" s="268"/>
      <c r="S499" s="268"/>
      <c r="T499" s="268"/>
      <c r="U499" s="268"/>
      <c r="V499" s="268"/>
      <c r="W499" s="268"/>
      <c r="X499" s="268"/>
      <c r="Y499" s="268"/>
      <c r="Z499" s="268"/>
    </row>
    <row r="500" customHeight="1" spans="1:26">
      <c r="A500" s="268"/>
      <c r="B500" s="268"/>
      <c r="C500" s="268"/>
      <c r="D500" s="268"/>
      <c r="E500" s="268"/>
      <c r="F500" s="268"/>
      <c r="G500" s="268"/>
      <c r="H500" s="268"/>
      <c r="I500" s="268"/>
      <c r="J500" s="268"/>
      <c r="K500" s="268"/>
      <c r="L500" s="268"/>
      <c r="M500" s="268"/>
      <c r="N500" s="268"/>
      <c r="O500" s="268"/>
      <c r="P500" s="268"/>
      <c r="Q500" s="268"/>
      <c r="R500" s="268"/>
      <c r="S500" s="268"/>
      <c r="T500" s="268"/>
      <c r="U500" s="268"/>
      <c r="V500" s="268"/>
      <c r="W500" s="268"/>
      <c r="X500" s="268"/>
      <c r="Y500" s="268"/>
      <c r="Z500" s="268"/>
    </row>
    <row r="501" customHeight="1" spans="1:26">
      <c r="A501" s="268"/>
      <c r="B501" s="268"/>
      <c r="C501" s="268"/>
      <c r="D501" s="268"/>
      <c r="E501" s="268"/>
      <c r="F501" s="268"/>
      <c r="G501" s="268"/>
      <c r="H501" s="268"/>
      <c r="I501" s="268"/>
      <c r="J501" s="268"/>
      <c r="K501" s="268"/>
      <c r="L501" s="268"/>
      <c r="M501" s="268"/>
      <c r="N501" s="268"/>
      <c r="O501" s="268"/>
      <c r="P501" s="268"/>
      <c r="Q501" s="268"/>
      <c r="R501" s="268"/>
      <c r="S501" s="268"/>
      <c r="T501" s="268"/>
      <c r="U501" s="268"/>
      <c r="V501" s="268"/>
      <c r="W501" s="268"/>
      <c r="X501" s="268"/>
      <c r="Y501" s="268"/>
      <c r="Z501" s="268"/>
    </row>
    <row r="502" customHeight="1" spans="1:26">
      <c r="A502" s="268"/>
      <c r="B502" s="268"/>
      <c r="C502" s="268"/>
      <c r="D502" s="268"/>
      <c r="E502" s="268"/>
      <c r="F502" s="268"/>
      <c r="G502" s="268"/>
      <c r="H502" s="268"/>
      <c r="I502" s="268"/>
      <c r="J502" s="268"/>
      <c r="K502" s="268"/>
      <c r="L502" s="268"/>
      <c r="M502" s="268"/>
      <c r="N502" s="268"/>
      <c r="O502" s="268"/>
      <c r="P502" s="268"/>
      <c r="Q502" s="268"/>
      <c r="R502" s="268"/>
      <c r="S502" s="268"/>
      <c r="T502" s="268"/>
      <c r="U502" s="268"/>
      <c r="V502" s="268"/>
      <c r="W502" s="268"/>
      <c r="X502" s="268"/>
      <c r="Y502" s="268"/>
      <c r="Z502" s="268"/>
    </row>
    <row r="503" customHeight="1" spans="1:26">
      <c r="A503" s="268"/>
      <c r="B503" s="268"/>
      <c r="C503" s="268"/>
      <c r="D503" s="268"/>
      <c r="E503" s="268"/>
      <c r="F503" s="268"/>
      <c r="G503" s="268"/>
      <c r="H503" s="268"/>
      <c r="I503" s="268"/>
      <c r="J503" s="268"/>
      <c r="K503" s="268"/>
      <c r="L503" s="268"/>
      <c r="M503" s="268"/>
      <c r="N503" s="268"/>
      <c r="O503" s="268"/>
      <c r="P503" s="268"/>
      <c r="Q503" s="268"/>
      <c r="R503" s="268"/>
      <c r="S503" s="268"/>
      <c r="T503" s="268"/>
      <c r="U503" s="268"/>
      <c r="V503" s="268"/>
      <c r="W503" s="268"/>
      <c r="X503" s="268"/>
      <c r="Y503" s="268"/>
      <c r="Z503" s="268"/>
    </row>
    <row r="504" customHeight="1" spans="1:26">
      <c r="A504" s="268"/>
      <c r="B504" s="268"/>
      <c r="C504" s="268"/>
      <c r="D504" s="268"/>
      <c r="E504" s="268"/>
      <c r="F504" s="268"/>
      <c r="G504" s="268"/>
      <c r="H504" s="268"/>
      <c r="I504" s="268"/>
      <c r="J504" s="268"/>
      <c r="K504" s="268"/>
      <c r="L504" s="268"/>
      <c r="M504" s="268"/>
      <c r="N504" s="268"/>
      <c r="O504" s="268"/>
      <c r="P504" s="268"/>
      <c r="Q504" s="268"/>
      <c r="R504" s="268"/>
      <c r="S504" s="268"/>
      <c r="T504" s="268"/>
      <c r="U504" s="268"/>
      <c r="V504" s="268"/>
      <c r="W504" s="268"/>
      <c r="X504" s="268"/>
      <c r="Y504" s="268"/>
      <c r="Z504" s="268"/>
    </row>
    <row r="505" customHeight="1" spans="1:26">
      <c r="A505" s="268"/>
      <c r="B505" s="268"/>
      <c r="C505" s="268"/>
      <c r="D505" s="268"/>
      <c r="E505" s="268"/>
      <c r="F505" s="268"/>
      <c r="G505" s="268"/>
      <c r="H505" s="268"/>
      <c r="I505" s="268"/>
      <c r="J505" s="268"/>
      <c r="K505" s="268"/>
      <c r="L505" s="268"/>
      <c r="M505" s="268"/>
      <c r="N505" s="268"/>
      <c r="O505" s="268"/>
      <c r="P505" s="268"/>
      <c r="Q505" s="268"/>
      <c r="R505" s="268"/>
      <c r="S505" s="268"/>
      <c r="T505" s="268"/>
      <c r="U505" s="268"/>
      <c r="V505" s="268"/>
      <c r="W505" s="268"/>
      <c r="X505" s="268"/>
      <c r="Y505" s="268"/>
      <c r="Z505" s="268"/>
    </row>
    <row r="506" customHeight="1" spans="1:26">
      <c r="A506" s="268"/>
      <c r="B506" s="268"/>
      <c r="C506" s="268"/>
      <c r="D506" s="268"/>
      <c r="E506" s="268"/>
      <c r="F506" s="268"/>
      <c r="G506" s="268"/>
      <c r="H506" s="268"/>
      <c r="I506" s="268"/>
      <c r="J506" s="268"/>
      <c r="K506" s="268"/>
      <c r="L506" s="268"/>
      <c r="M506" s="268"/>
      <c r="N506" s="268"/>
      <c r="O506" s="268"/>
      <c r="P506" s="268"/>
      <c r="Q506" s="268"/>
      <c r="R506" s="268"/>
      <c r="S506" s="268"/>
      <c r="T506" s="268"/>
      <c r="U506" s="268"/>
      <c r="V506" s="268"/>
      <c r="W506" s="268"/>
      <c r="X506" s="268"/>
      <c r="Y506" s="268"/>
      <c r="Z506" s="268"/>
    </row>
    <row r="507" customHeight="1" spans="1:26">
      <c r="A507" s="268"/>
      <c r="B507" s="268"/>
      <c r="C507" s="268"/>
      <c r="D507" s="268"/>
      <c r="E507" s="268"/>
      <c r="F507" s="268"/>
      <c r="G507" s="268"/>
      <c r="H507" s="268"/>
      <c r="I507" s="268"/>
      <c r="J507" s="268"/>
      <c r="K507" s="268"/>
      <c r="L507" s="268"/>
      <c r="M507" s="268"/>
      <c r="N507" s="268"/>
      <c r="O507" s="268"/>
      <c r="P507" s="268"/>
      <c r="Q507" s="268"/>
      <c r="R507" s="268"/>
      <c r="S507" s="268"/>
      <c r="T507" s="268"/>
      <c r="U507" s="268"/>
      <c r="V507" s="268"/>
      <c r="W507" s="268"/>
      <c r="X507" s="268"/>
      <c r="Y507" s="268"/>
      <c r="Z507" s="268"/>
    </row>
    <row r="508" customHeight="1" spans="1:26">
      <c r="A508" s="268"/>
      <c r="B508" s="268"/>
      <c r="C508" s="268"/>
      <c r="D508" s="268"/>
      <c r="E508" s="268"/>
      <c r="F508" s="268"/>
      <c r="G508" s="268"/>
      <c r="H508" s="268"/>
      <c r="I508" s="268"/>
      <c r="J508" s="268"/>
      <c r="K508" s="268"/>
      <c r="L508" s="268"/>
      <c r="M508" s="268"/>
      <c r="N508" s="268"/>
      <c r="O508" s="268"/>
      <c r="P508" s="268"/>
      <c r="Q508" s="268"/>
      <c r="R508" s="268"/>
      <c r="S508" s="268"/>
      <c r="T508" s="268"/>
      <c r="U508" s="268"/>
      <c r="V508" s="268"/>
      <c r="W508" s="268"/>
      <c r="X508" s="268"/>
      <c r="Y508" s="268"/>
      <c r="Z508" s="268"/>
    </row>
    <row r="509" customHeight="1" spans="1:26">
      <c r="A509" s="268"/>
      <c r="B509" s="268"/>
      <c r="C509" s="268"/>
      <c r="D509" s="268"/>
      <c r="E509" s="268"/>
      <c r="F509" s="268"/>
      <c r="G509" s="268"/>
      <c r="H509" s="268"/>
      <c r="I509" s="268"/>
      <c r="J509" s="268"/>
      <c r="K509" s="268"/>
      <c r="L509" s="268"/>
      <c r="M509" s="268"/>
      <c r="N509" s="268"/>
      <c r="O509" s="268"/>
      <c r="P509" s="268"/>
      <c r="Q509" s="268"/>
      <c r="R509" s="268"/>
      <c r="S509" s="268"/>
      <c r="T509" s="268"/>
      <c r="U509" s="268"/>
      <c r="V509" s="268"/>
      <c r="W509" s="268"/>
      <c r="X509" s="268"/>
      <c r="Y509" s="268"/>
      <c r="Z509" s="268"/>
    </row>
    <row r="510" customHeight="1" spans="1:26">
      <c r="A510" s="268"/>
      <c r="B510" s="268"/>
      <c r="C510" s="268"/>
      <c r="D510" s="268"/>
      <c r="E510" s="268"/>
      <c r="F510" s="268"/>
      <c r="G510" s="268"/>
      <c r="H510" s="268"/>
      <c r="I510" s="268"/>
      <c r="J510" s="268"/>
      <c r="K510" s="268"/>
      <c r="L510" s="268"/>
      <c r="M510" s="268"/>
      <c r="N510" s="268"/>
      <c r="O510" s="268"/>
      <c r="P510" s="268"/>
      <c r="Q510" s="268"/>
      <c r="R510" s="268"/>
      <c r="S510" s="268"/>
      <c r="T510" s="268"/>
      <c r="U510" s="268"/>
      <c r="V510" s="268"/>
      <c r="W510" s="268"/>
      <c r="X510" s="268"/>
      <c r="Y510" s="268"/>
      <c r="Z510" s="268"/>
    </row>
    <row r="511" customHeight="1" spans="1:26">
      <c r="A511" s="268"/>
      <c r="B511" s="268"/>
      <c r="C511" s="268"/>
      <c r="D511" s="268"/>
      <c r="E511" s="268"/>
      <c r="F511" s="268"/>
      <c r="G511" s="268"/>
      <c r="H511" s="268"/>
      <c r="I511" s="268"/>
      <c r="J511" s="268"/>
      <c r="K511" s="268"/>
      <c r="L511" s="268"/>
      <c r="M511" s="268"/>
      <c r="N511" s="268"/>
      <c r="O511" s="268"/>
      <c r="P511" s="268"/>
      <c r="Q511" s="268"/>
      <c r="R511" s="268"/>
      <c r="S511" s="268"/>
      <c r="T511" s="268"/>
      <c r="U511" s="268"/>
      <c r="V511" s="268"/>
      <c r="W511" s="268"/>
      <c r="X511" s="268"/>
      <c r="Y511" s="268"/>
      <c r="Z511" s="268"/>
    </row>
    <row r="512" customHeight="1" spans="1:26">
      <c r="A512" s="268"/>
      <c r="B512" s="268"/>
      <c r="C512" s="268"/>
      <c r="D512" s="268"/>
      <c r="E512" s="268"/>
      <c r="F512" s="268"/>
      <c r="G512" s="268"/>
      <c r="H512" s="268"/>
      <c r="I512" s="268"/>
      <c r="J512" s="268"/>
      <c r="K512" s="268"/>
      <c r="L512" s="268"/>
      <c r="M512" s="268"/>
      <c r="N512" s="268"/>
      <c r="O512" s="268"/>
      <c r="P512" s="268"/>
      <c r="Q512" s="268"/>
      <c r="R512" s="268"/>
      <c r="S512" s="268"/>
      <c r="T512" s="268"/>
      <c r="U512" s="268"/>
      <c r="V512" s="268"/>
      <c r="W512" s="268"/>
      <c r="X512" s="268"/>
      <c r="Y512" s="268"/>
      <c r="Z512" s="268"/>
    </row>
    <row r="513" customHeight="1" spans="1:26">
      <c r="A513" s="268"/>
      <c r="B513" s="268"/>
      <c r="C513" s="268"/>
      <c r="D513" s="268"/>
      <c r="E513" s="268"/>
      <c r="F513" s="268"/>
      <c r="G513" s="268"/>
      <c r="H513" s="268"/>
      <c r="I513" s="268"/>
      <c r="J513" s="268"/>
      <c r="K513" s="268"/>
      <c r="L513" s="268"/>
      <c r="M513" s="268"/>
      <c r="N513" s="268"/>
      <c r="O513" s="268"/>
      <c r="P513" s="268"/>
      <c r="Q513" s="268"/>
      <c r="R513" s="268"/>
      <c r="S513" s="268"/>
      <c r="T513" s="268"/>
      <c r="U513" s="268"/>
      <c r="V513" s="268"/>
      <c r="W513" s="268"/>
      <c r="X513" s="268"/>
      <c r="Y513" s="268"/>
      <c r="Z513" s="268"/>
    </row>
    <row r="514" customHeight="1" spans="1:26">
      <c r="A514" s="268"/>
      <c r="B514" s="268"/>
      <c r="C514" s="268"/>
      <c r="D514" s="268"/>
      <c r="E514" s="268"/>
      <c r="F514" s="268"/>
      <c r="G514" s="268"/>
      <c r="H514" s="268"/>
      <c r="I514" s="268"/>
      <c r="J514" s="268"/>
      <c r="K514" s="268"/>
      <c r="L514" s="268"/>
      <c r="M514" s="268"/>
      <c r="N514" s="268"/>
      <c r="O514" s="268"/>
      <c r="P514" s="268"/>
      <c r="Q514" s="268"/>
      <c r="R514" s="268"/>
      <c r="S514" s="268"/>
      <c r="T514" s="268"/>
      <c r="U514" s="268"/>
      <c r="V514" s="268"/>
      <c r="W514" s="268"/>
      <c r="X514" s="268"/>
      <c r="Y514" s="268"/>
      <c r="Z514" s="268"/>
    </row>
    <row r="515" customHeight="1" spans="1:26">
      <c r="A515" s="268"/>
      <c r="B515" s="268"/>
      <c r="C515" s="268"/>
      <c r="D515" s="268"/>
      <c r="E515" s="268"/>
      <c r="F515" s="268"/>
      <c r="G515" s="268"/>
      <c r="H515" s="268"/>
      <c r="I515" s="268"/>
      <c r="J515" s="268"/>
      <c r="K515" s="268"/>
      <c r="L515" s="268"/>
      <c r="M515" s="268"/>
      <c r="N515" s="268"/>
      <c r="O515" s="268"/>
      <c r="P515" s="268"/>
      <c r="Q515" s="268"/>
      <c r="R515" s="268"/>
      <c r="S515" s="268"/>
      <c r="T515" s="268"/>
      <c r="U515" s="268"/>
      <c r="V515" s="268"/>
      <c r="W515" s="268"/>
      <c r="X515" s="268"/>
      <c r="Y515" s="268"/>
      <c r="Z515" s="268"/>
    </row>
    <row r="516" customHeight="1" spans="1:26">
      <c r="A516" s="268"/>
      <c r="B516" s="268"/>
      <c r="C516" s="268"/>
      <c r="D516" s="268"/>
      <c r="E516" s="268"/>
      <c r="F516" s="268"/>
      <c r="G516" s="268"/>
      <c r="H516" s="268"/>
      <c r="I516" s="268"/>
      <c r="J516" s="268"/>
      <c r="K516" s="268"/>
      <c r="L516" s="268"/>
      <c r="M516" s="268"/>
      <c r="N516" s="268"/>
      <c r="O516" s="268"/>
      <c r="P516" s="268"/>
      <c r="Q516" s="268"/>
      <c r="R516" s="268"/>
      <c r="S516" s="268"/>
      <c r="T516" s="268"/>
      <c r="U516" s="268"/>
      <c r="V516" s="268"/>
      <c r="W516" s="268"/>
      <c r="X516" s="268"/>
      <c r="Y516" s="268"/>
      <c r="Z516" s="268"/>
    </row>
    <row r="517" customHeight="1" spans="1:26">
      <c r="A517" s="268"/>
      <c r="B517" s="268"/>
      <c r="C517" s="268"/>
      <c r="D517" s="268"/>
      <c r="E517" s="268"/>
      <c r="F517" s="268"/>
      <c r="G517" s="268"/>
      <c r="H517" s="268"/>
      <c r="I517" s="268"/>
      <c r="J517" s="268"/>
      <c r="K517" s="268"/>
      <c r="L517" s="268"/>
      <c r="M517" s="268"/>
      <c r="N517" s="268"/>
      <c r="O517" s="268"/>
      <c r="P517" s="268"/>
      <c r="Q517" s="268"/>
      <c r="R517" s="268"/>
      <c r="S517" s="268"/>
      <c r="T517" s="268"/>
      <c r="U517" s="268"/>
      <c r="V517" s="268"/>
      <c r="W517" s="268"/>
      <c r="X517" s="268"/>
      <c r="Y517" s="268"/>
      <c r="Z517" s="268"/>
    </row>
    <row r="518" customHeight="1" spans="1:26">
      <c r="A518" s="268"/>
      <c r="B518" s="268"/>
      <c r="C518" s="268"/>
      <c r="D518" s="268"/>
      <c r="E518" s="268"/>
      <c r="F518" s="268"/>
      <c r="G518" s="268"/>
      <c r="H518" s="268"/>
      <c r="I518" s="268"/>
      <c r="J518" s="268"/>
      <c r="K518" s="268"/>
      <c r="L518" s="268"/>
      <c r="M518" s="268"/>
      <c r="N518" s="268"/>
      <c r="O518" s="268"/>
      <c r="P518" s="268"/>
      <c r="Q518" s="268"/>
      <c r="R518" s="268"/>
      <c r="S518" s="268"/>
      <c r="T518" s="268"/>
      <c r="U518" s="268"/>
      <c r="V518" s="268"/>
      <c r="W518" s="268"/>
      <c r="X518" s="268"/>
      <c r="Y518" s="268"/>
      <c r="Z518" s="268"/>
    </row>
    <row r="519" customHeight="1" spans="1:26">
      <c r="A519" s="268"/>
      <c r="B519" s="268"/>
      <c r="C519" s="268"/>
      <c r="D519" s="268"/>
      <c r="E519" s="268"/>
      <c r="F519" s="268"/>
      <c r="G519" s="268"/>
      <c r="H519" s="268"/>
      <c r="I519" s="268"/>
      <c r="J519" s="268"/>
      <c r="K519" s="268"/>
      <c r="L519" s="268"/>
      <c r="M519" s="268"/>
      <c r="N519" s="268"/>
      <c r="O519" s="268"/>
      <c r="P519" s="268"/>
      <c r="Q519" s="268"/>
      <c r="R519" s="268"/>
      <c r="S519" s="268"/>
      <c r="T519" s="268"/>
      <c r="U519" s="268"/>
      <c r="V519" s="268"/>
      <c r="W519" s="268"/>
      <c r="X519" s="268"/>
      <c r="Y519" s="268"/>
      <c r="Z519" s="268"/>
    </row>
    <row r="520" customHeight="1" spans="1:26">
      <c r="A520" s="268"/>
      <c r="B520" s="268"/>
      <c r="C520" s="268"/>
      <c r="D520" s="268"/>
      <c r="E520" s="268"/>
      <c r="F520" s="268"/>
      <c r="G520" s="268"/>
      <c r="H520" s="268"/>
      <c r="I520" s="268"/>
      <c r="J520" s="268"/>
      <c r="K520" s="268"/>
      <c r="L520" s="268"/>
      <c r="M520" s="268"/>
      <c r="N520" s="268"/>
      <c r="O520" s="268"/>
      <c r="P520" s="268"/>
      <c r="Q520" s="268"/>
      <c r="R520" s="268"/>
      <c r="S520" s="268"/>
      <c r="T520" s="268"/>
      <c r="U520" s="268"/>
      <c r="V520" s="268"/>
      <c r="W520" s="268"/>
      <c r="X520" s="268"/>
      <c r="Y520" s="268"/>
      <c r="Z520" s="268"/>
    </row>
    <row r="521" customHeight="1" spans="1:26">
      <c r="A521" s="268"/>
      <c r="B521" s="268"/>
      <c r="C521" s="268"/>
      <c r="D521" s="268"/>
      <c r="E521" s="268"/>
      <c r="F521" s="268"/>
      <c r="G521" s="268"/>
      <c r="H521" s="268"/>
      <c r="I521" s="268"/>
      <c r="J521" s="268"/>
      <c r="K521" s="268"/>
      <c r="L521" s="268"/>
      <c r="M521" s="268"/>
      <c r="N521" s="268"/>
      <c r="O521" s="268"/>
      <c r="P521" s="268"/>
      <c r="Q521" s="268"/>
      <c r="R521" s="268"/>
      <c r="S521" s="268"/>
      <c r="T521" s="268"/>
      <c r="U521" s="268"/>
      <c r="V521" s="268"/>
      <c r="W521" s="268"/>
      <c r="X521" s="268"/>
      <c r="Y521" s="268"/>
      <c r="Z521" s="268"/>
    </row>
    <row r="522" customHeight="1" spans="1:26">
      <c r="A522" s="268"/>
      <c r="B522" s="268"/>
      <c r="C522" s="268"/>
      <c r="D522" s="268"/>
      <c r="E522" s="268"/>
      <c r="F522" s="268"/>
      <c r="G522" s="268"/>
      <c r="H522" s="268"/>
      <c r="I522" s="268"/>
      <c r="J522" s="268"/>
      <c r="K522" s="268"/>
      <c r="L522" s="268"/>
      <c r="M522" s="268"/>
      <c r="N522" s="268"/>
      <c r="O522" s="268"/>
      <c r="P522" s="268"/>
      <c r="Q522" s="268"/>
      <c r="R522" s="268"/>
      <c r="S522" s="268"/>
      <c r="T522" s="268"/>
      <c r="U522" s="268"/>
      <c r="V522" s="268"/>
      <c r="W522" s="268"/>
      <c r="X522" s="268"/>
      <c r="Y522" s="268"/>
      <c r="Z522" s="268"/>
    </row>
    <row r="523" customHeight="1" spans="1:26">
      <c r="A523" s="268"/>
      <c r="B523" s="268"/>
      <c r="C523" s="268"/>
      <c r="D523" s="268"/>
      <c r="E523" s="268"/>
      <c r="F523" s="268"/>
      <c r="G523" s="268"/>
      <c r="H523" s="268"/>
      <c r="I523" s="268"/>
      <c r="J523" s="268"/>
      <c r="K523" s="268"/>
      <c r="L523" s="268"/>
      <c r="M523" s="268"/>
      <c r="N523" s="268"/>
      <c r="O523" s="268"/>
      <c r="P523" s="268"/>
      <c r="Q523" s="268"/>
      <c r="R523" s="268"/>
      <c r="S523" s="268"/>
      <c r="T523" s="268"/>
      <c r="U523" s="268"/>
      <c r="V523" s="268"/>
      <c r="W523" s="268"/>
      <c r="X523" s="268"/>
      <c r="Y523" s="268"/>
      <c r="Z523" s="268"/>
    </row>
    <row r="524" customHeight="1" spans="1:26">
      <c r="A524" s="268"/>
      <c r="B524" s="268"/>
      <c r="C524" s="268"/>
      <c r="D524" s="268"/>
      <c r="E524" s="268"/>
      <c r="F524" s="268"/>
      <c r="G524" s="268"/>
      <c r="H524" s="268"/>
      <c r="I524" s="268"/>
      <c r="J524" s="268"/>
      <c r="K524" s="268"/>
      <c r="L524" s="268"/>
      <c r="M524" s="268"/>
      <c r="N524" s="268"/>
      <c r="O524" s="268"/>
      <c r="P524" s="268"/>
      <c r="Q524" s="268"/>
      <c r="R524" s="268"/>
      <c r="S524" s="268"/>
      <c r="T524" s="268"/>
      <c r="U524" s="268"/>
      <c r="V524" s="268"/>
      <c r="W524" s="268"/>
      <c r="X524" s="268"/>
      <c r="Y524" s="268"/>
      <c r="Z524" s="268"/>
    </row>
    <row r="525" customHeight="1" spans="1:26">
      <c r="A525" s="268"/>
      <c r="B525" s="268"/>
      <c r="C525" s="268"/>
      <c r="D525" s="268"/>
      <c r="E525" s="268"/>
      <c r="F525" s="268"/>
      <c r="G525" s="268"/>
      <c r="H525" s="268"/>
      <c r="I525" s="268"/>
      <c r="J525" s="268"/>
      <c r="K525" s="268"/>
      <c r="L525" s="268"/>
      <c r="M525" s="268"/>
      <c r="N525" s="268"/>
      <c r="O525" s="268"/>
      <c r="P525" s="268"/>
      <c r="Q525" s="268"/>
      <c r="R525" s="268"/>
      <c r="S525" s="268"/>
      <c r="T525" s="268"/>
      <c r="U525" s="268"/>
      <c r="V525" s="268"/>
      <c r="W525" s="268"/>
      <c r="X525" s="268"/>
      <c r="Y525" s="268"/>
      <c r="Z525" s="268"/>
    </row>
    <row r="526" customHeight="1" spans="1:26">
      <c r="A526" s="268"/>
      <c r="B526" s="268"/>
      <c r="C526" s="268"/>
      <c r="D526" s="268"/>
      <c r="E526" s="268"/>
      <c r="F526" s="268"/>
      <c r="G526" s="268"/>
      <c r="H526" s="268"/>
      <c r="I526" s="268"/>
      <c r="J526" s="268"/>
      <c r="K526" s="268"/>
      <c r="L526" s="268"/>
      <c r="M526" s="268"/>
      <c r="N526" s="268"/>
      <c r="O526" s="268"/>
      <c r="P526" s="268"/>
      <c r="Q526" s="268"/>
      <c r="R526" s="268"/>
      <c r="S526" s="268"/>
      <c r="T526" s="268"/>
      <c r="U526" s="268"/>
      <c r="V526" s="268"/>
      <c r="W526" s="268"/>
      <c r="X526" s="268"/>
      <c r="Y526" s="268"/>
      <c r="Z526" s="268"/>
    </row>
    <row r="527" customHeight="1" spans="1:26">
      <c r="A527" s="268"/>
      <c r="B527" s="268"/>
      <c r="C527" s="268"/>
      <c r="D527" s="268"/>
      <c r="E527" s="268"/>
      <c r="F527" s="268"/>
      <c r="G527" s="268"/>
      <c r="H527" s="268"/>
      <c r="I527" s="268"/>
      <c r="J527" s="268"/>
      <c r="K527" s="268"/>
      <c r="L527" s="268"/>
      <c r="M527" s="268"/>
      <c r="N527" s="268"/>
      <c r="O527" s="268"/>
      <c r="P527" s="268"/>
      <c r="Q527" s="268"/>
      <c r="R527" s="268"/>
      <c r="S527" s="268"/>
      <c r="T527" s="268"/>
      <c r="U527" s="268"/>
      <c r="V527" s="268"/>
      <c r="W527" s="268"/>
      <c r="X527" s="268"/>
      <c r="Y527" s="268"/>
      <c r="Z527" s="268"/>
    </row>
    <row r="528" customHeight="1" spans="1:26">
      <c r="A528" s="268"/>
      <c r="B528" s="268"/>
      <c r="C528" s="268"/>
      <c r="D528" s="268"/>
      <c r="E528" s="268"/>
      <c r="F528" s="268"/>
      <c r="G528" s="268"/>
      <c r="H528" s="268"/>
      <c r="I528" s="268"/>
      <c r="J528" s="268"/>
      <c r="K528" s="268"/>
      <c r="L528" s="268"/>
      <c r="M528" s="268"/>
      <c r="N528" s="268"/>
      <c r="O528" s="268"/>
      <c r="P528" s="268"/>
      <c r="Q528" s="268"/>
      <c r="R528" s="268"/>
      <c r="S528" s="268"/>
      <c r="T528" s="268"/>
      <c r="U528" s="268"/>
      <c r="V528" s="268"/>
      <c r="W528" s="268"/>
      <c r="X528" s="268"/>
      <c r="Y528" s="268"/>
      <c r="Z528" s="268"/>
    </row>
    <row r="529" customHeight="1" spans="1:26">
      <c r="A529" s="268"/>
      <c r="B529" s="268"/>
      <c r="C529" s="268"/>
      <c r="D529" s="268"/>
      <c r="E529" s="268"/>
      <c r="F529" s="268"/>
      <c r="G529" s="268"/>
      <c r="H529" s="268"/>
      <c r="I529" s="268"/>
      <c r="J529" s="268"/>
      <c r="K529" s="268"/>
      <c r="L529" s="268"/>
      <c r="M529" s="268"/>
      <c r="N529" s="268"/>
      <c r="O529" s="268"/>
      <c r="P529" s="268"/>
      <c r="Q529" s="268"/>
      <c r="R529" s="268"/>
      <c r="S529" s="268"/>
      <c r="T529" s="268"/>
      <c r="U529" s="268"/>
      <c r="V529" s="268"/>
      <c r="W529" s="268"/>
      <c r="X529" s="268"/>
      <c r="Y529" s="268"/>
      <c r="Z529" s="268"/>
    </row>
    <row r="530" customHeight="1" spans="1:26">
      <c r="A530" s="268"/>
      <c r="B530" s="268"/>
      <c r="C530" s="268"/>
      <c r="D530" s="268"/>
      <c r="E530" s="268"/>
      <c r="F530" s="268"/>
      <c r="G530" s="268"/>
      <c r="H530" s="268"/>
      <c r="I530" s="268"/>
      <c r="J530" s="268"/>
      <c r="K530" s="268"/>
      <c r="L530" s="268"/>
      <c r="M530" s="268"/>
      <c r="N530" s="268"/>
      <c r="O530" s="268"/>
      <c r="P530" s="268"/>
      <c r="Q530" s="268"/>
      <c r="R530" s="268"/>
      <c r="S530" s="268"/>
      <c r="T530" s="268"/>
      <c r="U530" s="268"/>
      <c r="V530" s="268"/>
      <c r="W530" s="268"/>
      <c r="X530" s="268"/>
      <c r="Y530" s="268"/>
      <c r="Z530" s="268"/>
    </row>
    <row r="531" customHeight="1" spans="1:26">
      <c r="A531" s="268"/>
      <c r="B531" s="268"/>
      <c r="C531" s="268"/>
      <c r="D531" s="268"/>
      <c r="E531" s="268"/>
      <c r="F531" s="268"/>
      <c r="G531" s="268"/>
      <c r="H531" s="268"/>
      <c r="I531" s="268"/>
      <c r="J531" s="268"/>
      <c r="K531" s="268"/>
      <c r="L531" s="268"/>
      <c r="M531" s="268"/>
      <c r="N531" s="268"/>
      <c r="O531" s="268"/>
      <c r="P531" s="268"/>
      <c r="Q531" s="268"/>
      <c r="R531" s="268"/>
      <c r="S531" s="268"/>
      <c r="T531" s="268"/>
      <c r="U531" s="268"/>
      <c r="V531" s="268"/>
      <c r="W531" s="268"/>
      <c r="X531" s="268"/>
      <c r="Y531" s="268"/>
      <c r="Z531" s="268"/>
    </row>
    <row r="532" customHeight="1" spans="1:26">
      <c r="A532" s="268"/>
      <c r="B532" s="268"/>
      <c r="C532" s="268"/>
      <c r="D532" s="268"/>
      <c r="E532" s="268"/>
      <c r="F532" s="268"/>
      <c r="G532" s="268"/>
      <c r="H532" s="268"/>
      <c r="I532" s="268"/>
      <c r="J532" s="268"/>
      <c r="K532" s="268"/>
      <c r="L532" s="268"/>
      <c r="M532" s="268"/>
      <c r="N532" s="268"/>
      <c r="O532" s="268"/>
      <c r="P532" s="268"/>
      <c r="Q532" s="268"/>
      <c r="R532" s="268"/>
      <c r="S532" s="268"/>
      <c r="T532" s="268"/>
      <c r="U532" s="268"/>
      <c r="V532" s="268"/>
      <c r="W532" s="268"/>
      <c r="X532" s="268"/>
      <c r="Y532" s="268"/>
      <c r="Z532" s="268"/>
    </row>
    <row r="533" customHeight="1" spans="1:26">
      <c r="A533" s="268"/>
      <c r="B533" s="268"/>
      <c r="C533" s="268"/>
      <c r="D533" s="268"/>
      <c r="E533" s="268"/>
      <c r="F533" s="268"/>
      <c r="G533" s="268"/>
      <c r="H533" s="268"/>
      <c r="I533" s="268"/>
      <c r="J533" s="268"/>
      <c r="K533" s="268"/>
      <c r="L533" s="268"/>
      <c r="M533" s="268"/>
      <c r="N533" s="268"/>
      <c r="O533" s="268"/>
      <c r="P533" s="268"/>
      <c r="Q533" s="268"/>
      <c r="R533" s="268"/>
      <c r="S533" s="268"/>
      <c r="T533" s="268"/>
      <c r="U533" s="268"/>
      <c r="V533" s="268"/>
      <c r="W533" s="268"/>
      <c r="X533" s="268"/>
      <c r="Y533" s="268"/>
      <c r="Z533" s="268"/>
    </row>
    <row r="534" customHeight="1" spans="1:26">
      <c r="A534" s="268"/>
      <c r="B534" s="268"/>
      <c r="C534" s="268"/>
      <c r="D534" s="268"/>
      <c r="E534" s="268"/>
      <c r="F534" s="268"/>
      <c r="G534" s="268"/>
      <c r="H534" s="268"/>
      <c r="I534" s="268"/>
      <c r="J534" s="268"/>
      <c r="K534" s="268"/>
      <c r="L534" s="268"/>
      <c r="M534" s="268"/>
      <c r="N534" s="268"/>
      <c r="O534" s="268"/>
      <c r="P534" s="268"/>
      <c r="Q534" s="268"/>
      <c r="R534" s="268"/>
      <c r="S534" s="268"/>
      <c r="T534" s="268"/>
      <c r="U534" s="268"/>
      <c r="V534" s="268"/>
      <c r="W534" s="268"/>
      <c r="X534" s="268"/>
      <c r="Y534" s="268"/>
      <c r="Z534" s="268"/>
    </row>
    <row r="535" customHeight="1" spans="1:26">
      <c r="A535" s="268"/>
      <c r="B535" s="268"/>
      <c r="C535" s="268"/>
      <c r="D535" s="268"/>
      <c r="E535" s="268"/>
      <c r="F535" s="268"/>
      <c r="G535" s="268"/>
      <c r="H535" s="268"/>
      <c r="I535" s="268"/>
      <c r="J535" s="268"/>
      <c r="K535" s="268"/>
      <c r="L535" s="268"/>
      <c r="M535" s="268"/>
      <c r="N535" s="268"/>
      <c r="O535" s="268"/>
      <c r="P535" s="268"/>
      <c r="Q535" s="268"/>
      <c r="R535" s="268"/>
      <c r="S535" s="268"/>
      <c r="T535" s="268"/>
      <c r="U535" s="268"/>
      <c r="V535" s="268"/>
      <c r="W535" s="268"/>
      <c r="X535" s="268"/>
      <c r="Y535" s="268"/>
      <c r="Z535" s="268"/>
    </row>
    <row r="536" customHeight="1" spans="1:26">
      <c r="A536" s="268"/>
      <c r="B536" s="268"/>
      <c r="C536" s="268"/>
      <c r="D536" s="268"/>
      <c r="E536" s="268"/>
      <c r="F536" s="268"/>
      <c r="G536" s="268"/>
      <c r="H536" s="268"/>
      <c r="I536" s="268"/>
      <c r="J536" s="268"/>
      <c r="K536" s="268"/>
      <c r="L536" s="268"/>
      <c r="M536" s="268"/>
      <c r="N536" s="268"/>
      <c r="O536" s="268"/>
      <c r="P536" s="268"/>
      <c r="Q536" s="268"/>
      <c r="R536" s="268"/>
      <c r="S536" s="268"/>
      <c r="T536" s="268"/>
      <c r="U536" s="268"/>
      <c r="V536" s="268"/>
      <c r="W536" s="268"/>
      <c r="X536" s="268"/>
      <c r="Y536" s="268"/>
      <c r="Z536" s="268"/>
    </row>
    <row r="537" customHeight="1" spans="1:26">
      <c r="A537" s="268"/>
      <c r="B537" s="268"/>
      <c r="C537" s="268"/>
      <c r="D537" s="268"/>
      <c r="E537" s="268"/>
      <c r="F537" s="268"/>
      <c r="G537" s="268"/>
      <c r="H537" s="268"/>
      <c r="I537" s="268"/>
      <c r="J537" s="268"/>
      <c r="K537" s="268"/>
      <c r="L537" s="268"/>
      <c r="M537" s="268"/>
      <c r="N537" s="268"/>
      <c r="O537" s="268"/>
      <c r="P537" s="268"/>
      <c r="Q537" s="268"/>
      <c r="R537" s="268"/>
      <c r="S537" s="268"/>
      <c r="T537" s="268"/>
      <c r="U537" s="268"/>
      <c r="V537" s="268"/>
      <c r="W537" s="268"/>
      <c r="X537" s="268"/>
      <c r="Y537" s="268"/>
      <c r="Z537" s="268"/>
    </row>
    <row r="538" customHeight="1" spans="1:26">
      <c r="A538" s="268"/>
      <c r="B538" s="268"/>
      <c r="C538" s="268"/>
      <c r="D538" s="268"/>
      <c r="E538" s="268"/>
      <c r="F538" s="268"/>
      <c r="G538" s="268"/>
      <c r="H538" s="268"/>
      <c r="I538" s="268"/>
      <c r="J538" s="268"/>
      <c r="K538" s="268"/>
      <c r="L538" s="268"/>
      <c r="M538" s="268"/>
      <c r="N538" s="268"/>
      <c r="O538" s="268"/>
      <c r="P538" s="268"/>
      <c r="Q538" s="268"/>
      <c r="R538" s="268"/>
      <c r="S538" s="268"/>
      <c r="T538" s="268"/>
      <c r="U538" s="268"/>
      <c r="V538" s="268"/>
      <c r="W538" s="268"/>
      <c r="X538" s="268"/>
      <c r="Y538" s="268"/>
      <c r="Z538" s="268"/>
    </row>
    <row r="539" customHeight="1" spans="1:26">
      <c r="A539" s="268"/>
      <c r="B539" s="268"/>
      <c r="C539" s="268"/>
      <c r="D539" s="268"/>
      <c r="E539" s="268"/>
      <c r="F539" s="268"/>
      <c r="G539" s="268"/>
      <c r="H539" s="268"/>
      <c r="I539" s="268"/>
      <c r="J539" s="268"/>
      <c r="K539" s="268"/>
      <c r="L539" s="268"/>
      <c r="M539" s="268"/>
      <c r="N539" s="268"/>
      <c r="O539" s="268"/>
      <c r="P539" s="268"/>
      <c r="Q539" s="268"/>
      <c r="R539" s="268"/>
      <c r="S539" s="268"/>
      <c r="T539" s="268"/>
      <c r="U539" s="268"/>
      <c r="V539" s="268"/>
      <c r="W539" s="268"/>
      <c r="X539" s="268"/>
      <c r="Y539" s="268"/>
      <c r="Z539" s="268"/>
    </row>
    <row r="540" customHeight="1" spans="1:26">
      <c r="A540" s="268"/>
      <c r="B540" s="268"/>
      <c r="C540" s="268"/>
      <c r="D540" s="268"/>
      <c r="E540" s="268"/>
      <c r="F540" s="268"/>
      <c r="G540" s="268"/>
      <c r="H540" s="268"/>
      <c r="I540" s="268"/>
      <c r="J540" s="268"/>
      <c r="K540" s="268"/>
      <c r="L540" s="268"/>
      <c r="M540" s="268"/>
      <c r="N540" s="268"/>
      <c r="O540" s="268"/>
      <c r="P540" s="268"/>
      <c r="Q540" s="268"/>
      <c r="R540" s="268"/>
      <c r="S540" s="268"/>
      <c r="T540" s="268"/>
      <c r="U540" s="268"/>
      <c r="V540" s="268"/>
      <c r="W540" s="268"/>
      <c r="X540" s="268"/>
      <c r="Y540" s="268"/>
      <c r="Z540" s="268"/>
    </row>
    <row r="541" customHeight="1" spans="1:26">
      <c r="A541" s="268"/>
      <c r="B541" s="268"/>
      <c r="C541" s="268"/>
      <c r="D541" s="268"/>
      <c r="E541" s="268"/>
      <c r="F541" s="268"/>
      <c r="G541" s="268"/>
      <c r="H541" s="268"/>
      <c r="I541" s="268"/>
      <c r="J541" s="268"/>
      <c r="K541" s="268"/>
      <c r="L541" s="268"/>
      <c r="M541" s="268"/>
      <c r="N541" s="268"/>
      <c r="O541" s="268"/>
      <c r="P541" s="268"/>
      <c r="Q541" s="268"/>
      <c r="R541" s="268"/>
      <c r="S541" s="268"/>
      <c r="T541" s="268"/>
      <c r="U541" s="268"/>
      <c r="V541" s="268"/>
      <c r="W541" s="268"/>
      <c r="X541" s="268"/>
      <c r="Y541" s="268"/>
      <c r="Z541" s="268"/>
    </row>
    <row r="542" customHeight="1" spans="1:26">
      <c r="A542" s="268"/>
      <c r="B542" s="268"/>
      <c r="C542" s="268"/>
      <c r="D542" s="268"/>
      <c r="E542" s="268"/>
      <c r="F542" s="268"/>
      <c r="G542" s="268"/>
      <c r="H542" s="268"/>
      <c r="I542" s="268"/>
      <c r="J542" s="268"/>
      <c r="K542" s="268"/>
      <c r="L542" s="268"/>
      <c r="M542" s="268"/>
      <c r="N542" s="268"/>
      <c r="O542" s="268"/>
      <c r="P542" s="268"/>
      <c r="Q542" s="268"/>
      <c r="R542" s="268"/>
      <c r="S542" s="268"/>
      <c r="T542" s="268"/>
      <c r="U542" s="268"/>
      <c r="V542" s="268"/>
      <c r="W542" s="268"/>
      <c r="X542" s="268"/>
      <c r="Y542" s="268"/>
      <c r="Z542" s="268"/>
    </row>
    <row r="543" customHeight="1" spans="1:26">
      <c r="A543" s="268"/>
      <c r="B543" s="268"/>
      <c r="C543" s="268"/>
      <c r="D543" s="268"/>
      <c r="E543" s="268"/>
      <c r="F543" s="268"/>
      <c r="G543" s="268"/>
      <c r="H543" s="268"/>
      <c r="I543" s="268"/>
      <c r="J543" s="268"/>
      <c r="K543" s="268"/>
      <c r="L543" s="268"/>
      <c r="M543" s="268"/>
      <c r="N543" s="268"/>
      <c r="O543" s="268"/>
      <c r="P543" s="268"/>
      <c r="Q543" s="268"/>
      <c r="R543" s="268"/>
      <c r="S543" s="268"/>
      <c r="T543" s="268"/>
      <c r="U543" s="268"/>
      <c r="V543" s="268"/>
      <c r="W543" s="268"/>
      <c r="X543" s="268"/>
      <c r="Y543" s="268"/>
      <c r="Z543" s="268"/>
    </row>
    <row r="544" customHeight="1" spans="1:26">
      <c r="A544" s="268"/>
      <c r="B544" s="268"/>
      <c r="C544" s="268"/>
      <c r="D544" s="268"/>
      <c r="E544" s="268"/>
      <c r="F544" s="268"/>
      <c r="G544" s="268"/>
      <c r="H544" s="268"/>
      <c r="I544" s="268"/>
      <c r="J544" s="268"/>
      <c r="K544" s="268"/>
      <c r="L544" s="268"/>
      <c r="M544" s="268"/>
      <c r="N544" s="268"/>
      <c r="O544" s="268"/>
      <c r="P544" s="268"/>
      <c r="Q544" s="268"/>
      <c r="R544" s="268"/>
      <c r="S544" s="268"/>
      <c r="T544" s="268"/>
      <c r="U544" s="268"/>
      <c r="V544" s="268"/>
      <c r="W544" s="268"/>
      <c r="X544" s="268"/>
      <c r="Y544" s="268"/>
      <c r="Z544" s="268"/>
    </row>
    <row r="545" customHeight="1" spans="1:26">
      <c r="A545" s="268"/>
      <c r="B545" s="268"/>
      <c r="C545" s="268"/>
      <c r="D545" s="268"/>
      <c r="E545" s="268"/>
      <c r="F545" s="268"/>
      <c r="G545" s="268"/>
      <c r="H545" s="268"/>
      <c r="I545" s="268"/>
      <c r="J545" s="268"/>
      <c r="K545" s="268"/>
      <c r="L545" s="268"/>
      <c r="M545" s="268"/>
      <c r="N545" s="268"/>
      <c r="O545" s="268"/>
      <c r="P545" s="268"/>
      <c r="Q545" s="268"/>
      <c r="R545" s="268"/>
      <c r="S545" s="268"/>
      <c r="T545" s="268"/>
      <c r="U545" s="268"/>
      <c r="V545" s="268"/>
      <c r="W545" s="268"/>
      <c r="X545" s="268"/>
      <c r="Y545" s="268"/>
      <c r="Z545" s="268"/>
    </row>
    <row r="546" customHeight="1" spans="1:26">
      <c r="A546" s="268"/>
      <c r="B546" s="268"/>
      <c r="C546" s="268"/>
      <c r="D546" s="268"/>
      <c r="E546" s="268"/>
      <c r="F546" s="268"/>
      <c r="G546" s="268"/>
      <c r="H546" s="268"/>
      <c r="I546" s="268"/>
      <c r="J546" s="268"/>
      <c r="K546" s="268"/>
      <c r="L546" s="268"/>
      <c r="M546" s="268"/>
      <c r="N546" s="268"/>
      <c r="O546" s="268"/>
      <c r="P546" s="268"/>
      <c r="Q546" s="268"/>
      <c r="R546" s="268"/>
      <c r="S546" s="268"/>
      <c r="T546" s="268"/>
      <c r="U546" s="268"/>
      <c r="V546" s="268"/>
      <c r="W546" s="268"/>
      <c r="X546" s="268"/>
      <c r="Y546" s="268"/>
      <c r="Z546" s="268"/>
    </row>
    <row r="547" customHeight="1" spans="1:26">
      <c r="A547" s="268"/>
      <c r="B547" s="268"/>
      <c r="C547" s="268"/>
      <c r="D547" s="268"/>
      <c r="E547" s="268"/>
      <c r="F547" s="268"/>
      <c r="G547" s="268"/>
      <c r="H547" s="268"/>
      <c r="I547" s="268"/>
      <c r="J547" s="268"/>
      <c r="K547" s="268"/>
      <c r="L547" s="268"/>
      <c r="M547" s="268"/>
      <c r="N547" s="268"/>
      <c r="O547" s="268"/>
      <c r="P547" s="268"/>
      <c r="Q547" s="268"/>
      <c r="R547" s="268"/>
      <c r="S547" s="268"/>
      <c r="T547" s="268"/>
      <c r="U547" s="268"/>
      <c r="V547" s="268"/>
      <c r="W547" s="268"/>
      <c r="X547" s="268"/>
      <c r="Y547" s="268"/>
      <c r="Z547" s="268"/>
    </row>
    <row r="548" customHeight="1" spans="1:26">
      <c r="A548" s="268"/>
      <c r="B548" s="268"/>
      <c r="C548" s="268"/>
      <c r="D548" s="268"/>
      <c r="E548" s="268"/>
      <c r="F548" s="268"/>
      <c r="G548" s="268"/>
      <c r="H548" s="268"/>
      <c r="I548" s="268"/>
      <c r="J548" s="268"/>
      <c r="K548" s="268"/>
      <c r="L548" s="268"/>
      <c r="M548" s="268"/>
      <c r="N548" s="268"/>
      <c r="O548" s="268"/>
      <c r="P548" s="268"/>
      <c r="Q548" s="268"/>
      <c r="R548" s="268"/>
      <c r="S548" s="268"/>
      <c r="T548" s="268"/>
      <c r="U548" s="268"/>
      <c r="V548" s="268"/>
      <c r="W548" s="268"/>
      <c r="X548" s="268"/>
      <c r="Y548" s="268"/>
      <c r="Z548" s="268"/>
    </row>
    <row r="549" customHeight="1" spans="1:26">
      <c r="A549" s="268"/>
      <c r="B549" s="268"/>
      <c r="C549" s="268"/>
      <c r="D549" s="268"/>
      <c r="E549" s="268"/>
      <c r="F549" s="268"/>
      <c r="G549" s="268"/>
      <c r="H549" s="268"/>
      <c r="I549" s="268"/>
      <c r="J549" s="268"/>
      <c r="K549" s="268"/>
      <c r="L549" s="268"/>
      <c r="M549" s="268"/>
      <c r="N549" s="268"/>
      <c r="O549" s="268"/>
      <c r="P549" s="268"/>
      <c r="Q549" s="268"/>
      <c r="R549" s="268"/>
      <c r="S549" s="268"/>
      <c r="T549" s="268"/>
      <c r="U549" s="268"/>
      <c r="V549" s="268"/>
      <c r="W549" s="268"/>
      <c r="X549" s="268"/>
      <c r="Y549" s="268"/>
      <c r="Z549" s="268"/>
    </row>
    <row r="550" customHeight="1" spans="1:26">
      <c r="A550" s="268"/>
      <c r="B550" s="268"/>
      <c r="C550" s="268"/>
      <c r="D550" s="268"/>
      <c r="E550" s="268"/>
      <c r="F550" s="268"/>
      <c r="G550" s="268"/>
      <c r="H550" s="268"/>
      <c r="I550" s="268"/>
      <c r="J550" s="268"/>
      <c r="K550" s="268"/>
      <c r="L550" s="268"/>
      <c r="M550" s="268"/>
      <c r="N550" s="268"/>
      <c r="O550" s="268"/>
      <c r="P550" s="268"/>
      <c r="Q550" s="268"/>
      <c r="R550" s="268"/>
      <c r="S550" s="268"/>
      <c r="T550" s="268"/>
      <c r="U550" s="268"/>
      <c r="V550" s="268"/>
      <c r="W550" s="268"/>
      <c r="X550" s="268"/>
      <c r="Y550" s="268"/>
      <c r="Z550" s="268"/>
    </row>
    <row r="551" customHeight="1" spans="1:26">
      <c r="A551" s="268"/>
      <c r="B551" s="268"/>
      <c r="C551" s="268"/>
      <c r="D551" s="268"/>
      <c r="E551" s="268"/>
      <c r="F551" s="268"/>
      <c r="G551" s="268"/>
      <c r="H551" s="268"/>
      <c r="I551" s="268"/>
      <c r="J551" s="268"/>
      <c r="K551" s="268"/>
      <c r="L551" s="268"/>
      <c r="M551" s="268"/>
      <c r="N551" s="268"/>
      <c r="O551" s="268"/>
      <c r="P551" s="268"/>
      <c r="Q551" s="268"/>
      <c r="R551" s="268"/>
      <c r="S551" s="268"/>
      <c r="T551" s="268"/>
      <c r="U551" s="268"/>
      <c r="V551" s="268"/>
      <c r="W551" s="268"/>
      <c r="X551" s="268"/>
      <c r="Y551" s="268"/>
      <c r="Z551" s="268"/>
    </row>
    <row r="552" customHeight="1" spans="1:26">
      <c r="A552" s="268"/>
      <c r="B552" s="268"/>
      <c r="C552" s="268"/>
      <c r="D552" s="268"/>
      <c r="E552" s="268"/>
      <c r="F552" s="268"/>
      <c r="G552" s="268"/>
      <c r="H552" s="268"/>
      <c r="I552" s="268"/>
      <c r="J552" s="268"/>
      <c r="K552" s="268"/>
      <c r="L552" s="268"/>
      <c r="M552" s="268"/>
      <c r="N552" s="268"/>
      <c r="O552" s="268"/>
      <c r="P552" s="268"/>
      <c r="Q552" s="268"/>
      <c r="R552" s="268"/>
      <c r="S552" s="268"/>
      <c r="T552" s="268"/>
      <c r="U552" s="268"/>
      <c r="V552" s="268"/>
      <c r="W552" s="268"/>
      <c r="X552" s="268"/>
      <c r="Y552" s="268"/>
      <c r="Z552" s="268"/>
    </row>
    <row r="553" customHeight="1" spans="1:26">
      <c r="A553" s="268"/>
      <c r="B553" s="268"/>
      <c r="C553" s="268"/>
      <c r="D553" s="268"/>
      <c r="E553" s="268"/>
      <c r="F553" s="268"/>
      <c r="G553" s="268"/>
      <c r="H553" s="268"/>
      <c r="I553" s="268"/>
      <c r="J553" s="268"/>
      <c r="K553" s="268"/>
      <c r="L553" s="268"/>
      <c r="M553" s="268"/>
      <c r="N553" s="268"/>
      <c r="O553" s="268"/>
      <c r="P553" s="268"/>
      <c r="Q553" s="268"/>
      <c r="R553" s="268"/>
      <c r="S553" s="268"/>
      <c r="T553" s="268"/>
      <c r="U553" s="268"/>
      <c r="V553" s="268"/>
      <c r="W553" s="268"/>
      <c r="X553" s="268"/>
      <c r="Y553" s="268"/>
      <c r="Z553" s="268"/>
    </row>
    <row r="554" customHeight="1" spans="1:26">
      <c r="A554" s="268"/>
      <c r="B554" s="268"/>
      <c r="C554" s="268"/>
      <c r="D554" s="268"/>
      <c r="E554" s="268"/>
      <c r="F554" s="268"/>
      <c r="G554" s="268"/>
      <c r="H554" s="268"/>
      <c r="I554" s="268"/>
      <c r="J554" s="268"/>
      <c r="K554" s="268"/>
      <c r="L554" s="268"/>
      <c r="M554" s="268"/>
      <c r="N554" s="268"/>
      <c r="O554" s="268"/>
      <c r="P554" s="268"/>
      <c r="Q554" s="268"/>
      <c r="R554" s="268"/>
      <c r="S554" s="268"/>
      <c r="T554" s="268"/>
      <c r="U554" s="268"/>
      <c r="V554" s="268"/>
      <c r="W554" s="268"/>
      <c r="X554" s="268"/>
      <c r="Y554" s="268"/>
      <c r="Z554" s="268"/>
    </row>
    <row r="555" customHeight="1" spans="1:26">
      <c r="A555" s="268"/>
      <c r="B555" s="268"/>
      <c r="C555" s="268"/>
      <c r="D555" s="268"/>
      <c r="E555" s="268"/>
      <c r="F555" s="268"/>
      <c r="G555" s="268"/>
      <c r="H555" s="268"/>
      <c r="I555" s="268"/>
      <c r="J555" s="268"/>
      <c r="K555" s="268"/>
      <c r="L555" s="268"/>
      <c r="M555" s="268"/>
      <c r="N555" s="268"/>
      <c r="O555" s="268"/>
      <c r="P555" s="268"/>
      <c r="Q555" s="268"/>
      <c r="R555" s="268"/>
      <c r="S555" s="268"/>
      <c r="T555" s="268"/>
      <c r="U555" s="268"/>
      <c r="V555" s="268"/>
      <c r="W555" s="268"/>
      <c r="X555" s="268"/>
      <c r="Y555" s="268"/>
      <c r="Z555" s="268"/>
    </row>
    <row r="556" customHeight="1" spans="1:26">
      <c r="A556" s="268"/>
      <c r="B556" s="268"/>
      <c r="C556" s="268"/>
      <c r="D556" s="268"/>
      <c r="E556" s="268"/>
      <c r="F556" s="268"/>
      <c r="G556" s="268"/>
      <c r="H556" s="268"/>
      <c r="I556" s="268"/>
      <c r="J556" s="268"/>
      <c r="K556" s="268"/>
      <c r="L556" s="268"/>
      <c r="M556" s="268"/>
      <c r="N556" s="268"/>
      <c r="O556" s="268"/>
      <c r="P556" s="268"/>
      <c r="Q556" s="268"/>
      <c r="R556" s="268"/>
      <c r="S556" s="268"/>
      <c r="T556" s="268"/>
      <c r="U556" s="268"/>
      <c r="V556" s="268"/>
      <c r="W556" s="268"/>
      <c r="X556" s="268"/>
      <c r="Y556" s="268"/>
      <c r="Z556" s="268"/>
    </row>
    <row r="557" customHeight="1" spans="1:26">
      <c r="A557" s="268"/>
      <c r="B557" s="268"/>
      <c r="C557" s="268"/>
      <c r="D557" s="268"/>
      <c r="E557" s="268"/>
      <c r="F557" s="268"/>
      <c r="G557" s="268"/>
      <c r="H557" s="268"/>
      <c r="I557" s="268"/>
      <c r="J557" s="268"/>
      <c r="K557" s="268"/>
      <c r="L557" s="268"/>
      <c r="M557" s="268"/>
      <c r="N557" s="268"/>
      <c r="O557" s="268"/>
      <c r="P557" s="268"/>
      <c r="Q557" s="268"/>
      <c r="R557" s="268"/>
      <c r="S557" s="268"/>
      <c r="T557" s="268"/>
      <c r="U557" s="268"/>
      <c r="V557" s="268"/>
      <c r="W557" s="268"/>
      <c r="X557" s="268"/>
      <c r="Y557" s="268"/>
      <c r="Z557" s="268"/>
    </row>
    <row r="558" customHeight="1" spans="1:26">
      <c r="A558" s="268"/>
      <c r="B558" s="268"/>
      <c r="C558" s="268"/>
      <c r="D558" s="268"/>
      <c r="E558" s="268"/>
      <c r="F558" s="268"/>
      <c r="G558" s="268"/>
      <c r="H558" s="268"/>
      <c r="I558" s="268"/>
      <c r="J558" s="268"/>
      <c r="K558" s="268"/>
      <c r="L558" s="268"/>
      <c r="M558" s="268"/>
      <c r="N558" s="268"/>
      <c r="O558" s="268"/>
      <c r="P558" s="268"/>
      <c r="Q558" s="268"/>
      <c r="R558" s="268"/>
      <c r="S558" s="268"/>
      <c r="T558" s="268"/>
      <c r="U558" s="268"/>
      <c r="V558" s="268"/>
      <c r="W558" s="268"/>
      <c r="X558" s="268"/>
      <c r="Y558" s="268"/>
      <c r="Z558" s="268"/>
    </row>
    <row r="559" customHeight="1" spans="1:26">
      <c r="A559" s="268"/>
      <c r="B559" s="268"/>
      <c r="C559" s="268"/>
      <c r="D559" s="268"/>
      <c r="E559" s="268"/>
      <c r="F559" s="268"/>
      <c r="G559" s="268"/>
      <c r="H559" s="268"/>
      <c r="I559" s="268"/>
      <c r="J559" s="268"/>
      <c r="K559" s="268"/>
      <c r="L559" s="268"/>
      <c r="M559" s="268"/>
      <c r="N559" s="268"/>
      <c r="O559" s="268"/>
      <c r="P559" s="268"/>
      <c r="Q559" s="268"/>
      <c r="R559" s="268"/>
      <c r="S559" s="268"/>
      <c r="T559" s="268"/>
      <c r="U559" s="268"/>
      <c r="V559" s="268"/>
      <c r="W559" s="268"/>
      <c r="X559" s="268"/>
      <c r="Y559" s="268"/>
      <c r="Z559" s="268"/>
    </row>
    <row r="560" customHeight="1" spans="1:26">
      <c r="A560" s="268"/>
      <c r="B560" s="268"/>
      <c r="C560" s="268"/>
      <c r="D560" s="268"/>
      <c r="E560" s="268"/>
      <c r="F560" s="268"/>
      <c r="G560" s="268"/>
      <c r="H560" s="268"/>
      <c r="I560" s="268"/>
      <c r="J560" s="268"/>
      <c r="K560" s="268"/>
      <c r="L560" s="268"/>
      <c r="M560" s="268"/>
      <c r="N560" s="268"/>
      <c r="O560" s="268"/>
      <c r="P560" s="268"/>
      <c r="Q560" s="268"/>
      <c r="R560" s="268"/>
      <c r="S560" s="268"/>
      <c r="T560" s="268"/>
      <c r="U560" s="268"/>
      <c r="V560" s="268"/>
      <c r="W560" s="268"/>
      <c r="X560" s="268"/>
      <c r="Y560" s="268"/>
      <c r="Z560" s="268"/>
    </row>
    <row r="561" customHeight="1" spans="1:26">
      <c r="A561" s="268"/>
      <c r="B561" s="268"/>
      <c r="C561" s="268"/>
      <c r="D561" s="268"/>
      <c r="E561" s="268"/>
      <c r="F561" s="268"/>
      <c r="G561" s="268"/>
      <c r="H561" s="268"/>
      <c r="I561" s="268"/>
      <c r="J561" s="268"/>
      <c r="K561" s="268"/>
      <c r="L561" s="268"/>
      <c r="M561" s="268"/>
      <c r="N561" s="268"/>
      <c r="O561" s="268"/>
      <c r="P561" s="268"/>
      <c r="Q561" s="268"/>
      <c r="R561" s="268"/>
      <c r="S561" s="268"/>
      <c r="T561" s="268"/>
      <c r="U561" s="268"/>
      <c r="V561" s="268"/>
      <c r="W561" s="268"/>
      <c r="X561" s="268"/>
      <c r="Y561" s="268"/>
      <c r="Z561" s="268"/>
    </row>
    <row r="562" customHeight="1" spans="1:26">
      <c r="A562" s="268"/>
      <c r="B562" s="268"/>
      <c r="C562" s="268"/>
      <c r="D562" s="268"/>
      <c r="E562" s="268"/>
      <c r="F562" s="268"/>
      <c r="G562" s="268"/>
      <c r="H562" s="268"/>
      <c r="I562" s="268"/>
      <c r="J562" s="268"/>
      <c r="K562" s="268"/>
      <c r="L562" s="268"/>
      <c r="M562" s="268"/>
      <c r="N562" s="268"/>
      <c r="O562" s="268"/>
      <c r="P562" s="268"/>
      <c r="Q562" s="268"/>
      <c r="R562" s="268"/>
      <c r="S562" s="268"/>
      <c r="T562" s="268"/>
      <c r="U562" s="268"/>
      <c r="V562" s="268"/>
      <c r="W562" s="268"/>
      <c r="X562" s="268"/>
      <c r="Y562" s="268"/>
      <c r="Z562" s="268"/>
    </row>
    <row r="563" customHeight="1" spans="1:26">
      <c r="A563" s="268"/>
      <c r="B563" s="268"/>
      <c r="C563" s="268"/>
      <c r="D563" s="268"/>
      <c r="E563" s="268"/>
      <c r="F563" s="268"/>
      <c r="G563" s="268"/>
      <c r="H563" s="268"/>
      <c r="I563" s="268"/>
      <c r="J563" s="268"/>
      <c r="K563" s="268"/>
      <c r="L563" s="268"/>
      <c r="M563" s="268"/>
      <c r="N563" s="268"/>
      <c r="O563" s="268"/>
      <c r="P563" s="268"/>
      <c r="Q563" s="268"/>
      <c r="R563" s="268"/>
      <c r="S563" s="268"/>
      <c r="T563" s="268"/>
      <c r="U563" s="268"/>
      <c r="V563" s="268"/>
      <c r="W563" s="268"/>
      <c r="X563" s="268"/>
      <c r="Y563" s="268"/>
      <c r="Z563" s="268"/>
    </row>
    <row r="564" customHeight="1" spans="1:26">
      <c r="A564" s="268"/>
      <c r="B564" s="268"/>
      <c r="C564" s="268"/>
      <c r="D564" s="268"/>
      <c r="E564" s="268"/>
      <c r="F564" s="268"/>
      <c r="G564" s="268"/>
      <c r="H564" s="268"/>
      <c r="I564" s="268"/>
      <c r="J564" s="268"/>
      <c r="K564" s="268"/>
      <c r="L564" s="268"/>
      <c r="M564" s="268"/>
      <c r="N564" s="268"/>
      <c r="O564" s="268"/>
      <c r="P564" s="268"/>
      <c r="Q564" s="268"/>
      <c r="R564" s="268"/>
      <c r="S564" s="268"/>
      <c r="T564" s="268"/>
      <c r="U564" s="268"/>
      <c r="V564" s="268"/>
      <c r="W564" s="268"/>
      <c r="X564" s="268"/>
      <c r="Y564" s="268"/>
      <c r="Z564" s="268"/>
    </row>
    <row r="565" customHeight="1" spans="1:26">
      <c r="A565" s="268"/>
      <c r="B565" s="268"/>
      <c r="C565" s="268"/>
      <c r="D565" s="268"/>
      <c r="E565" s="268"/>
      <c r="F565" s="268"/>
      <c r="G565" s="268"/>
      <c r="H565" s="268"/>
      <c r="I565" s="268"/>
      <c r="J565" s="268"/>
      <c r="K565" s="268"/>
      <c r="L565" s="268"/>
      <c r="M565" s="268"/>
      <c r="N565" s="268"/>
      <c r="O565" s="268"/>
      <c r="P565" s="268"/>
      <c r="Q565" s="268"/>
      <c r="R565" s="268"/>
      <c r="S565" s="268"/>
      <c r="T565" s="268"/>
      <c r="U565" s="268"/>
      <c r="V565" s="268"/>
      <c r="W565" s="268"/>
      <c r="X565" s="268"/>
      <c r="Y565" s="268"/>
      <c r="Z565" s="268"/>
    </row>
    <row r="566" customHeight="1" spans="1:26">
      <c r="A566" s="268"/>
      <c r="B566" s="268"/>
      <c r="C566" s="268"/>
      <c r="D566" s="268"/>
      <c r="E566" s="268"/>
      <c r="F566" s="268"/>
      <c r="G566" s="268"/>
      <c r="H566" s="268"/>
      <c r="I566" s="268"/>
      <c r="J566" s="268"/>
      <c r="K566" s="268"/>
      <c r="L566" s="268"/>
      <c r="M566" s="268"/>
      <c r="N566" s="268"/>
      <c r="O566" s="268"/>
      <c r="P566" s="268"/>
      <c r="Q566" s="268"/>
      <c r="R566" s="268"/>
      <c r="S566" s="268"/>
      <c r="T566" s="268"/>
      <c r="U566" s="268"/>
      <c r="V566" s="268"/>
      <c r="W566" s="268"/>
      <c r="X566" s="268"/>
      <c r="Y566" s="268"/>
      <c r="Z566" s="268"/>
    </row>
    <row r="567" customHeight="1" spans="1:26">
      <c r="A567" s="268"/>
      <c r="B567" s="268"/>
      <c r="C567" s="268"/>
      <c r="D567" s="268"/>
      <c r="E567" s="268"/>
      <c r="F567" s="268"/>
      <c r="G567" s="268"/>
      <c r="H567" s="268"/>
      <c r="I567" s="268"/>
      <c r="J567" s="268"/>
      <c r="K567" s="268"/>
      <c r="L567" s="268"/>
      <c r="M567" s="268"/>
      <c r="N567" s="268"/>
      <c r="O567" s="268"/>
      <c r="P567" s="268"/>
      <c r="Q567" s="268"/>
      <c r="R567" s="268"/>
      <c r="S567" s="268"/>
      <c r="T567" s="268"/>
      <c r="U567" s="268"/>
      <c r="V567" s="268"/>
      <c r="W567" s="268"/>
      <c r="X567" s="268"/>
      <c r="Y567" s="268"/>
      <c r="Z567" s="268"/>
    </row>
    <row r="568" customHeight="1" spans="1:26">
      <c r="A568" s="268"/>
      <c r="B568" s="268"/>
      <c r="C568" s="268"/>
      <c r="D568" s="268"/>
      <c r="E568" s="268"/>
      <c r="F568" s="268"/>
      <c r="G568" s="268"/>
      <c r="H568" s="268"/>
      <c r="I568" s="268"/>
      <c r="J568" s="268"/>
      <c r="K568" s="268"/>
      <c r="L568" s="268"/>
      <c r="M568" s="268"/>
      <c r="N568" s="268"/>
      <c r="O568" s="268"/>
      <c r="P568" s="268"/>
      <c r="Q568" s="268"/>
      <c r="R568" s="268"/>
      <c r="S568" s="268"/>
      <c r="T568" s="268"/>
      <c r="U568" s="268"/>
      <c r="V568" s="268"/>
      <c r="W568" s="268"/>
      <c r="X568" s="268"/>
      <c r="Y568" s="268"/>
      <c r="Z568" s="268"/>
    </row>
    <row r="569" customHeight="1" spans="1:26">
      <c r="A569" s="268"/>
      <c r="B569" s="268"/>
      <c r="C569" s="268"/>
      <c r="D569" s="268"/>
      <c r="E569" s="268"/>
      <c r="F569" s="268"/>
      <c r="G569" s="268"/>
      <c r="H569" s="268"/>
      <c r="I569" s="268"/>
      <c r="J569" s="268"/>
      <c r="K569" s="268"/>
      <c r="L569" s="268"/>
      <c r="M569" s="268"/>
      <c r="N569" s="268"/>
      <c r="O569" s="268"/>
      <c r="P569" s="268"/>
      <c r="Q569" s="268"/>
      <c r="R569" s="268"/>
      <c r="S569" s="268"/>
      <c r="T569" s="268"/>
      <c r="U569" s="268"/>
      <c r="V569" s="268"/>
      <c r="W569" s="268"/>
      <c r="X569" s="268"/>
      <c r="Y569" s="268"/>
      <c r="Z569" s="268"/>
    </row>
    <row r="570" customHeight="1" spans="1:26">
      <c r="A570" s="268"/>
      <c r="B570" s="268"/>
      <c r="C570" s="268"/>
      <c r="D570" s="268"/>
      <c r="E570" s="268"/>
      <c r="F570" s="268"/>
      <c r="G570" s="268"/>
      <c r="H570" s="268"/>
      <c r="I570" s="268"/>
      <c r="J570" s="268"/>
      <c r="K570" s="268"/>
      <c r="L570" s="268"/>
      <c r="M570" s="268"/>
      <c r="N570" s="268"/>
      <c r="O570" s="268"/>
      <c r="P570" s="268"/>
      <c r="Q570" s="268"/>
      <c r="R570" s="268"/>
      <c r="S570" s="268"/>
      <c r="T570" s="268"/>
      <c r="U570" s="268"/>
      <c r="V570" s="268"/>
      <c r="W570" s="268"/>
      <c r="X570" s="268"/>
      <c r="Y570" s="268"/>
      <c r="Z570" s="268"/>
    </row>
    <row r="571" customHeight="1" spans="1:26">
      <c r="A571" s="268"/>
      <c r="B571" s="268"/>
      <c r="C571" s="268"/>
      <c r="D571" s="268"/>
      <c r="E571" s="268"/>
      <c r="F571" s="268"/>
      <c r="G571" s="268"/>
      <c r="H571" s="268"/>
      <c r="I571" s="268"/>
      <c r="J571" s="268"/>
      <c r="K571" s="268"/>
      <c r="L571" s="268"/>
      <c r="M571" s="268"/>
      <c r="N571" s="268"/>
      <c r="O571" s="268"/>
      <c r="P571" s="268"/>
      <c r="Q571" s="268"/>
      <c r="R571" s="268"/>
      <c r="S571" s="268"/>
      <c r="T571" s="268"/>
      <c r="U571" s="268"/>
      <c r="V571" s="268"/>
      <c r="W571" s="268"/>
      <c r="X571" s="268"/>
      <c r="Y571" s="268"/>
      <c r="Z571" s="268"/>
    </row>
    <row r="572" customHeight="1" spans="1:26">
      <c r="A572" s="268"/>
      <c r="B572" s="268"/>
      <c r="C572" s="268"/>
      <c r="D572" s="268"/>
      <c r="E572" s="268"/>
      <c r="F572" s="268"/>
      <c r="G572" s="268"/>
      <c r="H572" s="268"/>
      <c r="I572" s="268"/>
      <c r="J572" s="268"/>
      <c r="K572" s="268"/>
      <c r="L572" s="268"/>
      <c r="M572" s="268"/>
      <c r="N572" s="268"/>
      <c r="O572" s="268"/>
      <c r="P572" s="268"/>
      <c r="Q572" s="268"/>
      <c r="R572" s="268"/>
      <c r="S572" s="268"/>
      <c r="T572" s="268"/>
      <c r="U572" s="268"/>
      <c r="V572" s="268"/>
      <c r="W572" s="268"/>
      <c r="X572" s="268"/>
      <c r="Y572" s="268"/>
      <c r="Z572" s="268"/>
    </row>
    <row r="573" customHeight="1" spans="1:26">
      <c r="A573" s="268"/>
      <c r="B573" s="268"/>
      <c r="C573" s="268"/>
      <c r="D573" s="268"/>
      <c r="E573" s="268"/>
      <c r="F573" s="268"/>
      <c r="G573" s="268"/>
      <c r="H573" s="268"/>
      <c r="I573" s="268"/>
      <c r="J573" s="268"/>
      <c r="K573" s="268"/>
      <c r="L573" s="268"/>
      <c r="M573" s="268"/>
      <c r="N573" s="268"/>
      <c r="O573" s="268"/>
      <c r="P573" s="268"/>
      <c r="Q573" s="268"/>
      <c r="R573" s="268"/>
      <c r="S573" s="268"/>
      <c r="T573" s="268"/>
      <c r="U573" s="268"/>
      <c r="V573" s="268"/>
      <c r="W573" s="268"/>
      <c r="X573" s="268"/>
      <c r="Y573" s="268"/>
      <c r="Z573" s="268"/>
    </row>
    <row r="574" customHeight="1" spans="1:26">
      <c r="A574" s="268"/>
      <c r="B574" s="268"/>
      <c r="C574" s="268"/>
      <c r="D574" s="268"/>
      <c r="E574" s="268"/>
      <c r="F574" s="268"/>
      <c r="G574" s="268"/>
      <c r="H574" s="268"/>
      <c r="I574" s="268"/>
      <c r="J574" s="268"/>
      <c r="K574" s="268"/>
      <c r="L574" s="268"/>
      <c r="M574" s="268"/>
      <c r="N574" s="268"/>
      <c r="O574" s="268"/>
      <c r="P574" s="268"/>
      <c r="Q574" s="268"/>
      <c r="R574" s="268"/>
      <c r="S574" s="268"/>
      <c r="T574" s="268"/>
      <c r="U574" s="268"/>
      <c r="V574" s="268"/>
      <c r="W574" s="268"/>
      <c r="X574" s="268"/>
      <c r="Y574" s="268"/>
      <c r="Z574" s="268"/>
    </row>
    <row r="575" customHeight="1" spans="1:26">
      <c r="A575" s="268"/>
      <c r="B575" s="268"/>
      <c r="C575" s="268"/>
      <c r="D575" s="268"/>
      <c r="E575" s="268"/>
      <c r="F575" s="268"/>
      <c r="G575" s="268"/>
      <c r="H575" s="268"/>
      <c r="I575" s="268"/>
      <c r="J575" s="268"/>
      <c r="K575" s="268"/>
      <c r="L575" s="268"/>
      <c r="M575" s="268"/>
      <c r="N575" s="268"/>
      <c r="O575" s="268"/>
      <c r="P575" s="268"/>
      <c r="Q575" s="268"/>
      <c r="R575" s="268"/>
      <c r="S575" s="268"/>
      <c r="T575" s="268"/>
      <c r="U575" s="268"/>
      <c r="V575" s="268"/>
      <c r="W575" s="268"/>
      <c r="X575" s="268"/>
      <c r="Y575" s="268"/>
      <c r="Z575" s="268"/>
    </row>
    <row r="576" customHeight="1" spans="1:26">
      <c r="A576" s="268"/>
      <c r="B576" s="268"/>
      <c r="C576" s="268"/>
      <c r="D576" s="268"/>
      <c r="E576" s="268"/>
      <c r="F576" s="268"/>
      <c r="G576" s="268"/>
      <c r="H576" s="268"/>
      <c r="I576" s="268"/>
      <c r="J576" s="268"/>
      <c r="K576" s="268"/>
      <c r="L576" s="268"/>
      <c r="M576" s="268"/>
      <c r="N576" s="268"/>
      <c r="O576" s="268"/>
      <c r="P576" s="268"/>
      <c r="Q576" s="268"/>
      <c r="R576" s="268"/>
      <c r="S576" s="268"/>
      <c r="T576" s="268"/>
      <c r="U576" s="268"/>
      <c r="V576" s="268"/>
      <c r="W576" s="268"/>
      <c r="X576" s="268"/>
      <c r="Y576" s="268"/>
      <c r="Z576" s="268"/>
    </row>
    <row r="577" customHeight="1" spans="1:26">
      <c r="A577" s="268"/>
      <c r="B577" s="268"/>
      <c r="C577" s="268"/>
      <c r="D577" s="268"/>
      <c r="E577" s="268"/>
      <c r="F577" s="268"/>
      <c r="G577" s="268"/>
      <c r="H577" s="268"/>
      <c r="I577" s="268"/>
      <c r="J577" s="268"/>
      <c r="K577" s="268"/>
      <c r="L577" s="268"/>
      <c r="M577" s="268"/>
      <c r="N577" s="268"/>
      <c r="O577" s="268"/>
      <c r="P577" s="268"/>
      <c r="Q577" s="268"/>
      <c r="R577" s="268"/>
      <c r="S577" s="268"/>
      <c r="T577" s="268"/>
      <c r="U577" s="268"/>
      <c r="V577" s="268"/>
      <c r="W577" s="268"/>
      <c r="X577" s="268"/>
      <c r="Y577" s="268"/>
      <c r="Z577" s="268"/>
    </row>
    <row r="578" customHeight="1" spans="1:26">
      <c r="A578" s="268"/>
      <c r="B578" s="268"/>
      <c r="C578" s="268"/>
      <c r="D578" s="268"/>
      <c r="E578" s="268"/>
      <c r="F578" s="268"/>
      <c r="G578" s="268"/>
      <c r="H578" s="268"/>
      <c r="I578" s="268"/>
      <c r="J578" s="268"/>
      <c r="K578" s="268"/>
      <c r="L578" s="268"/>
      <c r="M578" s="268"/>
      <c r="N578" s="268"/>
      <c r="O578" s="268"/>
      <c r="P578" s="268"/>
      <c r="Q578" s="268"/>
      <c r="R578" s="268"/>
      <c r="S578" s="268"/>
      <c r="T578" s="268"/>
      <c r="U578" s="268"/>
      <c r="V578" s="268"/>
      <c r="W578" s="268"/>
      <c r="X578" s="268"/>
      <c r="Y578" s="268"/>
      <c r="Z578" s="268"/>
    </row>
    <row r="579" customHeight="1" spans="1:26">
      <c r="A579" s="268"/>
      <c r="B579" s="268"/>
      <c r="C579" s="268"/>
      <c r="D579" s="268"/>
      <c r="E579" s="268"/>
      <c r="F579" s="268"/>
      <c r="G579" s="268"/>
      <c r="H579" s="268"/>
      <c r="I579" s="268"/>
      <c r="J579" s="268"/>
      <c r="K579" s="268"/>
      <c r="L579" s="268"/>
      <c r="M579" s="268"/>
      <c r="N579" s="268"/>
      <c r="O579" s="268"/>
      <c r="P579" s="268"/>
      <c r="Q579" s="268"/>
      <c r="R579" s="268"/>
      <c r="S579" s="268"/>
      <c r="T579" s="268"/>
      <c r="U579" s="268"/>
      <c r="V579" s="268"/>
      <c r="W579" s="268"/>
      <c r="X579" s="268"/>
      <c r="Y579" s="268"/>
      <c r="Z579" s="268"/>
    </row>
    <row r="580" customHeight="1" spans="1:26">
      <c r="A580" s="268"/>
      <c r="B580" s="268"/>
      <c r="C580" s="268"/>
      <c r="D580" s="268"/>
      <c r="E580" s="268"/>
      <c r="F580" s="268"/>
      <c r="G580" s="268"/>
      <c r="H580" s="268"/>
      <c r="I580" s="268"/>
      <c r="J580" s="268"/>
      <c r="K580" s="268"/>
      <c r="L580" s="268"/>
      <c r="M580" s="268"/>
      <c r="N580" s="268"/>
      <c r="O580" s="268"/>
      <c r="P580" s="268"/>
      <c r="Q580" s="268"/>
      <c r="R580" s="268"/>
      <c r="S580" s="268"/>
      <c r="T580" s="268"/>
      <c r="U580" s="268"/>
      <c r="V580" s="268"/>
      <c r="W580" s="268"/>
      <c r="X580" s="268"/>
      <c r="Y580" s="268"/>
      <c r="Z580" s="268"/>
    </row>
    <row r="581" customHeight="1" spans="1:26">
      <c r="A581" s="268"/>
      <c r="B581" s="268"/>
      <c r="C581" s="268"/>
      <c r="D581" s="268"/>
      <c r="E581" s="268"/>
      <c r="F581" s="268"/>
      <c r="G581" s="268"/>
      <c r="H581" s="268"/>
      <c r="I581" s="268"/>
      <c r="J581" s="268"/>
      <c r="K581" s="268"/>
      <c r="L581" s="268"/>
      <c r="M581" s="268"/>
      <c r="N581" s="268"/>
      <c r="O581" s="268"/>
      <c r="P581" s="268"/>
      <c r="Q581" s="268"/>
      <c r="R581" s="268"/>
      <c r="S581" s="268"/>
      <c r="T581" s="268"/>
      <c r="U581" s="268"/>
      <c r="V581" s="268"/>
      <c r="W581" s="268"/>
      <c r="X581" s="268"/>
      <c r="Y581" s="268"/>
      <c r="Z581" s="268"/>
    </row>
    <row r="582" customHeight="1" spans="1:26">
      <c r="A582" s="268"/>
      <c r="B582" s="268"/>
      <c r="C582" s="268"/>
      <c r="D582" s="268"/>
      <c r="E582" s="268"/>
      <c r="F582" s="268"/>
      <c r="G582" s="268"/>
      <c r="H582" s="268"/>
      <c r="I582" s="268"/>
      <c r="J582" s="268"/>
      <c r="K582" s="268"/>
      <c r="L582" s="268"/>
      <c r="M582" s="268"/>
      <c r="N582" s="268"/>
      <c r="O582" s="268"/>
      <c r="P582" s="268"/>
      <c r="Q582" s="268"/>
      <c r="R582" s="268"/>
      <c r="S582" s="268"/>
      <c r="T582" s="268"/>
      <c r="U582" s="268"/>
      <c r="V582" s="268"/>
      <c r="W582" s="268"/>
      <c r="X582" s="268"/>
      <c r="Y582" s="268"/>
      <c r="Z582" s="268"/>
    </row>
    <row r="583" customHeight="1" spans="1:26">
      <c r="A583" s="268"/>
      <c r="B583" s="268"/>
      <c r="C583" s="268"/>
      <c r="D583" s="268"/>
      <c r="E583" s="268"/>
      <c r="F583" s="268"/>
      <c r="G583" s="268"/>
      <c r="H583" s="268"/>
      <c r="I583" s="268"/>
      <c r="J583" s="268"/>
      <c r="K583" s="268"/>
      <c r="L583" s="268"/>
      <c r="M583" s="268"/>
      <c r="N583" s="268"/>
      <c r="O583" s="268"/>
      <c r="P583" s="268"/>
      <c r="Q583" s="268"/>
      <c r="R583" s="268"/>
      <c r="S583" s="268"/>
      <c r="T583" s="268"/>
      <c r="U583" s="268"/>
      <c r="V583" s="268"/>
      <c r="W583" s="268"/>
      <c r="X583" s="268"/>
      <c r="Y583" s="268"/>
      <c r="Z583" s="268"/>
    </row>
    <row r="584" customHeight="1" spans="1:26">
      <c r="A584" s="268"/>
      <c r="B584" s="268"/>
      <c r="C584" s="268"/>
      <c r="D584" s="268"/>
      <c r="E584" s="268"/>
      <c r="F584" s="268"/>
      <c r="G584" s="268"/>
      <c r="H584" s="268"/>
      <c r="I584" s="268"/>
      <c r="J584" s="268"/>
      <c r="K584" s="268"/>
      <c r="L584" s="268"/>
      <c r="M584" s="268"/>
      <c r="N584" s="268"/>
      <c r="O584" s="268"/>
      <c r="P584" s="268"/>
      <c r="Q584" s="268"/>
      <c r="R584" s="268"/>
      <c r="S584" s="268"/>
      <c r="T584" s="268"/>
      <c r="U584" s="268"/>
      <c r="V584" s="268"/>
      <c r="W584" s="268"/>
      <c r="X584" s="268"/>
      <c r="Y584" s="268"/>
      <c r="Z584" s="268"/>
    </row>
    <row r="585" customHeight="1" spans="1:26">
      <c r="A585" s="268"/>
      <c r="B585" s="268"/>
      <c r="C585" s="268"/>
      <c r="D585" s="268"/>
      <c r="E585" s="268"/>
      <c r="F585" s="268"/>
      <c r="G585" s="268"/>
      <c r="H585" s="268"/>
      <c r="I585" s="268"/>
      <c r="J585" s="268"/>
      <c r="K585" s="268"/>
      <c r="L585" s="268"/>
      <c r="M585" s="268"/>
      <c r="N585" s="268"/>
      <c r="O585" s="268"/>
      <c r="P585" s="268"/>
      <c r="Q585" s="268"/>
      <c r="R585" s="268"/>
      <c r="S585" s="268"/>
      <c r="T585" s="268"/>
      <c r="U585" s="268"/>
      <c r="V585" s="268"/>
      <c r="W585" s="268"/>
      <c r="X585" s="268"/>
      <c r="Y585" s="268"/>
      <c r="Z585" s="268"/>
    </row>
    <row r="586" customHeight="1" spans="1:26">
      <c r="A586" s="268"/>
      <c r="B586" s="268"/>
      <c r="C586" s="268"/>
      <c r="D586" s="268"/>
      <c r="E586" s="268"/>
      <c r="F586" s="268"/>
      <c r="G586" s="268"/>
      <c r="H586" s="268"/>
      <c r="I586" s="268"/>
      <c r="J586" s="268"/>
      <c r="K586" s="268"/>
      <c r="L586" s="268"/>
      <c r="M586" s="268"/>
      <c r="N586" s="268"/>
      <c r="O586" s="268"/>
      <c r="P586" s="268"/>
      <c r="Q586" s="268"/>
      <c r="R586" s="268"/>
      <c r="S586" s="268"/>
      <c r="T586" s="268"/>
      <c r="U586" s="268"/>
      <c r="V586" s="268"/>
      <c r="W586" s="268"/>
      <c r="X586" s="268"/>
      <c r="Y586" s="268"/>
      <c r="Z586" s="268"/>
    </row>
    <row r="587" customHeight="1" spans="1:26">
      <c r="A587" s="268"/>
      <c r="B587" s="268"/>
      <c r="C587" s="268"/>
      <c r="D587" s="268"/>
      <c r="E587" s="268"/>
      <c r="F587" s="268"/>
      <c r="G587" s="268"/>
      <c r="H587" s="268"/>
      <c r="I587" s="268"/>
      <c r="J587" s="268"/>
      <c r="K587" s="268"/>
      <c r="L587" s="268"/>
      <c r="M587" s="268"/>
      <c r="N587" s="268"/>
      <c r="O587" s="268"/>
      <c r="P587" s="268"/>
      <c r="Q587" s="268"/>
      <c r="R587" s="268"/>
      <c r="S587" s="268"/>
      <c r="T587" s="268"/>
      <c r="U587" s="268"/>
      <c r="V587" s="268"/>
      <c r="W587" s="268"/>
      <c r="X587" s="268"/>
      <c r="Y587" s="268"/>
      <c r="Z587" s="268"/>
    </row>
    <row r="588" customHeight="1" spans="1:26">
      <c r="A588" s="268"/>
      <c r="B588" s="268"/>
      <c r="C588" s="268"/>
      <c r="D588" s="268"/>
      <c r="E588" s="268"/>
      <c r="F588" s="268"/>
      <c r="G588" s="268"/>
      <c r="H588" s="268"/>
      <c r="I588" s="268"/>
      <c r="J588" s="268"/>
      <c r="K588" s="268"/>
      <c r="L588" s="268"/>
      <c r="M588" s="268"/>
      <c r="N588" s="268"/>
      <c r="O588" s="268"/>
      <c r="P588" s="268"/>
      <c r="Q588" s="268"/>
      <c r="R588" s="268"/>
      <c r="S588" s="268"/>
      <c r="T588" s="268"/>
      <c r="U588" s="268"/>
      <c r="V588" s="268"/>
      <c r="W588" s="268"/>
      <c r="X588" s="268"/>
      <c r="Y588" s="268"/>
      <c r="Z588" s="268"/>
    </row>
    <row r="589" customHeight="1" spans="1:26">
      <c r="A589" s="268"/>
      <c r="B589" s="268"/>
      <c r="C589" s="268"/>
      <c r="D589" s="268"/>
      <c r="E589" s="268"/>
      <c r="F589" s="268"/>
      <c r="G589" s="268"/>
      <c r="H589" s="268"/>
      <c r="I589" s="268"/>
      <c r="J589" s="268"/>
      <c r="K589" s="268"/>
      <c r="L589" s="268"/>
      <c r="M589" s="268"/>
      <c r="N589" s="268"/>
      <c r="O589" s="268"/>
      <c r="P589" s="268"/>
      <c r="Q589" s="268"/>
      <c r="R589" s="268"/>
      <c r="S589" s="268"/>
      <c r="T589" s="268"/>
      <c r="U589" s="268"/>
      <c r="V589" s="268"/>
      <c r="W589" s="268"/>
      <c r="X589" s="268"/>
      <c r="Y589" s="268"/>
      <c r="Z589" s="268"/>
    </row>
    <row r="590" customHeight="1" spans="1:26">
      <c r="A590" s="268"/>
      <c r="B590" s="268"/>
      <c r="C590" s="268"/>
      <c r="D590" s="268"/>
      <c r="E590" s="268"/>
      <c r="F590" s="268"/>
      <c r="G590" s="268"/>
      <c r="H590" s="268"/>
      <c r="I590" s="268"/>
      <c r="J590" s="268"/>
      <c r="K590" s="268"/>
      <c r="L590" s="268"/>
      <c r="M590" s="268"/>
      <c r="N590" s="268"/>
      <c r="O590" s="268"/>
      <c r="P590" s="268"/>
      <c r="Q590" s="268"/>
      <c r="R590" s="268"/>
      <c r="S590" s="268"/>
      <c r="T590" s="268"/>
      <c r="U590" s="268"/>
      <c r="V590" s="268"/>
      <c r="W590" s="268"/>
      <c r="X590" s="268"/>
      <c r="Y590" s="268"/>
      <c r="Z590" s="268"/>
    </row>
    <row r="591" customHeight="1" spans="1:26">
      <c r="A591" s="268"/>
      <c r="B591" s="268"/>
      <c r="C591" s="268"/>
      <c r="D591" s="268"/>
      <c r="E591" s="268"/>
      <c r="F591" s="268"/>
      <c r="G591" s="268"/>
      <c r="H591" s="268"/>
      <c r="I591" s="268"/>
      <c r="J591" s="268"/>
      <c r="K591" s="268"/>
      <c r="L591" s="268"/>
      <c r="M591" s="268"/>
      <c r="N591" s="268"/>
      <c r="O591" s="268"/>
      <c r="P591" s="268"/>
      <c r="Q591" s="268"/>
      <c r="R591" s="268"/>
      <c r="S591" s="268"/>
      <c r="T591" s="268"/>
      <c r="U591" s="268"/>
      <c r="V591" s="268"/>
      <c r="W591" s="268"/>
      <c r="X591" s="268"/>
      <c r="Y591" s="268"/>
      <c r="Z591" s="268"/>
    </row>
    <row r="592" customHeight="1" spans="1:26">
      <c r="A592" s="268"/>
      <c r="B592" s="268"/>
      <c r="C592" s="268"/>
      <c r="D592" s="268"/>
      <c r="E592" s="268"/>
      <c r="F592" s="268"/>
      <c r="G592" s="268"/>
      <c r="H592" s="268"/>
      <c r="I592" s="268"/>
      <c r="J592" s="268"/>
      <c r="K592" s="268"/>
      <c r="L592" s="268"/>
      <c r="M592" s="268"/>
      <c r="N592" s="268"/>
      <c r="O592" s="268"/>
      <c r="P592" s="268"/>
      <c r="Q592" s="268"/>
      <c r="R592" s="268"/>
      <c r="S592" s="268"/>
      <c r="T592" s="268"/>
      <c r="U592" s="268"/>
      <c r="V592" s="268"/>
      <c r="W592" s="268"/>
      <c r="X592" s="268"/>
      <c r="Y592" s="268"/>
      <c r="Z592" s="268"/>
    </row>
    <row r="593" customHeight="1" spans="1:26">
      <c r="A593" s="268"/>
      <c r="B593" s="268"/>
      <c r="C593" s="268"/>
      <c r="D593" s="268"/>
      <c r="E593" s="268"/>
      <c r="F593" s="268"/>
      <c r="G593" s="268"/>
      <c r="H593" s="268"/>
      <c r="I593" s="268"/>
      <c r="J593" s="268"/>
      <c r="K593" s="268"/>
      <c r="L593" s="268"/>
      <c r="M593" s="268"/>
      <c r="N593" s="268"/>
      <c r="O593" s="268"/>
      <c r="P593" s="268"/>
      <c r="Q593" s="268"/>
      <c r="R593" s="268"/>
      <c r="S593" s="268"/>
      <c r="T593" s="268"/>
      <c r="U593" s="268"/>
      <c r="V593" s="268"/>
      <c r="W593" s="268"/>
      <c r="X593" s="268"/>
      <c r="Y593" s="268"/>
      <c r="Z593" s="268"/>
    </row>
    <row r="594" customHeight="1" spans="1:26">
      <c r="A594" s="268"/>
      <c r="B594" s="268"/>
      <c r="C594" s="268"/>
      <c r="D594" s="268"/>
      <c r="E594" s="268"/>
      <c r="F594" s="268"/>
      <c r="G594" s="268"/>
      <c r="H594" s="268"/>
      <c r="I594" s="268"/>
      <c r="J594" s="268"/>
      <c r="K594" s="268"/>
      <c r="L594" s="268"/>
      <c r="M594" s="268"/>
      <c r="N594" s="268"/>
      <c r="O594" s="268"/>
      <c r="P594" s="268"/>
      <c r="Q594" s="268"/>
      <c r="R594" s="268"/>
      <c r="S594" s="268"/>
      <c r="T594" s="268"/>
      <c r="U594" s="268"/>
      <c r="V594" s="268"/>
      <c r="W594" s="268"/>
      <c r="X594" s="268"/>
      <c r="Y594" s="268"/>
      <c r="Z594" s="268"/>
    </row>
    <row r="595" customHeight="1" spans="1:26">
      <c r="A595" s="268"/>
      <c r="B595" s="268"/>
      <c r="C595" s="268"/>
      <c r="D595" s="268"/>
      <c r="E595" s="268"/>
      <c r="F595" s="268"/>
      <c r="G595" s="268"/>
      <c r="H595" s="268"/>
      <c r="I595" s="268"/>
      <c r="J595" s="268"/>
      <c r="K595" s="268"/>
      <c r="L595" s="268"/>
      <c r="M595" s="268"/>
      <c r="N595" s="268"/>
      <c r="O595" s="268"/>
      <c r="P595" s="268"/>
      <c r="Q595" s="268"/>
      <c r="R595" s="268"/>
      <c r="S595" s="268"/>
      <c r="T595" s="268"/>
      <c r="U595" s="268"/>
      <c r="V595" s="268"/>
      <c r="W595" s="268"/>
      <c r="X595" s="268"/>
      <c r="Y595" s="268"/>
      <c r="Z595" s="268"/>
    </row>
    <row r="596" customHeight="1" spans="1:26">
      <c r="A596" s="268"/>
      <c r="B596" s="268"/>
      <c r="C596" s="268"/>
      <c r="D596" s="268"/>
      <c r="E596" s="268"/>
      <c r="F596" s="268"/>
      <c r="G596" s="268"/>
      <c r="H596" s="268"/>
      <c r="I596" s="268"/>
      <c r="J596" s="268"/>
      <c r="K596" s="268"/>
      <c r="L596" s="268"/>
      <c r="M596" s="268"/>
      <c r="N596" s="268"/>
      <c r="O596" s="268"/>
      <c r="P596" s="268"/>
      <c r="Q596" s="268"/>
      <c r="R596" s="268"/>
      <c r="S596" s="268"/>
      <c r="T596" s="268"/>
      <c r="U596" s="268"/>
      <c r="V596" s="268"/>
      <c r="W596" s="268"/>
      <c r="X596" s="268"/>
      <c r="Y596" s="268"/>
      <c r="Z596" s="268"/>
    </row>
    <row r="597" customHeight="1" spans="1:26">
      <c r="A597" s="268"/>
      <c r="B597" s="268"/>
      <c r="C597" s="268"/>
      <c r="D597" s="268"/>
      <c r="E597" s="268"/>
      <c r="F597" s="268"/>
      <c r="G597" s="268"/>
      <c r="H597" s="268"/>
      <c r="I597" s="268"/>
      <c r="J597" s="268"/>
      <c r="K597" s="268"/>
      <c r="L597" s="268"/>
      <c r="M597" s="268"/>
      <c r="N597" s="268"/>
      <c r="O597" s="268"/>
      <c r="P597" s="268"/>
      <c r="Q597" s="268"/>
      <c r="R597" s="268"/>
      <c r="S597" s="268"/>
      <c r="T597" s="268"/>
      <c r="U597" s="268"/>
      <c r="V597" s="268"/>
      <c r="W597" s="268"/>
      <c r="X597" s="268"/>
      <c r="Y597" s="268"/>
      <c r="Z597" s="268"/>
    </row>
    <row r="598" customHeight="1" spans="1:26">
      <c r="A598" s="268"/>
      <c r="B598" s="268"/>
      <c r="C598" s="268"/>
      <c r="D598" s="268"/>
      <c r="E598" s="268"/>
      <c r="F598" s="268"/>
      <c r="G598" s="268"/>
      <c r="H598" s="268"/>
      <c r="I598" s="268"/>
      <c r="J598" s="268"/>
      <c r="K598" s="268"/>
      <c r="L598" s="268"/>
      <c r="M598" s="268"/>
      <c r="N598" s="268"/>
      <c r="O598" s="268"/>
      <c r="P598" s="268"/>
      <c r="Q598" s="268"/>
      <c r="R598" s="268"/>
      <c r="S598" s="268"/>
      <c r="T598" s="268"/>
      <c r="U598" s="268"/>
      <c r="V598" s="268"/>
      <c r="W598" s="268"/>
      <c r="X598" s="268"/>
      <c r="Y598" s="268"/>
      <c r="Z598" s="268"/>
    </row>
    <row r="599" customHeight="1" spans="1:26">
      <c r="A599" s="268"/>
      <c r="B599" s="268"/>
      <c r="C599" s="268"/>
      <c r="D599" s="268"/>
      <c r="E599" s="268"/>
      <c r="F599" s="268"/>
      <c r="G599" s="268"/>
      <c r="H599" s="268"/>
      <c r="I599" s="268"/>
      <c r="J599" s="268"/>
      <c r="K599" s="268"/>
      <c r="L599" s="268"/>
      <c r="M599" s="268"/>
      <c r="N599" s="268"/>
      <c r="O599" s="268"/>
      <c r="P599" s="268"/>
      <c r="Q599" s="268"/>
      <c r="R599" s="268"/>
      <c r="S599" s="268"/>
      <c r="T599" s="268"/>
      <c r="U599" s="268"/>
      <c r="V599" s="268"/>
      <c r="W599" s="268"/>
      <c r="X599" s="268"/>
      <c r="Y599" s="268"/>
      <c r="Z599" s="268"/>
    </row>
    <row r="600" customHeight="1" spans="1:26">
      <c r="A600" s="268"/>
      <c r="B600" s="268"/>
      <c r="C600" s="268"/>
      <c r="D600" s="268"/>
      <c r="E600" s="268"/>
      <c r="F600" s="268"/>
      <c r="G600" s="268"/>
      <c r="H600" s="268"/>
      <c r="I600" s="268"/>
      <c r="J600" s="268"/>
      <c r="K600" s="268"/>
      <c r="L600" s="268"/>
      <c r="M600" s="268"/>
      <c r="N600" s="268"/>
      <c r="O600" s="268"/>
      <c r="P600" s="268"/>
      <c r="Q600" s="268"/>
      <c r="R600" s="268"/>
      <c r="S600" s="268"/>
      <c r="T600" s="268"/>
      <c r="U600" s="268"/>
      <c r="V600" s="268"/>
      <c r="W600" s="268"/>
      <c r="X600" s="268"/>
      <c r="Y600" s="268"/>
      <c r="Z600" s="268"/>
    </row>
    <row r="601" customHeight="1" spans="1:26">
      <c r="A601" s="268"/>
      <c r="B601" s="268"/>
      <c r="C601" s="268"/>
      <c r="D601" s="268"/>
      <c r="E601" s="268"/>
      <c r="F601" s="268"/>
      <c r="G601" s="268"/>
      <c r="H601" s="268"/>
      <c r="I601" s="268"/>
      <c r="J601" s="268"/>
      <c r="K601" s="268"/>
      <c r="L601" s="268"/>
      <c r="M601" s="268"/>
      <c r="N601" s="268"/>
      <c r="O601" s="268"/>
      <c r="P601" s="268"/>
      <c r="Q601" s="268"/>
      <c r="R601" s="268"/>
      <c r="S601" s="268"/>
      <c r="T601" s="268"/>
      <c r="U601" s="268"/>
      <c r="V601" s="268"/>
      <c r="W601" s="268"/>
      <c r="X601" s="268"/>
      <c r="Y601" s="268"/>
      <c r="Z601" s="268"/>
    </row>
    <row r="602" customHeight="1" spans="1:26">
      <c r="A602" s="268"/>
      <c r="B602" s="268"/>
      <c r="C602" s="268"/>
      <c r="D602" s="268"/>
      <c r="E602" s="268"/>
      <c r="F602" s="268"/>
      <c r="G602" s="268"/>
      <c r="H602" s="268"/>
      <c r="I602" s="268"/>
      <c r="J602" s="268"/>
      <c r="K602" s="268"/>
      <c r="L602" s="268"/>
      <c r="M602" s="268"/>
      <c r="N602" s="268"/>
      <c r="O602" s="268"/>
      <c r="P602" s="268"/>
      <c r="Q602" s="268"/>
      <c r="R602" s="268"/>
      <c r="S602" s="268"/>
      <c r="T602" s="268"/>
      <c r="U602" s="268"/>
      <c r="V602" s="268"/>
      <c r="W602" s="268"/>
      <c r="X602" s="268"/>
      <c r="Y602" s="268"/>
      <c r="Z602" s="268"/>
    </row>
    <row r="603" customHeight="1" spans="1:26">
      <c r="A603" s="268"/>
      <c r="B603" s="268"/>
      <c r="C603" s="268"/>
      <c r="D603" s="268"/>
      <c r="E603" s="268"/>
      <c r="F603" s="268"/>
      <c r="G603" s="268"/>
      <c r="H603" s="268"/>
      <c r="I603" s="268"/>
      <c r="J603" s="268"/>
      <c r="K603" s="268"/>
      <c r="L603" s="268"/>
      <c r="M603" s="268"/>
      <c r="N603" s="268"/>
      <c r="O603" s="268"/>
      <c r="P603" s="268"/>
      <c r="Q603" s="268"/>
      <c r="R603" s="268"/>
      <c r="S603" s="268"/>
      <c r="T603" s="268"/>
      <c r="U603" s="268"/>
      <c r="V603" s="268"/>
      <c r="W603" s="268"/>
      <c r="X603" s="268"/>
      <c r="Y603" s="268"/>
      <c r="Z603" s="268"/>
    </row>
    <row r="604" customHeight="1" spans="1:26">
      <c r="A604" s="268"/>
      <c r="B604" s="268"/>
      <c r="C604" s="268"/>
      <c r="D604" s="268"/>
      <c r="E604" s="268"/>
      <c r="F604" s="268"/>
      <c r="G604" s="268"/>
      <c r="H604" s="268"/>
      <c r="I604" s="268"/>
      <c r="J604" s="268"/>
      <c r="K604" s="268"/>
      <c r="L604" s="268"/>
      <c r="M604" s="268"/>
      <c r="N604" s="268"/>
      <c r="O604" s="268"/>
      <c r="P604" s="268"/>
      <c r="Q604" s="268"/>
      <c r="R604" s="268"/>
      <c r="S604" s="268"/>
      <c r="T604" s="268"/>
      <c r="U604" s="268"/>
      <c r="V604" s="268"/>
      <c r="W604" s="268"/>
      <c r="X604" s="268"/>
      <c r="Y604" s="268"/>
      <c r="Z604" s="268"/>
    </row>
    <row r="605" customHeight="1" spans="1:26">
      <c r="A605" s="268"/>
      <c r="B605" s="268"/>
      <c r="C605" s="268"/>
      <c r="D605" s="268"/>
      <c r="E605" s="268"/>
      <c r="F605" s="268"/>
      <c r="G605" s="268"/>
      <c r="H605" s="268"/>
      <c r="I605" s="268"/>
      <c r="J605" s="268"/>
      <c r="K605" s="268"/>
      <c r="L605" s="268"/>
      <c r="M605" s="268"/>
      <c r="N605" s="268"/>
      <c r="O605" s="268"/>
      <c r="P605" s="268"/>
      <c r="Q605" s="268"/>
      <c r="R605" s="268"/>
      <c r="S605" s="268"/>
      <c r="T605" s="268"/>
      <c r="U605" s="268"/>
      <c r="V605" s="268"/>
      <c r="W605" s="268"/>
      <c r="X605" s="268"/>
      <c r="Y605" s="268"/>
      <c r="Z605" s="268"/>
    </row>
    <row r="606" customHeight="1" spans="1:26">
      <c r="A606" s="268"/>
      <c r="B606" s="268"/>
      <c r="C606" s="268"/>
      <c r="D606" s="268"/>
      <c r="E606" s="268"/>
      <c r="F606" s="268"/>
      <c r="G606" s="268"/>
      <c r="H606" s="268"/>
      <c r="I606" s="268"/>
      <c r="J606" s="268"/>
      <c r="K606" s="268"/>
      <c r="L606" s="268"/>
      <c r="M606" s="268"/>
      <c r="N606" s="268"/>
      <c r="O606" s="268"/>
      <c r="P606" s="268"/>
      <c r="Q606" s="268"/>
      <c r="R606" s="268"/>
      <c r="S606" s="268"/>
      <c r="T606" s="268"/>
      <c r="U606" s="268"/>
      <c r="V606" s="268"/>
      <c r="W606" s="268"/>
      <c r="X606" s="268"/>
      <c r="Y606" s="268"/>
      <c r="Z606" s="268"/>
    </row>
    <row r="607" customHeight="1" spans="1:26">
      <c r="A607" s="268"/>
      <c r="B607" s="268"/>
      <c r="C607" s="268"/>
      <c r="D607" s="268"/>
      <c r="E607" s="268"/>
      <c r="F607" s="268"/>
      <c r="G607" s="268"/>
      <c r="H607" s="268"/>
      <c r="I607" s="268"/>
      <c r="J607" s="268"/>
      <c r="K607" s="268"/>
      <c r="L607" s="268"/>
      <c r="M607" s="268"/>
      <c r="N607" s="268"/>
      <c r="O607" s="268"/>
      <c r="P607" s="268"/>
      <c r="Q607" s="268"/>
      <c r="R607" s="268"/>
      <c r="S607" s="268"/>
      <c r="T607" s="268"/>
      <c r="U607" s="268"/>
      <c r="V607" s="268"/>
      <c r="W607" s="268"/>
      <c r="X607" s="268"/>
      <c r="Y607" s="268"/>
      <c r="Z607" s="268"/>
    </row>
    <row r="608" customHeight="1" spans="1:26">
      <c r="A608" s="268"/>
      <c r="B608" s="268"/>
      <c r="C608" s="268"/>
      <c r="D608" s="268"/>
      <c r="E608" s="268"/>
      <c r="F608" s="268"/>
      <c r="G608" s="268"/>
      <c r="H608" s="268"/>
      <c r="I608" s="268"/>
      <c r="J608" s="268"/>
      <c r="K608" s="268"/>
      <c r="L608" s="268"/>
      <c r="M608" s="268"/>
      <c r="N608" s="268"/>
      <c r="O608" s="268"/>
      <c r="P608" s="268"/>
      <c r="Q608" s="268"/>
      <c r="R608" s="268"/>
      <c r="S608" s="268"/>
      <c r="T608" s="268"/>
      <c r="U608" s="268"/>
      <c r="V608" s="268"/>
      <c r="W608" s="268"/>
      <c r="X608" s="268"/>
      <c r="Y608" s="268"/>
      <c r="Z608" s="268"/>
    </row>
    <row r="609" customHeight="1" spans="1:26">
      <c r="A609" s="268"/>
      <c r="B609" s="268"/>
      <c r="C609" s="268"/>
      <c r="D609" s="268"/>
      <c r="E609" s="268"/>
      <c r="F609" s="268"/>
      <c r="G609" s="268"/>
      <c r="H609" s="268"/>
      <c r="I609" s="268"/>
      <c r="J609" s="268"/>
      <c r="K609" s="268"/>
      <c r="L609" s="268"/>
      <c r="M609" s="268"/>
      <c r="N609" s="268"/>
      <c r="O609" s="268"/>
      <c r="P609" s="268"/>
      <c r="Q609" s="268"/>
      <c r="R609" s="268"/>
      <c r="S609" s="268"/>
      <c r="T609" s="268"/>
      <c r="U609" s="268"/>
      <c r="V609" s="268"/>
      <c r="W609" s="268"/>
      <c r="X609" s="268"/>
      <c r="Y609" s="268"/>
      <c r="Z609" s="268"/>
    </row>
    <row r="610" customHeight="1" spans="1:26">
      <c r="A610" s="268"/>
      <c r="B610" s="268"/>
      <c r="C610" s="268"/>
      <c r="D610" s="268"/>
      <c r="E610" s="268"/>
      <c r="F610" s="268"/>
      <c r="G610" s="268"/>
      <c r="H610" s="268"/>
      <c r="I610" s="268"/>
      <c r="J610" s="268"/>
      <c r="K610" s="268"/>
      <c r="L610" s="268"/>
      <c r="M610" s="268"/>
      <c r="N610" s="268"/>
      <c r="O610" s="268"/>
      <c r="P610" s="268"/>
      <c r="Q610" s="268"/>
      <c r="R610" s="268"/>
      <c r="S610" s="268"/>
      <c r="T610" s="268"/>
      <c r="U610" s="268"/>
      <c r="V610" s="268"/>
      <c r="W610" s="268"/>
      <c r="X610" s="268"/>
      <c r="Y610" s="268"/>
      <c r="Z610" s="268"/>
    </row>
    <row r="611" customHeight="1" spans="1:26">
      <c r="A611" s="268"/>
      <c r="B611" s="268"/>
      <c r="C611" s="268"/>
      <c r="D611" s="268"/>
      <c r="E611" s="268"/>
      <c r="F611" s="268"/>
      <c r="G611" s="268"/>
      <c r="H611" s="268"/>
      <c r="I611" s="268"/>
      <c r="J611" s="268"/>
      <c r="K611" s="268"/>
      <c r="L611" s="268"/>
      <c r="M611" s="268"/>
      <c r="N611" s="268"/>
      <c r="O611" s="268"/>
      <c r="P611" s="268"/>
      <c r="Q611" s="268"/>
      <c r="R611" s="268"/>
      <c r="S611" s="268"/>
      <c r="T611" s="268"/>
      <c r="U611" s="268"/>
      <c r="V611" s="268"/>
      <c r="W611" s="268"/>
      <c r="X611" s="268"/>
      <c r="Y611" s="268"/>
      <c r="Z611" s="268"/>
    </row>
    <row r="612" customHeight="1" spans="1:26">
      <c r="A612" s="268"/>
      <c r="B612" s="268"/>
      <c r="C612" s="268"/>
      <c r="D612" s="268"/>
      <c r="E612" s="268"/>
      <c r="F612" s="268"/>
      <c r="G612" s="268"/>
      <c r="H612" s="268"/>
      <c r="I612" s="268"/>
      <c r="J612" s="268"/>
      <c r="K612" s="268"/>
      <c r="L612" s="268"/>
      <c r="M612" s="268"/>
      <c r="N612" s="268"/>
      <c r="O612" s="268"/>
      <c r="P612" s="268"/>
      <c r="Q612" s="268"/>
      <c r="R612" s="268"/>
      <c r="S612" s="268"/>
      <c r="T612" s="268"/>
      <c r="U612" s="268"/>
      <c r="V612" s="268"/>
      <c r="W612" s="268"/>
      <c r="X612" s="268"/>
      <c r="Y612" s="268"/>
      <c r="Z612" s="268"/>
    </row>
    <row r="613" customHeight="1" spans="1:26">
      <c r="A613" s="268"/>
      <c r="B613" s="268"/>
      <c r="C613" s="268"/>
      <c r="D613" s="268"/>
      <c r="E613" s="268"/>
      <c r="F613" s="268"/>
      <c r="G613" s="268"/>
      <c r="H613" s="268"/>
      <c r="I613" s="268"/>
      <c r="J613" s="268"/>
      <c r="K613" s="268"/>
      <c r="L613" s="268"/>
      <c r="M613" s="268"/>
      <c r="N613" s="268"/>
      <c r="O613" s="268"/>
      <c r="P613" s="268"/>
      <c r="Q613" s="268"/>
      <c r="R613" s="268"/>
      <c r="S613" s="268"/>
      <c r="T613" s="268"/>
      <c r="U613" s="268"/>
      <c r="V613" s="268"/>
      <c r="W613" s="268"/>
      <c r="X613" s="268"/>
      <c r="Y613" s="268"/>
      <c r="Z613" s="268"/>
    </row>
    <row r="614" customHeight="1" spans="1:26">
      <c r="A614" s="268"/>
      <c r="B614" s="268"/>
      <c r="C614" s="268"/>
      <c r="D614" s="268"/>
      <c r="E614" s="268"/>
      <c r="F614" s="268"/>
      <c r="G614" s="268"/>
      <c r="H614" s="268"/>
      <c r="I614" s="268"/>
      <c r="J614" s="268"/>
      <c r="K614" s="268"/>
      <c r="L614" s="268"/>
      <c r="M614" s="268"/>
      <c r="N614" s="268"/>
      <c r="O614" s="268"/>
      <c r="P614" s="268"/>
      <c r="Q614" s="268"/>
      <c r="R614" s="268"/>
      <c r="S614" s="268"/>
      <c r="T614" s="268"/>
      <c r="U614" s="268"/>
      <c r="V614" s="268"/>
      <c r="W614" s="268"/>
      <c r="X614" s="268"/>
      <c r="Y614" s="268"/>
      <c r="Z614" s="268"/>
    </row>
    <row r="615" customHeight="1" spans="1:26">
      <c r="A615" s="268"/>
      <c r="B615" s="268"/>
      <c r="C615" s="268"/>
      <c r="D615" s="268"/>
      <c r="E615" s="268"/>
      <c r="F615" s="268"/>
      <c r="G615" s="268"/>
      <c r="H615" s="268"/>
      <c r="I615" s="268"/>
      <c r="J615" s="268"/>
      <c r="K615" s="268"/>
      <c r="L615" s="268"/>
      <c r="M615" s="268"/>
      <c r="N615" s="268"/>
      <c r="O615" s="268"/>
      <c r="P615" s="268"/>
      <c r="Q615" s="268"/>
      <c r="R615" s="268"/>
      <c r="S615" s="268"/>
      <c r="T615" s="268"/>
      <c r="U615" s="268"/>
      <c r="V615" s="268"/>
      <c r="W615" s="268"/>
      <c r="X615" s="268"/>
      <c r="Y615" s="268"/>
      <c r="Z615" s="268"/>
    </row>
    <row r="616" customHeight="1" spans="1:26">
      <c r="A616" s="268"/>
      <c r="B616" s="268"/>
      <c r="C616" s="268"/>
      <c r="D616" s="268"/>
      <c r="E616" s="268"/>
      <c r="F616" s="268"/>
      <c r="G616" s="268"/>
      <c r="H616" s="268"/>
      <c r="I616" s="268"/>
      <c r="J616" s="268"/>
      <c r="K616" s="268"/>
      <c r="L616" s="268"/>
      <c r="M616" s="268"/>
      <c r="N616" s="268"/>
      <c r="O616" s="268"/>
      <c r="P616" s="268"/>
      <c r="Q616" s="268"/>
      <c r="R616" s="268"/>
      <c r="S616" s="268"/>
      <c r="T616" s="268"/>
      <c r="U616" s="268"/>
      <c r="V616" s="268"/>
      <c r="W616" s="268"/>
      <c r="X616" s="268"/>
      <c r="Y616" s="268"/>
      <c r="Z616" s="268"/>
    </row>
    <row r="617" customHeight="1" spans="1:26">
      <c r="A617" s="268"/>
      <c r="B617" s="268"/>
      <c r="C617" s="268"/>
      <c r="D617" s="268"/>
      <c r="E617" s="268"/>
      <c r="F617" s="268"/>
      <c r="G617" s="268"/>
      <c r="H617" s="268"/>
      <c r="I617" s="268"/>
      <c r="J617" s="268"/>
      <c r="K617" s="268"/>
      <c r="L617" s="268"/>
      <c r="M617" s="268"/>
      <c r="N617" s="268"/>
      <c r="O617" s="268"/>
      <c r="P617" s="268"/>
      <c r="Q617" s="268"/>
      <c r="R617" s="268"/>
      <c r="S617" s="268"/>
      <c r="T617" s="268"/>
      <c r="U617" s="268"/>
      <c r="V617" s="268"/>
      <c r="W617" s="268"/>
      <c r="X617" s="268"/>
      <c r="Y617" s="268"/>
      <c r="Z617" s="268"/>
    </row>
    <row r="618" customHeight="1" spans="1:26">
      <c r="A618" s="268"/>
      <c r="B618" s="268"/>
      <c r="C618" s="268"/>
      <c r="D618" s="268"/>
      <c r="E618" s="268"/>
      <c r="F618" s="268"/>
      <c r="G618" s="268"/>
      <c r="H618" s="268"/>
      <c r="I618" s="268"/>
      <c r="J618" s="268"/>
      <c r="K618" s="268"/>
      <c r="L618" s="268"/>
      <c r="M618" s="268"/>
      <c r="N618" s="268"/>
      <c r="O618" s="268"/>
      <c r="P618" s="268"/>
      <c r="Q618" s="268"/>
      <c r="R618" s="268"/>
      <c r="S618" s="268"/>
      <c r="T618" s="268"/>
      <c r="U618" s="268"/>
      <c r="V618" s="268"/>
      <c r="W618" s="268"/>
      <c r="X618" s="268"/>
      <c r="Y618" s="268"/>
      <c r="Z618" s="268"/>
    </row>
    <row r="619" customHeight="1" spans="1:26">
      <c r="A619" s="268"/>
      <c r="B619" s="268"/>
      <c r="C619" s="268"/>
      <c r="D619" s="268"/>
      <c r="E619" s="268"/>
      <c r="F619" s="268"/>
      <c r="G619" s="268"/>
      <c r="H619" s="268"/>
      <c r="I619" s="268"/>
      <c r="J619" s="268"/>
      <c r="K619" s="268"/>
      <c r="L619" s="268"/>
      <c r="M619" s="268"/>
      <c r="N619" s="268"/>
      <c r="O619" s="268"/>
      <c r="P619" s="268"/>
      <c r="Q619" s="268"/>
      <c r="R619" s="268"/>
      <c r="S619" s="268"/>
      <c r="T619" s="268"/>
      <c r="U619" s="268"/>
      <c r="V619" s="268"/>
      <c r="W619" s="268"/>
      <c r="X619" s="268"/>
      <c r="Y619" s="268"/>
      <c r="Z619" s="268"/>
    </row>
    <row r="620" customHeight="1" spans="1:26">
      <c r="A620" s="268"/>
      <c r="B620" s="268"/>
      <c r="C620" s="268"/>
      <c r="D620" s="268"/>
      <c r="E620" s="268"/>
      <c r="F620" s="268"/>
      <c r="G620" s="268"/>
      <c r="H620" s="268"/>
      <c r="I620" s="268"/>
      <c r="J620" s="268"/>
      <c r="K620" s="268"/>
      <c r="L620" s="268"/>
      <c r="M620" s="268"/>
      <c r="N620" s="268"/>
      <c r="O620" s="268"/>
      <c r="P620" s="268"/>
      <c r="Q620" s="268"/>
      <c r="R620" s="268"/>
      <c r="S620" s="268"/>
      <c r="T620" s="268"/>
      <c r="U620" s="268"/>
      <c r="V620" s="268"/>
      <c r="W620" s="268"/>
      <c r="X620" s="268"/>
      <c r="Y620" s="268"/>
      <c r="Z620" s="268"/>
    </row>
    <row r="621" customHeight="1" spans="1:26">
      <c r="A621" s="268"/>
      <c r="B621" s="268"/>
      <c r="C621" s="268"/>
      <c r="D621" s="268"/>
      <c r="E621" s="268"/>
      <c r="F621" s="268"/>
      <c r="G621" s="268"/>
      <c r="H621" s="268"/>
      <c r="I621" s="268"/>
      <c r="J621" s="268"/>
      <c r="K621" s="268"/>
      <c r="L621" s="268"/>
      <c r="M621" s="268"/>
      <c r="N621" s="268"/>
      <c r="O621" s="268"/>
      <c r="P621" s="268"/>
      <c r="Q621" s="268"/>
      <c r="R621" s="268"/>
      <c r="S621" s="268"/>
      <c r="T621" s="268"/>
      <c r="U621" s="268"/>
      <c r="V621" s="268"/>
      <c r="W621" s="268"/>
      <c r="X621" s="268"/>
      <c r="Y621" s="268"/>
      <c r="Z621" s="268"/>
    </row>
    <row r="622" customHeight="1" spans="1:26">
      <c r="A622" s="268"/>
      <c r="B622" s="268"/>
      <c r="C622" s="268"/>
      <c r="D622" s="268"/>
      <c r="E622" s="268"/>
      <c r="F622" s="268"/>
      <c r="G622" s="268"/>
      <c r="H622" s="268"/>
      <c r="I622" s="268"/>
      <c r="J622" s="268"/>
      <c r="K622" s="268"/>
      <c r="L622" s="268"/>
      <c r="M622" s="268"/>
      <c r="N622" s="268"/>
      <c r="O622" s="268"/>
      <c r="P622" s="268"/>
      <c r="Q622" s="268"/>
      <c r="R622" s="268"/>
      <c r="S622" s="268"/>
      <c r="T622" s="268"/>
      <c r="U622" s="268"/>
      <c r="V622" s="268"/>
      <c r="W622" s="268"/>
      <c r="X622" s="268"/>
      <c r="Y622" s="268"/>
      <c r="Z622" s="268"/>
    </row>
    <row r="623" customHeight="1" spans="1:26">
      <c r="A623" s="268"/>
      <c r="B623" s="268"/>
      <c r="C623" s="268"/>
      <c r="D623" s="268"/>
      <c r="E623" s="268"/>
      <c r="F623" s="268"/>
      <c r="G623" s="268"/>
      <c r="H623" s="268"/>
      <c r="I623" s="268"/>
      <c r="J623" s="268"/>
      <c r="K623" s="268"/>
      <c r="L623" s="268"/>
      <c r="M623" s="268"/>
      <c r="N623" s="268"/>
      <c r="O623" s="268"/>
      <c r="P623" s="268"/>
      <c r="Q623" s="268"/>
      <c r="R623" s="268"/>
      <c r="S623" s="268"/>
      <c r="T623" s="268"/>
      <c r="U623" s="268"/>
      <c r="V623" s="268"/>
      <c r="W623" s="268"/>
      <c r="X623" s="268"/>
      <c r="Y623" s="268"/>
      <c r="Z623" s="268"/>
    </row>
    <row r="624" customHeight="1" spans="1:26">
      <c r="A624" s="268"/>
      <c r="B624" s="268"/>
      <c r="C624" s="268"/>
      <c r="D624" s="268"/>
      <c r="E624" s="268"/>
      <c r="F624" s="268"/>
      <c r="G624" s="268"/>
      <c r="H624" s="268"/>
      <c r="I624" s="268"/>
      <c r="J624" s="268"/>
      <c r="K624" s="268"/>
      <c r="L624" s="268"/>
      <c r="M624" s="268"/>
      <c r="N624" s="268"/>
      <c r="O624" s="268"/>
      <c r="P624" s="268"/>
      <c r="Q624" s="268"/>
      <c r="R624" s="268"/>
      <c r="S624" s="268"/>
      <c r="T624" s="268"/>
      <c r="U624" s="268"/>
      <c r="V624" s="268"/>
      <c r="W624" s="268"/>
      <c r="X624" s="268"/>
      <c r="Y624" s="268"/>
      <c r="Z624" s="268"/>
    </row>
    <row r="625" customHeight="1" spans="1:26">
      <c r="A625" s="268"/>
      <c r="B625" s="268"/>
      <c r="C625" s="268"/>
      <c r="D625" s="268"/>
      <c r="E625" s="268"/>
      <c r="F625" s="268"/>
      <c r="G625" s="268"/>
      <c r="H625" s="268"/>
      <c r="I625" s="268"/>
      <c r="J625" s="268"/>
      <c r="K625" s="268"/>
      <c r="L625" s="268"/>
      <c r="M625" s="268"/>
      <c r="N625" s="268"/>
      <c r="O625" s="268"/>
      <c r="P625" s="268"/>
      <c r="Q625" s="268"/>
      <c r="R625" s="268"/>
      <c r="S625" s="268"/>
      <c r="T625" s="268"/>
      <c r="U625" s="268"/>
      <c r="V625" s="268"/>
      <c r="W625" s="268"/>
      <c r="X625" s="268"/>
      <c r="Y625" s="268"/>
      <c r="Z625" s="268"/>
    </row>
    <row r="626" customHeight="1" spans="1:26">
      <c r="A626" s="268"/>
      <c r="B626" s="268"/>
      <c r="C626" s="268"/>
      <c r="D626" s="268"/>
      <c r="E626" s="268"/>
      <c r="F626" s="268"/>
      <c r="G626" s="268"/>
      <c r="H626" s="268"/>
      <c r="I626" s="268"/>
      <c r="J626" s="268"/>
      <c r="K626" s="268"/>
      <c r="L626" s="268"/>
      <c r="M626" s="268"/>
      <c r="N626" s="268"/>
      <c r="O626" s="268"/>
      <c r="P626" s="268"/>
      <c r="Q626" s="268"/>
      <c r="R626" s="268"/>
      <c r="S626" s="268"/>
      <c r="T626" s="268"/>
      <c r="U626" s="268"/>
      <c r="V626" s="268"/>
      <c r="W626" s="268"/>
      <c r="X626" s="268"/>
      <c r="Y626" s="268"/>
      <c r="Z626" s="268"/>
    </row>
    <row r="627" customHeight="1" spans="1:26">
      <c r="A627" s="268"/>
      <c r="B627" s="268"/>
      <c r="C627" s="268"/>
      <c r="D627" s="268"/>
      <c r="E627" s="268"/>
      <c r="F627" s="268"/>
      <c r="G627" s="268"/>
      <c r="H627" s="268"/>
      <c r="I627" s="268"/>
      <c r="J627" s="268"/>
      <c r="K627" s="268"/>
      <c r="L627" s="268"/>
      <c r="M627" s="268"/>
      <c r="N627" s="268"/>
      <c r="O627" s="268"/>
      <c r="P627" s="268"/>
      <c r="Q627" s="268"/>
      <c r="R627" s="268"/>
      <c r="S627" s="268"/>
      <c r="T627" s="268"/>
      <c r="U627" s="268"/>
      <c r="V627" s="268"/>
      <c r="W627" s="268"/>
      <c r="X627" s="268"/>
      <c r="Y627" s="268"/>
      <c r="Z627" s="268"/>
    </row>
    <row r="628" customHeight="1" spans="1:26">
      <c r="A628" s="268"/>
      <c r="B628" s="268"/>
      <c r="C628" s="268"/>
      <c r="D628" s="268"/>
      <c r="E628" s="268"/>
      <c r="F628" s="268"/>
      <c r="G628" s="268"/>
      <c r="H628" s="268"/>
      <c r="I628" s="268"/>
      <c r="J628" s="268"/>
      <c r="K628" s="268"/>
      <c r="L628" s="268"/>
      <c r="M628" s="268"/>
      <c r="N628" s="268"/>
      <c r="O628" s="268"/>
      <c r="P628" s="268"/>
      <c r="Q628" s="268"/>
      <c r="R628" s="268"/>
      <c r="S628" s="268"/>
      <c r="T628" s="268"/>
      <c r="U628" s="268"/>
      <c r="V628" s="268"/>
      <c r="W628" s="268"/>
      <c r="X628" s="268"/>
      <c r="Y628" s="268"/>
      <c r="Z628" s="268"/>
    </row>
    <row r="629" customHeight="1" spans="1:26">
      <c r="A629" s="268"/>
      <c r="B629" s="268"/>
      <c r="C629" s="268"/>
      <c r="D629" s="268"/>
      <c r="E629" s="268"/>
      <c r="F629" s="268"/>
      <c r="G629" s="268"/>
      <c r="H629" s="268"/>
      <c r="I629" s="268"/>
      <c r="J629" s="268"/>
      <c r="K629" s="268"/>
      <c r="L629" s="268"/>
      <c r="M629" s="268"/>
      <c r="N629" s="268"/>
      <c r="O629" s="268"/>
      <c r="P629" s="268"/>
      <c r="Q629" s="268"/>
      <c r="R629" s="268"/>
      <c r="S629" s="268"/>
      <c r="T629" s="268"/>
      <c r="U629" s="268"/>
      <c r="V629" s="268"/>
      <c r="W629" s="268"/>
      <c r="X629" s="268"/>
      <c r="Y629" s="268"/>
      <c r="Z629" s="268"/>
    </row>
    <row r="630" customHeight="1" spans="1:26">
      <c r="A630" s="268"/>
      <c r="B630" s="268"/>
      <c r="C630" s="268"/>
      <c r="D630" s="268"/>
      <c r="E630" s="268"/>
      <c r="F630" s="268"/>
      <c r="G630" s="268"/>
      <c r="H630" s="268"/>
      <c r="I630" s="268"/>
      <c r="J630" s="268"/>
      <c r="K630" s="268"/>
      <c r="L630" s="268"/>
      <c r="M630" s="268"/>
      <c r="N630" s="268"/>
      <c r="O630" s="268"/>
      <c r="P630" s="268"/>
      <c r="Q630" s="268"/>
      <c r="R630" s="268"/>
      <c r="S630" s="268"/>
      <c r="T630" s="268"/>
      <c r="U630" s="268"/>
      <c r="V630" s="268"/>
      <c r="W630" s="268"/>
      <c r="X630" s="268"/>
      <c r="Y630" s="268"/>
      <c r="Z630" s="268"/>
    </row>
    <row r="631" customHeight="1" spans="1:26">
      <c r="A631" s="268"/>
      <c r="B631" s="268"/>
      <c r="C631" s="268"/>
      <c r="D631" s="268"/>
      <c r="E631" s="268"/>
      <c r="F631" s="268"/>
      <c r="G631" s="268"/>
      <c r="H631" s="268"/>
      <c r="I631" s="268"/>
      <c r="J631" s="268"/>
      <c r="K631" s="268"/>
      <c r="L631" s="268"/>
      <c r="M631" s="268"/>
      <c r="N631" s="268"/>
      <c r="O631" s="268"/>
      <c r="P631" s="268"/>
      <c r="Q631" s="268"/>
      <c r="R631" s="268"/>
      <c r="S631" s="268"/>
      <c r="T631" s="268"/>
      <c r="U631" s="268"/>
      <c r="V631" s="268"/>
      <c r="W631" s="268"/>
      <c r="X631" s="268"/>
      <c r="Y631" s="268"/>
      <c r="Z631" s="268"/>
    </row>
    <row r="632" customHeight="1" spans="1:26">
      <c r="A632" s="268"/>
      <c r="B632" s="268"/>
      <c r="C632" s="268"/>
      <c r="D632" s="268"/>
      <c r="E632" s="268"/>
      <c r="F632" s="268"/>
      <c r="G632" s="268"/>
      <c r="H632" s="268"/>
      <c r="I632" s="268"/>
      <c r="J632" s="268"/>
      <c r="K632" s="268"/>
      <c r="L632" s="268"/>
      <c r="M632" s="268"/>
      <c r="N632" s="268"/>
      <c r="O632" s="268"/>
      <c r="P632" s="268"/>
      <c r="Q632" s="268"/>
      <c r="R632" s="268"/>
      <c r="S632" s="268"/>
      <c r="T632" s="268"/>
      <c r="U632" s="268"/>
      <c r="V632" s="268"/>
      <c r="W632" s="268"/>
      <c r="X632" s="268"/>
      <c r="Y632" s="268"/>
      <c r="Z632" s="268"/>
    </row>
    <row r="633" customHeight="1" spans="1:26">
      <c r="A633" s="268"/>
      <c r="B633" s="268"/>
      <c r="C633" s="268"/>
      <c r="D633" s="268"/>
      <c r="E633" s="268"/>
      <c r="F633" s="268"/>
      <c r="G633" s="268"/>
      <c r="H633" s="268"/>
      <c r="I633" s="268"/>
      <c r="J633" s="268"/>
      <c r="K633" s="268"/>
      <c r="L633" s="268"/>
      <c r="M633" s="268"/>
      <c r="N633" s="268"/>
      <c r="O633" s="268"/>
      <c r="P633" s="268"/>
      <c r="Q633" s="268"/>
      <c r="R633" s="268"/>
      <c r="S633" s="268"/>
      <c r="T633" s="268"/>
      <c r="U633" s="268"/>
      <c r="V633" s="268"/>
      <c r="W633" s="268"/>
      <c r="X633" s="268"/>
      <c r="Y633" s="268"/>
      <c r="Z633" s="268"/>
    </row>
    <row r="634" customHeight="1" spans="1:26">
      <c r="A634" s="268"/>
      <c r="B634" s="268"/>
      <c r="C634" s="268"/>
      <c r="D634" s="268"/>
      <c r="E634" s="268"/>
      <c r="F634" s="268"/>
      <c r="G634" s="268"/>
      <c r="H634" s="268"/>
      <c r="I634" s="268"/>
      <c r="J634" s="268"/>
      <c r="K634" s="268"/>
      <c r="L634" s="268"/>
      <c r="M634" s="268"/>
      <c r="N634" s="268"/>
      <c r="O634" s="268"/>
      <c r="P634" s="268"/>
      <c r="Q634" s="268"/>
      <c r="R634" s="268"/>
      <c r="S634" s="268"/>
      <c r="T634" s="268"/>
      <c r="U634" s="268"/>
      <c r="V634" s="268"/>
      <c r="W634" s="268"/>
      <c r="X634" s="268"/>
      <c r="Y634" s="268"/>
      <c r="Z634" s="268"/>
    </row>
    <row r="635" customHeight="1" spans="1:26">
      <c r="A635" s="268"/>
      <c r="B635" s="268"/>
      <c r="C635" s="268"/>
      <c r="D635" s="268"/>
      <c r="E635" s="268"/>
      <c r="F635" s="268"/>
      <c r="G635" s="268"/>
      <c r="H635" s="268"/>
      <c r="I635" s="268"/>
      <c r="J635" s="268"/>
      <c r="K635" s="268"/>
      <c r="L635" s="268"/>
      <c r="M635" s="268"/>
      <c r="N635" s="268"/>
      <c r="O635" s="268"/>
      <c r="P635" s="268"/>
      <c r="Q635" s="268"/>
      <c r="R635" s="268"/>
      <c r="S635" s="268"/>
      <c r="T635" s="268"/>
      <c r="U635" s="268"/>
      <c r="V635" s="268"/>
      <c r="W635" s="268"/>
      <c r="X635" s="268"/>
      <c r="Y635" s="268"/>
      <c r="Z635" s="268"/>
    </row>
    <row r="636" customHeight="1" spans="1:26">
      <c r="A636" s="268"/>
      <c r="B636" s="268"/>
      <c r="C636" s="268"/>
      <c r="D636" s="268"/>
      <c r="E636" s="268"/>
      <c r="F636" s="268"/>
      <c r="G636" s="268"/>
      <c r="H636" s="268"/>
      <c r="I636" s="268"/>
      <c r="J636" s="268"/>
      <c r="K636" s="268"/>
      <c r="L636" s="268"/>
      <c r="M636" s="268"/>
      <c r="N636" s="268"/>
      <c r="O636" s="268"/>
      <c r="P636" s="268"/>
      <c r="Q636" s="268"/>
      <c r="R636" s="268"/>
      <c r="S636" s="268"/>
      <c r="T636" s="268"/>
      <c r="U636" s="268"/>
      <c r="V636" s="268"/>
      <c r="W636" s="268"/>
      <c r="X636" s="268"/>
      <c r="Y636" s="268"/>
      <c r="Z636" s="268"/>
    </row>
    <row r="637" customHeight="1" spans="1:26">
      <c r="A637" s="268"/>
      <c r="B637" s="268"/>
      <c r="C637" s="268"/>
      <c r="D637" s="268"/>
      <c r="E637" s="268"/>
      <c r="F637" s="268"/>
      <c r="G637" s="268"/>
      <c r="H637" s="268"/>
      <c r="I637" s="268"/>
      <c r="J637" s="268"/>
      <c r="K637" s="268"/>
      <c r="L637" s="268"/>
      <c r="M637" s="268"/>
      <c r="N637" s="268"/>
      <c r="O637" s="268"/>
      <c r="P637" s="268"/>
      <c r="Q637" s="268"/>
      <c r="R637" s="268"/>
      <c r="S637" s="268"/>
      <c r="T637" s="268"/>
      <c r="U637" s="268"/>
      <c r="V637" s="268"/>
      <c r="W637" s="268"/>
      <c r="X637" s="268"/>
      <c r="Y637" s="268"/>
      <c r="Z637" s="268"/>
    </row>
    <row r="638" customHeight="1" spans="1:26">
      <c r="A638" s="268"/>
      <c r="B638" s="268"/>
      <c r="C638" s="268"/>
      <c r="D638" s="268"/>
      <c r="E638" s="268"/>
      <c r="F638" s="268"/>
      <c r="G638" s="268"/>
      <c r="H638" s="268"/>
      <c r="I638" s="268"/>
      <c r="J638" s="268"/>
      <c r="K638" s="268"/>
      <c r="L638" s="268"/>
      <c r="M638" s="268"/>
      <c r="N638" s="268"/>
      <c r="O638" s="268"/>
      <c r="P638" s="268"/>
      <c r="Q638" s="268"/>
      <c r="R638" s="268"/>
      <c r="S638" s="268"/>
      <c r="T638" s="268"/>
      <c r="U638" s="268"/>
      <c r="V638" s="268"/>
      <c r="W638" s="268"/>
      <c r="X638" s="268"/>
      <c r="Y638" s="268"/>
      <c r="Z638" s="268"/>
    </row>
    <row r="639" customHeight="1" spans="1:26">
      <c r="A639" s="268"/>
      <c r="B639" s="268"/>
      <c r="C639" s="268"/>
      <c r="D639" s="268"/>
      <c r="E639" s="268"/>
      <c r="F639" s="268"/>
      <c r="G639" s="268"/>
      <c r="H639" s="268"/>
      <c r="I639" s="268"/>
      <c r="J639" s="268"/>
      <c r="K639" s="268"/>
      <c r="L639" s="268"/>
      <c r="M639" s="268"/>
      <c r="N639" s="268"/>
      <c r="O639" s="268"/>
      <c r="P639" s="268"/>
      <c r="Q639" s="268"/>
      <c r="R639" s="268"/>
      <c r="S639" s="268"/>
      <c r="T639" s="268"/>
      <c r="U639" s="268"/>
      <c r="V639" s="268"/>
      <c r="W639" s="268"/>
      <c r="X639" s="268"/>
      <c r="Y639" s="268"/>
      <c r="Z639" s="268"/>
    </row>
    <row r="640" customHeight="1" spans="1:26">
      <c r="A640" s="268"/>
      <c r="B640" s="268"/>
      <c r="C640" s="268"/>
      <c r="D640" s="268"/>
      <c r="E640" s="268"/>
      <c r="F640" s="268"/>
      <c r="G640" s="268"/>
      <c r="H640" s="268"/>
      <c r="I640" s="268"/>
      <c r="J640" s="268"/>
      <c r="K640" s="268"/>
      <c r="L640" s="268"/>
      <c r="M640" s="268"/>
      <c r="N640" s="268"/>
      <c r="O640" s="268"/>
      <c r="P640" s="268"/>
      <c r="Q640" s="268"/>
      <c r="R640" s="268"/>
      <c r="S640" s="268"/>
      <c r="T640" s="268"/>
      <c r="U640" s="268"/>
      <c r="V640" s="268"/>
      <c r="W640" s="268"/>
      <c r="X640" s="268"/>
      <c r="Y640" s="268"/>
      <c r="Z640" s="268"/>
    </row>
    <row r="641" customHeight="1" spans="1:26">
      <c r="A641" s="268"/>
      <c r="B641" s="268"/>
      <c r="C641" s="268"/>
      <c r="D641" s="268"/>
      <c r="E641" s="268"/>
      <c r="F641" s="268"/>
      <c r="G641" s="268"/>
      <c r="H641" s="268"/>
      <c r="I641" s="268"/>
      <c r="J641" s="268"/>
      <c r="K641" s="268"/>
      <c r="L641" s="268"/>
      <c r="M641" s="268"/>
      <c r="N641" s="268"/>
      <c r="O641" s="268"/>
      <c r="P641" s="268"/>
      <c r="Q641" s="268"/>
      <c r="R641" s="268"/>
      <c r="S641" s="268"/>
      <c r="T641" s="268"/>
      <c r="U641" s="268"/>
      <c r="V641" s="268"/>
      <c r="W641" s="268"/>
      <c r="X641" s="268"/>
      <c r="Y641" s="268"/>
      <c r="Z641" s="268"/>
    </row>
    <row r="642" customHeight="1" spans="1:26">
      <c r="A642" s="268"/>
      <c r="B642" s="268"/>
      <c r="C642" s="268"/>
      <c r="D642" s="268"/>
      <c r="E642" s="268"/>
      <c r="F642" s="268"/>
      <c r="G642" s="268"/>
      <c r="H642" s="268"/>
      <c r="I642" s="268"/>
      <c r="J642" s="268"/>
      <c r="K642" s="268"/>
      <c r="L642" s="268"/>
      <c r="M642" s="268"/>
      <c r="N642" s="268"/>
      <c r="O642" s="268"/>
      <c r="P642" s="268"/>
      <c r="Q642" s="268"/>
      <c r="R642" s="268"/>
      <c r="S642" s="268"/>
      <c r="T642" s="268"/>
      <c r="U642" s="268"/>
      <c r="V642" s="268"/>
      <c r="W642" s="268"/>
      <c r="X642" s="268"/>
      <c r="Y642" s="268"/>
      <c r="Z642" s="268"/>
    </row>
    <row r="643" customHeight="1" spans="1:26">
      <c r="A643" s="268"/>
      <c r="B643" s="268"/>
      <c r="C643" s="268"/>
      <c r="D643" s="268"/>
      <c r="E643" s="268"/>
      <c r="F643" s="268"/>
      <c r="G643" s="268"/>
      <c r="H643" s="268"/>
      <c r="I643" s="268"/>
      <c r="J643" s="268"/>
      <c r="K643" s="268"/>
      <c r="L643" s="268"/>
      <c r="M643" s="268"/>
      <c r="N643" s="268"/>
      <c r="O643" s="268"/>
      <c r="P643" s="268"/>
      <c r="Q643" s="268"/>
      <c r="R643" s="268"/>
      <c r="S643" s="268"/>
      <c r="T643" s="268"/>
      <c r="U643" s="268"/>
      <c r="V643" s="268"/>
      <c r="W643" s="268"/>
      <c r="X643" s="268"/>
      <c r="Y643" s="268"/>
      <c r="Z643" s="268"/>
    </row>
    <row r="644" customHeight="1" spans="1:26">
      <c r="A644" s="268"/>
      <c r="B644" s="268"/>
      <c r="C644" s="268"/>
      <c r="D644" s="268"/>
      <c r="E644" s="268"/>
      <c r="F644" s="268"/>
      <c r="G644" s="268"/>
      <c r="H644" s="268"/>
      <c r="I644" s="268"/>
      <c r="J644" s="268"/>
      <c r="K644" s="268"/>
      <c r="L644" s="268"/>
      <c r="M644" s="268"/>
      <c r="N644" s="268"/>
      <c r="O644" s="268"/>
      <c r="P644" s="268"/>
      <c r="Q644" s="268"/>
      <c r="R644" s="268"/>
      <c r="S644" s="268"/>
      <c r="T644" s="268"/>
      <c r="U644" s="268"/>
      <c r="V644" s="268"/>
      <c r="W644" s="268"/>
      <c r="X644" s="268"/>
      <c r="Y644" s="268"/>
      <c r="Z644" s="268"/>
    </row>
    <row r="645" customHeight="1" spans="1:26">
      <c r="A645" s="268"/>
      <c r="B645" s="268"/>
      <c r="C645" s="268"/>
      <c r="D645" s="268"/>
      <c r="E645" s="268"/>
      <c r="F645" s="268"/>
      <c r="G645" s="268"/>
      <c r="H645" s="268"/>
      <c r="I645" s="268"/>
      <c r="J645" s="268"/>
      <c r="K645" s="268"/>
      <c r="L645" s="268"/>
      <c r="M645" s="268"/>
      <c r="N645" s="268"/>
      <c r="O645" s="268"/>
      <c r="P645" s="268"/>
      <c r="Q645" s="268"/>
      <c r="R645" s="268"/>
      <c r="S645" s="268"/>
      <c r="T645" s="268"/>
      <c r="U645" s="268"/>
      <c r="V645" s="268"/>
      <c r="W645" s="268"/>
      <c r="X645" s="268"/>
      <c r="Y645" s="268"/>
      <c r="Z645" s="268"/>
    </row>
    <row r="646" customHeight="1" spans="1:26">
      <c r="A646" s="268"/>
      <c r="B646" s="268"/>
      <c r="C646" s="268"/>
      <c r="D646" s="268"/>
      <c r="E646" s="268"/>
      <c r="F646" s="268"/>
      <c r="G646" s="268"/>
      <c r="H646" s="268"/>
      <c r="I646" s="268"/>
      <c r="J646" s="268"/>
      <c r="K646" s="268"/>
      <c r="L646" s="268"/>
      <c r="M646" s="268"/>
      <c r="N646" s="268"/>
      <c r="O646" s="268"/>
      <c r="P646" s="268"/>
      <c r="Q646" s="268"/>
      <c r="R646" s="268"/>
      <c r="S646" s="268"/>
      <c r="T646" s="268"/>
      <c r="U646" s="268"/>
      <c r="V646" s="268"/>
      <c r="W646" s="268"/>
      <c r="X646" s="268"/>
      <c r="Y646" s="268"/>
      <c r="Z646" s="268"/>
    </row>
    <row r="647" customHeight="1" spans="1:26">
      <c r="A647" s="268"/>
      <c r="B647" s="268"/>
      <c r="C647" s="268"/>
      <c r="D647" s="268"/>
      <c r="E647" s="268"/>
      <c r="F647" s="268"/>
      <c r="G647" s="268"/>
      <c r="H647" s="268"/>
      <c r="I647" s="268"/>
      <c r="J647" s="268"/>
      <c r="K647" s="268"/>
      <c r="L647" s="268"/>
      <c r="M647" s="268"/>
      <c r="N647" s="268"/>
      <c r="O647" s="268"/>
      <c r="P647" s="268"/>
      <c r="Q647" s="268"/>
      <c r="R647" s="268"/>
      <c r="S647" s="268"/>
      <c r="T647" s="268"/>
      <c r="U647" s="268"/>
      <c r="V647" s="268"/>
      <c r="W647" s="268"/>
      <c r="X647" s="268"/>
      <c r="Y647" s="268"/>
      <c r="Z647" s="268"/>
    </row>
    <row r="648" customHeight="1" spans="1:26">
      <c r="A648" s="268"/>
      <c r="B648" s="268"/>
      <c r="C648" s="268"/>
      <c r="D648" s="268"/>
      <c r="E648" s="268"/>
      <c r="F648" s="268"/>
      <c r="G648" s="268"/>
      <c r="H648" s="268"/>
      <c r="I648" s="268"/>
      <c r="J648" s="268"/>
      <c r="K648" s="268"/>
      <c r="L648" s="268"/>
      <c r="M648" s="268"/>
      <c r="N648" s="268"/>
      <c r="O648" s="268"/>
      <c r="P648" s="268"/>
      <c r="Q648" s="268"/>
      <c r="R648" s="268"/>
      <c r="S648" s="268"/>
      <c r="T648" s="268"/>
      <c r="U648" s="268"/>
      <c r="V648" s="268"/>
      <c r="W648" s="268"/>
      <c r="X648" s="268"/>
      <c r="Y648" s="268"/>
      <c r="Z648" s="268"/>
    </row>
    <row r="649" customHeight="1" spans="1:26">
      <c r="A649" s="268"/>
      <c r="B649" s="268"/>
      <c r="C649" s="268"/>
      <c r="D649" s="268"/>
      <c r="E649" s="268"/>
      <c r="F649" s="268"/>
      <c r="G649" s="268"/>
      <c r="H649" s="268"/>
      <c r="I649" s="268"/>
      <c r="J649" s="268"/>
      <c r="K649" s="268"/>
      <c r="L649" s="268"/>
      <c r="M649" s="268"/>
      <c r="N649" s="268"/>
      <c r="O649" s="268"/>
      <c r="P649" s="268"/>
      <c r="Q649" s="268"/>
      <c r="R649" s="268"/>
      <c r="S649" s="268"/>
      <c r="T649" s="268"/>
      <c r="U649" s="268"/>
      <c r="V649" s="268"/>
      <c r="W649" s="268"/>
      <c r="X649" s="268"/>
      <c r="Y649" s="268"/>
      <c r="Z649" s="268"/>
    </row>
    <row r="650" customHeight="1" spans="1:26">
      <c r="A650" s="268"/>
      <c r="B650" s="268"/>
      <c r="C650" s="268"/>
      <c r="D650" s="268"/>
      <c r="E650" s="268"/>
      <c r="F650" s="268"/>
      <c r="G650" s="268"/>
      <c r="H650" s="268"/>
      <c r="I650" s="268"/>
      <c r="J650" s="268"/>
      <c r="K650" s="268"/>
      <c r="L650" s="268"/>
      <c r="M650" s="268"/>
      <c r="N650" s="268"/>
      <c r="O650" s="268"/>
      <c r="P650" s="268"/>
      <c r="Q650" s="268"/>
      <c r="R650" s="268"/>
      <c r="S650" s="268"/>
      <c r="T650" s="268"/>
      <c r="U650" s="268"/>
      <c r="V650" s="268"/>
      <c r="W650" s="268"/>
      <c r="X650" s="268"/>
      <c r="Y650" s="268"/>
      <c r="Z650" s="268"/>
    </row>
    <row r="651" customHeight="1" spans="1:26">
      <c r="A651" s="268"/>
      <c r="B651" s="268"/>
      <c r="C651" s="268"/>
      <c r="D651" s="268"/>
      <c r="E651" s="268"/>
      <c r="F651" s="268"/>
      <c r="G651" s="268"/>
      <c r="H651" s="268"/>
      <c r="I651" s="268"/>
      <c r="J651" s="268"/>
      <c r="K651" s="268"/>
      <c r="L651" s="268"/>
      <c r="M651" s="268"/>
      <c r="N651" s="268"/>
      <c r="O651" s="268"/>
      <c r="P651" s="268"/>
      <c r="Q651" s="268"/>
      <c r="R651" s="268"/>
      <c r="S651" s="268"/>
      <c r="T651" s="268"/>
      <c r="U651" s="268"/>
      <c r="V651" s="268"/>
      <c r="W651" s="268"/>
      <c r="X651" s="268"/>
      <c r="Y651" s="268"/>
      <c r="Z651" s="268"/>
    </row>
    <row r="652" customHeight="1" spans="1:26">
      <c r="A652" s="268"/>
      <c r="B652" s="268"/>
      <c r="C652" s="268"/>
      <c r="D652" s="268"/>
      <c r="E652" s="268"/>
      <c r="F652" s="268"/>
      <c r="G652" s="268"/>
      <c r="H652" s="268"/>
      <c r="I652" s="268"/>
      <c r="J652" s="268"/>
      <c r="K652" s="268"/>
      <c r="L652" s="268"/>
      <c r="M652" s="268"/>
      <c r="N652" s="268"/>
      <c r="O652" s="268"/>
      <c r="P652" s="268"/>
      <c r="Q652" s="268"/>
      <c r="R652" s="268"/>
      <c r="S652" s="268"/>
      <c r="T652" s="268"/>
      <c r="U652" s="268"/>
      <c r="V652" s="268"/>
      <c r="W652" s="268"/>
      <c r="X652" s="268"/>
      <c r="Y652" s="268"/>
      <c r="Z652" s="268"/>
    </row>
    <row r="653" customHeight="1" spans="1:26">
      <c r="A653" s="268"/>
      <c r="B653" s="268"/>
      <c r="C653" s="268"/>
      <c r="D653" s="268"/>
      <c r="E653" s="268"/>
      <c r="F653" s="268"/>
      <c r="G653" s="268"/>
      <c r="H653" s="268"/>
      <c r="I653" s="268"/>
      <c r="J653" s="268"/>
      <c r="K653" s="268"/>
      <c r="L653" s="268"/>
      <c r="M653" s="268"/>
      <c r="N653" s="268"/>
      <c r="O653" s="268"/>
      <c r="P653" s="268"/>
      <c r="Q653" s="268"/>
      <c r="R653" s="268"/>
      <c r="S653" s="268"/>
      <c r="T653" s="268"/>
      <c r="U653" s="268"/>
      <c r="V653" s="268"/>
      <c r="W653" s="268"/>
      <c r="X653" s="268"/>
      <c r="Y653" s="268"/>
      <c r="Z653" s="268"/>
    </row>
    <row r="654" customHeight="1" spans="1:26">
      <c r="A654" s="268"/>
      <c r="B654" s="268"/>
      <c r="C654" s="268"/>
      <c r="D654" s="268"/>
      <c r="E654" s="268"/>
      <c r="F654" s="268"/>
      <c r="G654" s="268"/>
      <c r="H654" s="268"/>
      <c r="I654" s="268"/>
      <c r="J654" s="268"/>
      <c r="K654" s="268"/>
      <c r="L654" s="268"/>
      <c r="M654" s="268"/>
      <c r="N654" s="268"/>
      <c r="O654" s="268"/>
      <c r="P654" s="268"/>
      <c r="Q654" s="268"/>
      <c r="R654" s="268"/>
      <c r="S654" s="268"/>
      <c r="T654" s="268"/>
      <c r="U654" s="268"/>
      <c r="V654" s="268"/>
      <c r="W654" s="268"/>
      <c r="X654" s="268"/>
      <c r="Y654" s="268"/>
      <c r="Z654" s="268"/>
    </row>
    <row r="655" customHeight="1" spans="1:26">
      <c r="A655" s="268"/>
      <c r="B655" s="268"/>
      <c r="C655" s="268"/>
      <c r="D655" s="268"/>
      <c r="E655" s="268"/>
      <c r="F655" s="268"/>
      <c r="G655" s="268"/>
      <c r="H655" s="268"/>
      <c r="I655" s="268"/>
      <c r="J655" s="268"/>
      <c r="K655" s="268"/>
      <c r="L655" s="268"/>
      <c r="M655" s="268"/>
      <c r="N655" s="268"/>
      <c r="O655" s="268"/>
      <c r="P655" s="268"/>
      <c r="Q655" s="268"/>
      <c r="R655" s="268"/>
      <c r="S655" s="268"/>
      <c r="T655" s="268"/>
      <c r="U655" s="268"/>
      <c r="V655" s="268"/>
      <c r="W655" s="268"/>
      <c r="X655" s="268"/>
      <c r="Y655" s="268"/>
      <c r="Z655" s="268"/>
    </row>
    <row r="656" customHeight="1" spans="1:26">
      <c r="A656" s="268"/>
      <c r="B656" s="268"/>
      <c r="C656" s="268"/>
      <c r="D656" s="268"/>
      <c r="E656" s="268"/>
      <c r="F656" s="268"/>
      <c r="G656" s="268"/>
      <c r="H656" s="268"/>
      <c r="I656" s="268"/>
      <c r="J656" s="268"/>
      <c r="K656" s="268"/>
      <c r="L656" s="268"/>
      <c r="M656" s="268"/>
      <c r="N656" s="268"/>
      <c r="O656" s="268"/>
      <c r="P656" s="268"/>
      <c r="Q656" s="268"/>
      <c r="R656" s="268"/>
      <c r="S656" s="268"/>
      <c r="T656" s="268"/>
      <c r="U656" s="268"/>
      <c r="V656" s="268"/>
      <c r="W656" s="268"/>
      <c r="X656" s="268"/>
      <c r="Y656" s="268"/>
      <c r="Z656" s="268"/>
    </row>
    <row r="657" customHeight="1" spans="1:26">
      <c r="A657" s="268"/>
      <c r="B657" s="268"/>
      <c r="C657" s="268"/>
      <c r="D657" s="268"/>
      <c r="E657" s="268"/>
      <c r="F657" s="268"/>
      <c r="G657" s="268"/>
      <c r="H657" s="268"/>
      <c r="I657" s="268"/>
      <c r="J657" s="268"/>
      <c r="K657" s="268"/>
      <c r="L657" s="268"/>
      <c r="M657" s="268"/>
      <c r="N657" s="268"/>
      <c r="O657" s="268"/>
      <c r="P657" s="268"/>
      <c r="Q657" s="268"/>
      <c r="R657" s="268"/>
      <c r="S657" s="268"/>
      <c r="T657" s="268"/>
      <c r="U657" s="268"/>
      <c r="V657" s="268"/>
      <c r="W657" s="268"/>
      <c r="X657" s="268"/>
      <c r="Y657" s="268"/>
      <c r="Z657" s="268"/>
    </row>
    <row r="658" customHeight="1" spans="1:26">
      <c r="A658" s="268"/>
      <c r="B658" s="268"/>
      <c r="C658" s="268"/>
      <c r="D658" s="268"/>
      <c r="E658" s="268"/>
      <c r="F658" s="268"/>
      <c r="G658" s="268"/>
      <c r="H658" s="268"/>
      <c r="I658" s="268"/>
      <c r="J658" s="268"/>
      <c r="K658" s="268"/>
      <c r="L658" s="268"/>
      <c r="M658" s="268"/>
      <c r="N658" s="268"/>
      <c r="O658" s="268"/>
      <c r="P658" s="268"/>
      <c r="Q658" s="268"/>
      <c r="R658" s="268"/>
      <c r="S658" s="268"/>
      <c r="T658" s="268"/>
      <c r="U658" s="268"/>
      <c r="V658" s="268"/>
      <c r="W658" s="268"/>
      <c r="X658" s="268"/>
      <c r="Y658" s="268"/>
      <c r="Z658" s="268"/>
    </row>
    <row r="659" customHeight="1" spans="1:26">
      <c r="A659" s="268"/>
      <c r="B659" s="268"/>
      <c r="C659" s="268"/>
      <c r="D659" s="268"/>
      <c r="E659" s="268"/>
      <c r="F659" s="268"/>
      <c r="G659" s="268"/>
      <c r="H659" s="268"/>
      <c r="I659" s="268"/>
      <c r="J659" s="268"/>
      <c r="K659" s="268"/>
      <c r="L659" s="268"/>
      <c r="M659" s="268"/>
      <c r="N659" s="268"/>
      <c r="O659" s="268"/>
      <c r="P659" s="268"/>
      <c r="Q659" s="268"/>
      <c r="R659" s="268"/>
      <c r="S659" s="268"/>
      <c r="T659" s="268"/>
      <c r="U659" s="268"/>
      <c r="V659" s="268"/>
      <c r="W659" s="268"/>
      <c r="X659" s="268"/>
      <c r="Y659" s="268"/>
      <c r="Z659" s="268"/>
    </row>
    <row r="660" customHeight="1" spans="1:26">
      <c r="A660" s="268"/>
      <c r="B660" s="268"/>
      <c r="C660" s="268"/>
      <c r="D660" s="268"/>
      <c r="E660" s="268"/>
      <c r="F660" s="268"/>
      <c r="G660" s="268"/>
      <c r="H660" s="268"/>
      <c r="I660" s="268"/>
      <c r="J660" s="268"/>
      <c r="K660" s="268"/>
      <c r="L660" s="268"/>
      <c r="M660" s="268"/>
      <c r="N660" s="268"/>
      <c r="O660" s="268"/>
      <c r="P660" s="268"/>
      <c r="Q660" s="268"/>
      <c r="R660" s="268"/>
      <c r="S660" s="268"/>
      <c r="T660" s="268"/>
      <c r="U660" s="268"/>
      <c r="V660" s="268"/>
      <c r="W660" s="268"/>
      <c r="X660" s="268"/>
      <c r="Y660" s="268"/>
      <c r="Z660" s="268"/>
    </row>
    <row r="661" customHeight="1" spans="1:26">
      <c r="A661" s="268"/>
      <c r="B661" s="268"/>
      <c r="C661" s="268"/>
      <c r="D661" s="268"/>
      <c r="E661" s="268"/>
      <c r="F661" s="268"/>
      <c r="G661" s="268"/>
      <c r="H661" s="268"/>
      <c r="I661" s="268"/>
      <c r="J661" s="268"/>
      <c r="K661" s="268"/>
      <c r="L661" s="268"/>
      <c r="M661" s="268"/>
      <c r="N661" s="268"/>
      <c r="O661" s="268"/>
      <c r="P661" s="268"/>
      <c r="Q661" s="268"/>
      <c r="R661" s="268"/>
      <c r="S661" s="268"/>
      <c r="T661" s="268"/>
      <c r="U661" s="268"/>
      <c r="V661" s="268"/>
      <c r="W661" s="268"/>
      <c r="X661" s="268"/>
      <c r="Y661" s="268"/>
      <c r="Z661" s="268"/>
    </row>
    <row r="662" customHeight="1" spans="1:26">
      <c r="A662" s="268"/>
      <c r="B662" s="268"/>
      <c r="C662" s="268"/>
      <c r="D662" s="268"/>
      <c r="E662" s="268"/>
      <c r="F662" s="268"/>
      <c r="G662" s="268"/>
      <c r="H662" s="268"/>
      <c r="I662" s="268"/>
      <c r="J662" s="268"/>
      <c r="K662" s="268"/>
      <c r="L662" s="268"/>
      <c r="M662" s="268"/>
      <c r="N662" s="268"/>
      <c r="O662" s="268"/>
      <c r="P662" s="268"/>
      <c r="Q662" s="268"/>
      <c r="R662" s="268"/>
      <c r="S662" s="268"/>
      <c r="T662" s="268"/>
      <c r="U662" s="268"/>
      <c r="V662" s="268"/>
      <c r="W662" s="268"/>
      <c r="X662" s="268"/>
      <c r="Y662" s="268"/>
      <c r="Z662" s="268"/>
    </row>
    <row r="663" customHeight="1" spans="1:26">
      <c r="A663" s="268"/>
      <c r="B663" s="268"/>
      <c r="C663" s="268"/>
      <c r="D663" s="268"/>
      <c r="E663" s="268"/>
      <c r="F663" s="268"/>
      <c r="G663" s="268"/>
      <c r="H663" s="268"/>
      <c r="I663" s="268"/>
      <c r="J663" s="268"/>
      <c r="K663" s="268"/>
      <c r="L663" s="268"/>
      <c r="M663" s="268"/>
      <c r="N663" s="268"/>
      <c r="O663" s="268"/>
      <c r="P663" s="268"/>
      <c r="Q663" s="268"/>
      <c r="R663" s="268"/>
      <c r="S663" s="268"/>
      <c r="T663" s="268"/>
      <c r="U663" s="268"/>
      <c r="V663" s="268"/>
      <c r="W663" s="268"/>
      <c r="X663" s="268"/>
      <c r="Y663" s="268"/>
      <c r="Z663" s="268"/>
    </row>
    <row r="664" customHeight="1" spans="1:26">
      <c r="A664" s="268"/>
      <c r="B664" s="268"/>
      <c r="C664" s="268"/>
      <c r="D664" s="268"/>
      <c r="E664" s="268"/>
      <c r="F664" s="268"/>
      <c r="G664" s="268"/>
      <c r="H664" s="268"/>
      <c r="I664" s="268"/>
      <c r="J664" s="268"/>
      <c r="K664" s="268"/>
      <c r="L664" s="268"/>
      <c r="M664" s="268"/>
      <c r="N664" s="268"/>
      <c r="O664" s="268"/>
      <c r="P664" s="268"/>
      <c r="Q664" s="268"/>
      <c r="R664" s="268"/>
      <c r="S664" s="268"/>
      <c r="T664" s="268"/>
      <c r="U664" s="268"/>
      <c r="V664" s="268"/>
      <c r="W664" s="268"/>
      <c r="X664" s="268"/>
      <c r="Y664" s="268"/>
      <c r="Z664" s="268"/>
    </row>
    <row r="665" customHeight="1" spans="1:26">
      <c r="A665" s="268"/>
      <c r="B665" s="268"/>
      <c r="C665" s="268"/>
      <c r="D665" s="268"/>
      <c r="E665" s="268"/>
      <c r="F665" s="268"/>
      <c r="G665" s="268"/>
      <c r="H665" s="268"/>
      <c r="I665" s="268"/>
      <c r="J665" s="268"/>
      <c r="K665" s="268"/>
      <c r="L665" s="268"/>
      <c r="M665" s="268"/>
      <c r="N665" s="268"/>
      <c r="O665" s="268"/>
      <c r="P665" s="268"/>
      <c r="Q665" s="268"/>
      <c r="R665" s="268"/>
      <c r="S665" s="268"/>
      <c r="T665" s="268"/>
      <c r="U665" s="268"/>
      <c r="V665" s="268"/>
      <c r="W665" s="268"/>
      <c r="X665" s="268"/>
      <c r="Y665" s="268"/>
      <c r="Z665" s="268"/>
    </row>
    <row r="666" customHeight="1" spans="1:26">
      <c r="A666" s="268"/>
      <c r="B666" s="268"/>
      <c r="C666" s="268"/>
      <c r="D666" s="268"/>
      <c r="E666" s="268"/>
      <c r="F666" s="268"/>
      <c r="G666" s="268"/>
      <c r="H666" s="268"/>
      <c r="I666" s="268"/>
      <c r="J666" s="268"/>
      <c r="K666" s="268"/>
      <c r="L666" s="268"/>
      <c r="M666" s="268"/>
      <c r="N666" s="268"/>
      <c r="O666" s="268"/>
      <c r="P666" s="268"/>
      <c r="Q666" s="268"/>
      <c r="R666" s="268"/>
      <c r="S666" s="268"/>
      <c r="T666" s="268"/>
      <c r="U666" s="268"/>
      <c r="V666" s="268"/>
      <c r="W666" s="268"/>
      <c r="X666" s="268"/>
      <c r="Y666" s="268"/>
      <c r="Z666" s="268"/>
    </row>
    <row r="667" customHeight="1" spans="1:26">
      <c r="A667" s="268"/>
      <c r="B667" s="268"/>
      <c r="C667" s="268"/>
      <c r="D667" s="268"/>
      <c r="E667" s="268"/>
      <c r="F667" s="268"/>
      <c r="G667" s="268"/>
      <c r="H667" s="268"/>
      <c r="I667" s="268"/>
      <c r="J667" s="268"/>
      <c r="K667" s="268"/>
      <c r="L667" s="268"/>
      <c r="M667" s="268"/>
      <c r="N667" s="268"/>
      <c r="O667" s="268"/>
      <c r="P667" s="268"/>
      <c r="Q667" s="268"/>
      <c r="R667" s="268"/>
      <c r="S667" s="268"/>
      <c r="T667" s="268"/>
      <c r="U667" s="268"/>
      <c r="V667" s="268"/>
      <c r="W667" s="268"/>
      <c r="X667" s="268"/>
      <c r="Y667" s="268"/>
      <c r="Z667" s="268"/>
    </row>
    <row r="668" customHeight="1" spans="1:26">
      <c r="A668" s="268"/>
      <c r="B668" s="268"/>
      <c r="C668" s="268"/>
      <c r="D668" s="268"/>
      <c r="E668" s="268"/>
      <c r="F668" s="268"/>
      <c r="G668" s="268"/>
      <c r="H668" s="268"/>
      <c r="I668" s="268"/>
      <c r="J668" s="268"/>
      <c r="K668" s="268"/>
      <c r="L668" s="268"/>
      <c r="M668" s="268"/>
      <c r="N668" s="268"/>
      <c r="O668" s="268"/>
      <c r="P668" s="268"/>
      <c r="Q668" s="268"/>
      <c r="R668" s="268"/>
      <c r="S668" s="268"/>
      <c r="T668" s="268"/>
      <c r="U668" s="268"/>
      <c r="V668" s="268"/>
      <c r="W668" s="268"/>
      <c r="X668" s="268"/>
      <c r="Y668" s="268"/>
      <c r="Z668" s="268"/>
    </row>
    <row r="669" customHeight="1" spans="1:26">
      <c r="A669" s="268"/>
      <c r="B669" s="268"/>
      <c r="C669" s="268"/>
      <c r="D669" s="268"/>
      <c r="E669" s="268"/>
      <c r="F669" s="268"/>
      <c r="G669" s="268"/>
      <c r="H669" s="268"/>
      <c r="I669" s="268"/>
      <c r="J669" s="268"/>
      <c r="K669" s="268"/>
      <c r="L669" s="268"/>
      <c r="M669" s="268"/>
      <c r="N669" s="268"/>
      <c r="O669" s="268"/>
      <c r="P669" s="268"/>
      <c r="Q669" s="268"/>
      <c r="R669" s="268"/>
      <c r="S669" s="268"/>
      <c r="T669" s="268"/>
      <c r="U669" s="268"/>
      <c r="V669" s="268"/>
      <c r="W669" s="268"/>
      <c r="X669" s="268"/>
      <c r="Y669" s="268"/>
      <c r="Z669" s="268"/>
    </row>
    <row r="670" customHeight="1" spans="1:26">
      <c r="A670" s="268"/>
      <c r="B670" s="268"/>
      <c r="C670" s="268"/>
      <c r="D670" s="268"/>
      <c r="E670" s="268"/>
      <c r="F670" s="268"/>
      <c r="G670" s="268"/>
      <c r="H670" s="268"/>
      <c r="I670" s="268"/>
      <c r="J670" s="268"/>
      <c r="K670" s="268"/>
      <c r="L670" s="268"/>
      <c r="M670" s="268"/>
      <c r="N670" s="268"/>
      <c r="O670" s="268"/>
      <c r="P670" s="268"/>
      <c r="Q670" s="268"/>
      <c r="R670" s="268"/>
      <c r="S670" s="268"/>
      <c r="T670" s="268"/>
      <c r="U670" s="268"/>
      <c r="V670" s="268"/>
      <c r="W670" s="268"/>
      <c r="X670" s="268"/>
      <c r="Y670" s="268"/>
      <c r="Z670" s="268"/>
    </row>
    <row r="671" customHeight="1" spans="1:26">
      <c r="A671" s="268"/>
      <c r="B671" s="268"/>
      <c r="C671" s="268"/>
      <c r="D671" s="268"/>
      <c r="E671" s="268"/>
      <c r="F671" s="268"/>
      <c r="G671" s="268"/>
      <c r="H671" s="268"/>
      <c r="I671" s="268"/>
      <c r="J671" s="268"/>
      <c r="K671" s="268"/>
      <c r="L671" s="268"/>
      <c r="M671" s="268"/>
      <c r="N671" s="268"/>
      <c r="O671" s="268"/>
      <c r="P671" s="268"/>
      <c r="Q671" s="268"/>
      <c r="R671" s="268"/>
      <c r="S671" s="268"/>
      <c r="T671" s="268"/>
      <c r="U671" s="268"/>
      <c r="V671" s="268"/>
      <c r="W671" s="268"/>
      <c r="X671" s="268"/>
      <c r="Y671" s="268"/>
      <c r="Z671" s="268"/>
    </row>
    <row r="672" customHeight="1" spans="1:26">
      <c r="A672" s="268"/>
      <c r="B672" s="268"/>
      <c r="C672" s="268"/>
      <c r="D672" s="268"/>
      <c r="E672" s="268"/>
      <c r="F672" s="268"/>
      <c r="G672" s="268"/>
      <c r="H672" s="268"/>
      <c r="I672" s="268"/>
      <c r="J672" s="268"/>
      <c r="K672" s="268"/>
      <c r="L672" s="268"/>
      <c r="M672" s="268"/>
      <c r="N672" s="268"/>
      <c r="O672" s="268"/>
      <c r="P672" s="268"/>
      <c r="Q672" s="268"/>
      <c r="R672" s="268"/>
      <c r="S672" s="268"/>
      <c r="T672" s="268"/>
      <c r="U672" s="268"/>
      <c r="V672" s="268"/>
      <c r="W672" s="268"/>
      <c r="X672" s="268"/>
      <c r="Y672" s="268"/>
      <c r="Z672" s="268"/>
    </row>
    <row r="673" customHeight="1" spans="1:26">
      <c r="A673" s="268"/>
      <c r="B673" s="268"/>
      <c r="C673" s="268"/>
      <c r="D673" s="268"/>
      <c r="E673" s="268"/>
      <c r="F673" s="268"/>
      <c r="G673" s="268"/>
      <c r="H673" s="268"/>
      <c r="I673" s="268"/>
      <c r="J673" s="268"/>
      <c r="K673" s="268"/>
      <c r="L673" s="268"/>
      <c r="M673" s="268"/>
      <c r="N673" s="268"/>
      <c r="O673" s="268"/>
      <c r="P673" s="268"/>
      <c r="Q673" s="268"/>
      <c r="R673" s="268"/>
      <c r="S673" s="268"/>
      <c r="T673" s="268"/>
      <c r="U673" s="268"/>
      <c r="V673" s="268"/>
      <c r="W673" s="268"/>
      <c r="X673" s="268"/>
      <c r="Y673" s="268"/>
      <c r="Z673" s="268"/>
    </row>
    <row r="674" customHeight="1" spans="1:26">
      <c r="A674" s="268"/>
      <c r="B674" s="268"/>
      <c r="C674" s="268"/>
      <c r="D674" s="268"/>
      <c r="E674" s="268"/>
      <c r="F674" s="268"/>
      <c r="G674" s="268"/>
      <c r="H674" s="268"/>
      <c r="I674" s="268"/>
      <c r="J674" s="268"/>
      <c r="K674" s="268"/>
      <c r="L674" s="268"/>
      <c r="M674" s="268"/>
      <c r="N674" s="268"/>
      <c r="O674" s="268"/>
      <c r="P674" s="268"/>
      <c r="Q674" s="268"/>
      <c r="R674" s="268"/>
      <c r="S674" s="268"/>
      <c r="T674" s="268"/>
      <c r="U674" s="268"/>
      <c r="V674" s="268"/>
      <c r="W674" s="268"/>
      <c r="X674" s="268"/>
      <c r="Y674" s="268"/>
      <c r="Z674" s="268"/>
    </row>
    <row r="675" customHeight="1" spans="1:26">
      <c r="A675" s="268"/>
      <c r="B675" s="268"/>
      <c r="C675" s="268"/>
      <c r="D675" s="268"/>
      <c r="E675" s="268"/>
      <c r="F675" s="268"/>
      <c r="G675" s="268"/>
      <c r="H675" s="268"/>
      <c r="I675" s="268"/>
      <c r="J675" s="268"/>
      <c r="K675" s="268"/>
      <c r="L675" s="268"/>
      <c r="M675" s="268"/>
      <c r="N675" s="268"/>
      <c r="O675" s="268"/>
      <c r="P675" s="268"/>
      <c r="Q675" s="268"/>
      <c r="R675" s="268"/>
      <c r="S675" s="268"/>
      <c r="T675" s="268"/>
      <c r="U675" s="268"/>
      <c r="V675" s="268"/>
      <c r="W675" s="268"/>
      <c r="X675" s="268"/>
      <c r="Y675" s="268"/>
      <c r="Z675" s="268"/>
    </row>
    <row r="676" customHeight="1" spans="1:26">
      <c r="A676" s="268"/>
      <c r="B676" s="268"/>
      <c r="C676" s="268"/>
      <c r="D676" s="268"/>
      <c r="E676" s="268"/>
      <c r="F676" s="268"/>
      <c r="G676" s="268"/>
      <c r="H676" s="268"/>
      <c r="I676" s="268"/>
      <c r="J676" s="268"/>
      <c r="K676" s="268"/>
      <c r="L676" s="268"/>
      <c r="M676" s="268"/>
      <c r="N676" s="268"/>
      <c r="O676" s="268"/>
      <c r="P676" s="268"/>
      <c r="Q676" s="268"/>
      <c r="R676" s="268"/>
      <c r="S676" s="268"/>
      <c r="T676" s="268"/>
      <c r="U676" s="268"/>
      <c r="V676" s="268"/>
      <c r="W676" s="268"/>
      <c r="X676" s="268"/>
      <c r="Y676" s="268"/>
      <c r="Z676" s="268"/>
    </row>
    <row r="677" customHeight="1" spans="1:26">
      <c r="A677" s="268"/>
      <c r="B677" s="268"/>
      <c r="C677" s="268"/>
      <c r="D677" s="268"/>
      <c r="E677" s="268"/>
      <c r="F677" s="268"/>
      <c r="G677" s="268"/>
      <c r="H677" s="268"/>
      <c r="I677" s="268"/>
      <c r="J677" s="268"/>
      <c r="K677" s="268"/>
      <c r="L677" s="268"/>
      <c r="M677" s="268"/>
      <c r="N677" s="268"/>
      <c r="O677" s="268"/>
      <c r="P677" s="268"/>
      <c r="Q677" s="268"/>
      <c r="R677" s="268"/>
      <c r="S677" s="268"/>
      <c r="T677" s="268"/>
      <c r="U677" s="268"/>
      <c r="V677" s="268"/>
      <c r="W677" s="268"/>
      <c r="X677" s="268"/>
      <c r="Y677" s="268"/>
      <c r="Z677" s="268"/>
    </row>
    <row r="678" customHeight="1" spans="1:26">
      <c r="A678" s="268"/>
      <c r="B678" s="268"/>
      <c r="C678" s="268"/>
      <c r="D678" s="268"/>
      <c r="E678" s="268"/>
      <c r="F678" s="268"/>
      <c r="G678" s="268"/>
      <c r="H678" s="268"/>
      <c r="I678" s="268"/>
      <c r="J678" s="268"/>
      <c r="K678" s="268"/>
      <c r="L678" s="268"/>
      <c r="M678" s="268"/>
      <c r="N678" s="268"/>
      <c r="O678" s="268"/>
      <c r="P678" s="268"/>
      <c r="Q678" s="268"/>
      <c r="R678" s="268"/>
      <c r="S678" s="268"/>
      <c r="T678" s="268"/>
      <c r="U678" s="268"/>
      <c r="V678" s="268"/>
      <c r="W678" s="268"/>
      <c r="X678" s="268"/>
      <c r="Y678" s="268"/>
      <c r="Z678" s="268"/>
    </row>
    <row r="679" customHeight="1" spans="1:26">
      <c r="A679" s="268"/>
      <c r="B679" s="268"/>
      <c r="C679" s="268"/>
      <c r="D679" s="268"/>
      <c r="E679" s="268"/>
      <c r="F679" s="268"/>
      <c r="G679" s="268"/>
      <c r="H679" s="268"/>
      <c r="I679" s="268"/>
      <c r="J679" s="268"/>
      <c r="K679" s="268"/>
      <c r="L679" s="268"/>
      <c r="M679" s="268"/>
      <c r="N679" s="268"/>
      <c r="O679" s="268"/>
      <c r="P679" s="268"/>
      <c r="Q679" s="268"/>
      <c r="R679" s="268"/>
      <c r="S679" s="268"/>
      <c r="T679" s="268"/>
      <c r="U679" s="268"/>
      <c r="V679" s="268"/>
      <c r="W679" s="268"/>
      <c r="X679" s="268"/>
      <c r="Y679" s="268"/>
      <c r="Z679" s="268"/>
    </row>
    <row r="680" customHeight="1" spans="1:26">
      <c r="A680" s="268"/>
      <c r="B680" s="268"/>
      <c r="C680" s="268"/>
      <c r="D680" s="268"/>
      <c r="E680" s="268"/>
      <c r="F680" s="268"/>
      <c r="G680" s="268"/>
      <c r="H680" s="268"/>
      <c r="I680" s="268"/>
      <c r="J680" s="268"/>
      <c r="K680" s="268"/>
      <c r="L680" s="268"/>
      <c r="M680" s="268"/>
      <c r="N680" s="268"/>
      <c r="O680" s="268"/>
      <c r="P680" s="268"/>
      <c r="Q680" s="268"/>
      <c r="R680" s="268"/>
      <c r="S680" s="268"/>
      <c r="T680" s="268"/>
      <c r="U680" s="268"/>
      <c r="V680" s="268"/>
      <c r="W680" s="268"/>
      <c r="X680" s="268"/>
      <c r="Y680" s="268"/>
      <c r="Z680" s="268"/>
    </row>
    <row r="681" customHeight="1" spans="1:26">
      <c r="A681" s="268"/>
      <c r="B681" s="268"/>
      <c r="C681" s="268"/>
      <c r="D681" s="268"/>
      <c r="E681" s="268"/>
      <c r="F681" s="268"/>
      <c r="G681" s="268"/>
      <c r="H681" s="268"/>
      <c r="I681" s="268"/>
      <c r="J681" s="268"/>
      <c r="K681" s="268"/>
      <c r="L681" s="268"/>
      <c r="M681" s="268"/>
      <c r="N681" s="268"/>
      <c r="O681" s="268"/>
      <c r="P681" s="268"/>
      <c r="Q681" s="268"/>
      <c r="R681" s="268"/>
      <c r="S681" s="268"/>
      <c r="T681" s="268"/>
      <c r="U681" s="268"/>
      <c r="V681" s="268"/>
      <c r="W681" s="268"/>
      <c r="X681" s="268"/>
      <c r="Y681" s="268"/>
      <c r="Z681" s="268"/>
    </row>
    <row r="682" customHeight="1" spans="1:26">
      <c r="A682" s="268"/>
      <c r="B682" s="268"/>
      <c r="C682" s="268"/>
      <c r="D682" s="268"/>
      <c r="E682" s="268"/>
      <c r="F682" s="268"/>
      <c r="G682" s="268"/>
      <c r="H682" s="268"/>
      <c r="I682" s="268"/>
      <c r="J682" s="268"/>
      <c r="K682" s="268"/>
      <c r="L682" s="268"/>
      <c r="M682" s="268"/>
      <c r="N682" s="268"/>
      <c r="O682" s="268"/>
      <c r="P682" s="268"/>
      <c r="Q682" s="268"/>
      <c r="R682" s="268"/>
      <c r="S682" s="268"/>
      <c r="T682" s="268"/>
      <c r="U682" s="268"/>
      <c r="V682" s="268"/>
      <c r="W682" s="268"/>
      <c r="X682" s="268"/>
      <c r="Y682" s="268"/>
      <c r="Z682" s="268"/>
    </row>
    <row r="683" customHeight="1" spans="1:26">
      <c r="A683" s="268"/>
      <c r="B683" s="268"/>
      <c r="C683" s="268"/>
      <c r="D683" s="268"/>
      <c r="E683" s="268"/>
      <c r="F683" s="268"/>
      <c r="G683" s="268"/>
      <c r="H683" s="268"/>
      <c r="I683" s="268"/>
      <c r="J683" s="268"/>
      <c r="K683" s="268"/>
      <c r="L683" s="268"/>
      <c r="M683" s="268"/>
      <c r="N683" s="268"/>
      <c r="O683" s="268"/>
      <c r="P683" s="268"/>
      <c r="Q683" s="268"/>
      <c r="R683" s="268"/>
      <c r="S683" s="268"/>
      <c r="T683" s="268"/>
      <c r="U683" s="268"/>
      <c r="V683" s="268"/>
      <c r="W683" s="268"/>
      <c r="X683" s="268"/>
      <c r="Y683" s="268"/>
      <c r="Z683" s="268"/>
    </row>
    <row r="684" customHeight="1" spans="1:26">
      <c r="A684" s="268"/>
      <c r="B684" s="268"/>
      <c r="C684" s="268"/>
      <c r="D684" s="268"/>
      <c r="E684" s="268"/>
      <c r="F684" s="268"/>
      <c r="G684" s="268"/>
      <c r="H684" s="268"/>
      <c r="I684" s="268"/>
      <c r="J684" s="268"/>
      <c r="K684" s="268"/>
      <c r="L684" s="268"/>
      <c r="M684" s="268"/>
      <c r="N684" s="268"/>
      <c r="O684" s="268"/>
      <c r="P684" s="268"/>
      <c r="Q684" s="268"/>
      <c r="R684" s="268"/>
      <c r="S684" s="268"/>
      <c r="T684" s="268"/>
      <c r="U684" s="268"/>
      <c r="V684" s="268"/>
      <c r="W684" s="268"/>
      <c r="X684" s="268"/>
      <c r="Y684" s="268"/>
      <c r="Z684" s="268"/>
    </row>
    <row r="685" customHeight="1" spans="1:26">
      <c r="A685" s="268"/>
      <c r="B685" s="268"/>
      <c r="C685" s="268"/>
      <c r="D685" s="268"/>
      <c r="E685" s="268"/>
      <c r="F685" s="268"/>
      <c r="G685" s="268"/>
      <c r="H685" s="268"/>
      <c r="I685" s="268"/>
      <c r="J685" s="268"/>
      <c r="K685" s="268"/>
      <c r="L685" s="268"/>
      <c r="M685" s="268"/>
      <c r="N685" s="268"/>
      <c r="O685" s="268"/>
      <c r="P685" s="268"/>
      <c r="Q685" s="268"/>
      <c r="R685" s="268"/>
      <c r="S685" s="268"/>
      <c r="T685" s="268"/>
      <c r="U685" s="268"/>
      <c r="V685" s="268"/>
      <c r="W685" s="268"/>
      <c r="X685" s="268"/>
      <c r="Y685" s="268"/>
      <c r="Z685" s="268"/>
    </row>
    <row r="686" customHeight="1" spans="1:26">
      <c r="A686" s="268"/>
      <c r="B686" s="268"/>
      <c r="C686" s="268"/>
      <c r="D686" s="268"/>
      <c r="E686" s="268"/>
      <c r="F686" s="268"/>
      <c r="G686" s="268"/>
      <c r="H686" s="268"/>
      <c r="I686" s="268"/>
      <c r="J686" s="268"/>
      <c r="K686" s="268"/>
      <c r="L686" s="268"/>
      <c r="M686" s="268"/>
      <c r="N686" s="268"/>
      <c r="O686" s="268"/>
      <c r="P686" s="268"/>
      <c r="Q686" s="268"/>
      <c r="R686" s="268"/>
      <c r="S686" s="268"/>
      <c r="T686" s="268"/>
      <c r="U686" s="268"/>
      <c r="V686" s="268"/>
      <c r="W686" s="268"/>
      <c r="X686" s="268"/>
      <c r="Y686" s="268"/>
      <c r="Z686" s="268"/>
    </row>
    <row r="687" customHeight="1" spans="1:26">
      <c r="A687" s="268"/>
      <c r="B687" s="268"/>
      <c r="C687" s="268"/>
      <c r="D687" s="268"/>
      <c r="E687" s="268"/>
      <c r="F687" s="268"/>
      <c r="G687" s="268"/>
      <c r="H687" s="268"/>
      <c r="I687" s="268"/>
      <c r="J687" s="268"/>
      <c r="K687" s="268"/>
      <c r="L687" s="268"/>
      <c r="M687" s="268"/>
      <c r="N687" s="268"/>
      <c r="O687" s="268"/>
      <c r="P687" s="268"/>
      <c r="Q687" s="268"/>
      <c r="R687" s="268"/>
      <c r="S687" s="268"/>
      <c r="T687" s="268"/>
      <c r="U687" s="268"/>
      <c r="V687" s="268"/>
      <c r="W687" s="268"/>
      <c r="X687" s="268"/>
      <c r="Y687" s="268"/>
      <c r="Z687" s="268"/>
    </row>
    <row r="688" customHeight="1" spans="1:26">
      <c r="A688" s="268"/>
      <c r="B688" s="268"/>
      <c r="C688" s="268"/>
      <c r="D688" s="268"/>
      <c r="E688" s="268"/>
      <c r="F688" s="268"/>
      <c r="G688" s="268"/>
      <c r="H688" s="268"/>
      <c r="I688" s="268"/>
      <c r="J688" s="268"/>
      <c r="K688" s="268"/>
      <c r="L688" s="268"/>
      <c r="M688" s="268"/>
      <c r="N688" s="268"/>
      <c r="O688" s="268"/>
      <c r="P688" s="268"/>
      <c r="Q688" s="268"/>
      <c r="R688" s="268"/>
      <c r="S688" s="268"/>
      <c r="T688" s="268"/>
      <c r="U688" s="268"/>
      <c r="V688" s="268"/>
      <c r="W688" s="268"/>
      <c r="X688" s="268"/>
      <c r="Y688" s="268"/>
      <c r="Z688" s="268"/>
    </row>
    <row r="689" customHeight="1" spans="1:26">
      <c r="A689" s="268"/>
      <c r="B689" s="268"/>
      <c r="C689" s="268"/>
      <c r="D689" s="268"/>
      <c r="E689" s="268"/>
      <c r="F689" s="268"/>
      <c r="G689" s="268"/>
      <c r="H689" s="268"/>
      <c r="I689" s="268"/>
      <c r="J689" s="268"/>
      <c r="K689" s="268"/>
      <c r="L689" s="268"/>
      <c r="M689" s="268"/>
      <c r="N689" s="268"/>
      <c r="O689" s="268"/>
      <c r="P689" s="268"/>
      <c r="Q689" s="268"/>
      <c r="R689" s="268"/>
      <c r="S689" s="268"/>
      <c r="T689" s="268"/>
      <c r="U689" s="268"/>
      <c r="V689" s="268"/>
      <c r="W689" s="268"/>
      <c r="X689" s="268"/>
      <c r="Y689" s="268"/>
      <c r="Z689" s="268"/>
    </row>
    <row r="690" customHeight="1" spans="1:26">
      <c r="A690" s="268"/>
      <c r="B690" s="268"/>
      <c r="C690" s="268"/>
      <c r="D690" s="268"/>
      <c r="E690" s="268"/>
      <c r="F690" s="268"/>
      <c r="G690" s="268"/>
      <c r="H690" s="268"/>
      <c r="I690" s="268"/>
      <c r="J690" s="268"/>
      <c r="K690" s="268"/>
      <c r="L690" s="268"/>
      <c r="M690" s="268"/>
      <c r="N690" s="268"/>
      <c r="O690" s="268"/>
      <c r="P690" s="268"/>
      <c r="Q690" s="268"/>
      <c r="R690" s="268"/>
      <c r="S690" s="268"/>
      <c r="T690" s="268"/>
      <c r="U690" s="268"/>
      <c r="V690" s="268"/>
      <c r="W690" s="268"/>
      <c r="X690" s="268"/>
      <c r="Y690" s="268"/>
      <c r="Z690" s="268"/>
    </row>
    <row r="691" customHeight="1" spans="1:26">
      <c r="A691" s="268"/>
      <c r="B691" s="268"/>
      <c r="C691" s="268"/>
      <c r="D691" s="268"/>
      <c r="E691" s="268"/>
      <c r="F691" s="268"/>
      <c r="G691" s="268"/>
      <c r="H691" s="268"/>
      <c r="I691" s="268"/>
      <c r="J691" s="268"/>
      <c r="K691" s="268"/>
      <c r="L691" s="268"/>
      <c r="M691" s="268"/>
      <c r="N691" s="268"/>
      <c r="O691" s="268"/>
      <c r="P691" s="268"/>
      <c r="Q691" s="268"/>
      <c r="R691" s="268"/>
      <c r="S691" s="268"/>
      <c r="T691" s="268"/>
      <c r="U691" s="268"/>
      <c r="V691" s="268"/>
      <c r="W691" s="268"/>
      <c r="X691" s="268"/>
      <c r="Y691" s="268"/>
      <c r="Z691" s="268"/>
    </row>
    <row r="692" customHeight="1" spans="1:26">
      <c r="A692" s="268"/>
      <c r="B692" s="268"/>
      <c r="C692" s="268"/>
      <c r="D692" s="268"/>
      <c r="E692" s="268"/>
      <c r="F692" s="268"/>
      <c r="G692" s="268"/>
      <c r="H692" s="268"/>
      <c r="I692" s="268"/>
      <c r="J692" s="268"/>
      <c r="K692" s="268"/>
      <c r="L692" s="268"/>
      <c r="M692" s="268"/>
      <c r="N692" s="268"/>
      <c r="O692" s="268"/>
      <c r="P692" s="268"/>
      <c r="Q692" s="268"/>
      <c r="R692" s="268"/>
      <c r="S692" s="268"/>
      <c r="T692" s="268"/>
      <c r="U692" s="268"/>
      <c r="V692" s="268"/>
      <c r="W692" s="268"/>
      <c r="X692" s="268"/>
      <c r="Y692" s="268"/>
      <c r="Z692" s="268"/>
    </row>
    <row r="693" customHeight="1" spans="1:26">
      <c r="A693" s="268"/>
      <c r="B693" s="268"/>
      <c r="C693" s="268"/>
      <c r="D693" s="268"/>
      <c r="E693" s="268"/>
      <c r="F693" s="268"/>
      <c r="G693" s="268"/>
      <c r="H693" s="268"/>
      <c r="I693" s="268"/>
      <c r="J693" s="268"/>
      <c r="K693" s="268"/>
      <c r="L693" s="268"/>
      <c r="M693" s="268"/>
      <c r="N693" s="268"/>
      <c r="O693" s="268"/>
      <c r="P693" s="268"/>
      <c r="Q693" s="268"/>
      <c r="R693" s="268"/>
      <c r="S693" s="268"/>
      <c r="T693" s="268"/>
      <c r="U693" s="268"/>
      <c r="V693" s="268"/>
      <c r="W693" s="268"/>
      <c r="X693" s="268"/>
      <c r="Y693" s="268"/>
      <c r="Z693" s="268"/>
    </row>
    <row r="694" customHeight="1" spans="1:26">
      <c r="A694" s="268"/>
      <c r="B694" s="268"/>
      <c r="C694" s="268"/>
      <c r="D694" s="268"/>
      <c r="E694" s="268"/>
      <c r="F694" s="268"/>
      <c r="G694" s="268"/>
      <c r="H694" s="268"/>
      <c r="I694" s="268"/>
      <c r="J694" s="268"/>
      <c r="K694" s="268"/>
      <c r="L694" s="268"/>
      <c r="M694" s="268"/>
      <c r="N694" s="268"/>
      <c r="O694" s="268"/>
      <c r="P694" s="268"/>
      <c r="Q694" s="268"/>
      <c r="R694" s="268"/>
      <c r="S694" s="268"/>
      <c r="T694" s="268"/>
      <c r="U694" s="268"/>
      <c r="V694" s="268"/>
      <c r="W694" s="268"/>
      <c r="X694" s="268"/>
      <c r="Y694" s="268"/>
      <c r="Z694" s="268"/>
    </row>
    <row r="695" customHeight="1" spans="1:26">
      <c r="A695" s="268"/>
      <c r="B695" s="268"/>
      <c r="C695" s="268"/>
      <c r="D695" s="268"/>
      <c r="E695" s="268"/>
      <c r="F695" s="268"/>
      <c r="G695" s="268"/>
      <c r="H695" s="268"/>
      <c r="I695" s="268"/>
      <c r="J695" s="268"/>
      <c r="K695" s="268"/>
      <c r="L695" s="268"/>
      <c r="M695" s="268"/>
      <c r="N695" s="268"/>
      <c r="O695" s="268"/>
      <c r="P695" s="268"/>
      <c r="Q695" s="268"/>
      <c r="R695" s="268"/>
      <c r="S695" s="268"/>
      <c r="T695" s="268"/>
      <c r="U695" s="268"/>
      <c r="V695" s="268"/>
      <c r="W695" s="268"/>
      <c r="X695" s="268"/>
      <c r="Y695" s="268"/>
      <c r="Z695" s="268"/>
    </row>
    <row r="696" customHeight="1" spans="1:26">
      <c r="A696" s="268"/>
      <c r="B696" s="268"/>
      <c r="C696" s="268"/>
      <c r="D696" s="268"/>
      <c r="E696" s="268"/>
      <c r="F696" s="268"/>
      <c r="G696" s="268"/>
      <c r="H696" s="268"/>
      <c r="I696" s="268"/>
      <c r="J696" s="268"/>
      <c r="K696" s="268"/>
      <c r="L696" s="268"/>
      <c r="M696" s="268"/>
      <c r="N696" s="268"/>
      <c r="O696" s="268"/>
      <c r="P696" s="268"/>
      <c r="Q696" s="268"/>
      <c r="R696" s="268"/>
      <c r="S696" s="268"/>
      <c r="T696" s="268"/>
      <c r="U696" s="268"/>
      <c r="V696" s="268"/>
      <c r="W696" s="268"/>
      <c r="X696" s="268"/>
      <c r="Y696" s="268"/>
      <c r="Z696" s="268"/>
    </row>
    <row r="697" customHeight="1" spans="1:26">
      <c r="A697" s="268"/>
      <c r="B697" s="268"/>
      <c r="C697" s="268"/>
      <c r="D697" s="268"/>
      <c r="E697" s="268"/>
      <c r="F697" s="268"/>
      <c r="G697" s="268"/>
      <c r="H697" s="268"/>
      <c r="I697" s="268"/>
      <c r="J697" s="268"/>
      <c r="K697" s="268"/>
      <c r="L697" s="268"/>
      <c r="M697" s="268"/>
      <c r="N697" s="268"/>
      <c r="O697" s="268"/>
      <c r="P697" s="268"/>
      <c r="Q697" s="268"/>
      <c r="R697" s="268"/>
      <c r="S697" s="268"/>
      <c r="T697" s="268"/>
      <c r="U697" s="268"/>
      <c r="V697" s="268"/>
      <c r="W697" s="268"/>
      <c r="X697" s="268"/>
      <c r="Y697" s="268"/>
      <c r="Z697" s="268"/>
    </row>
    <row r="698" customHeight="1" spans="1:26">
      <c r="A698" s="268"/>
      <c r="B698" s="268"/>
      <c r="C698" s="268"/>
      <c r="D698" s="268"/>
      <c r="E698" s="268"/>
      <c r="F698" s="268"/>
      <c r="G698" s="268"/>
      <c r="H698" s="268"/>
      <c r="I698" s="268"/>
      <c r="J698" s="268"/>
      <c r="K698" s="268"/>
      <c r="L698" s="268"/>
      <c r="M698" s="268"/>
      <c r="N698" s="268"/>
      <c r="O698" s="268"/>
      <c r="P698" s="268"/>
      <c r="Q698" s="268"/>
      <c r="R698" s="268"/>
      <c r="S698" s="268"/>
      <c r="T698" s="268"/>
      <c r="U698" s="268"/>
      <c r="V698" s="268"/>
      <c r="W698" s="268"/>
      <c r="X698" s="268"/>
      <c r="Y698" s="268"/>
      <c r="Z698" s="268"/>
    </row>
    <row r="699" customHeight="1" spans="1:26">
      <c r="A699" s="268"/>
      <c r="B699" s="268"/>
      <c r="C699" s="268"/>
      <c r="D699" s="268"/>
      <c r="E699" s="268"/>
      <c r="F699" s="268"/>
      <c r="G699" s="268"/>
      <c r="H699" s="268"/>
      <c r="I699" s="268"/>
      <c r="J699" s="268"/>
      <c r="K699" s="268"/>
      <c r="L699" s="268"/>
      <c r="M699" s="268"/>
      <c r="N699" s="268"/>
      <c r="O699" s="268"/>
      <c r="P699" s="268"/>
      <c r="Q699" s="268"/>
      <c r="R699" s="268"/>
      <c r="S699" s="268"/>
      <c r="T699" s="268"/>
      <c r="U699" s="268"/>
      <c r="V699" s="268"/>
      <c r="W699" s="268"/>
      <c r="X699" s="268"/>
      <c r="Y699" s="268"/>
      <c r="Z699" s="268"/>
    </row>
    <row r="700" customHeight="1" spans="1:26">
      <c r="A700" s="268"/>
      <c r="B700" s="268"/>
      <c r="C700" s="268"/>
      <c r="D700" s="268"/>
      <c r="E700" s="268"/>
      <c r="F700" s="268"/>
      <c r="G700" s="268"/>
      <c r="H700" s="268"/>
      <c r="I700" s="268"/>
      <c r="J700" s="268"/>
      <c r="K700" s="268"/>
      <c r="L700" s="268"/>
      <c r="M700" s="268"/>
      <c r="N700" s="268"/>
      <c r="O700" s="268"/>
      <c r="P700" s="268"/>
      <c r="Q700" s="268"/>
      <c r="R700" s="268"/>
      <c r="S700" s="268"/>
      <c r="T700" s="268"/>
      <c r="U700" s="268"/>
      <c r="V700" s="268"/>
      <c r="W700" s="268"/>
      <c r="X700" s="268"/>
      <c r="Y700" s="268"/>
      <c r="Z700" s="268"/>
    </row>
    <row r="701" customHeight="1" spans="1:26">
      <c r="A701" s="268"/>
      <c r="B701" s="268"/>
      <c r="C701" s="268"/>
      <c r="D701" s="268"/>
      <c r="E701" s="268"/>
      <c r="F701" s="268"/>
      <c r="G701" s="268"/>
      <c r="H701" s="268"/>
      <c r="I701" s="268"/>
      <c r="J701" s="268"/>
      <c r="K701" s="268"/>
      <c r="L701" s="268"/>
      <c r="M701" s="268"/>
      <c r="N701" s="268"/>
      <c r="O701" s="268"/>
      <c r="P701" s="268"/>
      <c r="Q701" s="268"/>
      <c r="R701" s="268"/>
      <c r="S701" s="268"/>
      <c r="T701" s="268"/>
      <c r="U701" s="268"/>
      <c r="V701" s="268"/>
      <c r="W701" s="268"/>
      <c r="X701" s="268"/>
      <c r="Y701" s="268"/>
      <c r="Z701" s="268"/>
    </row>
    <row r="702" customHeight="1" spans="1:26">
      <c r="A702" s="268"/>
      <c r="B702" s="268"/>
      <c r="C702" s="268"/>
      <c r="D702" s="268"/>
      <c r="E702" s="268"/>
      <c r="F702" s="268"/>
      <c r="G702" s="268"/>
      <c r="H702" s="268"/>
      <c r="I702" s="268"/>
      <c r="J702" s="268"/>
      <c r="K702" s="268"/>
      <c r="L702" s="268"/>
      <c r="M702" s="268"/>
      <c r="N702" s="268"/>
      <c r="O702" s="268"/>
      <c r="P702" s="268"/>
      <c r="Q702" s="268"/>
      <c r="R702" s="268"/>
      <c r="S702" s="268"/>
      <c r="T702" s="268"/>
      <c r="U702" s="268"/>
      <c r="V702" s="268"/>
      <c r="W702" s="268"/>
      <c r="X702" s="268"/>
      <c r="Y702" s="268"/>
      <c r="Z702" s="268"/>
    </row>
    <row r="703" customHeight="1" spans="1:26">
      <c r="A703" s="268"/>
      <c r="B703" s="268"/>
      <c r="C703" s="268"/>
      <c r="D703" s="268"/>
      <c r="E703" s="268"/>
      <c r="F703" s="268"/>
      <c r="G703" s="268"/>
      <c r="H703" s="268"/>
      <c r="I703" s="268"/>
      <c r="J703" s="268"/>
      <c r="K703" s="268"/>
      <c r="L703" s="268"/>
      <c r="M703" s="268"/>
      <c r="N703" s="268"/>
      <c r="O703" s="268"/>
      <c r="P703" s="268"/>
      <c r="Q703" s="268"/>
      <c r="R703" s="268"/>
      <c r="S703" s="268"/>
      <c r="T703" s="268"/>
      <c r="U703" s="268"/>
      <c r="V703" s="268"/>
      <c r="W703" s="268"/>
      <c r="X703" s="268"/>
      <c r="Y703" s="268"/>
      <c r="Z703" s="268"/>
    </row>
    <row r="704" customHeight="1" spans="1:26">
      <c r="A704" s="268"/>
      <c r="B704" s="268"/>
      <c r="C704" s="268"/>
      <c r="D704" s="268"/>
      <c r="E704" s="268"/>
      <c r="F704" s="268"/>
      <c r="G704" s="268"/>
      <c r="H704" s="268"/>
      <c r="I704" s="268"/>
      <c r="J704" s="268"/>
      <c r="K704" s="268"/>
      <c r="L704" s="268"/>
      <c r="M704" s="268"/>
      <c r="N704" s="268"/>
      <c r="O704" s="268"/>
      <c r="P704" s="268"/>
      <c r="Q704" s="268"/>
      <c r="R704" s="268"/>
      <c r="S704" s="268"/>
      <c r="T704" s="268"/>
      <c r="U704" s="268"/>
      <c r="V704" s="268"/>
      <c r="W704" s="268"/>
      <c r="X704" s="268"/>
      <c r="Y704" s="268"/>
      <c r="Z704" s="268"/>
    </row>
    <row r="705" customHeight="1" spans="1:26">
      <c r="A705" s="268"/>
      <c r="B705" s="268"/>
      <c r="C705" s="268"/>
      <c r="D705" s="268"/>
      <c r="E705" s="268"/>
      <c r="F705" s="268"/>
      <c r="G705" s="268"/>
      <c r="H705" s="268"/>
      <c r="I705" s="268"/>
      <c r="J705" s="268"/>
      <c r="K705" s="268"/>
      <c r="L705" s="268"/>
      <c r="M705" s="268"/>
      <c r="N705" s="268"/>
      <c r="O705" s="268"/>
      <c r="P705" s="268"/>
      <c r="Q705" s="268"/>
      <c r="R705" s="268"/>
      <c r="S705" s="268"/>
      <c r="T705" s="268"/>
      <c r="U705" s="268"/>
      <c r="V705" s="268"/>
      <c r="W705" s="268"/>
      <c r="X705" s="268"/>
      <c r="Y705" s="268"/>
      <c r="Z705" s="268"/>
    </row>
    <row r="706" customHeight="1" spans="1:26">
      <c r="A706" s="268"/>
      <c r="B706" s="268"/>
      <c r="C706" s="268"/>
      <c r="D706" s="268"/>
      <c r="E706" s="268"/>
      <c r="F706" s="268"/>
      <c r="G706" s="268"/>
      <c r="H706" s="268"/>
      <c r="I706" s="268"/>
      <c r="J706" s="268"/>
      <c r="K706" s="268"/>
      <c r="L706" s="268"/>
      <c r="M706" s="268"/>
      <c r="N706" s="268"/>
      <c r="O706" s="268"/>
      <c r="P706" s="268"/>
      <c r="Q706" s="268"/>
      <c r="R706" s="268"/>
      <c r="S706" s="268"/>
      <c r="T706" s="268"/>
      <c r="U706" s="268"/>
      <c r="V706" s="268"/>
      <c r="W706" s="268"/>
      <c r="X706" s="268"/>
      <c r="Y706" s="268"/>
      <c r="Z706" s="268"/>
    </row>
    <row r="707" customHeight="1" spans="1:26">
      <c r="A707" s="268"/>
      <c r="B707" s="268"/>
      <c r="C707" s="268"/>
      <c r="D707" s="268"/>
      <c r="E707" s="268"/>
      <c r="F707" s="268"/>
      <c r="G707" s="268"/>
      <c r="H707" s="268"/>
      <c r="I707" s="268"/>
      <c r="J707" s="268"/>
      <c r="K707" s="268"/>
      <c r="L707" s="268"/>
      <c r="M707" s="268"/>
      <c r="N707" s="268"/>
      <c r="O707" s="268"/>
      <c r="P707" s="268"/>
      <c r="Q707" s="268"/>
      <c r="R707" s="268"/>
      <c r="S707" s="268"/>
      <c r="T707" s="268"/>
      <c r="U707" s="268"/>
      <c r="V707" s="268"/>
      <c r="W707" s="268"/>
      <c r="X707" s="268"/>
      <c r="Y707" s="268"/>
      <c r="Z707" s="268"/>
    </row>
    <row r="708" customHeight="1" spans="1:26">
      <c r="A708" s="268"/>
      <c r="B708" s="268"/>
      <c r="C708" s="268"/>
      <c r="D708" s="268"/>
      <c r="E708" s="268"/>
      <c r="F708" s="268"/>
      <c r="G708" s="268"/>
      <c r="H708" s="268"/>
      <c r="I708" s="268"/>
      <c r="J708" s="268"/>
      <c r="K708" s="268"/>
      <c r="L708" s="268"/>
      <c r="M708" s="268"/>
      <c r="N708" s="268"/>
      <c r="O708" s="268"/>
      <c r="P708" s="268"/>
      <c r="Q708" s="268"/>
      <c r="R708" s="268"/>
      <c r="S708" s="268"/>
      <c r="T708" s="268"/>
      <c r="U708" s="268"/>
      <c r="V708" s="268"/>
      <c r="W708" s="268"/>
      <c r="X708" s="268"/>
      <c r="Y708" s="268"/>
      <c r="Z708" s="268"/>
    </row>
    <row r="709" customHeight="1" spans="1:26">
      <c r="A709" s="268"/>
      <c r="B709" s="268"/>
      <c r="C709" s="268"/>
      <c r="D709" s="268"/>
      <c r="E709" s="268"/>
      <c r="F709" s="268"/>
      <c r="G709" s="268"/>
      <c r="H709" s="268"/>
      <c r="I709" s="268"/>
      <c r="J709" s="268"/>
      <c r="K709" s="268"/>
      <c r="L709" s="268"/>
      <c r="M709" s="268"/>
      <c r="N709" s="268"/>
      <c r="O709" s="268"/>
      <c r="P709" s="268"/>
      <c r="Q709" s="268"/>
      <c r="R709" s="268"/>
      <c r="S709" s="268"/>
      <c r="T709" s="268"/>
      <c r="U709" s="268"/>
      <c r="V709" s="268"/>
      <c r="W709" s="268"/>
      <c r="X709" s="268"/>
      <c r="Y709" s="268"/>
      <c r="Z709" s="268"/>
    </row>
    <row r="710" customHeight="1" spans="1:26">
      <c r="A710" s="268"/>
      <c r="B710" s="268"/>
      <c r="C710" s="268"/>
      <c r="D710" s="268"/>
      <c r="E710" s="268"/>
      <c r="F710" s="268"/>
      <c r="G710" s="268"/>
      <c r="H710" s="268"/>
      <c r="I710" s="268"/>
      <c r="J710" s="268"/>
      <c r="K710" s="268"/>
      <c r="L710" s="268"/>
      <c r="M710" s="268"/>
      <c r="N710" s="268"/>
      <c r="O710" s="268"/>
      <c r="P710" s="268"/>
      <c r="Q710" s="268"/>
      <c r="R710" s="268"/>
      <c r="S710" s="268"/>
      <c r="T710" s="268"/>
      <c r="U710" s="268"/>
      <c r="V710" s="268"/>
      <c r="W710" s="268"/>
      <c r="X710" s="268"/>
      <c r="Y710" s="268"/>
      <c r="Z710" s="268"/>
    </row>
    <row r="711" customHeight="1" spans="1:26">
      <c r="A711" s="268"/>
      <c r="B711" s="268"/>
      <c r="C711" s="268"/>
      <c r="D711" s="268"/>
      <c r="E711" s="268"/>
      <c r="F711" s="268"/>
      <c r="G711" s="268"/>
      <c r="H711" s="268"/>
      <c r="I711" s="268"/>
      <c r="J711" s="268"/>
      <c r="K711" s="268"/>
      <c r="L711" s="268"/>
      <c r="M711" s="268"/>
      <c r="N711" s="268"/>
      <c r="O711" s="268"/>
      <c r="P711" s="268"/>
      <c r="Q711" s="268"/>
      <c r="R711" s="268"/>
      <c r="S711" s="268"/>
      <c r="T711" s="268"/>
      <c r="U711" s="268"/>
      <c r="V711" s="268"/>
      <c r="W711" s="268"/>
      <c r="X711" s="268"/>
      <c r="Y711" s="268"/>
      <c r="Z711" s="268"/>
    </row>
    <row r="712" customHeight="1" spans="1:26">
      <c r="A712" s="268"/>
      <c r="B712" s="268"/>
      <c r="C712" s="268"/>
      <c r="D712" s="268"/>
      <c r="E712" s="268"/>
      <c r="F712" s="268"/>
      <c r="G712" s="268"/>
      <c r="H712" s="268"/>
      <c r="I712" s="268"/>
      <c r="J712" s="268"/>
      <c r="K712" s="268"/>
      <c r="L712" s="268"/>
      <c r="M712" s="268"/>
      <c r="N712" s="268"/>
      <c r="O712" s="268"/>
      <c r="P712" s="268"/>
      <c r="Q712" s="268"/>
      <c r="R712" s="268"/>
      <c r="S712" s="268"/>
      <c r="T712" s="268"/>
      <c r="U712" s="268"/>
      <c r="V712" s="268"/>
      <c r="W712" s="268"/>
      <c r="X712" s="268"/>
      <c r="Y712" s="268"/>
      <c r="Z712" s="268"/>
    </row>
    <row r="713" customHeight="1" spans="1:26">
      <c r="A713" s="268"/>
      <c r="B713" s="268"/>
      <c r="C713" s="268"/>
      <c r="D713" s="268"/>
      <c r="E713" s="268"/>
      <c r="F713" s="268"/>
      <c r="G713" s="268"/>
      <c r="H713" s="268"/>
      <c r="I713" s="268"/>
      <c r="J713" s="268"/>
      <c r="K713" s="268"/>
      <c r="L713" s="268"/>
      <c r="M713" s="268"/>
      <c r="N713" s="268"/>
      <c r="O713" s="268"/>
      <c r="P713" s="268"/>
      <c r="Q713" s="268"/>
      <c r="R713" s="268"/>
      <c r="S713" s="268"/>
      <c r="T713" s="268"/>
      <c r="U713" s="268"/>
      <c r="V713" s="268"/>
      <c r="W713" s="268"/>
      <c r="X713" s="268"/>
      <c r="Y713" s="268"/>
      <c r="Z713" s="268"/>
    </row>
    <row r="714" customHeight="1" spans="1:26">
      <c r="A714" s="268"/>
      <c r="B714" s="268"/>
      <c r="C714" s="268"/>
      <c r="D714" s="268"/>
      <c r="E714" s="268"/>
      <c r="F714" s="268"/>
      <c r="G714" s="268"/>
      <c r="H714" s="268"/>
      <c r="I714" s="268"/>
      <c r="J714" s="268"/>
      <c r="K714" s="268"/>
      <c r="L714" s="268"/>
      <c r="M714" s="268"/>
      <c r="N714" s="268"/>
      <c r="O714" s="268"/>
      <c r="P714" s="268"/>
      <c r="Q714" s="268"/>
      <c r="R714" s="268"/>
      <c r="S714" s="268"/>
      <c r="T714" s="268"/>
      <c r="U714" s="268"/>
      <c r="V714" s="268"/>
      <c r="W714" s="268"/>
      <c r="X714" s="268"/>
      <c r="Y714" s="268"/>
      <c r="Z714" s="268"/>
    </row>
    <row r="715" customHeight="1" spans="1:26">
      <c r="A715" s="268"/>
      <c r="B715" s="268"/>
      <c r="C715" s="268"/>
      <c r="D715" s="268"/>
      <c r="E715" s="268"/>
      <c r="F715" s="268"/>
      <c r="G715" s="268"/>
      <c r="H715" s="268"/>
      <c r="I715" s="268"/>
      <c r="J715" s="268"/>
      <c r="K715" s="268"/>
      <c r="L715" s="268"/>
      <c r="M715" s="268"/>
      <c r="N715" s="268"/>
      <c r="O715" s="268"/>
      <c r="P715" s="268"/>
      <c r="Q715" s="268"/>
      <c r="R715" s="268"/>
      <c r="S715" s="268"/>
      <c r="T715" s="268"/>
      <c r="U715" s="268"/>
      <c r="V715" s="268"/>
      <c r="W715" s="268"/>
      <c r="X715" s="268"/>
      <c r="Y715" s="268"/>
      <c r="Z715" s="268"/>
    </row>
    <row r="716" customHeight="1" spans="1:26">
      <c r="A716" s="268"/>
      <c r="B716" s="268"/>
      <c r="C716" s="268"/>
      <c r="D716" s="268"/>
      <c r="E716" s="268"/>
      <c r="F716" s="268"/>
      <c r="G716" s="268"/>
      <c r="H716" s="268"/>
      <c r="I716" s="268"/>
      <c r="J716" s="268"/>
      <c r="K716" s="268"/>
      <c r="L716" s="268"/>
      <c r="M716" s="268"/>
      <c r="N716" s="268"/>
      <c r="O716" s="268"/>
      <c r="P716" s="268"/>
      <c r="Q716" s="268"/>
      <c r="R716" s="268"/>
      <c r="S716" s="268"/>
      <c r="T716" s="268"/>
      <c r="U716" s="268"/>
      <c r="V716" s="268"/>
      <c r="W716" s="268"/>
      <c r="X716" s="268"/>
      <c r="Y716" s="268"/>
      <c r="Z716" s="268"/>
    </row>
    <row r="717" customHeight="1" spans="1:26">
      <c r="A717" s="268"/>
      <c r="B717" s="268"/>
      <c r="C717" s="268"/>
      <c r="D717" s="268"/>
      <c r="E717" s="268"/>
      <c r="F717" s="268"/>
      <c r="G717" s="268"/>
      <c r="H717" s="268"/>
      <c r="I717" s="268"/>
      <c r="J717" s="268"/>
      <c r="K717" s="268"/>
      <c r="L717" s="268"/>
      <c r="M717" s="268"/>
      <c r="N717" s="268"/>
      <c r="O717" s="268"/>
      <c r="P717" s="268"/>
      <c r="Q717" s="268"/>
      <c r="R717" s="268"/>
      <c r="S717" s="268"/>
      <c r="T717" s="268"/>
      <c r="U717" s="268"/>
      <c r="V717" s="268"/>
      <c r="W717" s="268"/>
      <c r="X717" s="268"/>
      <c r="Y717" s="268"/>
      <c r="Z717" s="268"/>
    </row>
    <row r="718" customHeight="1" spans="1:26">
      <c r="A718" s="268"/>
      <c r="B718" s="268"/>
      <c r="C718" s="268"/>
      <c r="D718" s="268"/>
      <c r="E718" s="268"/>
      <c r="F718" s="268"/>
      <c r="G718" s="268"/>
      <c r="H718" s="268"/>
      <c r="I718" s="268"/>
      <c r="J718" s="268"/>
      <c r="K718" s="268"/>
      <c r="L718" s="268"/>
      <c r="M718" s="268"/>
      <c r="N718" s="268"/>
      <c r="O718" s="268"/>
      <c r="P718" s="268"/>
      <c r="Q718" s="268"/>
      <c r="R718" s="268"/>
      <c r="S718" s="268"/>
      <c r="T718" s="268"/>
      <c r="U718" s="268"/>
      <c r="V718" s="268"/>
      <c r="W718" s="268"/>
      <c r="X718" s="268"/>
      <c r="Y718" s="268"/>
      <c r="Z718" s="268"/>
    </row>
    <row r="719" customHeight="1" spans="1:26">
      <c r="A719" s="268"/>
      <c r="B719" s="268"/>
      <c r="C719" s="268"/>
      <c r="D719" s="268"/>
      <c r="E719" s="268"/>
      <c r="F719" s="268"/>
      <c r="G719" s="268"/>
      <c r="H719" s="268"/>
      <c r="I719" s="268"/>
      <c r="J719" s="268"/>
      <c r="K719" s="268"/>
      <c r="L719" s="268"/>
      <c r="M719" s="268"/>
      <c r="N719" s="268"/>
      <c r="O719" s="268"/>
      <c r="P719" s="268"/>
      <c r="Q719" s="268"/>
      <c r="R719" s="268"/>
      <c r="S719" s="268"/>
      <c r="T719" s="268"/>
      <c r="U719" s="268"/>
      <c r="V719" s="268"/>
      <c r="W719" s="268"/>
      <c r="X719" s="268"/>
      <c r="Y719" s="268"/>
      <c r="Z719" s="268"/>
    </row>
    <row r="720" customHeight="1" spans="1:26">
      <c r="A720" s="268"/>
      <c r="B720" s="268"/>
      <c r="C720" s="268"/>
      <c r="D720" s="268"/>
      <c r="E720" s="268"/>
      <c r="F720" s="268"/>
      <c r="G720" s="268"/>
      <c r="H720" s="268"/>
      <c r="I720" s="268"/>
      <c r="J720" s="268"/>
      <c r="K720" s="268"/>
      <c r="L720" s="268"/>
      <c r="M720" s="268"/>
      <c r="N720" s="268"/>
      <c r="O720" s="268"/>
      <c r="P720" s="268"/>
      <c r="Q720" s="268"/>
      <c r="R720" s="268"/>
      <c r="S720" s="268"/>
      <c r="T720" s="268"/>
      <c r="U720" s="268"/>
      <c r="V720" s="268"/>
      <c r="W720" s="268"/>
      <c r="X720" s="268"/>
      <c r="Y720" s="268"/>
      <c r="Z720" s="268"/>
    </row>
    <row r="721" customHeight="1" spans="1:26">
      <c r="A721" s="268"/>
      <c r="B721" s="268"/>
      <c r="C721" s="268"/>
      <c r="D721" s="268"/>
      <c r="E721" s="268"/>
      <c r="F721" s="268"/>
      <c r="G721" s="268"/>
      <c r="H721" s="268"/>
      <c r="I721" s="268"/>
      <c r="J721" s="268"/>
      <c r="K721" s="268"/>
      <c r="L721" s="268"/>
      <c r="M721" s="268"/>
      <c r="N721" s="268"/>
      <c r="O721" s="268"/>
      <c r="P721" s="268"/>
      <c r="Q721" s="268"/>
      <c r="R721" s="268"/>
      <c r="S721" s="268"/>
      <c r="T721" s="268"/>
      <c r="U721" s="268"/>
      <c r="V721" s="268"/>
      <c r="W721" s="268"/>
      <c r="X721" s="268"/>
      <c r="Y721" s="268"/>
      <c r="Z721" s="268"/>
    </row>
    <row r="722" customHeight="1" spans="1:26">
      <c r="A722" s="268"/>
      <c r="B722" s="268"/>
      <c r="C722" s="268"/>
      <c r="D722" s="268"/>
      <c r="E722" s="268"/>
      <c r="F722" s="268"/>
      <c r="G722" s="268"/>
      <c r="H722" s="268"/>
      <c r="I722" s="268"/>
      <c r="J722" s="268"/>
      <c r="K722" s="268"/>
      <c r="L722" s="268"/>
      <c r="M722" s="268"/>
      <c r="N722" s="268"/>
      <c r="O722" s="268"/>
      <c r="P722" s="268"/>
      <c r="Q722" s="268"/>
      <c r="R722" s="268"/>
      <c r="S722" s="268"/>
      <c r="T722" s="268"/>
      <c r="U722" s="268"/>
      <c r="V722" s="268"/>
      <c r="W722" s="268"/>
      <c r="X722" s="268"/>
      <c r="Y722" s="268"/>
      <c r="Z722" s="268"/>
    </row>
    <row r="723" customHeight="1" spans="1:26">
      <c r="A723" s="268"/>
      <c r="B723" s="268"/>
      <c r="C723" s="268"/>
      <c r="D723" s="268"/>
      <c r="E723" s="268"/>
      <c r="F723" s="268"/>
      <c r="G723" s="268"/>
      <c r="H723" s="268"/>
      <c r="I723" s="268"/>
      <c r="J723" s="268"/>
      <c r="K723" s="268"/>
      <c r="L723" s="268"/>
      <c r="M723" s="268"/>
      <c r="N723" s="268"/>
      <c r="O723" s="268"/>
      <c r="P723" s="268"/>
      <c r="Q723" s="268"/>
      <c r="R723" s="268"/>
      <c r="S723" s="268"/>
      <c r="T723" s="268"/>
      <c r="U723" s="268"/>
      <c r="V723" s="268"/>
      <c r="W723" s="268"/>
      <c r="X723" s="268"/>
      <c r="Y723" s="268"/>
      <c r="Z723" s="268"/>
    </row>
    <row r="724" customHeight="1" spans="1:26">
      <c r="A724" s="268"/>
      <c r="B724" s="268"/>
      <c r="C724" s="268"/>
      <c r="D724" s="268"/>
      <c r="E724" s="268"/>
      <c r="F724" s="268"/>
      <c r="G724" s="268"/>
      <c r="H724" s="268"/>
      <c r="I724" s="268"/>
      <c r="J724" s="268"/>
      <c r="K724" s="268"/>
      <c r="L724" s="268"/>
      <c r="M724" s="268"/>
      <c r="N724" s="268"/>
      <c r="O724" s="268"/>
      <c r="P724" s="268"/>
      <c r="Q724" s="268"/>
      <c r="R724" s="268"/>
      <c r="S724" s="268"/>
      <c r="T724" s="268"/>
      <c r="U724" s="268"/>
      <c r="V724" s="268"/>
      <c r="W724" s="268"/>
      <c r="X724" s="268"/>
      <c r="Y724" s="268"/>
      <c r="Z724" s="268"/>
    </row>
    <row r="725" customHeight="1" spans="1:26">
      <c r="A725" s="268"/>
      <c r="B725" s="268"/>
      <c r="C725" s="268"/>
      <c r="D725" s="268"/>
      <c r="E725" s="268"/>
      <c r="F725" s="268"/>
      <c r="G725" s="268"/>
      <c r="H725" s="268"/>
      <c r="I725" s="268"/>
      <c r="J725" s="268"/>
      <c r="K725" s="268"/>
      <c r="L725" s="268"/>
      <c r="M725" s="268"/>
      <c r="N725" s="268"/>
      <c r="O725" s="268"/>
      <c r="P725" s="268"/>
      <c r="Q725" s="268"/>
      <c r="R725" s="268"/>
      <c r="S725" s="268"/>
      <c r="T725" s="268"/>
      <c r="U725" s="268"/>
      <c r="V725" s="268"/>
      <c r="W725" s="268"/>
      <c r="X725" s="268"/>
      <c r="Y725" s="268"/>
      <c r="Z725" s="268"/>
    </row>
    <row r="726" customHeight="1" spans="1:26">
      <c r="A726" s="268"/>
      <c r="B726" s="268"/>
      <c r="C726" s="268"/>
      <c r="D726" s="268"/>
      <c r="E726" s="268"/>
      <c r="F726" s="268"/>
      <c r="G726" s="268"/>
      <c r="H726" s="268"/>
      <c r="I726" s="268"/>
      <c r="J726" s="268"/>
      <c r="K726" s="268"/>
      <c r="L726" s="268"/>
      <c r="M726" s="268"/>
      <c r="N726" s="268"/>
      <c r="O726" s="268"/>
      <c r="P726" s="268"/>
      <c r="Q726" s="268"/>
      <c r="R726" s="268"/>
      <c r="S726" s="268"/>
      <c r="T726" s="268"/>
      <c r="U726" s="268"/>
      <c r="V726" s="268"/>
      <c r="W726" s="268"/>
      <c r="X726" s="268"/>
      <c r="Y726" s="268"/>
      <c r="Z726" s="268"/>
    </row>
    <row r="727" customHeight="1" spans="1:26">
      <c r="A727" s="268"/>
      <c r="B727" s="268"/>
      <c r="C727" s="268"/>
      <c r="D727" s="268"/>
      <c r="E727" s="268"/>
      <c r="F727" s="268"/>
      <c r="G727" s="268"/>
      <c r="H727" s="268"/>
      <c r="I727" s="268"/>
      <c r="J727" s="268"/>
      <c r="K727" s="268"/>
      <c r="L727" s="268"/>
      <c r="M727" s="268"/>
      <c r="N727" s="268"/>
      <c r="O727" s="268"/>
      <c r="P727" s="268"/>
      <c r="Q727" s="268"/>
      <c r="R727" s="268"/>
      <c r="S727" s="268"/>
      <c r="T727" s="268"/>
      <c r="U727" s="268"/>
      <c r="V727" s="268"/>
      <c r="W727" s="268"/>
      <c r="X727" s="268"/>
      <c r="Y727" s="268"/>
      <c r="Z727" s="268"/>
    </row>
    <row r="728" customHeight="1" spans="1:26">
      <c r="A728" s="268"/>
      <c r="B728" s="268"/>
      <c r="C728" s="268"/>
      <c r="D728" s="268"/>
      <c r="E728" s="268"/>
      <c r="F728" s="268"/>
      <c r="G728" s="268"/>
      <c r="H728" s="268"/>
      <c r="I728" s="268"/>
      <c r="J728" s="268"/>
      <c r="K728" s="268"/>
      <c r="L728" s="268"/>
      <c r="M728" s="268"/>
      <c r="N728" s="268"/>
      <c r="O728" s="268"/>
      <c r="P728" s="268"/>
      <c r="Q728" s="268"/>
      <c r="R728" s="268"/>
      <c r="S728" s="268"/>
      <c r="T728" s="268"/>
      <c r="U728" s="268"/>
      <c r="V728" s="268"/>
      <c r="W728" s="268"/>
      <c r="X728" s="268"/>
      <c r="Y728" s="268"/>
      <c r="Z728" s="268"/>
    </row>
    <row r="729" customHeight="1" spans="1:26">
      <c r="A729" s="268"/>
      <c r="B729" s="268"/>
      <c r="C729" s="268"/>
      <c r="D729" s="268"/>
      <c r="E729" s="268"/>
      <c r="F729" s="268"/>
      <c r="G729" s="268"/>
      <c r="H729" s="268"/>
      <c r="I729" s="268"/>
      <c r="J729" s="268"/>
      <c r="K729" s="268"/>
      <c r="L729" s="268"/>
      <c r="M729" s="268"/>
      <c r="N729" s="268"/>
      <c r="O729" s="268"/>
      <c r="P729" s="268"/>
      <c r="Q729" s="268"/>
      <c r="R729" s="268"/>
      <c r="S729" s="268"/>
      <c r="T729" s="268"/>
      <c r="U729" s="268"/>
      <c r="V729" s="268"/>
      <c r="W729" s="268"/>
      <c r="X729" s="268"/>
      <c r="Y729" s="268"/>
      <c r="Z729" s="268"/>
    </row>
    <row r="730" customHeight="1" spans="1:26">
      <c r="A730" s="268"/>
      <c r="B730" s="268"/>
      <c r="C730" s="268"/>
      <c r="D730" s="268"/>
      <c r="E730" s="268"/>
      <c r="F730" s="268"/>
      <c r="G730" s="268"/>
      <c r="H730" s="268"/>
      <c r="I730" s="268"/>
      <c r="J730" s="268"/>
      <c r="K730" s="268"/>
      <c r="L730" s="268"/>
      <c r="M730" s="268"/>
      <c r="N730" s="268"/>
      <c r="O730" s="268"/>
      <c r="P730" s="268"/>
      <c r="Q730" s="268"/>
      <c r="R730" s="268"/>
      <c r="S730" s="268"/>
      <c r="T730" s="268"/>
      <c r="U730" s="268"/>
      <c r="V730" s="268"/>
      <c r="W730" s="268"/>
      <c r="X730" s="268"/>
      <c r="Y730" s="268"/>
      <c r="Z730" s="268"/>
    </row>
    <row r="731" customHeight="1" spans="1:26">
      <c r="A731" s="268"/>
      <c r="B731" s="268"/>
      <c r="C731" s="268"/>
      <c r="D731" s="268"/>
      <c r="E731" s="268"/>
      <c r="F731" s="268"/>
      <c r="G731" s="268"/>
      <c r="H731" s="268"/>
      <c r="I731" s="268"/>
      <c r="J731" s="268"/>
      <c r="K731" s="268"/>
      <c r="L731" s="268"/>
      <c r="M731" s="268"/>
      <c r="N731" s="268"/>
      <c r="O731" s="268"/>
      <c r="P731" s="268"/>
      <c r="Q731" s="268"/>
      <c r="R731" s="268"/>
      <c r="S731" s="268"/>
      <c r="T731" s="268"/>
      <c r="U731" s="268"/>
      <c r="V731" s="268"/>
      <c r="W731" s="268"/>
      <c r="X731" s="268"/>
      <c r="Y731" s="268"/>
      <c r="Z731" s="268"/>
    </row>
    <row r="732" customHeight="1" spans="1:26">
      <c r="A732" s="268"/>
      <c r="B732" s="268"/>
      <c r="C732" s="268"/>
      <c r="D732" s="268"/>
      <c r="E732" s="268"/>
      <c r="F732" s="268"/>
      <c r="G732" s="268"/>
      <c r="H732" s="268"/>
      <c r="I732" s="268"/>
      <c r="J732" s="268"/>
      <c r="K732" s="268"/>
      <c r="L732" s="268"/>
      <c r="M732" s="268"/>
      <c r="N732" s="268"/>
      <c r="O732" s="268"/>
      <c r="P732" s="268"/>
      <c r="Q732" s="268"/>
      <c r="R732" s="268"/>
      <c r="S732" s="268"/>
      <c r="T732" s="268"/>
      <c r="U732" s="268"/>
      <c r="V732" s="268"/>
      <c r="W732" s="268"/>
      <c r="X732" s="268"/>
      <c r="Y732" s="268"/>
      <c r="Z732" s="268"/>
    </row>
    <row r="733" customHeight="1" spans="1:26">
      <c r="A733" s="268"/>
      <c r="B733" s="268"/>
      <c r="C733" s="268"/>
      <c r="D733" s="268"/>
      <c r="E733" s="268"/>
      <c r="F733" s="268"/>
      <c r="G733" s="268"/>
      <c r="H733" s="268"/>
      <c r="I733" s="268"/>
      <c r="J733" s="268"/>
      <c r="K733" s="268"/>
      <c r="L733" s="268"/>
      <c r="M733" s="268"/>
      <c r="N733" s="268"/>
      <c r="O733" s="268"/>
      <c r="P733" s="268"/>
      <c r="Q733" s="268"/>
      <c r="R733" s="268"/>
      <c r="S733" s="268"/>
      <c r="T733" s="268"/>
      <c r="U733" s="268"/>
      <c r="V733" s="268"/>
      <c r="W733" s="268"/>
      <c r="X733" s="268"/>
      <c r="Y733" s="268"/>
      <c r="Z733" s="268"/>
    </row>
    <row r="734" customHeight="1" spans="1:26">
      <c r="A734" s="268"/>
      <c r="B734" s="268"/>
      <c r="C734" s="268"/>
      <c r="D734" s="268"/>
      <c r="E734" s="268"/>
      <c r="F734" s="268"/>
      <c r="G734" s="268"/>
      <c r="H734" s="268"/>
      <c r="I734" s="268"/>
      <c r="J734" s="268"/>
      <c r="K734" s="268"/>
      <c r="L734" s="268"/>
      <c r="M734" s="268"/>
      <c r="N734" s="268"/>
      <c r="O734" s="268"/>
      <c r="P734" s="268"/>
      <c r="Q734" s="268"/>
      <c r="R734" s="268"/>
      <c r="S734" s="268"/>
      <c r="T734" s="268"/>
      <c r="U734" s="268"/>
      <c r="V734" s="268"/>
      <c r="W734" s="268"/>
      <c r="X734" s="268"/>
      <c r="Y734" s="268"/>
      <c r="Z734" s="268"/>
    </row>
    <row r="735" customHeight="1" spans="1:26">
      <c r="A735" s="268"/>
      <c r="B735" s="268"/>
      <c r="C735" s="268"/>
      <c r="D735" s="268"/>
      <c r="E735" s="268"/>
      <c r="F735" s="268"/>
      <c r="G735" s="268"/>
      <c r="H735" s="268"/>
      <c r="I735" s="268"/>
      <c r="J735" s="268"/>
      <c r="K735" s="268"/>
      <c r="L735" s="268"/>
      <c r="M735" s="268"/>
      <c r="N735" s="268"/>
      <c r="O735" s="268"/>
      <c r="P735" s="268"/>
      <c r="Q735" s="268"/>
      <c r="R735" s="268"/>
      <c r="S735" s="268"/>
      <c r="T735" s="268"/>
      <c r="U735" s="268"/>
      <c r="V735" s="268"/>
      <c r="W735" s="268"/>
      <c r="X735" s="268"/>
      <c r="Y735" s="268"/>
      <c r="Z735" s="268"/>
    </row>
    <row r="736" customHeight="1" spans="1:26">
      <c r="A736" s="268"/>
      <c r="B736" s="268"/>
      <c r="C736" s="268"/>
      <c r="D736" s="268"/>
      <c r="E736" s="268"/>
      <c r="F736" s="268"/>
      <c r="G736" s="268"/>
      <c r="H736" s="268"/>
      <c r="I736" s="268"/>
      <c r="J736" s="268"/>
      <c r="K736" s="268"/>
      <c r="L736" s="268"/>
      <c r="M736" s="268"/>
      <c r="N736" s="268"/>
      <c r="O736" s="268"/>
      <c r="P736" s="268"/>
      <c r="Q736" s="268"/>
      <c r="R736" s="268"/>
      <c r="S736" s="268"/>
      <c r="T736" s="268"/>
      <c r="U736" s="268"/>
      <c r="V736" s="268"/>
      <c r="W736" s="268"/>
      <c r="X736" s="268"/>
      <c r="Y736" s="268"/>
      <c r="Z736" s="268"/>
    </row>
    <row r="737" customHeight="1" spans="1:26">
      <c r="A737" s="268"/>
      <c r="B737" s="268"/>
      <c r="C737" s="268"/>
      <c r="D737" s="268"/>
      <c r="E737" s="268"/>
      <c r="F737" s="268"/>
      <c r="G737" s="268"/>
      <c r="H737" s="268"/>
      <c r="I737" s="268"/>
      <c r="J737" s="268"/>
      <c r="K737" s="268"/>
      <c r="L737" s="268"/>
      <c r="M737" s="268"/>
      <c r="N737" s="268"/>
      <c r="O737" s="268"/>
      <c r="P737" s="268"/>
      <c r="Q737" s="268"/>
      <c r="R737" s="268"/>
      <c r="S737" s="268"/>
      <c r="T737" s="268"/>
      <c r="U737" s="268"/>
      <c r="V737" s="268"/>
      <c r="W737" s="268"/>
      <c r="X737" s="268"/>
      <c r="Y737" s="268"/>
      <c r="Z737" s="268"/>
    </row>
    <row r="738" customHeight="1" spans="1:26">
      <c r="A738" s="268"/>
      <c r="B738" s="268"/>
      <c r="C738" s="268"/>
      <c r="D738" s="268"/>
      <c r="E738" s="268"/>
      <c r="F738" s="268"/>
      <c r="G738" s="268"/>
      <c r="H738" s="268"/>
      <c r="I738" s="268"/>
      <c r="J738" s="268"/>
      <c r="K738" s="268"/>
      <c r="L738" s="268"/>
      <c r="M738" s="268"/>
      <c r="N738" s="268"/>
      <c r="O738" s="268"/>
      <c r="P738" s="268"/>
      <c r="Q738" s="268"/>
      <c r="R738" s="268"/>
      <c r="S738" s="268"/>
      <c r="T738" s="268"/>
      <c r="U738" s="268"/>
      <c r="V738" s="268"/>
      <c r="W738" s="268"/>
      <c r="X738" s="268"/>
      <c r="Y738" s="268"/>
      <c r="Z738" s="268"/>
    </row>
    <row r="739" customHeight="1" spans="1:26">
      <c r="A739" s="268"/>
      <c r="B739" s="268"/>
      <c r="C739" s="268"/>
      <c r="D739" s="268"/>
      <c r="E739" s="268"/>
      <c r="F739" s="268"/>
      <c r="G739" s="268"/>
      <c r="H739" s="268"/>
      <c r="I739" s="268"/>
      <c r="J739" s="268"/>
      <c r="K739" s="268"/>
      <c r="L739" s="268"/>
      <c r="M739" s="268"/>
      <c r="N739" s="268"/>
      <c r="O739" s="268"/>
      <c r="P739" s="268"/>
      <c r="Q739" s="268"/>
      <c r="R739" s="268"/>
      <c r="S739" s="268"/>
      <c r="T739" s="268"/>
      <c r="U739" s="268"/>
      <c r="V739" s="268"/>
      <c r="W739" s="268"/>
      <c r="X739" s="268"/>
      <c r="Y739" s="268"/>
      <c r="Z739" s="268"/>
    </row>
    <row r="740" customHeight="1" spans="1:26">
      <c r="A740" s="268"/>
      <c r="B740" s="268"/>
      <c r="C740" s="268"/>
      <c r="D740" s="268"/>
      <c r="E740" s="268"/>
      <c r="F740" s="268"/>
      <c r="G740" s="268"/>
      <c r="H740" s="268"/>
      <c r="I740" s="268"/>
      <c r="J740" s="268"/>
      <c r="K740" s="268"/>
      <c r="L740" s="268"/>
      <c r="M740" s="268"/>
      <c r="N740" s="268"/>
      <c r="O740" s="268"/>
      <c r="P740" s="268"/>
      <c r="Q740" s="268"/>
      <c r="R740" s="268"/>
      <c r="S740" s="268"/>
      <c r="T740" s="268"/>
      <c r="U740" s="268"/>
      <c r="V740" s="268"/>
      <c r="W740" s="268"/>
      <c r="X740" s="268"/>
      <c r="Y740" s="268"/>
      <c r="Z740" s="268"/>
    </row>
    <row r="741" customHeight="1" spans="1:26">
      <c r="A741" s="268"/>
      <c r="B741" s="268"/>
      <c r="C741" s="268"/>
      <c r="D741" s="268"/>
      <c r="E741" s="268"/>
      <c r="F741" s="268"/>
      <c r="G741" s="268"/>
      <c r="H741" s="268"/>
      <c r="I741" s="268"/>
      <c r="J741" s="268"/>
      <c r="K741" s="268"/>
      <c r="L741" s="268"/>
      <c r="M741" s="268"/>
      <c r="N741" s="268"/>
      <c r="O741" s="268"/>
      <c r="P741" s="268"/>
      <c r="Q741" s="268"/>
      <c r="R741" s="268"/>
      <c r="S741" s="268"/>
      <c r="T741" s="268"/>
      <c r="U741" s="268"/>
      <c r="V741" s="268"/>
      <c r="W741" s="268"/>
      <c r="X741" s="268"/>
      <c r="Y741" s="268"/>
      <c r="Z741" s="268"/>
    </row>
    <row r="742" customHeight="1" spans="1:26">
      <c r="A742" s="268"/>
      <c r="B742" s="268"/>
      <c r="C742" s="268"/>
      <c r="D742" s="268"/>
      <c r="E742" s="268"/>
      <c r="F742" s="268"/>
      <c r="G742" s="268"/>
      <c r="H742" s="268"/>
      <c r="I742" s="268"/>
      <c r="J742" s="268"/>
      <c r="K742" s="268"/>
      <c r="L742" s="268"/>
      <c r="M742" s="268"/>
      <c r="N742" s="268"/>
      <c r="O742" s="268"/>
      <c r="P742" s="268"/>
      <c r="Q742" s="268"/>
      <c r="R742" s="268"/>
      <c r="S742" s="268"/>
      <c r="T742" s="268"/>
      <c r="U742" s="268"/>
      <c r="V742" s="268"/>
      <c r="W742" s="268"/>
      <c r="X742" s="268"/>
      <c r="Y742" s="268"/>
      <c r="Z742" s="268"/>
    </row>
    <row r="743" customHeight="1" spans="1:26">
      <c r="A743" s="268"/>
      <c r="B743" s="268"/>
      <c r="C743" s="268"/>
      <c r="D743" s="268"/>
      <c r="E743" s="268"/>
      <c r="F743" s="268"/>
      <c r="G743" s="268"/>
      <c r="H743" s="268"/>
      <c r="I743" s="268"/>
      <c r="J743" s="268"/>
      <c r="K743" s="268"/>
      <c r="L743" s="268"/>
      <c r="M743" s="268"/>
      <c r="N743" s="268"/>
      <c r="O743" s="268"/>
      <c r="P743" s="268"/>
      <c r="Q743" s="268"/>
      <c r="R743" s="268"/>
      <c r="S743" s="268"/>
      <c r="T743" s="268"/>
      <c r="U743" s="268"/>
      <c r="V743" s="268"/>
      <c r="W743" s="268"/>
      <c r="X743" s="268"/>
      <c r="Y743" s="268"/>
      <c r="Z743" s="268"/>
    </row>
    <row r="744" customHeight="1" spans="1:26">
      <c r="A744" s="268"/>
      <c r="B744" s="268"/>
      <c r="C744" s="268"/>
      <c r="D744" s="268"/>
      <c r="E744" s="268"/>
      <c r="F744" s="268"/>
      <c r="G744" s="268"/>
      <c r="H744" s="268"/>
      <c r="I744" s="268"/>
      <c r="J744" s="268"/>
      <c r="K744" s="268"/>
      <c r="L744" s="268"/>
      <c r="M744" s="268"/>
      <c r="N744" s="268"/>
      <c r="O744" s="268"/>
      <c r="P744" s="268"/>
      <c r="Q744" s="268"/>
      <c r="R744" s="268"/>
      <c r="S744" s="268"/>
      <c r="T744" s="268"/>
      <c r="U744" s="268"/>
      <c r="V744" s="268"/>
      <c r="W744" s="268"/>
      <c r="X744" s="268"/>
      <c r="Y744" s="268"/>
      <c r="Z744" s="268"/>
    </row>
    <row r="745" customHeight="1" spans="1:26">
      <c r="A745" s="268"/>
      <c r="B745" s="268"/>
      <c r="C745" s="268"/>
      <c r="D745" s="268"/>
      <c r="E745" s="268"/>
      <c r="F745" s="268"/>
      <c r="G745" s="268"/>
      <c r="H745" s="268"/>
      <c r="I745" s="268"/>
      <c r="J745" s="268"/>
      <c r="K745" s="268"/>
      <c r="L745" s="268"/>
      <c r="M745" s="268"/>
      <c r="N745" s="268"/>
      <c r="O745" s="268"/>
      <c r="P745" s="268"/>
      <c r="Q745" s="268"/>
      <c r="R745" s="268"/>
      <c r="S745" s="268"/>
      <c r="T745" s="268"/>
      <c r="U745" s="268"/>
      <c r="V745" s="268"/>
      <c r="W745" s="268"/>
      <c r="X745" s="268"/>
      <c r="Y745" s="268"/>
      <c r="Z745" s="268"/>
    </row>
    <row r="746" customHeight="1" spans="1:26">
      <c r="A746" s="268"/>
      <c r="B746" s="268"/>
      <c r="C746" s="268"/>
      <c r="D746" s="268"/>
      <c r="E746" s="268"/>
      <c r="F746" s="268"/>
      <c r="G746" s="268"/>
      <c r="H746" s="268"/>
      <c r="I746" s="268"/>
      <c r="J746" s="268"/>
      <c r="K746" s="268"/>
      <c r="L746" s="268"/>
      <c r="M746" s="268"/>
      <c r="N746" s="268"/>
      <c r="O746" s="268"/>
      <c r="P746" s="268"/>
      <c r="Q746" s="268"/>
      <c r="R746" s="268"/>
      <c r="S746" s="268"/>
      <c r="T746" s="268"/>
      <c r="U746" s="268"/>
      <c r="V746" s="268"/>
      <c r="W746" s="268"/>
      <c r="X746" s="268"/>
      <c r="Y746" s="268"/>
      <c r="Z746" s="268"/>
    </row>
    <row r="747" customHeight="1" spans="1:26">
      <c r="A747" s="268"/>
      <c r="B747" s="268"/>
      <c r="C747" s="268"/>
      <c r="D747" s="268"/>
      <c r="E747" s="268"/>
      <c r="F747" s="268"/>
      <c r="G747" s="268"/>
      <c r="H747" s="268"/>
      <c r="I747" s="268"/>
      <c r="J747" s="268"/>
      <c r="K747" s="268"/>
      <c r="L747" s="268"/>
      <c r="M747" s="268"/>
      <c r="N747" s="268"/>
      <c r="O747" s="268"/>
      <c r="P747" s="268"/>
      <c r="Q747" s="268"/>
      <c r="R747" s="268"/>
      <c r="S747" s="268"/>
      <c r="T747" s="268"/>
      <c r="U747" s="268"/>
      <c r="V747" s="268"/>
      <c r="W747" s="268"/>
      <c r="X747" s="268"/>
      <c r="Y747" s="268"/>
      <c r="Z747" s="268"/>
    </row>
    <row r="748" customHeight="1" spans="1:26">
      <c r="A748" s="268"/>
      <c r="B748" s="268"/>
      <c r="C748" s="268"/>
      <c r="D748" s="268"/>
      <c r="E748" s="268"/>
      <c r="F748" s="268"/>
      <c r="G748" s="268"/>
      <c r="H748" s="268"/>
      <c r="I748" s="268"/>
      <c r="J748" s="268"/>
      <c r="K748" s="268"/>
      <c r="L748" s="268"/>
      <c r="M748" s="268"/>
      <c r="N748" s="268"/>
      <c r="O748" s="268"/>
      <c r="P748" s="268"/>
      <c r="Q748" s="268"/>
      <c r="R748" s="268"/>
      <c r="S748" s="268"/>
      <c r="T748" s="268"/>
      <c r="U748" s="268"/>
      <c r="V748" s="268"/>
      <c r="W748" s="268"/>
      <c r="X748" s="268"/>
      <c r="Y748" s="268"/>
      <c r="Z748" s="268"/>
    </row>
    <row r="749" customHeight="1" spans="1:26">
      <c r="A749" s="268"/>
      <c r="B749" s="268"/>
      <c r="C749" s="268"/>
      <c r="D749" s="268"/>
      <c r="E749" s="268"/>
      <c r="F749" s="268"/>
      <c r="G749" s="268"/>
      <c r="H749" s="268"/>
      <c r="I749" s="268"/>
      <c r="J749" s="268"/>
      <c r="K749" s="268"/>
      <c r="L749" s="268"/>
      <c r="M749" s="268"/>
      <c r="N749" s="268"/>
      <c r="O749" s="268"/>
      <c r="P749" s="268"/>
      <c r="Q749" s="268"/>
      <c r="R749" s="268"/>
      <c r="S749" s="268"/>
      <c r="T749" s="268"/>
      <c r="U749" s="268"/>
      <c r="V749" s="268"/>
      <c r="W749" s="268"/>
      <c r="X749" s="268"/>
      <c r="Y749" s="268"/>
      <c r="Z749" s="268"/>
    </row>
    <row r="750" customHeight="1" spans="1:26">
      <c r="A750" s="268"/>
      <c r="B750" s="268"/>
      <c r="C750" s="268"/>
      <c r="D750" s="268"/>
      <c r="E750" s="268"/>
      <c r="F750" s="268"/>
      <c r="G750" s="268"/>
      <c r="H750" s="268"/>
      <c r="I750" s="268"/>
      <c r="J750" s="268"/>
      <c r="K750" s="268"/>
      <c r="L750" s="268"/>
      <c r="M750" s="268"/>
      <c r="N750" s="268"/>
      <c r="O750" s="268"/>
      <c r="P750" s="268"/>
      <c r="Q750" s="268"/>
      <c r="R750" s="268"/>
      <c r="S750" s="268"/>
      <c r="T750" s="268"/>
      <c r="U750" s="268"/>
      <c r="V750" s="268"/>
      <c r="W750" s="268"/>
      <c r="X750" s="268"/>
      <c r="Y750" s="268"/>
      <c r="Z750" s="268"/>
    </row>
    <row r="751" customHeight="1" spans="1:26">
      <c r="A751" s="268"/>
      <c r="B751" s="268"/>
      <c r="C751" s="268"/>
      <c r="D751" s="268"/>
      <c r="E751" s="268"/>
      <c r="F751" s="268"/>
      <c r="G751" s="268"/>
      <c r="H751" s="268"/>
      <c r="I751" s="268"/>
      <c r="J751" s="268"/>
      <c r="K751" s="268"/>
      <c r="L751" s="268"/>
      <c r="M751" s="268"/>
      <c r="N751" s="268"/>
      <c r="O751" s="268"/>
      <c r="P751" s="268"/>
      <c r="Q751" s="268"/>
      <c r="R751" s="268"/>
      <c r="S751" s="268"/>
      <c r="T751" s="268"/>
      <c r="U751" s="268"/>
      <c r="V751" s="268"/>
      <c r="W751" s="268"/>
      <c r="X751" s="268"/>
      <c r="Y751" s="268"/>
      <c r="Z751" s="268"/>
    </row>
    <row r="752" customHeight="1" spans="1:26">
      <c r="A752" s="268"/>
      <c r="B752" s="268"/>
      <c r="C752" s="268"/>
      <c r="D752" s="268"/>
      <c r="E752" s="268"/>
      <c r="F752" s="268"/>
      <c r="G752" s="268"/>
      <c r="H752" s="268"/>
      <c r="I752" s="268"/>
      <c r="J752" s="268"/>
      <c r="K752" s="268"/>
      <c r="L752" s="268"/>
      <c r="M752" s="268"/>
      <c r="N752" s="268"/>
      <c r="O752" s="268"/>
      <c r="P752" s="268"/>
      <c r="Q752" s="268"/>
      <c r="R752" s="268"/>
      <c r="S752" s="268"/>
      <c r="T752" s="268"/>
      <c r="U752" s="268"/>
      <c r="V752" s="268"/>
      <c r="W752" s="268"/>
      <c r="X752" s="268"/>
      <c r="Y752" s="268"/>
      <c r="Z752" s="268"/>
    </row>
    <row r="753" customHeight="1" spans="1:26">
      <c r="A753" s="268"/>
      <c r="B753" s="268"/>
      <c r="C753" s="268"/>
      <c r="D753" s="268"/>
      <c r="E753" s="268"/>
      <c r="F753" s="268"/>
      <c r="G753" s="268"/>
      <c r="H753" s="268"/>
      <c r="I753" s="268"/>
      <c r="J753" s="268"/>
      <c r="K753" s="268"/>
      <c r="L753" s="268"/>
      <c r="M753" s="268"/>
      <c r="N753" s="268"/>
      <c r="O753" s="268"/>
      <c r="P753" s="268"/>
      <c r="Q753" s="268"/>
      <c r="R753" s="268"/>
      <c r="S753" s="268"/>
      <c r="T753" s="268"/>
      <c r="U753" s="268"/>
      <c r="V753" s="268"/>
      <c r="W753" s="268"/>
      <c r="X753" s="268"/>
      <c r="Y753" s="268"/>
      <c r="Z753" s="268"/>
    </row>
    <row r="754" customHeight="1" spans="1:26">
      <c r="A754" s="268"/>
      <c r="B754" s="268"/>
      <c r="C754" s="268"/>
      <c r="D754" s="268"/>
      <c r="E754" s="268"/>
      <c r="F754" s="268"/>
      <c r="G754" s="268"/>
      <c r="H754" s="268"/>
      <c r="I754" s="268"/>
      <c r="J754" s="268"/>
      <c r="K754" s="268"/>
      <c r="L754" s="268"/>
      <c r="M754" s="268"/>
      <c r="N754" s="268"/>
      <c r="O754" s="268"/>
      <c r="P754" s="268"/>
      <c r="Q754" s="268"/>
      <c r="R754" s="268"/>
      <c r="S754" s="268"/>
      <c r="T754" s="268"/>
      <c r="U754" s="268"/>
      <c r="V754" s="268"/>
      <c r="W754" s="268"/>
      <c r="X754" s="268"/>
      <c r="Y754" s="268"/>
      <c r="Z754" s="268"/>
    </row>
    <row r="755" customHeight="1" spans="1:26">
      <c r="A755" s="268"/>
      <c r="B755" s="268"/>
      <c r="C755" s="268"/>
      <c r="D755" s="268"/>
      <c r="E755" s="268"/>
      <c r="F755" s="268"/>
      <c r="G755" s="268"/>
      <c r="H755" s="268"/>
      <c r="I755" s="268"/>
      <c r="J755" s="268"/>
      <c r="K755" s="268"/>
      <c r="L755" s="268"/>
      <c r="M755" s="268"/>
      <c r="N755" s="268"/>
      <c r="O755" s="268"/>
      <c r="P755" s="268"/>
      <c r="Q755" s="268"/>
      <c r="R755" s="268"/>
      <c r="S755" s="268"/>
      <c r="T755" s="268"/>
      <c r="U755" s="268"/>
      <c r="V755" s="268"/>
      <c r="W755" s="268"/>
      <c r="X755" s="268"/>
      <c r="Y755" s="268"/>
      <c r="Z755" s="268"/>
    </row>
    <row r="756" customHeight="1" spans="1:26">
      <c r="A756" s="268"/>
      <c r="B756" s="268"/>
      <c r="C756" s="268"/>
      <c r="D756" s="268"/>
      <c r="E756" s="268"/>
      <c r="F756" s="268"/>
      <c r="G756" s="268"/>
      <c r="H756" s="268"/>
      <c r="I756" s="268"/>
      <c r="J756" s="268"/>
      <c r="K756" s="268"/>
      <c r="L756" s="268"/>
      <c r="M756" s="268"/>
      <c r="N756" s="268"/>
      <c r="O756" s="268"/>
      <c r="P756" s="268"/>
      <c r="Q756" s="268"/>
      <c r="R756" s="268"/>
      <c r="S756" s="268"/>
      <c r="T756" s="268"/>
      <c r="U756" s="268"/>
      <c r="V756" s="268"/>
      <c r="W756" s="268"/>
      <c r="X756" s="268"/>
      <c r="Y756" s="268"/>
      <c r="Z756" s="268"/>
    </row>
    <row r="757" customHeight="1" spans="1:26">
      <c r="A757" s="268"/>
      <c r="B757" s="268"/>
      <c r="C757" s="268"/>
      <c r="D757" s="268"/>
      <c r="E757" s="268"/>
      <c r="F757" s="268"/>
      <c r="G757" s="268"/>
      <c r="H757" s="268"/>
      <c r="I757" s="268"/>
      <c r="J757" s="268"/>
      <c r="K757" s="268"/>
      <c r="L757" s="268"/>
      <c r="M757" s="268"/>
      <c r="N757" s="268"/>
      <c r="O757" s="268"/>
      <c r="P757" s="268"/>
      <c r="Q757" s="268"/>
      <c r="R757" s="268"/>
      <c r="S757" s="268"/>
      <c r="T757" s="268"/>
      <c r="U757" s="268"/>
      <c r="V757" s="268"/>
      <c r="W757" s="268"/>
      <c r="X757" s="268"/>
      <c r="Y757" s="268"/>
      <c r="Z757" s="268"/>
    </row>
    <row r="758" customHeight="1" spans="1:26">
      <c r="A758" s="268"/>
      <c r="B758" s="268"/>
      <c r="C758" s="268"/>
      <c r="D758" s="268"/>
      <c r="E758" s="268"/>
      <c r="F758" s="268"/>
      <c r="G758" s="268"/>
      <c r="H758" s="268"/>
      <c r="I758" s="268"/>
      <c r="J758" s="268"/>
      <c r="K758" s="268"/>
      <c r="L758" s="268"/>
      <c r="M758" s="268"/>
      <c r="N758" s="268"/>
      <c r="O758" s="268"/>
      <c r="P758" s="268"/>
      <c r="Q758" s="268"/>
      <c r="R758" s="268"/>
      <c r="S758" s="268"/>
      <c r="T758" s="268"/>
      <c r="U758" s="268"/>
      <c r="V758" s="268"/>
      <c r="W758" s="268"/>
      <c r="X758" s="268"/>
      <c r="Y758" s="268"/>
      <c r="Z758" s="268"/>
    </row>
    <row r="759" customHeight="1" spans="1:26">
      <c r="A759" s="268"/>
      <c r="B759" s="268"/>
      <c r="C759" s="268"/>
      <c r="D759" s="268"/>
      <c r="E759" s="268"/>
      <c r="F759" s="268"/>
      <c r="G759" s="268"/>
      <c r="H759" s="268"/>
      <c r="I759" s="268"/>
      <c r="J759" s="268"/>
      <c r="K759" s="268"/>
      <c r="L759" s="268"/>
      <c r="M759" s="268"/>
      <c r="N759" s="268"/>
      <c r="O759" s="268"/>
      <c r="P759" s="268"/>
      <c r="Q759" s="268"/>
      <c r="R759" s="268"/>
      <c r="S759" s="268"/>
      <c r="T759" s="268"/>
      <c r="U759" s="268"/>
      <c r="V759" s="268"/>
      <c r="W759" s="268"/>
      <c r="X759" s="268"/>
      <c r="Y759" s="268"/>
      <c r="Z759" s="268"/>
    </row>
    <row r="760" customHeight="1" spans="1:26">
      <c r="A760" s="268"/>
      <c r="B760" s="268"/>
      <c r="C760" s="268"/>
      <c r="D760" s="268"/>
      <c r="E760" s="268"/>
      <c r="F760" s="268"/>
      <c r="G760" s="268"/>
      <c r="H760" s="268"/>
      <c r="I760" s="268"/>
      <c r="J760" s="268"/>
      <c r="K760" s="268"/>
      <c r="L760" s="268"/>
      <c r="M760" s="268"/>
      <c r="N760" s="268"/>
      <c r="O760" s="268"/>
      <c r="P760" s="268"/>
      <c r="Q760" s="268"/>
      <c r="R760" s="268"/>
      <c r="S760" s="268"/>
      <c r="T760" s="268"/>
      <c r="U760" s="268"/>
      <c r="V760" s="268"/>
      <c r="W760" s="268"/>
      <c r="X760" s="268"/>
      <c r="Y760" s="268"/>
      <c r="Z760" s="268"/>
    </row>
    <row r="761" customHeight="1" spans="1:26">
      <c r="A761" s="268"/>
      <c r="B761" s="268"/>
      <c r="C761" s="268"/>
      <c r="D761" s="268"/>
      <c r="E761" s="268"/>
      <c r="F761" s="268"/>
      <c r="G761" s="268"/>
      <c r="H761" s="268"/>
      <c r="I761" s="268"/>
      <c r="J761" s="268"/>
      <c r="K761" s="268"/>
      <c r="L761" s="268"/>
      <c r="M761" s="268"/>
      <c r="N761" s="268"/>
      <c r="O761" s="268"/>
      <c r="P761" s="268"/>
      <c r="Q761" s="268"/>
      <c r="R761" s="268"/>
      <c r="S761" s="268"/>
      <c r="T761" s="268"/>
      <c r="U761" s="268"/>
      <c r="V761" s="268"/>
      <c r="W761" s="268"/>
      <c r="X761" s="268"/>
      <c r="Y761" s="268"/>
      <c r="Z761" s="268"/>
    </row>
    <row r="762" customHeight="1" spans="1:26">
      <c r="A762" s="268"/>
      <c r="B762" s="268"/>
      <c r="C762" s="268"/>
      <c r="D762" s="268"/>
      <c r="E762" s="268"/>
      <c r="F762" s="268"/>
      <c r="G762" s="268"/>
      <c r="H762" s="268"/>
      <c r="I762" s="268"/>
      <c r="J762" s="268"/>
      <c r="K762" s="268"/>
      <c r="L762" s="268"/>
      <c r="M762" s="268"/>
      <c r="N762" s="268"/>
      <c r="O762" s="268"/>
      <c r="P762" s="268"/>
      <c r="Q762" s="268"/>
      <c r="R762" s="268"/>
      <c r="S762" s="268"/>
      <c r="T762" s="268"/>
      <c r="U762" s="268"/>
      <c r="V762" s="268"/>
      <c r="W762" s="268"/>
      <c r="X762" s="268"/>
      <c r="Y762" s="268"/>
      <c r="Z762" s="268"/>
    </row>
    <row r="763" customHeight="1" spans="1:26">
      <c r="A763" s="268"/>
      <c r="B763" s="268"/>
      <c r="C763" s="268"/>
      <c r="D763" s="268"/>
      <c r="E763" s="268"/>
      <c r="F763" s="268"/>
      <c r="G763" s="268"/>
      <c r="H763" s="268"/>
      <c r="I763" s="268"/>
      <c r="J763" s="268"/>
      <c r="K763" s="268"/>
      <c r="L763" s="268"/>
      <c r="M763" s="268"/>
      <c r="N763" s="268"/>
      <c r="O763" s="268"/>
      <c r="P763" s="268"/>
      <c r="Q763" s="268"/>
      <c r="R763" s="268"/>
      <c r="S763" s="268"/>
      <c r="T763" s="268"/>
      <c r="U763" s="268"/>
      <c r="V763" s="268"/>
      <c r="W763" s="268"/>
      <c r="X763" s="268"/>
      <c r="Y763" s="268"/>
      <c r="Z763" s="268"/>
    </row>
    <row r="764" customHeight="1" spans="1:26">
      <c r="A764" s="268"/>
      <c r="B764" s="268"/>
      <c r="C764" s="268"/>
      <c r="D764" s="268"/>
      <c r="E764" s="268"/>
      <c r="F764" s="268"/>
      <c r="G764" s="268"/>
      <c r="H764" s="268"/>
      <c r="I764" s="268"/>
      <c r="J764" s="268"/>
      <c r="K764" s="268"/>
      <c r="L764" s="268"/>
      <c r="M764" s="268"/>
      <c r="N764" s="268"/>
      <c r="O764" s="268"/>
      <c r="P764" s="268"/>
      <c r="Q764" s="268"/>
      <c r="R764" s="268"/>
      <c r="S764" s="268"/>
      <c r="T764" s="268"/>
      <c r="U764" s="268"/>
      <c r="V764" s="268"/>
      <c r="W764" s="268"/>
      <c r="X764" s="268"/>
      <c r="Y764" s="268"/>
      <c r="Z764" s="268"/>
    </row>
    <row r="765" customHeight="1" spans="1:26">
      <c r="A765" s="268"/>
      <c r="B765" s="268"/>
      <c r="C765" s="268"/>
      <c r="D765" s="268"/>
      <c r="E765" s="268"/>
      <c r="F765" s="268"/>
      <c r="G765" s="268"/>
      <c r="H765" s="268"/>
      <c r="I765" s="268"/>
      <c r="J765" s="268"/>
      <c r="K765" s="268"/>
      <c r="L765" s="268"/>
      <c r="M765" s="268"/>
      <c r="N765" s="268"/>
      <c r="O765" s="268"/>
      <c r="P765" s="268"/>
      <c r="Q765" s="268"/>
      <c r="R765" s="268"/>
      <c r="S765" s="268"/>
      <c r="T765" s="268"/>
      <c r="U765" s="268"/>
      <c r="V765" s="268"/>
      <c r="W765" s="268"/>
      <c r="X765" s="268"/>
      <c r="Y765" s="268"/>
      <c r="Z765" s="268"/>
    </row>
    <row r="766" customHeight="1" spans="1:26">
      <c r="A766" s="268"/>
      <c r="B766" s="268"/>
      <c r="C766" s="268"/>
      <c r="D766" s="268"/>
      <c r="E766" s="268"/>
      <c r="F766" s="268"/>
      <c r="G766" s="268"/>
      <c r="H766" s="268"/>
      <c r="I766" s="268"/>
      <c r="J766" s="268"/>
      <c r="K766" s="268"/>
      <c r="L766" s="268"/>
      <c r="M766" s="268"/>
      <c r="N766" s="268"/>
      <c r="O766" s="268"/>
      <c r="P766" s="268"/>
      <c r="Q766" s="268"/>
      <c r="R766" s="268"/>
      <c r="S766" s="268"/>
      <c r="T766" s="268"/>
      <c r="U766" s="268"/>
      <c r="V766" s="268"/>
      <c r="W766" s="268"/>
      <c r="X766" s="268"/>
      <c r="Y766" s="268"/>
      <c r="Z766" s="268"/>
    </row>
    <row r="767" customHeight="1" spans="1:26">
      <c r="A767" s="268"/>
      <c r="B767" s="268"/>
      <c r="C767" s="268"/>
      <c r="D767" s="268"/>
      <c r="E767" s="268"/>
      <c r="F767" s="268"/>
      <c r="G767" s="268"/>
      <c r="H767" s="268"/>
      <c r="I767" s="268"/>
      <c r="J767" s="268"/>
      <c r="K767" s="268"/>
      <c r="L767" s="268"/>
      <c r="M767" s="268"/>
      <c r="N767" s="268"/>
      <c r="O767" s="268"/>
      <c r="P767" s="268"/>
      <c r="Q767" s="268"/>
      <c r="R767" s="268"/>
      <c r="S767" s="268"/>
      <c r="T767" s="268"/>
      <c r="U767" s="268"/>
      <c r="V767" s="268"/>
      <c r="W767" s="268"/>
      <c r="X767" s="268"/>
      <c r="Y767" s="268"/>
      <c r="Z767" s="268"/>
    </row>
    <row r="768" customHeight="1" spans="1:26">
      <c r="A768" s="268"/>
      <c r="B768" s="268"/>
      <c r="C768" s="268"/>
      <c r="D768" s="268"/>
      <c r="E768" s="268"/>
      <c r="F768" s="268"/>
      <c r="G768" s="268"/>
      <c r="H768" s="268"/>
      <c r="I768" s="268"/>
      <c r="J768" s="268"/>
      <c r="K768" s="268"/>
      <c r="L768" s="268"/>
      <c r="M768" s="268"/>
      <c r="N768" s="268"/>
      <c r="O768" s="268"/>
      <c r="P768" s="268"/>
      <c r="Q768" s="268"/>
      <c r="R768" s="268"/>
      <c r="S768" s="268"/>
      <c r="T768" s="268"/>
      <c r="U768" s="268"/>
      <c r="V768" s="268"/>
      <c r="W768" s="268"/>
      <c r="X768" s="268"/>
      <c r="Y768" s="268"/>
      <c r="Z768" s="268"/>
    </row>
    <row r="769" customHeight="1" spans="1:26">
      <c r="A769" s="268"/>
      <c r="B769" s="268"/>
      <c r="C769" s="268"/>
      <c r="D769" s="268"/>
      <c r="E769" s="268"/>
      <c r="F769" s="268"/>
      <c r="G769" s="268"/>
      <c r="H769" s="268"/>
      <c r="I769" s="268"/>
      <c r="J769" s="268"/>
      <c r="K769" s="268"/>
      <c r="L769" s="268"/>
      <c r="M769" s="268"/>
      <c r="N769" s="268"/>
      <c r="O769" s="268"/>
      <c r="P769" s="268"/>
      <c r="Q769" s="268"/>
      <c r="R769" s="268"/>
      <c r="S769" s="268"/>
      <c r="T769" s="268"/>
      <c r="U769" s="268"/>
      <c r="V769" s="268"/>
      <c r="W769" s="268"/>
      <c r="X769" s="268"/>
      <c r="Y769" s="268"/>
      <c r="Z769" s="268"/>
    </row>
    <row r="770" customHeight="1" spans="1:26">
      <c r="A770" s="268"/>
      <c r="B770" s="268"/>
      <c r="C770" s="268"/>
      <c r="D770" s="268"/>
      <c r="E770" s="268"/>
      <c r="F770" s="268"/>
      <c r="G770" s="268"/>
      <c r="H770" s="268"/>
      <c r="I770" s="268"/>
      <c r="J770" s="268"/>
      <c r="K770" s="268"/>
      <c r="L770" s="268"/>
      <c r="M770" s="268"/>
      <c r="N770" s="268"/>
      <c r="O770" s="268"/>
      <c r="P770" s="268"/>
      <c r="Q770" s="268"/>
      <c r="R770" s="268"/>
      <c r="S770" s="268"/>
      <c r="T770" s="268"/>
      <c r="U770" s="268"/>
      <c r="V770" s="268"/>
      <c r="W770" s="268"/>
      <c r="X770" s="268"/>
      <c r="Y770" s="268"/>
      <c r="Z770" s="268"/>
    </row>
    <row r="771" customHeight="1" spans="1:26">
      <c r="A771" s="268"/>
      <c r="B771" s="268"/>
      <c r="C771" s="268"/>
      <c r="D771" s="268"/>
      <c r="E771" s="268"/>
      <c r="F771" s="268"/>
      <c r="G771" s="268"/>
      <c r="H771" s="268"/>
      <c r="I771" s="268"/>
      <c r="J771" s="268"/>
      <c r="K771" s="268"/>
      <c r="L771" s="268"/>
      <c r="M771" s="268"/>
      <c r="N771" s="268"/>
      <c r="O771" s="268"/>
      <c r="P771" s="268"/>
      <c r="Q771" s="268"/>
      <c r="R771" s="268"/>
      <c r="S771" s="268"/>
      <c r="T771" s="268"/>
      <c r="U771" s="268"/>
      <c r="V771" s="268"/>
      <c r="W771" s="268"/>
      <c r="X771" s="268"/>
      <c r="Y771" s="268"/>
      <c r="Z771" s="268"/>
    </row>
    <row r="772" customHeight="1" spans="1:26">
      <c r="A772" s="268"/>
      <c r="B772" s="268"/>
      <c r="C772" s="268"/>
      <c r="D772" s="268"/>
      <c r="E772" s="268"/>
      <c r="F772" s="268"/>
      <c r="G772" s="268"/>
      <c r="H772" s="268"/>
      <c r="I772" s="268"/>
      <c r="J772" s="268"/>
      <c r="K772" s="268"/>
      <c r="L772" s="268"/>
      <c r="M772" s="268"/>
      <c r="N772" s="268"/>
      <c r="O772" s="268"/>
      <c r="P772" s="268"/>
      <c r="Q772" s="268"/>
      <c r="R772" s="268"/>
      <c r="S772" s="268"/>
      <c r="T772" s="268"/>
      <c r="U772" s="268"/>
      <c r="V772" s="268"/>
      <c r="W772" s="268"/>
      <c r="X772" s="268"/>
      <c r="Y772" s="268"/>
      <c r="Z772" s="268"/>
    </row>
    <row r="773" customHeight="1" spans="1:26">
      <c r="A773" s="268"/>
      <c r="B773" s="268"/>
      <c r="C773" s="268"/>
      <c r="D773" s="268"/>
      <c r="E773" s="268"/>
      <c r="F773" s="268"/>
      <c r="G773" s="268"/>
      <c r="H773" s="268"/>
      <c r="I773" s="268"/>
      <c r="J773" s="268"/>
      <c r="K773" s="268"/>
      <c r="L773" s="268"/>
      <c r="M773" s="268"/>
      <c r="N773" s="268"/>
      <c r="O773" s="268"/>
      <c r="P773" s="268"/>
      <c r="Q773" s="268"/>
      <c r="R773" s="268"/>
      <c r="S773" s="268"/>
      <c r="T773" s="268"/>
      <c r="U773" s="268"/>
      <c r="V773" s="268"/>
      <c r="W773" s="268"/>
      <c r="X773" s="268"/>
      <c r="Y773" s="268"/>
      <c r="Z773" s="268"/>
    </row>
    <row r="774" customHeight="1" spans="1:26">
      <c r="A774" s="268"/>
      <c r="B774" s="268"/>
      <c r="C774" s="268"/>
      <c r="D774" s="268"/>
      <c r="E774" s="268"/>
      <c r="F774" s="268"/>
      <c r="G774" s="268"/>
      <c r="H774" s="268"/>
      <c r="I774" s="268"/>
      <c r="J774" s="268"/>
      <c r="K774" s="268"/>
      <c r="L774" s="268"/>
      <c r="M774" s="268"/>
      <c r="N774" s="268"/>
      <c r="O774" s="268"/>
      <c r="P774" s="268"/>
      <c r="Q774" s="268"/>
      <c r="R774" s="268"/>
      <c r="S774" s="268"/>
      <c r="T774" s="268"/>
      <c r="U774" s="268"/>
      <c r="V774" s="268"/>
      <c r="W774" s="268"/>
      <c r="X774" s="268"/>
      <c r="Y774" s="268"/>
      <c r="Z774" s="268"/>
    </row>
    <row r="775" customHeight="1" spans="1:26">
      <c r="A775" s="268"/>
      <c r="B775" s="268"/>
      <c r="C775" s="268"/>
      <c r="D775" s="268"/>
      <c r="E775" s="268"/>
      <c r="F775" s="268"/>
      <c r="G775" s="268"/>
      <c r="H775" s="268"/>
      <c r="I775" s="268"/>
      <c r="J775" s="268"/>
      <c r="K775" s="268"/>
      <c r="L775" s="268"/>
      <c r="M775" s="268"/>
      <c r="N775" s="268"/>
      <c r="O775" s="268"/>
      <c r="P775" s="268"/>
      <c r="Q775" s="268"/>
      <c r="R775" s="268"/>
      <c r="S775" s="268"/>
      <c r="T775" s="268"/>
      <c r="U775" s="268"/>
      <c r="V775" s="268"/>
      <c r="W775" s="268"/>
      <c r="X775" s="268"/>
      <c r="Y775" s="268"/>
      <c r="Z775" s="268"/>
    </row>
    <row r="776" customHeight="1" spans="1:26">
      <c r="A776" s="268"/>
      <c r="B776" s="268"/>
      <c r="C776" s="268"/>
      <c r="D776" s="268"/>
      <c r="E776" s="268"/>
      <c r="F776" s="268"/>
      <c r="G776" s="268"/>
      <c r="H776" s="268"/>
      <c r="I776" s="268"/>
      <c r="J776" s="268"/>
      <c r="K776" s="268"/>
      <c r="L776" s="268"/>
      <c r="M776" s="268"/>
      <c r="N776" s="268"/>
      <c r="O776" s="268"/>
      <c r="P776" s="268"/>
      <c r="Q776" s="268"/>
      <c r="R776" s="268"/>
      <c r="S776" s="268"/>
      <c r="T776" s="268"/>
      <c r="U776" s="268"/>
      <c r="V776" s="268"/>
      <c r="W776" s="268"/>
      <c r="X776" s="268"/>
      <c r="Y776" s="268"/>
      <c r="Z776" s="268"/>
    </row>
    <row r="777" customHeight="1" spans="1:26">
      <c r="A777" s="268"/>
      <c r="B777" s="268"/>
      <c r="C777" s="268"/>
      <c r="D777" s="268"/>
      <c r="E777" s="268"/>
      <c r="F777" s="268"/>
      <c r="G777" s="268"/>
      <c r="H777" s="268"/>
      <c r="I777" s="268"/>
      <c r="J777" s="268"/>
      <c r="K777" s="268"/>
      <c r="L777" s="268"/>
      <c r="M777" s="268"/>
      <c r="N777" s="268"/>
      <c r="O777" s="268"/>
      <c r="P777" s="268"/>
      <c r="Q777" s="268"/>
      <c r="R777" s="268"/>
      <c r="S777" s="268"/>
      <c r="T777" s="268"/>
      <c r="U777" s="268"/>
      <c r="V777" s="268"/>
      <c r="W777" s="268"/>
      <c r="X777" s="268"/>
      <c r="Y777" s="268"/>
      <c r="Z777" s="268"/>
    </row>
    <row r="778" customHeight="1" spans="1:26">
      <c r="A778" s="268"/>
      <c r="B778" s="268"/>
      <c r="C778" s="268"/>
      <c r="D778" s="268"/>
      <c r="E778" s="268"/>
      <c r="F778" s="268"/>
      <c r="G778" s="268"/>
      <c r="H778" s="268"/>
      <c r="I778" s="268"/>
      <c r="J778" s="268"/>
      <c r="K778" s="268"/>
      <c r="L778" s="268"/>
      <c r="M778" s="268"/>
      <c r="N778" s="268"/>
      <c r="O778" s="268"/>
      <c r="P778" s="268"/>
      <c r="Q778" s="268"/>
      <c r="R778" s="268"/>
      <c r="S778" s="268"/>
      <c r="T778" s="268"/>
      <c r="U778" s="268"/>
      <c r="V778" s="268"/>
      <c r="W778" s="268"/>
      <c r="X778" s="268"/>
      <c r="Y778" s="268"/>
      <c r="Z778" s="268"/>
    </row>
    <row r="779" customHeight="1" spans="1:26">
      <c r="A779" s="268"/>
      <c r="B779" s="268"/>
      <c r="C779" s="268"/>
      <c r="D779" s="268"/>
      <c r="E779" s="268"/>
      <c r="F779" s="268"/>
      <c r="G779" s="268"/>
      <c r="H779" s="268"/>
      <c r="I779" s="268"/>
      <c r="J779" s="268"/>
      <c r="K779" s="268"/>
      <c r="L779" s="268"/>
      <c r="M779" s="268"/>
      <c r="N779" s="268"/>
      <c r="O779" s="268"/>
      <c r="P779" s="268"/>
      <c r="Q779" s="268"/>
      <c r="R779" s="268"/>
      <c r="S779" s="268"/>
      <c r="T779" s="268"/>
      <c r="U779" s="268"/>
      <c r="V779" s="268"/>
      <c r="W779" s="268"/>
      <c r="X779" s="268"/>
      <c r="Y779" s="268"/>
      <c r="Z779" s="268"/>
    </row>
    <row r="780" customHeight="1" spans="1:26">
      <c r="A780" s="268"/>
      <c r="B780" s="268"/>
      <c r="C780" s="268"/>
      <c r="D780" s="268"/>
      <c r="E780" s="268"/>
      <c r="F780" s="268"/>
      <c r="G780" s="268"/>
      <c r="H780" s="268"/>
      <c r="I780" s="268"/>
      <c r="J780" s="268"/>
      <c r="K780" s="268"/>
      <c r="L780" s="268"/>
      <c r="M780" s="268"/>
      <c r="N780" s="268"/>
      <c r="O780" s="268"/>
      <c r="P780" s="268"/>
      <c r="Q780" s="268"/>
      <c r="R780" s="268"/>
      <c r="S780" s="268"/>
      <c r="T780" s="268"/>
      <c r="U780" s="268"/>
      <c r="V780" s="268"/>
      <c r="W780" s="268"/>
      <c r="X780" s="268"/>
      <c r="Y780" s="268"/>
      <c r="Z780" s="268"/>
    </row>
    <row r="781" customHeight="1" spans="1:26">
      <c r="A781" s="268"/>
      <c r="B781" s="268"/>
      <c r="C781" s="268"/>
      <c r="D781" s="268"/>
      <c r="E781" s="268"/>
      <c r="F781" s="268"/>
      <c r="G781" s="268"/>
      <c r="H781" s="268"/>
      <c r="I781" s="268"/>
      <c r="J781" s="268"/>
      <c r="K781" s="268"/>
      <c r="L781" s="268"/>
      <c r="M781" s="268"/>
      <c r="N781" s="268"/>
      <c r="O781" s="268"/>
      <c r="P781" s="268"/>
      <c r="Q781" s="268"/>
      <c r="R781" s="268"/>
      <c r="S781" s="268"/>
      <c r="T781" s="268"/>
      <c r="U781" s="268"/>
      <c r="V781" s="268"/>
      <c r="W781" s="268"/>
      <c r="X781" s="268"/>
      <c r="Y781" s="268"/>
      <c r="Z781" s="268"/>
    </row>
    <row r="782" customHeight="1" spans="1:26">
      <c r="A782" s="268"/>
      <c r="B782" s="268"/>
      <c r="C782" s="268"/>
      <c r="D782" s="268"/>
      <c r="E782" s="268"/>
      <c r="F782" s="268"/>
      <c r="G782" s="268"/>
      <c r="H782" s="268"/>
      <c r="I782" s="268"/>
      <c r="J782" s="268"/>
      <c r="K782" s="268"/>
      <c r="L782" s="268"/>
      <c r="M782" s="268"/>
      <c r="N782" s="268"/>
      <c r="O782" s="268"/>
      <c r="P782" s="268"/>
      <c r="Q782" s="268"/>
      <c r="R782" s="268"/>
      <c r="S782" s="268"/>
      <c r="T782" s="268"/>
      <c r="U782" s="268"/>
      <c r="V782" s="268"/>
      <c r="W782" s="268"/>
      <c r="X782" s="268"/>
      <c r="Y782" s="268"/>
      <c r="Z782" s="268"/>
    </row>
    <row r="783" customHeight="1" spans="1:26">
      <c r="A783" s="268"/>
      <c r="B783" s="268"/>
      <c r="C783" s="268"/>
      <c r="D783" s="268"/>
      <c r="E783" s="268"/>
      <c r="F783" s="268"/>
      <c r="G783" s="268"/>
      <c r="H783" s="268"/>
      <c r="I783" s="268"/>
      <c r="J783" s="268"/>
      <c r="K783" s="268"/>
      <c r="L783" s="268"/>
      <c r="M783" s="268"/>
      <c r="N783" s="268"/>
      <c r="O783" s="268"/>
      <c r="P783" s="268"/>
      <c r="Q783" s="268"/>
      <c r="R783" s="268"/>
      <c r="S783" s="268"/>
      <c r="T783" s="268"/>
      <c r="U783" s="268"/>
      <c r="V783" s="268"/>
      <c r="W783" s="268"/>
      <c r="X783" s="268"/>
      <c r="Y783" s="268"/>
      <c r="Z783" s="268"/>
    </row>
    <row r="784" customHeight="1" spans="1:26">
      <c r="A784" s="268"/>
      <c r="B784" s="268"/>
      <c r="C784" s="268"/>
      <c r="D784" s="268"/>
      <c r="E784" s="268"/>
      <c r="F784" s="268"/>
      <c r="G784" s="268"/>
      <c r="H784" s="268"/>
      <c r="I784" s="268"/>
      <c r="J784" s="268"/>
      <c r="K784" s="268"/>
      <c r="L784" s="268"/>
      <c r="M784" s="268"/>
      <c r="N784" s="268"/>
      <c r="O784" s="268"/>
      <c r="P784" s="268"/>
      <c r="Q784" s="268"/>
      <c r="R784" s="268"/>
      <c r="S784" s="268"/>
      <c r="T784" s="268"/>
      <c r="U784" s="268"/>
      <c r="V784" s="268"/>
      <c r="W784" s="268"/>
      <c r="X784" s="268"/>
      <c r="Y784" s="268"/>
      <c r="Z784" s="268"/>
    </row>
    <row r="785" customHeight="1" spans="1:26">
      <c r="A785" s="268"/>
      <c r="B785" s="268"/>
      <c r="C785" s="268"/>
      <c r="D785" s="268"/>
      <c r="E785" s="268"/>
      <c r="F785" s="268"/>
      <c r="G785" s="268"/>
      <c r="H785" s="268"/>
      <c r="I785" s="268"/>
      <c r="J785" s="268"/>
      <c r="K785" s="268"/>
      <c r="L785" s="268"/>
      <c r="M785" s="268"/>
      <c r="N785" s="268"/>
      <c r="O785" s="268"/>
      <c r="P785" s="268"/>
      <c r="Q785" s="268"/>
      <c r="R785" s="268"/>
      <c r="S785" s="268"/>
      <c r="T785" s="268"/>
      <c r="U785" s="268"/>
      <c r="V785" s="268"/>
      <c r="W785" s="268"/>
      <c r="X785" s="268"/>
      <c r="Y785" s="268"/>
      <c r="Z785" s="268"/>
    </row>
    <row r="786" customHeight="1" spans="1:26">
      <c r="A786" s="268"/>
      <c r="B786" s="268"/>
      <c r="C786" s="268"/>
      <c r="D786" s="268"/>
      <c r="E786" s="268"/>
      <c r="F786" s="268"/>
      <c r="G786" s="268"/>
      <c r="H786" s="268"/>
      <c r="I786" s="268"/>
      <c r="J786" s="268"/>
      <c r="K786" s="268"/>
      <c r="L786" s="268"/>
      <c r="M786" s="268"/>
      <c r="N786" s="268"/>
      <c r="O786" s="268"/>
      <c r="P786" s="268"/>
      <c r="Q786" s="268"/>
      <c r="R786" s="268"/>
      <c r="S786" s="268"/>
      <c r="T786" s="268"/>
      <c r="U786" s="268"/>
      <c r="V786" s="268"/>
      <c r="W786" s="268"/>
      <c r="X786" s="268"/>
      <c r="Y786" s="268"/>
      <c r="Z786" s="268"/>
    </row>
    <row r="787" customHeight="1" spans="1:26">
      <c r="A787" s="268"/>
      <c r="B787" s="268"/>
      <c r="C787" s="268"/>
      <c r="D787" s="268"/>
      <c r="E787" s="268"/>
      <c r="F787" s="268"/>
      <c r="G787" s="268"/>
      <c r="H787" s="268"/>
      <c r="I787" s="268"/>
      <c r="J787" s="268"/>
      <c r="K787" s="268"/>
      <c r="L787" s="268"/>
      <c r="M787" s="268"/>
      <c r="N787" s="268"/>
      <c r="O787" s="268"/>
      <c r="P787" s="268"/>
      <c r="Q787" s="268"/>
      <c r="R787" s="268"/>
      <c r="S787" s="268"/>
      <c r="T787" s="268"/>
      <c r="U787" s="268"/>
      <c r="V787" s="268"/>
      <c r="W787" s="268"/>
      <c r="X787" s="268"/>
      <c r="Y787" s="268"/>
      <c r="Z787" s="268"/>
    </row>
    <row r="788" customHeight="1" spans="1:26">
      <c r="A788" s="268"/>
      <c r="B788" s="268"/>
      <c r="C788" s="268"/>
      <c r="D788" s="268"/>
      <c r="E788" s="268"/>
      <c r="F788" s="268"/>
      <c r="G788" s="268"/>
      <c r="H788" s="268"/>
      <c r="I788" s="268"/>
      <c r="J788" s="268"/>
      <c r="K788" s="268"/>
      <c r="L788" s="268"/>
      <c r="M788" s="268"/>
      <c r="N788" s="268"/>
      <c r="O788" s="268"/>
      <c r="P788" s="268"/>
      <c r="Q788" s="268"/>
      <c r="R788" s="268"/>
      <c r="S788" s="268"/>
      <c r="T788" s="268"/>
      <c r="U788" s="268"/>
      <c r="V788" s="268"/>
      <c r="W788" s="268"/>
      <c r="X788" s="268"/>
      <c r="Y788" s="268"/>
      <c r="Z788" s="268"/>
    </row>
    <row r="789" customHeight="1" spans="1:26">
      <c r="A789" s="268"/>
      <c r="B789" s="268"/>
      <c r="C789" s="268"/>
      <c r="D789" s="268"/>
      <c r="E789" s="268"/>
      <c r="F789" s="268"/>
      <c r="G789" s="268"/>
      <c r="H789" s="268"/>
      <c r="I789" s="268"/>
      <c r="J789" s="268"/>
      <c r="K789" s="268"/>
      <c r="L789" s="268"/>
      <c r="M789" s="268"/>
      <c r="N789" s="268"/>
      <c r="O789" s="268"/>
      <c r="P789" s="268"/>
      <c r="Q789" s="268"/>
      <c r="R789" s="268"/>
      <c r="S789" s="268"/>
      <c r="T789" s="268"/>
      <c r="U789" s="268"/>
      <c r="V789" s="268"/>
      <c r="W789" s="268"/>
      <c r="X789" s="268"/>
      <c r="Y789" s="268"/>
      <c r="Z789" s="268"/>
    </row>
    <row r="790" customHeight="1" spans="1:26">
      <c r="A790" s="268"/>
      <c r="B790" s="268"/>
      <c r="C790" s="268"/>
      <c r="D790" s="268"/>
      <c r="E790" s="268"/>
      <c r="F790" s="268"/>
      <c r="G790" s="268"/>
      <c r="H790" s="268"/>
      <c r="I790" s="268"/>
      <c r="J790" s="268"/>
      <c r="K790" s="268"/>
      <c r="L790" s="268"/>
      <c r="M790" s="268"/>
      <c r="N790" s="268"/>
      <c r="O790" s="268"/>
      <c r="P790" s="268"/>
      <c r="Q790" s="268"/>
      <c r="R790" s="268"/>
      <c r="S790" s="268"/>
      <c r="T790" s="268"/>
      <c r="U790" s="268"/>
      <c r="V790" s="268"/>
      <c r="W790" s="268"/>
      <c r="X790" s="268"/>
      <c r="Y790" s="268"/>
      <c r="Z790" s="268"/>
    </row>
    <row r="791" customHeight="1" spans="1:26">
      <c r="A791" s="268"/>
      <c r="B791" s="268"/>
      <c r="C791" s="268"/>
      <c r="D791" s="268"/>
      <c r="E791" s="268"/>
      <c r="F791" s="268"/>
      <c r="G791" s="268"/>
      <c r="H791" s="268"/>
      <c r="I791" s="268"/>
      <c r="J791" s="268"/>
      <c r="K791" s="268"/>
      <c r="L791" s="268"/>
      <c r="M791" s="268"/>
      <c r="N791" s="268"/>
      <c r="O791" s="268"/>
      <c r="P791" s="268"/>
      <c r="Q791" s="268"/>
      <c r="R791" s="268"/>
      <c r="S791" s="268"/>
      <c r="T791" s="268"/>
      <c r="U791" s="268"/>
      <c r="V791" s="268"/>
      <c r="W791" s="268"/>
      <c r="X791" s="268"/>
      <c r="Y791" s="268"/>
      <c r="Z791" s="268"/>
    </row>
    <row r="792" customHeight="1" spans="1:26">
      <c r="A792" s="268"/>
      <c r="B792" s="268"/>
      <c r="C792" s="268"/>
      <c r="D792" s="268"/>
      <c r="E792" s="268"/>
      <c r="F792" s="268"/>
      <c r="G792" s="268"/>
      <c r="H792" s="268"/>
      <c r="I792" s="268"/>
      <c r="J792" s="268"/>
      <c r="K792" s="268"/>
      <c r="L792" s="268"/>
      <c r="M792" s="268"/>
      <c r="N792" s="268"/>
      <c r="O792" s="268"/>
      <c r="P792" s="268"/>
      <c r="Q792" s="268"/>
      <c r="R792" s="268"/>
      <c r="S792" s="268"/>
      <c r="T792" s="268"/>
      <c r="U792" s="268"/>
      <c r="V792" s="268"/>
      <c r="W792" s="268"/>
      <c r="X792" s="268"/>
      <c r="Y792" s="268"/>
      <c r="Z792" s="268"/>
    </row>
    <row r="793" customHeight="1" spans="1:26">
      <c r="A793" s="268"/>
      <c r="B793" s="268"/>
      <c r="C793" s="268"/>
      <c r="D793" s="268"/>
      <c r="E793" s="268"/>
      <c r="F793" s="268"/>
      <c r="G793" s="268"/>
      <c r="H793" s="268"/>
      <c r="I793" s="268"/>
      <c r="J793" s="268"/>
      <c r="K793" s="268"/>
      <c r="L793" s="268"/>
      <c r="M793" s="268"/>
      <c r="N793" s="268"/>
      <c r="O793" s="268"/>
      <c r="P793" s="268"/>
      <c r="Q793" s="268"/>
      <c r="R793" s="268"/>
      <c r="S793" s="268"/>
      <c r="T793" s="268"/>
      <c r="U793" s="268"/>
      <c r="V793" s="268"/>
      <c r="W793" s="268"/>
      <c r="X793" s="268"/>
      <c r="Y793" s="268"/>
      <c r="Z793" s="268"/>
    </row>
    <row r="794" customHeight="1" spans="1:26">
      <c r="A794" s="268"/>
      <c r="B794" s="268"/>
      <c r="C794" s="268"/>
      <c r="D794" s="268"/>
      <c r="E794" s="268"/>
      <c r="F794" s="268"/>
      <c r="G794" s="268"/>
      <c r="H794" s="268"/>
      <c r="I794" s="268"/>
      <c r="J794" s="268"/>
      <c r="K794" s="268"/>
      <c r="L794" s="268"/>
      <c r="M794" s="268"/>
      <c r="N794" s="268"/>
      <c r="O794" s="268"/>
      <c r="P794" s="268"/>
      <c r="Q794" s="268"/>
      <c r="R794" s="268"/>
      <c r="S794" s="268"/>
      <c r="T794" s="268"/>
      <c r="U794" s="268"/>
      <c r="V794" s="268"/>
      <c r="W794" s="268"/>
      <c r="X794" s="268"/>
      <c r="Y794" s="268"/>
      <c r="Z794" s="268"/>
    </row>
    <row r="795" customHeight="1" spans="1:26">
      <c r="A795" s="268"/>
      <c r="B795" s="268"/>
      <c r="C795" s="268"/>
      <c r="D795" s="268"/>
      <c r="E795" s="268"/>
      <c r="F795" s="268"/>
      <c r="G795" s="268"/>
      <c r="H795" s="268"/>
      <c r="I795" s="268"/>
      <c r="J795" s="268"/>
      <c r="K795" s="268"/>
      <c r="L795" s="268"/>
      <c r="M795" s="268"/>
      <c r="N795" s="268"/>
      <c r="O795" s="268"/>
      <c r="P795" s="268"/>
      <c r="Q795" s="268"/>
      <c r="R795" s="268"/>
      <c r="S795" s="268"/>
      <c r="T795" s="268"/>
      <c r="U795" s="268"/>
      <c r="V795" s="268"/>
      <c r="W795" s="268"/>
      <c r="X795" s="268"/>
      <c r="Y795" s="268"/>
      <c r="Z795" s="268"/>
    </row>
    <row r="796" customHeight="1" spans="1:26">
      <c r="A796" s="268"/>
      <c r="B796" s="268"/>
      <c r="C796" s="268"/>
      <c r="D796" s="268"/>
      <c r="E796" s="268"/>
      <c r="F796" s="268"/>
      <c r="G796" s="268"/>
      <c r="H796" s="268"/>
      <c r="I796" s="268"/>
      <c r="J796" s="268"/>
      <c r="K796" s="268"/>
      <c r="L796" s="268"/>
      <c r="M796" s="268"/>
      <c r="N796" s="268"/>
      <c r="O796" s="268"/>
      <c r="P796" s="268"/>
      <c r="Q796" s="268"/>
      <c r="R796" s="268"/>
      <c r="S796" s="268"/>
      <c r="T796" s="268"/>
      <c r="U796" s="268"/>
      <c r="V796" s="268"/>
      <c r="W796" s="268"/>
      <c r="X796" s="268"/>
      <c r="Y796" s="268"/>
      <c r="Z796" s="268"/>
    </row>
    <row r="797" customHeight="1" spans="1:26">
      <c r="A797" s="268"/>
      <c r="B797" s="268"/>
      <c r="C797" s="268"/>
      <c r="D797" s="268"/>
      <c r="E797" s="268"/>
      <c r="F797" s="268"/>
      <c r="G797" s="268"/>
      <c r="H797" s="268"/>
      <c r="I797" s="268"/>
      <c r="J797" s="268"/>
      <c r="K797" s="268"/>
      <c r="L797" s="268"/>
      <c r="M797" s="268"/>
      <c r="N797" s="268"/>
      <c r="O797" s="268"/>
      <c r="P797" s="268"/>
      <c r="Q797" s="268"/>
      <c r="R797" s="268"/>
      <c r="S797" s="268"/>
      <c r="T797" s="268"/>
      <c r="U797" s="268"/>
      <c r="V797" s="268"/>
      <c r="W797" s="268"/>
      <c r="X797" s="268"/>
      <c r="Y797" s="268"/>
      <c r="Z797" s="268"/>
    </row>
    <row r="798" customHeight="1" spans="1:26">
      <c r="A798" s="268"/>
      <c r="B798" s="268"/>
      <c r="C798" s="268"/>
      <c r="D798" s="268"/>
      <c r="E798" s="268"/>
      <c r="F798" s="268"/>
      <c r="G798" s="268"/>
      <c r="H798" s="268"/>
      <c r="I798" s="268"/>
      <c r="J798" s="268"/>
      <c r="K798" s="268"/>
      <c r="L798" s="268"/>
      <c r="M798" s="268"/>
      <c r="N798" s="268"/>
      <c r="O798" s="268"/>
      <c r="P798" s="268"/>
      <c r="Q798" s="268"/>
      <c r="R798" s="268"/>
      <c r="S798" s="268"/>
      <c r="T798" s="268"/>
      <c r="U798" s="268"/>
      <c r="V798" s="268"/>
      <c r="W798" s="268"/>
      <c r="X798" s="268"/>
      <c r="Y798" s="268"/>
      <c r="Z798" s="268"/>
    </row>
    <row r="799" customHeight="1" spans="1:26">
      <c r="A799" s="268"/>
      <c r="B799" s="268"/>
      <c r="C799" s="268"/>
      <c r="D799" s="268"/>
      <c r="E799" s="268"/>
      <c r="F799" s="268"/>
      <c r="G799" s="268"/>
      <c r="H799" s="268"/>
      <c r="I799" s="268"/>
      <c r="J799" s="268"/>
      <c r="K799" s="268"/>
      <c r="L799" s="268"/>
      <c r="M799" s="268"/>
      <c r="N799" s="268"/>
      <c r="O799" s="268"/>
      <c r="P799" s="268"/>
      <c r="Q799" s="268"/>
      <c r="R799" s="268"/>
      <c r="S799" s="268"/>
      <c r="T799" s="268"/>
      <c r="U799" s="268"/>
      <c r="V799" s="268"/>
      <c r="W799" s="268"/>
      <c r="X799" s="268"/>
      <c r="Y799" s="268"/>
      <c r="Z799" s="268"/>
    </row>
    <row r="800" customHeight="1" spans="1:26">
      <c r="A800" s="268"/>
      <c r="B800" s="268"/>
      <c r="C800" s="268"/>
      <c r="D800" s="268"/>
      <c r="E800" s="268"/>
      <c r="F800" s="268"/>
      <c r="G800" s="268"/>
      <c r="H800" s="268"/>
      <c r="I800" s="268"/>
      <c r="J800" s="268"/>
      <c r="K800" s="268"/>
      <c r="L800" s="268"/>
      <c r="M800" s="268"/>
      <c r="N800" s="268"/>
      <c r="O800" s="268"/>
      <c r="P800" s="268"/>
      <c r="Q800" s="268"/>
      <c r="R800" s="268"/>
      <c r="S800" s="268"/>
      <c r="T800" s="268"/>
      <c r="U800" s="268"/>
      <c r="V800" s="268"/>
      <c r="W800" s="268"/>
      <c r="X800" s="268"/>
      <c r="Y800" s="268"/>
      <c r="Z800" s="268"/>
    </row>
    <row r="801" customHeight="1" spans="1:26">
      <c r="A801" s="268"/>
      <c r="B801" s="268"/>
      <c r="C801" s="268"/>
      <c r="D801" s="268"/>
      <c r="E801" s="268"/>
      <c r="F801" s="268"/>
      <c r="G801" s="268"/>
      <c r="H801" s="268"/>
      <c r="I801" s="268"/>
      <c r="J801" s="268"/>
      <c r="K801" s="268"/>
      <c r="L801" s="268"/>
      <c r="M801" s="268"/>
      <c r="N801" s="268"/>
      <c r="O801" s="268"/>
      <c r="P801" s="268"/>
      <c r="Q801" s="268"/>
      <c r="R801" s="268"/>
      <c r="S801" s="268"/>
      <c r="T801" s="268"/>
      <c r="U801" s="268"/>
      <c r="V801" s="268"/>
      <c r="W801" s="268"/>
      <c r="X801" s="268"/>
      <c r="Y801" s="268"/>
      <c r="Z801" s="268"/>
    </row>
    <row r="802" customHeight="1" spans="1:26">
      <c r="A802" s="268"/>
      <c r="B802" s="268"/>
      <c r="C802" s="268"/>
      <c r="D802" s="268"/>
      <c r="E802" s="268"/>
      <c r="F802" s="268"/>
      <c r="G802" s="268"/>
      <c r="H802" s="268"/>
      <c r="I802" s="268"/>
      <c r="J802" s="268"/>
      <c r="K802" s="268"/>
      <c r="L802" s="268"/>
      <c r="M802" s="268"/>
      <c r="N802" s="268"/>
      <c r="O802" s="268"/>
      <c r="P802" s="268"/>
      <c r="Q802" s="268"/>
      <c r="R802" s="268"/>
      <c r="S802" s="268"/>
      <c r="T802" s="268"/>
      <c r="U802" s="268"/>
      <c r="V802" s="268"/>
      <c r="W802" s="268"/>
      <c r="X802" s="268"/>
      <c r="Y802" s="268"/>
      <c r="Z802" s="268"/>
    </row>
    <row r="803" customHeight="1" spans="1:26">
      <c r="A803" s="268"/>
      <c r="B803" s="268"/>
      <c r="C803" s="268"/>
      <c r="D803" s="268"/>
      <c r="E803" s="268"/>
      <c r="F803" s="268"/>
      <c r="G803" s="268"/>
      <c r="H803" s="268"/>
      <c r="I803" s="268"/>
      <c r="J803" s="268"/>
      <c r="K803" s="268"/>
      <c r="L803" s="268"/>
      <c r="M803" s="268"/>
      <c r="N803" s="268"/>
      <c r="O803" s="268"/>
      <c r="P803" s="268"/>
      <c r="Q803" s="268"/>
      <c r="R803" s="268"/>
      <c r="S803" s="268"/>
      <c r="T803" s="268"/>
      <c r="U803" s="268"/>
      <c r="V803" s="268"/>
      <c r="W803" s="268"/>
      <c r="X803" s="268"/>
      <c r="Y803" s="268"/>
      <c r="Z803" s="268"/>
    </row>
    <row r="804" customHeight="1" spans="1:26">
      <c r="A804" s="268"/>
      <c r="B804" s="268"/>
      <c r="C804" s="268"/>
      <c r="D804" s="268"/>
      <c r="E804" s="268"/>
      <c r="F804" s="268"/>
      <c r="G804" s="268"/>
      <c r="H804" s="268"/>
      <c r="I804" s="268"/>
      <c r="J804" s="268"/>
      <c r="K804" s="268"/>
      <c r="L804" s="268"/>
      <c r="M804" s="268"/>
      <c r="N804" s="268"/>
      <c r="O804" s="268"/>
      <c r="P804" s="268"/>
      <c r="Q804" s="268"/>
      <c r="R804" s="268"/>
      <c r="S804" s="268"/>
      <c r="T804" s="268"/>
      <c r="U804" s="268"/>
      <c r="V804" s="268"/>
      <c r="W804" s="268"/>
      <c r="X804" s="268"/>
      <c r="Y804" s="268"/>
      <c r="Z804" s="268"/>
    </row>
    <row r="805" customHeight="1" spans="1:26">
      <c r="A805" s="268"/>
      <c r="B805" s="268"/>
      <c r="C805" s="268"/>
      <c r="D805" s="268"/>
      <c r="E805" s="268"/>
      <c r="F805" s="268"/>
      <c r="G805" s="268"/>
      <c r="H805" s="268"/>
      <c r="I805" s="268"/>
      <c r="J805" s="268"/>
      <c r="K805" s="268"/>
      <c r="L805" s="268"/>
      <c r="M805" s="268"/>
      <c r="N805" s="268"/>
      <c r="O805" s="268"/>
      <c r="P805" s="268"/>
      <c r="Q805" s="268"/>
      <c r="R805" s="268"/>
      <c r="S805" s="268"/>
      <c r="T805" s="268"/>
      <c r="U805" s="268"/>
      <c r="V805" s="268"/>
      <c r="W805" s="268"/>
      <c r="X805" s="268"/>
      <c r="Y805" s="268"/>
      <c r="Z805" s="268"/>
    </row>
    <row r="806" customHeight="1" spans="1:26">
      <c r="A806" s="268"/>
      <c r="B806" s="268"/>
      <c r="C806" s="268"/>
      <c r="D806" s="268"/>
      <c r="E806" s="268"/>
      <c r="F806" s="268"/>
      <c r="G806" s="268"/>
      <c r="H806" s="268"/>
      <c r="I806" s="268"/>
      <c r="J806" s="268"/>
      <c r="K806" s="268"/>
      <c r="L806" s="268"/>
      <c r="M806" s="268"/>
      <c r="N806" s="268"/>
      <c r="O806" s="268"/>
      <c r="P806" s="268"/>
      <c r="Q806" s="268"/>
      <c r="R806" s="268"/>
      <c r="S806" s="268"/>
      <c r="T806" s="268"/>
      <c r="U806" s="268"/>
      <c r="V806" s="268"/>
      <c r="W806" s="268"/>
      <c r="X806" s="268"/>
      <c r="Y806" s="268"/>
      <c r="Z806" s="268"/>
    </row>
    <row r="807" customHeight="1" spans="1:26">
      <c r="A807" s="268"/>
      <c r="B807" s="268"/>
      <c r="C807" s="268"/>
      <c r="D807" s="268"/>
      <c r="E807" s="268"/>
      <c r="F807" s="268"/>
      <c r="G807" s="268"/>
      <c r="H807" s="268"/>
      <c r="I807" s="268"/>
      <c r="J807" s="268"/>
      <c r="K807" s="268"/>
      <c r="L807" s="268"/>
      <c r="M807" s="268"/>
      <c r="N807" s="268"/>
      <c r="O807" s="268"/>
      <c r="P807" s="268"/>
      <c r="Q807" s="268"/>
      <c r="R807" s="268"/>
      <c r="S807" s="268"/>
      <c r="T807" s="268"/>
      <c r="U807" s="268"/>
      <c r="V807" s="268"/>
      <c r="W807" s="268"/>
      <c r="X807" s="268"/>
      <c r="Y807" s="268"/>
      <c r="Z807" s="268"/>
    </row>
    <row r="808" customHeight="1" spans="1:26">
      <c r="A808" s="268"/>
      <c r="B808" s="268"/>
      <c r="C808" s="268"/>
      <c r="D808" s="268"/>
      <c r="E808" s="268"/>
      <c r="F808" s="268"/>
      <c r="G808" s="268"/>
      <c r="H808" s="268"/>
      <c r="I808" s="268"/>
      <c r="J808" s="268"/>
      <c r="K808" s="268"/>
      <c r="L808" s="268"/>
      <c r="M808" s="268"/>
      <c r="N808" s="268"/>
      <c r="O808" s="268"/>
      <c r="P808" s="268"/>
      <c r="Q808" s="268"/>
      <c r="R808" s="268"/>
      <c r="S808" s="268"/>
      <c r="T808" s="268"/>
      <c r="U808" s="268"/>
      <c r="V808" s="268"/>
      <c r="W808" s="268"/>
      <c r="X808" s="268"/>
      <c r="Y808" s="268"/>
      <c r="Z808" s="268"/>
    </row>
    <row r="809" customHeight="1" spans="1:26">
      <c r="A809" s="268"/>
      <c r="B809" s="268"/>
      <c r="C809" s="268"/>
      <c r="D809" s="268"/>
      <c r="E809" s="268"/>
      <c r="F809" s="268"/>
      <c r="G809" s="268"/>
      <c r="H809" s="268"/>
      <c r="I809" s="268"/>
      <c r="J809" s="268"/>
      <c r="K809" s="268"/>
      <c r="L809" s="268"/>
      <c r="M809" s="268"/>
      <c r="N809" s="268"/>
      <c r="O809" s="268"/>
      <c r="P809" s="268"/>
      <c r="Q809" s="268"/>
      <c r="R809" s="268"/>
      <c r="S809" s="268"/>
      <c r="T809" s="268"/>
      <c r="U809" s="268"/>
      <c r="V809" s="268"/>
      <c r="W809" s="268"/>
      <c r="X809" s="268"/>
      <c r="Y809" s="268"/>
      <c r="Z809" s="268"/>
    </row>
    <row r="810" customHeight="1" spans="1:26">
      <c r="A810" s="268"/>
      <c r="B810" s="268"/>
      <c r="C810" s="268"/>
      <c r="D810" s="268"/>
      <c r="E810" s="268"/>
      <c r="F810" s="268"/>
      <c r="G810" s="268"/>
      <c r="H810" s="268"/>
      <c r="I810" s="268"/>
      <c r="J810" s="268"/>
      <c r="K810" s="268"/>
      <c r="L810" s="268"/>
      <c r="M810" s="268"/>
      <c r="N810" s="268"/>
      <c r="O810" s="268"/>
      <c r="P810" s="268"/>
      <c r="Q810" s="268"/>
      <c r="R810" s="268"/>
      <c r="S810" s="268"/>
      <c r="T810" s="268"/>
      <c r="U810" s="268"/>
      <c r="V810" s="268"/>
      <c r="W810" s="268"/>
      <c r="X810" s="268"/>
      <c r="Y810" s="268"/>
      <c r="Z810" s="268"/>
    </row>
    <row r="811" customHeight="1" spans="1:26">
      <c r="A811" s="268"/>
      <c r="B811" s="268"/>
      <c r="C811" s="268"/>
      <c r="D811" s="268"/>
      <c r="E811" s="268"/>
      <c r="F811" s="268"/>
      <c r="G811" s="268"/>
      <c r="H811" s="268"/>
      <c r="I811" s="268"/>
      <c r="J811" s="268"/>
      <c r="K811" s="268"/>
      <c r="L811" s="268"/>
      <c r="M811" s="268"/>
      <c r="N811" s="268"/>
      <c r="O811" s="268"/>
      <c r="P811" s="268"/>
      <c r="Q811" s="268"/>
      <c r="R811" s="268"/>
      <c r="S811" s="268"/>
      <c r="T811" s="268"/>
      <c r="U811" s="268"/>
      <c r="V811" s="268"/>
      <c r="W811" s="268"/>
      <c r="X811" s="268"/>
      <c r="Y811" s="268"/>
      <c r="Z811" s="268"/>
    </row>
    <row r="812" customHeight="1" spans="1:26">
      <c r="A812" s="268"/>
      <c r="B812" s="268"/>
      <c r="C812" s="268"/>
      <c r="D812" s="268"/>
      <c r="E812" s="268"/>
      <c r="F812" s="268"/>
      <c r="G812" s="268"/>
      <c r="H812" s="268"/>
      <c r="I812" s="268"/>
      <c r="J812" s="268"/>
      <c r="K812" s="268"/>
      <c r="L812" s="268"/>
      <c r="M812" s="268"/>
      <c r="N812" s="268"/>
      <c r="O812" s="268"/>
      <c r="P812" s="268"/>
      <c r="Q812" s="268"/>
      <c r="R812" s="268"/>
      <c r="S812" s="268"/>
      <c r="T812" s="268"/>
      <c r="U812" s="268"/>
      <c r="V812" s="268"/>
      <c r="W812" s="268"/>
      <c r="X812" s="268"/>
      <c r="Y812" s="268"/>
      <c r="Z812" s="268"/>
    </row>
    <row r="813" customHeight="1" spans="1:26">
      <c r="A813" s="268"/>
      <c r="B813" s="268"/>
      <c r="C813" s="268"/>
      <c r="D813" s="268"/>
      <c r="E813" s="268"/>
      <c r="F813" s="268"/>
      <c r="G813" s="268"/>
      <c r="H813" s="268"/>
      <c r="I813" s="268"/>
      <c r="J813" s="268"/>
      <c r="K813" s="268"/>
      <c r="L813" s="268"/>
      <c r="M813" s="268"/>
      <c r="N813" s="268"/>
      <c r="O813" s="268"/>
      <c r="P813" s="268"/>
      <c r="Q813" s="268"/>
      <c r="R813" s="268"/>
      <c r="S813" s="268"/>
      <c r="T813" s="268"/>
      <c r="U813" s="268"/>
      <c r="V813" s="268"/>
      <c r="W813" s="268"/>
      <c r="X813" s="268"/>
      <c r="Y813" s="268"/>
      <c r="Z813" s="268"/>
    </row>
    <row r="814" customHeight="1" spans="1:26">
      <c r="A814" s="268"/>
      <c r="B814" s="268"/>
      <c r="C814" s="268"/>
      <c r="D814" s="268"/>
      <c r="E814" s="268"/>
      <c r="F814" s="268"/>
      <c r="G814" s="268"/>
      <c r="H814" s="268"/>
      <c r="I814" s="268"/>
      <c r="J814" s="268"/>
      <c r="K814" s="268"/>
      <c r="L814" s="268"/>
      <c r="M814" s="268"/>
      <c r="N814" s="268"/>
      <c r="O814" s="268"/>
      <c r="P814" s="268"/>
      <c r="Q814" s="268"/>
      <c r="R814" s="268"/>
      <c r="S814" s="268"/>
      <c r="T814" s="268"/>
      <c r="U814" s="268"/>
      <c r="V814" s="268"/>
      <c r="W814" s="268"/>
      <c r="X814" s="268"/>
      <c r="Y814" s="268"/>
      <c r="Z814" s="268"/>
    </row>
    <row r="815" customHeight="1" spans="1:26">
      <c r="A815" s="268"/>
      <c r="B815" s="268"/>
      <c r="C815" s="268"/>
      <c r="D815" s="268"/>
      <c r="E815" s="268"/>
      <c r="F815" s="268"/>
      <c r="G815" s="268"/>
      <c r="H815" s="268"/>
      <c r="I815" s="268"/>
      <c r="J815" s="268"/>
      <c r="K815" s="268"/>
      <c r="L815" s="268"/>
      <c r="M815" s="268"/>
      <c r="N815" s="268"/>
      <c r="O815" s="268"/>
      <c r="P815" s="268"/>
      <c r="Q815" s="268"/>
      <c r="R815" s="268"/>
      <c r="S815" s="268"/>
      <c r="T815" s="268"/>
      <c r="U815" s="268"/>
      <c r="V815" s="268"/>
      <c r="W815" s="268"/>
      <c r="X815" s="268"/>
      <c r="Y815" s="268"/>
      <c r="Z815" s="268"/>
    </row>
    <row r="816" customHeight="1" spans="1:26">
      <c r="A816" s="268"/>
      <c r="B816" s="268"/>
      <c r="C816" s="268"/>
      <c r="D816" s="268"/>
      <c r="E816" s="268"/>
      <c r="F816" s="268"/>
      <c r="G816" s="268"/>
      <c r="H816" s="268"/>
      <c r="I816" s="268"/>
      <c r="J816" s="268"/>
      <c r="K816" s="268"/>
      <c r="L816" s="268"/>
      <c r="M816" s="268"/>
      <c r="N816" s="268"/>
      <c r="O816" s="268"/>
      <c r="P816" s="268"/>
      <c r="Q816" s="268"/>
      <c r="R816" s="268"/>
      <c r="S816" s="268"/>
      <c r="T816" s="268"/>
      <c r="U816" s="268"/>
      <c r="V816" s="268"/>
      <c r="W816" s="268"/>
      <c r="X816" s="268"/>
      <c r="Y816" s="268"/>
      <c r="Z816" s="268"/>
    </row>
    <row r="817" customHeight="1" spans="1:26">
      <c r="A817" s="268"/>
      <c r="B817" s="268"/>
      <c r="C817" s="268"/>
      <c r="D817" s="268"/>
      <c r="E817" s="268"/>
      <c r="F817" s="268"/>
      <c r="G817" s="268"/>
      <c r="H817" s="268"/>
      <c r="I817" s="268"/>
      <c r="J817" s="268"/>
      <c r="K817" s="268"/>
      <c r="L817" s="268"/>
      <c r="M817" s="268"/>
      <c r="N817" s="268"/>
      <c r="O817" s="268"/>
      <c r="P817" s="268"/>
      <c r="Q817" s="268"/>
      <c r="R817" s="268"/>
      <c r="S817" s="268"/>
      <c r="T817" s="268"/>
      <c r="U817" s="268"/>
      <c r="V817" s="268"/>
      <c r="W817" s="268"/>
      <c r="X817" s="268"/>
      <c r="Y817" s="268"/>
      <c r="Z817" s="268"/>
    </row>
    <row r="818" customHeight="1" spans="1:26">
      <c r="A818" s="268"/>
      <c r="B818" s="268"/>
      <c r="C818" s="268"/>
      <c r="D818" s="268"/>
      <c r="E818" s="268"/>
      <c r="F818" s="268"/>
      <c r="G818" s="268"/>
      <c r="H818" s="268"/>
      <c r="I818" s="268"/>
      <c r="J818" s="268"/>
      <c r="K818" s="268"/>
      <c r="L818" s="268"/>
      <c r="M818" s="268"/>
      <c r="N818" s="268"/>
      <c r="O818" s="268"/>
      <c r="P818" s="268"/>
      <c r="Q818" s="268"/>
      <c r="R818" s="268"/>
      <c r="S818" s="268"/>
      <c r="T818" s="268"/>
      <c r="U818" s="268"/>
      <c r="V818" s="268"/>
      <c r="W818" s="268"/>
      <c r="X818" s="268"/>
      <c r="Y818" s="268"/>
      <c r="Z818" s="268"/>
    </row>
    <row r="819" customHeight="1" spans="1:26">
      <c r="A819" s="268"/>
      <c r="B819" s="268"/>
      <c r="C819" s="268"/>
      <c r="D819" s="268"/>
      <c r="E819" s="268"/>
      <c r="F819" s="268"/>
      <c r="G819" s="268"/>
      <c r="H819" s="268"/>
      <c r="I819" s="268"/>
      <c r="J819" s="268"/>
      <c r="K819" s="268"/>
      <c r="L819" s="268"/>
      <c r="M819" s="268"/>
      <c r="N819" s="268"/>
      <c r="O819" s="268"/>
      <c r="P819" s="268"/>
      <c r="Q819" s="268"/>
      <c r="R819" s="268"/>
      <c r="S819" s="268"/>
      <c r="T819" s="268"/>
      <c r="U819" s="268"/>
      <c r="V819" s="268"/>
      <c r="W819" s="268"/>
      <c r="X819" s="268"/>
      <c r="Y819" s="268"/>
      <c r="Z819" s="268"/>
    </row>
    <row r="820" customHeight="1" spans="1:26">
      <c r="A820" s="268"/>
      <c r="B820" s="268"/>
      <c r="C820" s="268"/>
      <c r="D820" s="268"/>
      <c r="E820" s="268"/>
      <c r="F820" s="268"/>
      <c r="G820" s="268"/>
      <c r="H820" s="268"/>
      <c r="I820" s="268"/>
      <c r="J820" s="268"/>
      <c r="K820" s="268"/>
      <c r="L820" s="268"/>
      <c r="M820" s="268"/>
      <c r="N820" s="268"/>
      <c r="O820" s="268"/>
      <c r="P820" s="268"/>
      <c r="Q820" s="268"/>
      <c r="R820" s="268"/>
      <c r="S820" s="268"/>
      <c r="T820" s="268"/>
      <c r="U820" s="268"/>
      <c r="V820" s="268"/>
      <c r="W820" s="268"/>
      <c r="X820" s="268"/>
      <c r="Y820" s="268"/>
      <c r="Z820" s="268"/>
    </row>
    <row r="821" customHeight="1" spans="1:26">
      <c r="A821" s="268"/>
      <c r="B821" s="268"/>
      <c r="C821" s="268"/>
      <c r="D821" s="268"/>
      <c r="E821" s="268"/>
      <c r="F821" s="268"/>
      <c r="G821" s="268"/>
      <c r="H821" s="268"/>
      <c r="I821" s="268"/>
      <c r="J821" s="268"/>
      <c r="K821" s="268"/>
      <c r="L821" s="268"/>
      <c r="M821" s="268"/>
      <c r="N821" s="268"/>
      <c r="O821" s="268"/>
      <c r="P821" s="268"/>
      <c r="Q821" s="268"/>
      <c r="R821" s="268"/>
      <c r="S821" s="268"/>
      <c r="T821" s="268"/>
      <c r="U821" s="268"/>
      <c r="V821" s="268"/>
      <c r="W821" s="268"/>
      <c r="X821" s="268"/>
      <c r="Y821" s="268"/>
      <c r="Z821" s="268"/>
    </row>
    <row r="822" customHeight="1" spans="1:26">
      <c r="A822" s="268"/>
      <c r="B822" s="268"/>
      <c r="C822" s="268"/>
      <c r="D822" s="268"/>
      <c r="E822" s="268"/>
      <c r="F822" s="268"/>
      <c r="G822" s="268"/>
      <c r="H822" s="268"/>
      <c r="I822" s="268"/>
      <c r="J822" s="268"/>
      <c r="K822" s="268"/>
      <c r="L822" s="268"/>
      <c r="M822" s="268"/>
      <c r="N822" s="268"/>
      <c r="O822" s="268"/>
      <c r="P822" s="268"/>
      <c r="Q822" s="268"/>
      <c r="R822" s="268"/>
      <c r="S822" s="268"/>
      <c r="T822" s="268"/>
      <c r="U822" s="268"/>
      <c r="V822" s="268"/>
      <c r="W822" s="268"/>
      <c r="X822" s="268"/>
      <c r="Y822" s="268"/>
      <c r="Z822" s="268"/>
    </row>
    <row r="823" customHeight="1" spans="1:26">
      <c r="A823" s="268"/>
      <c r="B823" s="268"/>
      <c r="C823" s="268"/>
      <c r="D823" s="268"/>
      <c r="E823" s="268"/>
      <c r="F823" s="268"/>
      <c r="G823" s="268"/>
      <c r="H823" s="268"/>
      <c r="I823" s="268"/>
      <c r="J823" s="268"/>
      <c r="K823" s="268"/>
      <c r="L823" s="268"/>
      <c r="M823" s="268"/>
      <c r="N823" s="268"/>
      <c r="O823" s="268"/>
      <c r="P823" s="268"/>
      <c r="Q823" s="268"/>
      <c r="R823" s="268"/>
      <c r="S823" s="268"/>
      <c r="T823" s="268"/>
      <c r="U823" s="268"/>
      <c r="V823" s="268"/>
      <c r="W823" s="268"/>
      <c r="X823" s="268"/>
      <c r="Y823" s="268"/>
      <c r="Z823" s="268"/>
    </row>
    <row r="824" customHeight="1" spans="1:26">
      <c r="A824" s="268"/>
      <c r="B824" s="268"/>
      <c r="C824" s="268"/>
      <c r="D824" s="268"/>
      <c r="E824" s="268"/>
      <c r="F824" s="268"/>
      <c r="G824" s="268"/>
      <c r="H824" s="268"/>
      <c r="I824" s="268"/>
      <c r="J824" s="268"/>
      <c r="K824" s="268"/>
      <c r="L824" s="268"/>
      <c r="M824" s="268"/>
      <c r="N824" s="268"/>
      <c r="O824" s="268"/>
      <c r="P824" s="268"/>
      <c r="Q824" s="268"/>
      <c r="R824" s="268"/>
      <c r="S824" s="268"/>
      <c r="T824" s="268"/>
      <c r="U824" s="268"/>
      <c r="V824" s="268"/>
      <c r="W824" s="268"/>
      <c r="X824" s="268"/>
      <c r="Y824" s="268"/>
      <c r="Z824" s="268"/>
    </row>
    <row r="825" customHeight="1" spans="1:26">
      <c r="A825" s="268"/>
      <c r="B825" s="268"/>
      <c r="C825" s="268"/>
      <c r="D825" s="268"/>
      <c r="E825" s="268"/>
      <c r="F825" s="268"/>
      <c r="G825" s="268"/>
      <c r="H825" s="268"/>
      <c r="I825" s="268"/>
      <c r="J825" s="268"/>
      <c r="K825" s="268"/>
      <c r="L825" s="268"/>
      <c r="M825" s="268"/>
      <c r="N825" s="268"/>
      <c r="O825" s="268"/>
      <c r="P825" s="268"/>
      <c r="Q825" s="268"/>
      <c r="R825" s="268"/>
      <c r="S825" s="268"/>
      <c r="T825" s="268"/>
      <c r="U825" s="268"/>
      <c r="V825" s="268"/>
      <c r="W825" s="268"/>
      <c r="X825" s="268"/>
      <c r="Y825" s="268"/>
      <c r="Z825" s="268"/>
    </row>
    <row r="826" customHeight="1" spans="1:26">
      <c r="A826" s="268"/>
      <c r="B826" s="268"/>
      <c r="C826" s="268"/>
      <c r="D826" s="268"/>
      <c r="E826" s="268"/>
      <c r="F826" s="268"/>
      <c r="G826" s="268"/>
      <c r="H826" s="268"/>
      <c r="I826" s="268"/>
      <c r="J826" s="268"/>
      <c r="K826" s="268"/>
      <c r="L826" s="268"/>
      <c r="M826" s="268"/>
      <c r="N826" s="268"/>
      <c r="O826" s="268"/>
      <c r="P826" s="268"/>
      <c r="Q826" s="268"/>
      <c r="R826" s="268"/>
      <c r="S826" s="268"/>
      <c r="T826" s="268"/>
      <c r="U826" s="268"/>
      <c r="V826" s="268"/>
      <c r="W826" s="268"/>
      <c r="X826" s="268"/>
      <c r="Y826" s="268"/>
      <c r="Z826" s="268"/>
    </row>
    <row r="827" customHeight="1" spans="1:26">
      <c r="A827" s="268"/>
      <c r="B827" s="268"/>
      <c r="C827" s="268"/>
      <c r="D827" s="268"/>
      <c r="E827" s="268"/>
      <c r="F827" s="268"/>
      <c r="G827" s="268"/>
      <c r="H827" s="268"/>
      <c r="I827" s="268"/>
      <c r="J827" s="268"/>
      <c r="K827" s="268"/>
      <c r="L827" s="268"/>
      <c r="M827" s="268"/>
      <c r="N827" s="268"/>
      <c r="O827" s="268"/>
      <c r="P827" s="268"/>
      <c r="Q827" s="268"/>
      <c r="R827" s="268"/>
      <c r="S827" s="268"/>
      <c r="T827" s="268"/>
      <c r="U827" s="268"/>
      <c r="V827" s="268"/>
      <c r="W827" s="268"/>
      <c r="X827" s="268"/>
      <c r="Y827" s="268"/>
      <c r="Z827" s="268"/>
    </row>
    <row r="828" customHeight="1" spans="1:26">
      <c r="A828" s="268"/>
      <c r="B828" s="268"/>
      <c r="C828" s="268"/>
      <c r="D828" s="268"/>
      <c r="E828" s="268"/>
      <c r="F828" s="268"/>
      <c r="G828" s="268"/>
      <c r="H828" s="268"/>
      <c r="I828" s="268"/>
      <c r="J828" s="268"/>
      <c r="K828" s="268"/>
      <c r="L828" s="268"/>
      <c r="M828" s="268"/>
      <c r="N828" s="268"/>
      <c r="O828" s="268"/>
      <c r="P828" s="268"/>
      <c r="Q828" s="268"/>
      <c r="R828" s="268"/>
      <c r="S828" s="268"/>
      <c r="T828" s="268"/>
      <c r="U828" s="268"/>
      <c r="V828" s="268"/>
      <c r="W828" s="268"/>
      <c r="X828" s="268"/>
      <c r="Y828" s="268"/>
      <c r="Z828" s="268"/>
    </row>
    <row r="829" customHeight="1" spans="1:26">
      <c r="A829" s="268"/>
      <c r="B829" s="268"/>
      <c r="C829" s="268"/>
      <c r="D829" s="268"/>
      <c r="E829" s="268"/>
      <c r="F829" s="268"/>
      <c r="G829" s="268"/>
      <c r="H829" s="268"/>
      <c r="I829" s="268"/>
      <c r="J829" s="268"/>
      <c r="K829" s="268"/>
      <c r="L829" s="268"/>
      <c r="M829" s="268"/>
      <c r="N829" s="268"/>
      <c r="O829" s="268"/>
      <c r="P829" s="268"/>
      <c r="Q829" s="268"/>
      <c r="R829" s="268"/>
      <c r="S829" s="268"/>
      <c r="T829" s="268"/>
      <c r="U829" s="268"/>
      <c r="V829" s="268"/>
      <c r="W829" s="268"/>
      <c r="X829" s="268"/>
      <c r="Y829" s="268"/>
      <c r="Z829" s="268"/>
    </row>
    <row r="830" customHeight="1" spans="1:26">
      <c r="A830" s="268"/>
      <c r="B830" s="268"/>
      <c r="C830" s="268"/>
      <c r="D830" s="268"/>
      <c r="E830" s="268"/>
      <c r="F830" s="268"/>
      <c r="G830" s="268"/>
      <c r="H830" s="268"/>
      <c r="I830" s="268"/>
      <c r="J830" s="268"/>
      <c r="K830" s="268"/>
      <c r="L830" s="268"/>
      <c r="M830" s="268"/>
      <c r="N830" s="268"/>
      <c r="O830" s="268"/>
      <c r="P830" s="268"/>
      <c r="Q830" s="268"/>
      <c r="R830" s="268"/>
      <c r="S830" s="268"/>
      <c r="T830" s="268"/>
      <c r="U830" s="268"/>
      <c r="V830" s="268"/>
      <c r="W830" s="268"/>
      <c r="X830" s="268"/>
      <c r="Y830" s="268"/>
      <c r="Z830" s="268"/>
    </row>
    <row r="831" customHeight="1" spans="1:26">
      <c r="A831" s="268"/>
      <c r="B831" s="268"/>
      <c r="C831" s="268"/>
      <c r="D831" s="268"/>
      <c r="E831" s="268"/>
      <c r="F831" s="268"/>
      <c r="G831" s="268"/>
      <c r="H831" s="268"/>
      <c r="I831" s="268"/>
      <c r="J831" s="268"/>
      <c r="K831" s="268"/>
      <c r="L831" s="268"/>
      <c r="M831" s="268"/>
      <c r="N831" s="268"/>
      <c r="O831" s="268"/>
      <c r="P831" s="268"/>
      <c r="Q831" s="268"/>
      <c r="R831" s="268"/>
      <c r="S831" s="268"/>
      <c r="T831" s="268"/>
      <c r="U831" s="268"/>
      <c r="V831" s="268"/>
      <c r="W831" s="268"/>
      <c r="X831" s="268"/>
      <c r="Y831" s="268"/>
      <c r="Z831" s="268"/>
    </row>
    <row r="832" customHeight="1" spans="1:26">
      <c r="A832" s="268"/>
      <c r="B832" s="268"/>
      <c r="C832" s="268"/>
      <c r="D832" s="268"/>
      <c r="E832" s="268"/>
      <c r="F832" s="268"/>
      <c r="G832" s="268"/>
      <c r="H832" s="268"/>
      <c r="I832" s="268"/>
      <c r="J832" s="268"/>
      <c r="K832" s="268"/>
      <c r="L832" s="268"/>
      <c r="M832" s="268"/>
      <c r="N832" s="268"/>
      <c r="O832" s="268"/>
      <c r="P832" s="268"/>
      <c r="Q832" s="268"/>
      <c r="R832" s="268"/>
      <c r="S832" s="268"/>
      <c r="T832" s="268"/>
      <c r="U832" s="268"/>
      <c r="V832" s="268"/>
      <c r="W832" s="268"/>
      <c r="X832" s="268"/>
      <c r="Y832" s="268"/>
      <c r="Z832" s="268"/>
    </row>
    <row r="833" customHeight="1" spans="1:26">
      <c r="A833" s="268"/>
      <c r="B833" s="268"/>
      <c r="C833" s="268"/>
      <c r="D833" s="268"/>
      <c r="E833" s="268"/>
      <c r="F833" s="268"/>
      <c r="G833" s="268"/>
      <c r="H833" s="268"/>
      <c r="I833" s="268"/>
      <c r="J833" s="268"/>
      <c r="K833" s="268"/>
      <c r="L833" s="268"/>
      <c r="M833" s="268"/>
      <c r="N833" s="268"/>
      <c r="O833" s="268"/>
      <c r="P833" s="268"/>
      <c r="Q833" s="268"/>
      <c r="R833" s="268"/>
      <c r="S833" s="268"/>
      <c r="T833" s="268"/>
      <c r="U833" s="268"/>
      <c r="V833" s="268"/>
      <c r="W833" s="268"/>
      <c r="X833" s="268"/>
      <c r="Y833" s="268"/>
      <c r="Z833" s="268"/>
    </row>
    <row r="834" customHeight="1" spans="1:26">
      <c r="A834" s="268"/>
      <c r="B834" s="268"/>
      <c r="C834" s="268"/>
      <c r="D834" s="268"/>
      <c r="E834" s="268"/>
      <c r="F834" s="268"/>
      <c r="G834" s="268"/>
      <c r="H834" s="268"/>
      <c r="I834" s="268"/>
      <c r="J834" s="268"/>
      <c r="K834" s="268"/>
      <c r="L834" s="268"/>
      <c r="M834" s="268"/>
      <c r="N834" s="268"/>
      <c r="O834" s="268"/>
      <c r="P834" s="268"/>
      <c r="Q834" s="268"/>
      <c r="R834" s="268"/>
      <c r="S834" s="268"/>
      <c r="T834" s="268"/>
      <c r="U834" s="268"/>
      <c r="V834" s="268"/>
      <c r="W834" s="268"/>
      <c r="X834" s="268"/>
      <c r="Y834" s="268"/>
      <c r="Z834" s="268"/>
    </row>
    <row r="835" customHeight="1" spans="1:26">
      <c r="A835" s="268"/>
      <c r="B835" s="268"/>
      <c r="C835" s="268"/>
      <c r="D835" s="268"/>
      <c r="E835" s="268"/>
      <c r="F835" s="268"/>
      <c r="G835" s="268"/>
      <c r="H835" s="268"/>
      <c r="I835" s="268"/>
      <c r="J835" s="268"/>
      <c r="K835" s="268"/>
      <c r="L835" s="268"/>
      <c r="M835" s="268"/>
      <c r="N835" s="268"/>
      <c r="O835" s="268"/>
      <c r="P835" s="268"/>
      <c r="Q835" s="268"/>
      <c r="R835" s="268"/>
      <c r="S835" s="268"/>
      <c r="T835" s="268"/>
      <c r="U835" s="268"/>
      <c r="V835" s="268"/>
      <c r="W835" s="268"/>
      <c r="X835" s="268"/>
      <c r="Y835" s="268"/>
      <c r="Z835" s="268"/>
    </row>
    <row r="836" customHeight="1" spans="1:26">
      <c r="A836" s="268"/>
      <c r="B836" s="268"/>
      <c r="C836" s="268"/>
      <c r="D836" s="268"/>
      <c r="E836" s="268"/>
      <c r="F836" s="268"/>
      <c r="G836" s="268"/>
      <c r="H836" s="268"/>
      <c r="I836" s="268"/>
      <c r="J836" s="268"/>
      <c r="K836" s="268"/>
      <c r="L836" s="268"/>
      <c r="M836" s="268"/>
      <c r="N836" s="268"/>
      <c r="O836" s="268"/>
      <c r="P836" s="268"/>
      <c r="Q836" s="268"/>
      <c r="R836" s="268"/>
      <c r="S836" s="268"/>
      <c r="T836" s="268"/>
      <c r="U836" s="268"/>
      <c r="V836" s="268"/>
      <c r="W836" s="268"/>
      <c r="X836" s="268"/>
      <c r="Y836" s="268"/>
      <c r="Z836" s="268"/>
    </row>
    <row r="837" customHeight="1" spans="1:26">
      <c r="A837" s="268"/>
      <c r="B837" s="268"/>
      <c r="C837" s="268"/>
      <c r="D837" s="268"/>
      <c r="E837" s="268"/>
      <c r="F837" s="268"/>
      <c r="G837" s="268"/>
      <c r="H837" s="268"/>
      <c r="I837" s="268"/>
      <c r="J837" s="268"/>
      <c r="K837" s="268"/>
      <c r="L837" s="268"/>
      <c r="M837" s="268"/>
      <c r="N837" s="268"/>
      <c r="O837" s="268"/>
      <c r="P837" s="268"/>
      <c r="Q837" s="268"/>
      <c r="R837" s="268"/>
      <c r="S837" s="268"/>
      <c r="T837" s="268"/>
      <c r="U837" s="268"/>
      <c r="V837" s="268"/>
      <c r="W837" s="268"/>
      <c r="X837" s="268"/>
      <c r="Y837" s="268"/>
      <c r="Z837" s="268"/>
    </row>
    <row r="838" customHeight="1" spans="1:26">
      <c r="A838" s="268"/>
      <c r="B838" s="268"/>
      <c r="C838" s="268"/>
      <c r="D838" s="268"/>
      <c r="E838" s="268"/>
      <c r="F838" s="268"/>
      <c r="G838" s="268"/>
      <c r="H838" s="268"/>
      <c r="I838" s="268"/>
      <c r="J838" s="268"/>
      <c r="K838" s="268"/>
      <c r="L838" s="268"/>
      <c r="M838" s="268"/>
      <c r="N838" s="268"/>
      <c r="O838" s="268"/>
      <c r="P838" s="268"/>
      <c r="Q838" s="268"/>
      <c r="R838" s="268"/>
      <c r="S838" s="268"/>
      <c r="T838" s="268"/>
      <c r="U838" s="268"/>
      <c r="V838" s="268"/>
      <c r="W838" s="268"/>
      <c r="X838" s="268"/>
      <c r="Y838" s="268"/>
      <c r="Z838" s="268"/>
    </row>
    <row r="839" customHeight="1" spans="1:26">
      <c r="A839" s="268"/>
      <c r="B839" s="268"/>
      <c r="C839" s="268"/>
      <c r="D839" s="268"/>
      <c r="E839" s="268"/>
      <c r="F839" s="268"/>
      <c r="G839" s="268"/>
      <c r="H839" s="268"/>
      <c r="I839" s="268"/>
      <c r="J839" s="268"/>
      <c r="K839" s="268"/>
      <c r="L839" s="268"/>
      <c r="M839" s="268"/>
      <c r="N839" s="268"/>
      <c r="O839" s="268"/>
      <c r="P839" s="268"/>
      <c r="Q839" s="268"/>
      <c r="R839" s="268"/>
      <c r="S839" s="268"/>
      <c r="T839" s="268"/>
      <c r="U839" s="268"/>
      <c r="V839" s="268"/>
      <c r="W839" s="268"/>
      <c r="X839" s="268"/>
      <c r="Y839" s="268"/>
      <c r="Z839" s="268"/>
    </row>
    <row r="840" customHeight="1" spans="1:26">
      <c r="A840" s="268"/>
      <c r="B840" s="268"/>
      <c r="C840" s="268"/>
      <c r="D840" s="268"/>
      <c r="E840" s="268"/>
      <c r="F840" s="268"/>
      <c r="G840" s="268"/>
      <c r="H840" s="268"/>
      <c r="I840" s="268"/>
      <c r="J840" s="268"/>
      <c r="K840" s="268"/>
      <c r="L840" s="268"/>
      <c r="M840" s="268"/>
      <c r="N840" s="268"/>
      <c r="O840" s="268"/>
      <c r="P840" s="268"/>
      <c r="Q840" s="268"/>
      <c r="R840" s="268"/>
      <c r="S840" s="268"/>
      <c r="T840" s="268"/>
      <c r="U840" s="268"/>
      <c r="V840" s="268"/>
      <c r="W840" s="268"/>
      <c r="X840" s="268"/>
      <c r="Y840" s="268"/>
      <c r="Z840" s="268"/>
    </row>
    <row r="841" customHeight="1" spans="1:26">
      <c r="A841" s="268"/>
      <c r="B841" s="268"/>
      <c r="C841" s="268"/>
      <c r="D841" s="268"/>
      <c r="E841" s="268"/>
      <c r="F841" s="268"/>
      <c r="G841" s="268"/>
      <c r="H841" s="268"/>
      <c r="I841" s="268"/>
      <c r="J841" s="268"/>
      <c r="K841" s="268"/>
      <c r="L841" s="268"/>
      <c r="M841" s="268"/>
      <c r="N841" s="268"/>
      <c r="O841" s="268"/>
      <c r="P841" s="268"/>
      <c r="Q841" s="268"/>
      <c r="R841" s="268"/>
      <c r="S841" s="268"/>
      <c r="T841" s="268"/>
      <c r="U841" s="268"/>
      <c r="V841" s="268"/>
      <c r="W841" s="268"/>
      <c r="X841" s="268"/>
      <c r="Y841" s="268"/>
      <c r="Z841" s="268"/>
    </row>
    <row r="842" customHeight="1" spans="1:26">
      <c r="A842" s="268"/>
      <c r="B842" s="268"/>
      <c r="C842" s="268"/>
      <c r="D842" s="268"/>
      <c r="E842" s="268"/>
      <c r="F842" s="268"/>
      <c r="G842" s="268"/>
      <c r="H842" s="268"/>
      <c r="I842" s="268"/>
      <c r="J842" s="268"/>
      <c r="K842" s="268"/>
      <c r="L842" s="268"/>
      <c r="M842" s="268"/>
      <c r="N842" s="268"/>
      <c r="O842" s="268"/>
      <c r="P842" s="268"/>
      <c r="Q842" s="268"/>
      <c r="R842" s="268"/>
      <c r="S842" s="268"/>
      <c r="T842" s="268"/>
      <c r="U842" s="268"/>
      <c r="V842" s="268"/>
      <c r="W842" s="268"/>
      <c r="X842" s="268"/>
      <c r="Y842" s="268"/>
      <c r="Z842" s="268"/>
    </row>
    <row r="843" customHeight="1" spans="1:26">
      <c r="A843" s="268"/>
      <c r="B843" s="268"/>
      <c r="C843" s="268"/>
      <c r="D843" s="268"/>
      <c r="E843" s="268"/>
      <c r="F843" s="268"/>
      <c r="G843" s="268"/>
      <c r="H843" s="268"/>
      <c r="I843" s="268"/>
      <c r="J843" s="268"/>
      <c r="K843" s="268"/>
      <c r="L843" s="268"/>
      <c r="M843" s="268"/>
      <c r="N843" s="268"/>
      <c r="O843" s="268"/>
      <c r="P843" s="268"/>
      <c r="Q843" s="268"/>
      <c r="R843" s="268"/>
      <c r="S843" s="268"/>
      <c r="T843" s="268"/>
      <c r="U843" s="268"/>
      <c r="V843" s="268"/>
      <c r="W843" s="268"/>
      <c r="X843" s="268"/>
      <c r="Y843" s="268"/>
      <c r="Z843" s="268"/>
    </row>
    <row r="844" customHeight="1" spans="1:26">
      <c r="A844" s="268"/>
      <c r="B844" s="268"/>
      <c r="C844" s="268"/>
      <c r="D844" s="268"/>
      <c r="E844" s="268"/>
      <c r="F844" s="268"/>
      <c r="G844" s="268"/>
      <c r="H844" s="268"/>
      <c r="I844" s="268"/>
      <c r="J844" s="268"/>
      <c r="K844" s="268"/>
      <c r="L844" s="268"/>
      <c r="M844" s="268"/>
      <c r="N844" s="268"/>
      <c r="O844" s="268"/>
      <c r="P844" s="268"/>
      <c r="Q844" s="268"/>
      <c r="R844" s="268"/>
      <c r="S844" s="268"/>
      <c r="T844" s="268"/>
      <c r="U844" s="268"/>
      <c r="V844" s="268"/>
      <c r="W844" s="268"/>
      <c r="X844" s="268"/>
      <c r="Y844" s="268"/>
      <c r="Z844" s="268"/>
    </row>
    <row r="845" customHeight="1" spans="1:26">
      <c r="A845" s="268"/>
      <c r="B845" s="268"/>
      <c r="C845" s="268"/>
      <c r="D845" s="268"/>
      <c r="E845" s="268"/>
      <c r="F845" s="268"/>
      <c r="G845" s="268"/>
      <c r="H845" s="268"/>
      <c r="I845" s="268"/>
      <c r="J845" s="268"/>
      <c r="K845" s="268"/>
      <c r="L845" s="268"/>
      <c r="M845" s="268"/>
      <c r="N845" s="268"/>
      <c r="O845" s="268"/>
      <c r="P845" s="268"/>
      <c r="Q845" s="268"/>
      <c r="R845" s="268"/>
      <c r="S845" s="268"/>
      <c r="T845" s="268"/>
      <c r="U845" s="268"/>
      <c r="V845" s="268"/>
      <c r="W845" s="268"/>
      <c r="X845" s="268"/>
      <c r="Y845" s="268"/>
      <c r="Z845" s="268"/>
    </row>
    <row r="846" customHeight="1" spans="1:26">
      <c r="A846" s="268"/>
      <c r="B846" s="268"/>
      <c r="C846" s="268"/>
      <c r="D846" s="268"/>
      <c r="E846" s="268"/>
      <c r="F846" s="268"/>
      <c r="G846" s="268"/>
      <c r="H846" s="268"/>
      <c r="I846" s="268"/>
      <c r="J846" s="268"/>
      <c r="K846" s="268"/>
      <c r="L846" s="268"/>
      <c r="M846" s="268"/>
      <c r="N846" s="268"/>
      <c r="O846" s="268"/>
      <c r="P846" s="268"/>
      <c r="Q846" s="268"/>
      <c r="R846" s="268"/>
      <c r="S846" s="268"/>
      <c r="T846" s="268"/>
      <c r="U846" s="268"/>
      <c r="V846" s="268"/>
      <c r="W846" s="268"/>
      <c r="X846" s="268"/>
      <c r="Y846" s="268"/>
      <c r="Z846" s="268"/>
    </row>
    <row r="847" customHeight="1" spans="1:26">
      <c r="A847" s="268"/>
      <c r="B847" s="268"/>
      <c r="C847" s="268"/>
      <c r="D847" s="268"/>
      <c r="E847" s="268"/>
      <c r="F847" s="268"/>
      <c r="G847" s="268"/>
      <c r="H847" s="268"/>
      <c r="I847" s="268"/>
      <c r="J847" s="268"/>
      <c r="K847" s="268"/>
      <c r="L847" s="268"/>
      <c r="M847" s="268"/>
      <c r="N847" s="268"/>
      <c r="O847" s="268"/>
      <c r="P847" s="268"/>
      <c r="Q847" s="268"/>
      <c r="R847" s="268"/>
      <c r="S847" s="268"/>
      <c r="T847" s="268"/>
      <c r="U847" s="268"/>
      <c r="V847" s="268"/>
      <c r="W847" s="268"/>
      <c r="X847" s="268"/>
      <c r="Y847" s="268"/>
      <c r="Z847" s="268"/>
    </row>
    <row r="848" customHeight="1" spans="1:26">
      <c r="A848" s="268"/>
      <c r="B848" s="268"/>
      <c r="C848" s="268"/>
      <c r="D848" s="268"/>
      <c r="E848" s="268"/>
      <c r="F848" s="268"/>
      <c r="G848" s="268"/>
      <c r="H848" s="268"/>
      <c r="I848" s="268"/>
      <c r="J848" s="268"/>
      <c r="K848" s="268"/>
      <c r="L848" s="268"/>
      <c r="M848" s="268"/>
      <c r="N848" s="268"/>
      <c r="O848" s="268"/>
      <c r="P848" s="268"/>
      <c r="Q848" s="268"/>
      <c r="R848" s="268"/>
      <c r="S848" s="268"/>
      <c r="T848" s="268"/>
      <c r="U848" s="268"/>
      <c r="V848" s="268"/>
      <c r="W848" s="268"/>
      <c r="X848" s="268"/>
      <c r="Y848" s="268"/>
      <c r="Z848" s="268"/>
    </row>
    <row r="849" customHeight="1" spans="1:26">
      <c r="A849" s="268"/>
      <c r="B849" s="268"/>
      <c r="C849" s="268"/>
      <c r="D849" s="268"/>
      <c r="E849" s="268"/>
      <c r="F849" s="268"/>
      <c r="G849" s="268"/>
      <c r="H849" s="268"/>
      <c r="I849" s="268"/>
      <c r="J849" s="268"/>
      <c r="K849" s="268"/>
      <c r="L849" s="268"/>
      <c r="M849" s="268"/>
      <c r="N849" s="268"/>
      <c r="O849" s="268"/>
      <c r="P849" s="268"/>
      <c r="Q849" s="268"/>
      <c r="R849" s="268"/>
      <c r="S849" s="268"/>
      <c r="T849" s="268"/>
      <c r="U849" s="268"/>
      <c r="V849" s="268"/>
      <c r="W849" s="268"/>
      <c r="X849" s="268"/>
      <c r="Y849" s="268"/>
      <c r="Z849" s="268"/>
    </row>
    <row r="850" customHeight="1" spans="1:26">
      <c r="A850" s="268"/>
      <c r="B850" s="268"/>
      <c r="C850" s="268"/>
      <c r="D850" s="268"/>
      <c r="E850" s="268"/>
      <c r="F850" s="268"/>
      <c r="G850" s="268"/>
      <c r="H850" s="268"/>
      <c r="I850" s="268"/>
      <c r="J850" s="268"/>
      <c r="K850" s="268"/>
      <c r="L850" s="268"/>
      <c r="M850" s="268"/>
      <c r="N850" s="268"/>
      <c r="O850" s="268"/>
      <c r="P850" s="268"/>
      <c r="Q850" s="268"/>
      <c r="R850" s="268"/>
      <c r="S850" s="268"/>
      <c r="T850" s="268"/>
      <c r="U850" s="268"/>
      <c r="V850" s="268"/>
      <c r="W850" s="268"/>
      <c r="X850" s="268"/>
      <c r="Y850" s="268"/>
      <c r="Z850" s="268"/>
    </row>
    <row r="851" customHeight="1" spans="1:26">
      <c r="A851" s="268"/>
      <c r="B851" s="268"/>
      <c r="C851" s="268"/>
      <c r="D851" s="268"/>
      <c r="E851" s="268"/>
      <c r="F851" s="268"/>
      <c r="G851" s="268"/>
      <c r="H851" s="268"/>
      <c r="I851" s="268"/>
      <c r="J851" s="268"/>
      <c r="K851" s="268"/>
      <c r="L851" s="268"/>
      <c r="M851" s="268"/>
      <c r="N851" s="268"/>
      <c r="O851" s="268"/>
      <c r="P851" s="268"/>
      <c r="Q851" s="268"/>
      <c r="R851" s="268"/>
      <c r="S851" s="268"/>
      <c r="T851" s="268"/>
      <c r="U851" s="268"/>
      <c r="V851" s="268"/>
      <c r="W851" s="268"/>
      <c r="X851" s="268"/>
      <c r="Y851" s="268"/>
      <c r="Z851" s="268"/>
    </row>
    <row r="852" customHeight="1" spans="1:26">
      <c r="A852" s="268"/>
      <c r="B852" s="268"/>
      <c r="C852" s="268"/>
      <c r="D852" s="268"/>
      <c r="E852" s="268"/>
      <c r="F852" s="268"/>
      <c r="G852" s="268"/>
      <c r="H852" s="268"/>
      <c r="I852" s="268"/>
      <c r="J852" s="268"/>
      <c r="K852" s="268"/>
      <c r="L852" s="268"/>
      <c r="M852" s="268"/>
      <c r="N852" s="268"/>
      <c r="O852" s="268"/>
      <c r="P852" s="268"/>
      <c r="Q852" s="268"/>
      <c r="R852" s="268"/>
      <c r="S852" s="268"/>
      <c r="T852" s="268"/>
      <c r="U852" s="268"/>
      <c r="V852" s="268"/>
      <c r="W852" s="268"/>
      <c r="X852" s="268"/>
      <c r="Y852" s="268"/>
      <c r="Z852" s="268"/>
    </row>
    <row r="853" customHeight="1" spans="1:26">
      <c r="A853" s="268"/>
      <c r="B853" s="268"/>
      <c r="C853" s="268"/>
      <c r="D853" s="268"/>
      <c r="E853" s="268"/>
      <c r="F853" s="268"/>
      <c r="G853" s="268"/>
      <c r="H853" s="268"/>
      <c r="I853" s="268"/>
      <c r="J853" s="268"/>
      <c r="K853" s="268"/>
      <c r="L853" s="268"/>
      <c r="M853" s="268"/>
      <c r="N853" s="268"/>
      <c r="O853" s="268"/>
      <c r="P853" s="268"/>
      <c r="Q853" s="268"/>
      <c r="R853" s="268"/>
      <c r="S853" s="268"/>
      <c r="T853" s="268"/>
      <c r="U853" s="268"/>
      <c r="V853" s="268"/>
      <c r="W853" s="268"/>
      <c r="X853" s="268"/>
      <c r="Y853" s="268"/>
      <c r="Z853" s="268"/>
    </row>
    <row r="854" customHeight="1" spans="1:26">
      <c r="A854" s="268"/>
      <c r="B854" s="268"/>
      <c r="C854" s="268"/>
      <c r="D854" s="268"/>
      <c r="E854" s="268"/>
      <c r="F854" s="268"/>
      <c r="G854" s="268"/>
      <c r="H854" s="268"/>
      <c r="I854" s="268"/>
      <c r="J854" s="268"/>
      <c r="K854" s="268"/>
      <c r="L854" s="268"/>
      <c r="M854" s="268"/>
      <c r="N854" s="268"/>
      <c r="O854" s="268"/>
      <c r="P854" s="268"/>
      <c r="Q854" s="268"/>
      <c r="R854" s="268"/>
      <c r="S854" s="268"/>
      <c r="T854" s="268"/>
      <c r="U854" s="268"/>
      <c r="V854" s="268"/>
      <c r="W854" s="268"/>
      <c r="X854" s="268"/>
      <c r="Y854" s="268"/>
      <c r="Z854" s="268"/>
    </row>
    <row r="855" customHeight="1" spans="1:26">
      <c r="A855" s="268"/>
      <c r="B855" s="268"/>
      <c r="C855" s="268"/>
      <c r="D855" s="268"/>
      <c r="E855" s="268"/>
      <c r="F855" s="268"/>
      <c r="G855" s="268"/>
      <c r="H855" s="268"/>
      <c r="I855" s="268"/>
      <c r="J855" s="268"/>
      <c r="K855" s="268"/>
      <c r="L855" s="268"/>
      <c r="M855" s="268"/>
      <c r="N855" s="268"/>
      <c r="O855" s="268"/>
      <c r="P855" s="268"/>
      <c r="Q855" s="268"/>
      <c r="R855" s="268"/>
      <c r="S855" s="268"/>
      <c r="T855" s="268"/>
      <c r="U855" s="268"/>
      <c r="V855" s="268"/>
      <c r="W855" s="268"/>
      <c r="X855" s="268"/>
      <c r="Y855" s="268"/>
      <c r="Z855" s="268"/>
    </row>
    <row r="856" customHeight="1" spans="1:26">
      <c r="A856" s="268"/>
      <c r="B856" s="268"/>
      <c r="C856" s="268"/>
      <c r="D856" s="268"/>
      <c r="E856" s="268"/>
      <c r="F856" s="268"/>
      <c r="G856" s="268"/>
      <c r="H856" s="268"/>
      <c r="I856" s="268"/>
      <c r="J856" s="268"/>
      <c r="K856" s="268"/>
      <c r="L856" s="268"/>
      <c r="M856" s="268"/>
      <c r="N856" s="268"/>
      <c r="O856" s="268"/>
      <c r="P856" s="268"/>
      <c r="Q856" s="268"/>
      <c r="R856" s="268"/>
      <c r="S856" s="268"/>
      <c r="T856" s="268"/>
      <c r="U856" s="268"/>
      <c r="V856" s="268"/>
      <c r="W856" s="268"/>
      <c r="X856" s="268"/>
      <c r="Y856" s="268"/>
      <c r="Z856" s="268"/>
    </row>
    <row r="857" customHeight="1" spans="1:26">
      <c r="A857" s="268"/>
      <c r="B857" s="268"/>
      <c r="C857" s="268"/>
      <c r="D857" s="268"/>
      <c r="E857" s="268"/>
      <c r="F857" s="268"/>
      <c r="G857" s="268"/>
      <c r="H857" s="268"/>
      <c r="I857" s="268"/>
      <c r="J857" s="268"/>
      <c r="K857" s="268"/>
      <c r="L857" s="268"/>
      <c r="M857" s="268"/>
      <c r="N857" s="268"/>
      <c r="O857" s="268"/>
      <c r="P857" s="268"/>
      <c r="Q857" s="268"/>
      <c r="R857" s="268"/>
      <c r="S857" s="268"/>
      <c r="T857" s="268"/>
      <c r="U857" s="268"/>
      <c r="V857" s="268"/>
      <c r="W857" s="268"/>
      <c r="X857" s="268"/>
      <c r="Y857" s="268"/>
      <c r="Z857" s="268"/>
    </row>
    <row r="858" customHeight="1" spans="1:26">
      <c r="A858" s="268"/>
      <c r="B858" s="268"/>
      <c r="C858" s="268"/>
      <c r="D858" s="268"/>
      <c r="E858" s="268"/>
      <c r="F858" s="268"/>
      <c r="G858" s="268"/>
      <c r="H858" s="268"/>
      <c r="I858" s="268"/>
      <c r="J858" s="268"/>
      <c r="K858" s="268"/>
      <c r="L858" s="268"/>
      <c r="M858" s="268"/>
      <c r="N858" s="268"/>
      <c r="O858" s="268"/>
      <c r="P858" s="268"/>
      <c r="Q858" s="268"/>
      <c r="R858" s="268"/>
      <c r="S858" s="268"/>
      <c r="T858" s="268"/>
      <c r="U858" s="268"/>
      <c r="V858" s="268"/>
      <c r="W858" s="268"/>
      <c r="X858" s="268"/>
      <c r="Y858" s="268"/>
      <c r="Z858" s="268"/>
    </row>
    <row r="859" customHeight="1" spans="1:26">
      <c r="A859" s="268"/>
      <c r="B859" s="268"/>
      <c r="C859" s="268"/>
      <c r="D859" s="268"/>
      <c r="E859" s="268"/>
      <c r="F859" s="268"/>
      <c r="G859" s="268"/>
      <c r="H859" s="268"/>
      <c r="I859" s="268"/>
      <c r="J859" s="268"/>
      <c r="K859" s="268"/>
      <c r="L859" s="268"/>
      <c r="M859" s="268"/>
      <c r="N859" s="268"/>
      <c r="O859" s="268"/>
      <c r="P859" s="268"/>
      <c r="Q859" s="268"/>
      <c r="R859" s="268"/>
      <c r="S859" s="268"/>
      <c r="T859" s="268"/>
      <c r="U859" s="268"/>
      <c r="V859" s="268"/>
      <c r="W859" s="268"/>
      <c r="X859" s="268"/>
      <c r="Y859" s="268"/>
      <c r="Z859" s="268"/>
    </row>
    <row r="860" customHeight="1" spans="1:26">
      <c r="A860" s="268"/>
      <c r="B860" s="268"/>
      <c r="C860" s="268"/>
      <c r="D860" s="268"/>
      <c r="E860" s="268"/>
      <c r="F860" s="268"/>
      <c r="G860" s="268"/>
      <c r="H860" s="268"/>
      <c r="I860" s="268"/>
      <c r="J860" s="268"/>
      <c r="K860" s="268"/>
      <c r="L860" s="268"/>
      <c r="M860" s="268"/>
      <c r="N860" s="268"/>
      <c r="O860" s="268"/>
      <c r="P860" s="268"/>
      <c r="Q860" s="268"/>
      <c r="R860" s="268"/>
      <c r="S860" s="268"/>
      <c r="T860" s="268"/>
      <c r="U860" s="268"/>
      <c r="V860" s="268"/>
      <c r="W860" s="268"/>
      <c r="X860" s="268"/>
      <c r="Y860" s="268"/>
      <c r="Z860" s="268"/>
    </row>
    <row r="861" customHeight="1" spans="1:26">
      <c r="A861" s="268"/>
      <c r="B861" s="268"/>
      <c r="C861" s="268"/>
      <c r="D861" s="268"/>
      <c r="E861" s="268"/>
      <c r="F861" s="268"/>
      <c r="G861" s="268"/>
      <c r="H861" s="268"/>
      <c r="I861" s="268"/>
      <c r="J861" s="268"/>
      <c r="K861" s="268"/>
      <c r="L861" s="268"/>
      <c r="M861" s="268"/>
      <c r="N861" s="268"/>
      <c r="O861" s="268"/>
      <c r="P861" s="268"/>
      <c r="Q861" s="268"/>
      <c r="R861" s="268"/>
      <c r="S861" s="268"/>
      <c r="T861" s="268"/>
      <c r="U861" s="268"/>
      <c r="V861" s="268"/>
      <c r="W861" s="268"/>
      <c r="X861" s="268"/>
      <c r="Y861" s="268"/>
      <c r="Z861" s="268"/>
    </row>
    <row r="862" customHeight="1" spans="1:26">
      <c r="A862" s="268"/>
      <c r="B862" s="268"/>
      <c r="C862" s="268"/>
      <c r="D862" s="268"/>
      <c r="E862" s="268"/>
      <c r="F862" s="268"/>
      <c r="G862" s="268"/>
      <c r="H862" s="268"/>
      <c r="I862" s="268"/>
      <c r="J862" s="268"/>
      <c r="K862" s="268"/>
      <c r="L862" s="268"/>
      <c r="M862" s="268"/>
      <c r="N862" s="268"/>
      <c r="O862" s="268"/>
      <c r="P862" s="268"/>
      <c r="Q862" s="268"/>
      <c r="R862" s="268"/>
      <c r="S862" s="268"/>
      <c r="T862" s="268"/>
      <c r="U862" s="268"/>
      <c r="V862" s="268"/>
      <c r="W862" s="268"/>
      <c r="X862" s="268"/>
      <c r="Y862" s="268"/>
      <c r="Z862" s="268"/>
    </row>
    <row r="863" customHeight="1" spans="1:26">
      <c r="A863" s="268"/>
      <c r="B863" s="268"/>
      <c r="C863" s="268"/>
      <c r="D863" s="268"/>
      <c r="E863" s="268"/>
      <c r="F863" s="268"/>
      <c r="G863" s="268"/>
      <c r="H863" s="268"/>
      <c r="I863" s="268"/>
      <c r="J863" s="268"/>
      <c r="K863" s="268"/>
      <c r="L863" s="268"/>
      <c r="M863" s="268"/>
      <c r="N863" s="268"/>
      <c r="O863" s="268"/>
      <c r="P863" s="268"/>
      <c r="Q863" s="268"/>
      <c r="R863" s="268"/>
      <c r="S863" s="268"/>
      <c r="T863" s="268"/>
      <c r="U863" s="268"/>
      <c r="V863" s="268"/>
      <c r="W863" s="268"/>
      <c r="X863" s="268"/>
      <c r="Y863" s="268"/>
      <c r="Z863" s="268"/>
    </row>
    <row r="864" customHeight="1" spans="1:26">
      <c r="A864" s="268"/>
      <c r="B864" s="268"/>
      <c r="C864" s="268"/>
      <c r="D864" s="268"/>
      <c r="E864" s="268"/>
      <c r="F864" s="268"/>
      <c r="G864" s="268"/>
      <c r="H864" s="268"/>
      <c r="I864" s="268"/>
      <c r="J864" s="268"/>
      <c r="K864" s="268"/>
      <c r="L864" s="268"/>
      <c r="M864" s="268"/>
      <c r="N864" s="268"/>
      <c r="O864" s="268"/>
      <c r="P864" s="268"/>
      <c r="Q864" s="268"/>
      <c r="R864" s="268"/>
      <c r="S864" s="268"/>
      <c r="T864" s="268"/>
      <c r="U864" s="268"/>
      <c r="V864" s="268"/>
      <c r="W864" s="268"/>
      <c r="X864" s="268"/>
      <c r="Y864" s="268"/>
      <c r="Z864" s="268"/>
    </row>
    <row r="865" customHeight="1" spans="1:26">
      <c r="A865" s="268"/>
      <c r="B865" s="268"/>
      <c r="C865" s="268"/>
      <c r="D865" s="268"/>
      <c r="E865" s="268"/>
      <c r="F865" s="268"/>
      <c r="G865" s="268"/>
      <c r="H865" s="268"/>
      <c r="I865" s="268"/>
      <c r="J865" s="268"/>
      <c r="K865" s="268"/>
      <c r="L865" s="268"/>
      <c r="M865" s="268"/>
      <c r="N865" s="268"/>
      <c r="O865" s="268"/>
      <c r="P865" s="268"/>
      <c r="Q865" s="268"/>
      <c r="R865" s="268"/>
      <c r="S865" s="268"/>
      <c r="T865" s="268"/>
      <c r="U865" s="268"/>
      <c r="V865" s="268"/>
      <c r="W865" s="268"/>
      <c r="X865" s="268"/>
      <c r="Y865" s="268"/>
      <c r="Z865" s="268"/>
    </row>
    <row r="866" customHeight="1" spans="1:26">
      <c r="A866" s="268"/>
      <c r="B866" s="268"/>
      <c r="C866" s="268"/>
      <c r="D866" s="268"/>
      <c r="E866" s="268"/>
      <c r="F866" s="268"/>
      <c r="G866" s="268"/>
      <c r="H866" s="268"/>
      <c r="I866" s="268"/>
      <c r="J866" s="268"/>
      <c r="K866" s="268"/>
      <c r="L866" s="268"/>
      <c r="M866" s="268"/>
      <c r="N866" s="268"/>
      <c r="O866" s="268"/>
      <c r="P866" s="268"/>
      <c r="Q866" s="268"/>
      <c r="R866" s="268"/>
      <c r="S866" s="268"/>
      <c r="T866" s="268"/>
      <c r="U866" s="268"/>
      <c r="V866" s="268"/>
      <c r="W866" s="268"/>
      <c r="X866" s="268"/>
      <c r="Y866" s="268"/>
      <c r="Z866" s="268"/>
    </row>
    <row r="867" customHeight="1" spans="1:26">
      <c r="A867" s="268"/>
      <c r="B867" s="268"/>
      <c r="C867" s="268"/>
      <c r="D867" s="268"/>
      <c r="E867" s="268"/>
      <c r="F867" s="268"/>
      <c r="G867" s="268"/>
      <c r="H867" s="268"/>
      <c r="I867" s="268"/>
      <c r="J867" s="268"/>
      <c r="K867" s="268"/>
      <c r="L867" s="268"/>
      <c r="M867" s="268"/>
      <c r="N867" s="268"/>
      <c r="O867" s="268"/>
      <c r="P867" s="268"/>
      <c r="Q867" s="268"/>
      <c r="R867" s="268"/>
      <c r="S867" s="268"/>
      <c r="T867" s="268"/>
      <c r="U867" s="268"/>
      <c r="V867" s="268"/>
      <c r="W867" s="268"/>
      <c r="X867" s="268"/>
      <c r="Y867" s="268"/>
      <c r="Z867" s="268"/>
    </row>
    <row r="868" customHeight="1" spans="1:26">
      <c r="A868" s="268"/>
      <c r="B868" s="268"/>
      <c r="C868" s="268"/>
      <c r="D868" s="268"/>
      <c r="E868" s="268"/>
      <c r="F868" s="268"/>
      <c r="G868" s="268"/>
      <c r="H868" s="268"/>
      <c r="I868" s="268"/>
      <c r="J868" s="268"/>
      <c r="K868" s="268"/>
      <c r="L868" s="268"/>
      <c r="M868" s="268"/>
      <c r="N868" s="268"/>
      <c r="O868" s="268"/>
      <c r="P868" s="268"/>
      <c r="Q868" s="268"/>
      <c r="R868" s="268"/>
      <c r="S868" s="268"/>
      <c r="T868" s="268"/>
      <c r="U868" s="268"/>
      <c r="V868" s="268"/>
      <c r="W868" s="268"/>
      <c r="X868" s="268"/>
      <c r="Y868" s="268"/>
      <c r="Z868" s="268"/>
    </row>
    <row r="869" customHeight="1" spans="1:26">
      <c r="A869" s="268"/>
      <c r="B869" s="268"/>
      <c r="C869" s="268"/>
      <c r="D869" s="268"/>
      <c r="E869" s="268"/>
      <c r="F869" s="268"/>
      <c r="G869" s="268"/>
      <c r="H869" s="268"/>
      <c r="I869" s="268"/>
      <c r="J869" s="268"/>
      <c r="K869" s="268"/>
      <c r="L869" s="268"/>
      <c r="M869" s="268"/>
      <c r="N869" s="268"/>
      <c r="O869" s="268"/>
      <c r="P869" s="268"/>
      <c r="Q869" s="268"/>
      <c r="R869" s="268"/>
      <c r="S869" s="268"/>
      <c r="T869" s="268"/>
      <c r="U869" s="268"/>
      <c r="V869" s="268"/>
      <c r="W869" s="268"/>
      <c r="X869" s="268"/>
      <c r="Y869" s="268"/>
      <c r="Z869" s="268"/>
    </row>
    <row r="870" customHeight="1" spans="1:26">
      <c r="A870" s="268"/>
      <c r="B870" s="268"/>
      <c r="C870" s="268"/>
      <c r="D870" s="268"/>
      <c r="E870" s="268"/>
      <c r="F870" s="268"/>
      <c r="G870" s="268"/>
      <c r="H870" s="268"/>
      <c r="I870" s="268"/>
      <c r="J870" s="268"/>
      <c r="K870" s="268"/>
      <c r="L870" s="268"/>
      <c r="M870" s="268"/>
      <c r="N870" s="268"/>
      <c r="O870" s="268"/>
      <c r="P870" s="268"/>
      <c r="Q870" s="268"/>
      <c r="R870" s="268"/>
      <c r="S870" s="268"/>
      <c r="T870" s="268"/>
      <c r="U870" s="268"/>
      <c r="V870" s="268"/>
      <c r="W870" s="268"/>
      <c r="X870" s="268"/>
      <c r="Y870" s="268"/>
      <c r="Z870" s="268"/>
    </row>
    <row r="871" customHeight="1" spans="1:26">
      <c r="A871" s="268"/>
      <c r="B871" s="268"/>
      <c r="C871" s="268"/>
      <c r="D871" s="268"/>
      <c r="E871" s="268"/>
      <c r="F871" s="268"/>
      <c r="G871" s="268"/>
      <c r="H871" s="268"/>
      <c r="I871" s="268"/>
      <c r="J871" s="268"/>
      <c r="K871" s="268"/>
      <c r="L871" s="268"/>
      <c r="M871" s="268"/>
      <c r="N871" s="268"/>
      <c r="O871" s="268"/>
      <c r="P871" s="268"/>
      <c r="Q871" s="268"/>
      <c r="R871" s="268"/>
      <c r="S871" s="268"/>
      <c r="T871" s="268"/>
      <c r="U871" s="268"/>
      <c r="V871" s="268"/>
      <c r="W871" s="268"/>
      <c r="X871" s="268"/>
      <c r="Y871" s="268"/>
      <c r="Z871" s="268"/>
    </row>
    <row r="872" customHeight="1" spans="1:26">
      <c r="A872" s="268"/>
      <c r="B872" s="268"/>
      <c r="C872" s="268"/>
      <c r="D872" s="268"/>
      <c r="E872" s="268"/>
      <c r="F872" s="268"/>
      <c r="G872" s="268"/>
      <c r="H872" s="268"/>
      <c r="I872" s="268"/>
      <c r="J872" s="268"/>
      <c r="K872" s="268"/>
      <c r="L872" s="268"/>
      <c r="M872" s="268"/>
      <c r="N872" s="268"/>
      <c r="O872" s="268"/>
      <c r="P872" s="268"/>
      <c r="Q872" s="268"/>
      <c r="R872" s="268"/>
      <c r="S872" s="268"/>
      <c r="T872" s="268"/>
      <c r="U872" s="268"/>
      <c r="V872" s="268"/>
      <c r="W872" s="268"/>
      <c r="X872" s="268"/>
      <c r="Y872" s="268"/>
      <c r="Z872" s="268"/>
    </row>
    <row r="873" customHeight="1" spans="1:26">
      <c r="A873" s="268"/>
      <c r="B873" s="268"/>
      <c r="C873" s="268"/>
      <c r="D873" s="268"/>
      <c r="E873" s="268"/>
      <c r="F873" s="268"/>
      <c r="G873" s="268"/>
      <c r="H873" s="268"/>
      <c r="I873" s="268"/>
      <c r="J873" s="268"/>
      <c r="K873" s="268"/>
      <c r="L873" s="268"/>
      <c r="M873" s="268"/>
      <c r="N873" s="268"/>
      <c r="O873" s="268"/>
      <c r="P873" s="268"/>
      <c r="Q873" s="268"/>
      <c r="R873" s="268"/>
      <c r="S873" s="268"/>
      <c r="T873" s="268"/>
      <c r="U873" s="268"/>
      <c r="V873" s="268"/>
      <c r="W873" s="268"/>
      <c r="X873" s="268"/>
      <c r="Y873" s="268"/>
      <c r="Z873" s="268"/>
    </row>
    <row r="874" customHeight="1" spans="1:26">
      <c r="A874" s="268"/>
      <c r="B874" s="268"/>
      <c r="C874" s="268"/>
      <c r="D874" s="268"/>
      <c r="E874" s="268"/>
      <c r="F874" s="268"/>
      <c r="G874" s="268"/>
      <c r="H874" s="268"/>
      <c r="I874" s="268"/>
      <c r="J874" s="268"/>
      <c r="K874" s="268"/>
      <c r="L874" s="268"/>
      <c r="M874" s="268"/>
      <c r="N874" s="268"/>
      <c r="O874" s="268"/>
      <c r="P874" s="268"/>
      <c r="Q874" s="268"/>
      <c r="R874" s="268"/>
      <c r="S874" s="268"/>
      <c r="T874" s="268"/>
      <c r="U874" s="268"/>
      <c r="V874" s="268"/>
      <c r="W874" s="268"/>
      <c r="X874" s="268"/>
      <c r="Y874" s="268"/>
      <c r="Z874" s="268"/>
    </row>
    <row r="875" customHeight="1" spans="1:26">
      <c r="A875" s="268"/>
      <c r="B875" s="268"/>
      <c r="C875" s="268"/>
      <c r="D875" s="268"/>
      <c r="E875" s="268"/>
      <c r="F875" s="268"/>
      <c r="G875" s="268"/>
      <c r="H875" s="268"/>
      <c r="I875" s="268"/>
      <c r="J875" s="268"/>
      <c r="K875" s="268"/>
      <c r="L875" s="268"/>
      <c r="M875" s="268"/>
      <c r="N875" s="268"/>
      <c r="O875" s="268"/>
      <c r="P875" s="268"/>
      <c r="Q875" s="268"/>
      <c r="R875" s="268"/>
      <c r="S875" s="268"/>
      <c r="T875" s="268"/>
      <c r="U875" s="268"/>
      <c r="V875" s="268"/>
      <c r="W875" s="268"/>
      <c r="X875" s="268"/>
      <c r="Y875" s="268"/>
      <c r="Z875" s="268"/>
    </row>
    <row r="876" customHeight="1" spans="1:26">
      <c r="A876" s="268"/>
      <c r="B876" s="268"/>
      <c r="C876" s="268"/>
      <c r="D876" s="268"/>
      <c r="E876" s="268"/>
      <c r="F876" s="268"/>
      <c r="G876" s="268"/>
      <c r="H876" s="268"/>
      <c r="I876" s="268"/>
      <c r="J876" s="268"/>
      <c r="K876" s="268"/>
      <c r="L876" s="268"/>
      <c r="M876" s="268"/>
      <c r="N876" s="268"/>
      <c r="O876" s="268"/>
      <c r="P876" s="268"/>
      <c r="Q876" s="268"/>
      <c r="R876" s="268"/>
      <c r="S876" s="268"/>
      <c r="T876" s="268"/>
      <c r="U876" s="268"/>
      <c r="V876" s="268"/>
      <c r="W876" s="268"/>
      <c r="X876" s="268"/>
      <c r="Y876" s="268"/>
      <c r="Z876" s="268"/>
    </row>
    <row r="877" customHeight="1" spans="1:26">
      <c r="A877" s="268"/>
      <c r="B877" s="268"/>
      <c r="C877" s="268"/>
      <c r="D877" s="268"/>
      <c r="E877" s="268"/>
      <c r="F877" s="268"/>
      <c r="G877" s="268"/>
      <c r="H877" s="268"/>
      <c r="I877" s="268"/>
      <c r="J877" s="268"/>
      <c r="K877" s="268"/>
      <c r="L877" s="268"/>
      <c r="M877" s="268"/>
      <c r="N877" s="268"/>
      <c r="O877" s="268"/>
      <c r="P877" s="268"/>
      <c r="Q877" s="268"/>
      <c r="R877" s="268"/>
      <c r="S877" s="268"/>
      <c r="T877" s="268"/>
      <c r="U877" s="268"/>
      <c r="V877" s="268"/>
      <c r="W877" s="268"/>
      <c r="X877" s="268"/>
      <c r="Y877" s="268"/>
      <c r="Z877" s="268"/>
    </row>
    <row r="878" customHeight="1" spans="1:26">
      <c r="A878" s="268"/>
      <c r="B878" s="268"/>
      <c r="C878" s="268"/>
      <c r="D878" s="268"/>
      <c r="E878" s="268"/>
      <c r="F878" s="268"/>
      <c r="G878" s="268"/>
      <c r="H878" s="268"/>
      <c r="I878" s="268"/>
      <c r="J878" s="268"/>
      <c r="K878" s="268"/>
      <c r="L878" s="268"/>
      <c r="M878" s="268"/>
      <c r="N878" s="268"/>
      <c r="O878" s="268"/>
      <c r="P878" s="268"/>
      <c r="Q878" s="268"/>
      <c r="R878" s="268"/>
      <c r="S878" s="268"/>
      <c r="T878" s="268"/>
      <c r="U878" s="268"/>
      <c r="V878" s="268"/>
      <c r="W878" s="268"/>
      <c r="X878" s="268"/>
      <c r="Y878" s="268"/>
      <c r="Z878" s="268"/>
    </row>
    <row r="879" customHeight="1" spans="1:26">
      <c r="A879" s="268"/>
      <c r="B879" s="268"/>
      <c r="C879" s="268"/>
      <c r="D879" s="268"/>
      <c r="E879" s="268"/>
      <c r="F879" s="268"/>
      <c r="G879" s="268"/>
      <c r="H879" s="268"/>
      <c r="I879" s="268"/>
      <c r="J879" s="268"/>
      <c r="K879" s="268"/>
      <c r="L879" s="268"/>
      <c r="M879" s="268"/>
      <c r="N879" s="268"/>
      <c r="O879" s="268"/>
      <c r="P879" s="268"/>
      <c r="Q879" s="268"/>
      <c r="R879" s="268"/>
      <c r="S879" s="268"/>
      <c r="T879" s="268"/>
      <c r="U879" s="268"/>
      <c r="V879" s="268"/>
      <c r="W879" s="268"/>
      <c r="X879" s="268"/>
      <c r="Y879" s="268"/>
      <c r="Z879" s="268"/>
    </row>
    <row r="880" customHeight="1" spans="1:26">
      <c r="A880" s="268"/>
      <c r="B880" s="268"/>
      <c r="C880" s="268"/>
      <c r="D880" s="268"/>
      <c r="E880" s="268"/>
      <c r="F880" s="268"/>
      <c r="G880" s="268"/>
      <c r="H880" s="268"/>
      <c r="I880" s="268"/>
      <c r="J880" s="268"/>
      <c r="K880" s="268"/>
      <c r="L880" s="268"/>
      <c r="M880" s="268"/>
      <c r="N880" s="268"/>
      <c r="O880" s="268"/>
      <c r="P880" s="268"/>
      <c r="Q880" s="268"/>
      <c r="R880" s="268"/>
      <c r="S880" s="268"/>
      <c r="T880" s="268"/>
      <c r="U880" s="268"/>
      <c r="V880" s="268"/>
      <c r="W880" s="268"/>
      <c r="X880" s="268"/>
      <c r="Y880" s="268"/>
      <c r="Z880" s="268"/>
    </row>
    <row r="881" customHeight="1" spans="1:26">
      <c r="A881" s="268"/>
      <c r="B881" s="268"/>
      <c r="C881" s="268"/>
      <c r="D881" s="268"/>
      <c r="E881" s="268"/>
      <c r="F881" s="268"/>
      <c r="G881" s="268"/>
      <c r="H881" s="268"/>
      <c r="I881" s="268"/>
      <c r="J881" s="268"/>
      <c r="K881" s="268"/>
      <c r="L881" s="268"/>
      <c r="M881" s="268"/>
      <c r="N881" s="268"/>
      <c r="O881" s="268"/>
      <c r="P881" s="268"/>
      <c r="Q881" s="268"/>
      <c r="R881" s="268"/>
      <c r="S881" s="268"/>
      <c r="T881" s="268"/>
      <c r="U881" s="268"/>
      <c r="V881" s="268"/>
      <c r="W881" s="268"/>
      <c r="X881" s="268"/>
      <c r="Y881" s="268"/>
      <c r="Z881" s="268"/>
    </row>
    <row r="882" customHeight="1" spans="1:26">
      <c r="A882" s="268"/>
      <c r="B882" s="268"/>
      <c r="C882" s="268"/>
      <c r="D882" s="268"/>
      <c r="E882" s="268"/>
      <c r="F882" s="268"/>
      <c r="G882" s="268"/>
      <c r="H882" s="268"/>
      <c r="I882" s="268"/>
      <c r="J882" s="268"/>
      <c r="K882" s="268"/>
      <c r="L882" s="268"/>
      <c r="M882" s="268"/>
      <c r="N882" s="268"/>
      <c r="O882" s="268"/>
      <c r="P882" s="268"/>
      <c r="Q882" s="268"/>
      <c r="R882" s="268"/>
      <c r="S882" s="268"/>
      <c r="T882" s="268"/>
      <c r="U882" s="268"/>
      <c r="V882" s="268"/>
      <c r="W882" s="268"/>
      <c r="X882" s="268"/>
      <c r="Y882" s="268"/>
      <c r="Z882" s="268"/>
    </row>
    <row r="883" customHeight="1" spans="1:26">
      <c r="A883" s="268"/>
      <c r="B883" s="268"/>
      <c r="C883" s="268"/>
      <c r="D883" s="268"/>
      <c r="E883" s="268"/>
      <c r="F883" s="268"/>
      <c r="G883" s="268"/>
      <c r="H883" s="268"/>
      <c r="I883" s="268"/>
      <c r="J883" s="268"/>
      <c r="K883" s="268"/>
      <c r="L883" s="268"/>
      <c r="M883" s="268"/>
      <c r="N883" s="268"/>
      <c r="O883" s="268"/>
      <c r="P883" s="268"/>
      <c r="Q883" s="268"/>
      <c r="R883" s="268"/>
      <c r="S883" s="268"/>
      <c r="T883" s="268"/>
      <c r="U883" s="268"/>
      <c r="V883" s="268"/>
      <c r="W883" s="268"/>
      <c r="X883" s="268"/>
      <c r="Y883" s="268"/>
      <c r="Z883" s="268"/>
    </row>
    <row r="884" customHeight="1" spans="1:26">
      <c r="A884" s="268"/>
      <c r="B884" s="268"/>
      <c r="C884" s="268"/>
      <c r="D884" s="268"/>
      <c r="E884" s="268"/>
      <c r="F884" s="268"/>
      <c r="G884" s="268"/>
      <c r="H884" s="268"/>
      <c r="I884" s="268"/>
      <c r="J884" s="268"/>
      <c r="K884" s="268"/>
      <c r="L884" s="268"/>
      <c r="M884" s="268"/>
      <c r="N884" s="268"/>
      <c r="O884" s="268"/>
      <c r="P884" s="268"/>
      <c r="Q884" s="268"/>
      <c r="R884" s="268"/>
      <c r="S884" s="268"/>
      <c r="T884" s="268"/>
      <c r="U884" s="268"/>
      <c r="V884" s="268"/>
      <c r="W884" s="268"/>
      <c r="X884" s="268"/>
      <c r="Y884" s="268"/>
      <c r="Z884" s="268"/>
    </row>
    <row r="885" customHeight="1" spans="1:26">
      <c r="A885" s="268"/>
      <c r="B885" s="268"/>
      <c r="C885" s="268"/>
      <c r="D885" s="268"/>
      <c r="E885" s="268"/>
      <c r="F885" s="268"/>
      <c r="G885" s="268"/>
      <c r="H885" s="268"/>
      <c r="I885" s="268"/>
      <c r="J885" s="268"/>
      <c r="K885" s="268"/>
      <c r="L885" s="268"/>
      <c r="M885" s="268"/>
      <c r="N885" s="268"/>
      <c r="O885" s="268"/>
      <c r="P885" s="268"/>
      <c r="Q885" s="268"/>
      <c r="R885" s="268"/>
      <c r="S885" s="268"/>
      <c r="T885" s="268"/>
      <c r="U885" s="268"/>
      <c r="V885" s="268"/>
      <c r="W885" s="268"/>
      <c r="X885" s="268"/>
      <c r="Y885" s="268"/>
      <c r="Z885" s="268"/>
    </row>
    <row r="886" customHeight="1" spans="1:26">
      <c r="A886" s="268"/>
      <c r="B886" s="268"/>
      <c r="C886" s="268"/>
      <c r="D886" s="268"/>
      <c r="E886" s="268"/>
      <c r="F886" s="268"/>
      <c r="G886" s="268"/>
      <c r="H886" s="268"/>
      <c r="I886" s="268"/>
      <c r="J886" s="268"/>
      <c r="K886" s="268"/>
      <c r="L886" s="268"/>
      <c r="M886" s="268"/>
      <c r="N886" s="268"/>
      <c r="O886" s="268"/>
      <c r="P886" s="268"/>
      <c r="Q886" s="268"/>
      <c r="R886" s="268"/>
      <c r="S886" s="268"/>
      <c r="T886" s="268"/>
      <c r="U886" s="268"/>
      <c r="V886" s="268"/>
      <c r="W886" s="268"/>
      <c r="X886" s="268"/>
      <c r="Y886" s="268"/>
      <c r="Z886" s="268"/>
    </row>
    <row r="887" customHeight="1" spans="1:26">
      <c r="A887" s="268"/>
      <c r="B887" s="268"/>
      <c r="C887" s="268"/>
      <c r="D887" s="268"/>
      <c r="E887" s="268"/>
      <c r="F887" s="268"/>
      <c r="G887" s="268"/>
      <c r="H887" s="268"/>
      <c r="I887" s="268"/>
      <c r="J887" s="268"/>
      <c r="K887" s="268"/>
      <c r="L887" s="268"/>
      <c r="M887" s="268"/>
      <c r="N887" s="268"/>
      <c r="O887" s="268"/>
      <c r="P887" s="268"/>
      <c r="Q887" s="268"/>
      <c r="R887" s="268"/>
      <c r="S887" s="268"/>
      <c r="T887" s="268"/>
      <c r="U887" s="268"/>
      <c r="V887" s="268"/>
      <c r="W887" s="268"/>
      <c r="X887" s="268"/>
      <c r="Y887" s="268"/>
      <c r="Z887" s="268"/>
    </row>
    <row r="888" customHeight="1" spans="1:26">
      <c r="A888" s="268"/>
      <c r="B888" s="268"/>
      <c r="C888" s="268"/>
      <c r="D888" s="268"/>
      <c r="E888" s="268"/>
      <c r="F888" s="268"/>
      <c r="G888" s="268"/>
      <c r="H888" s="268"/>
      <c r="I888" s="268"/>
      <c r="J888" s="268"/>
      <c r="K888" s="268"/>
      <c r="L888" s="268"/>
      <c r="M888" s="268"/>
      <c r="N888" s="268"/>
      <c r="O888" s="268"/>
      <c r="P888" s="268"/>
      <c r="Q888" s="268"/>
      <c r="R888" s="268"/>
      <c r="S888" s="268"/>
      <c r="T888" s="268"/>
      <c r="U888" s="268"/>
      <c r="V888" s="268"/>
      <c r="W888" s="268"/>
      <c r="X888" s="268"/>
      <c r="Y888" s="268"/>
      <c r="Z888" s="268"/>
    </row>
    <row r="889" customHeight="1" spans="1:26">
      <c r="A889" s="268"/>
      <c r="B889" s="268"/>
      <c r="C889" s="268"/>
      <c r="D889" s="268"/>
      <c r="E889" s="268"/>
      <c r="F889" s="268"/>
      <c r="G889" s="268"/>
      <c r="H889" s="268"/>
      <c r="I889" s="268"/>
      <c r="J889" s="268"/>
      <c r="K889" s="268"/>
      <c r="L889" s="268"/>
      <c r="M889" s="268"/>
      <c r="N889" s="268"/>
      <c r="O889" s="268"/>
      <c r="P889" s="268"/>
      <c r="Q889" s="268"/>
      <c r="R889" s="268"/>
      <c r="S889" s="268"/>
      <c r="T889" s="268"/>
      <c r="U889" s="268"/>
      <c r="V889" s="268"/>
      <c r="W889" s="268"/>
      <c r="X889" s="268"/>
      <c r="Y889" s="268"/>
      <c r="Z889" s="268"/>
    </row>
    <row r="890" customHeight="1" spans="1:26">
      <c r="A890" s="268"/>
      <c r="B890" s="268"/>
      <c r="C890" s="268"/>
      <c r="D890" s="268"/>
      <c r="E890" s="268"/>
      <c r="F890" s="268"/>
      <c r="G890" s="268"/>
      <c r="H890" s="268"/>
      <c r="I890" s="268"/>
      <c r="J890" s="268"/>
      <c r="K890" s="268"/>
      <c r="L890" s="268"/>
      <c r="M890" s="268"/>
      <c r="N890" s="268"/>
      <c r="O890" s="268"/>
      <c r="P890" s="268"/>
      <c r="Q890" s="268"/>
      <c r="R890" s="268"/>
      <c r="S890" s="268"/>
      <c r="T890" s="268"/>
      <c r="U890" s="268"/>
      <c r="V890" s="268"/>
      <c r="W890" s="268"/>
      <c r="X890" s="268"/>
      <c r="Y890" s="268"/>
      <c r="Z890" s="268"/>
    </row>
    <row r="891" customHeight="1" spans="1:26">
      <c r="A891" s="268"/>
      <c r="B891" s="268"/>
      <c r="C891" s="268"/>
      <c r="D891" s="268"/>
      <c r="E891" s="268"/>
      <c r="F891" s="268"/>
      <c r="G891" s="268"/>
      <c r="H891" s="268"/>
      <c r="I891" s="268"/>
      <c r="J891" s="268"/>
      <c r="K891" s="268"/>
      <c r="L891" s="268"/>
      <c r="M891" s="268"/>
      <c r="N891" s="268"/>
      <c r="O891" s="268"/>
      <c r="P891" s="268"/>
      <c r="Q891" s="268"/>
      <c r="R891" s="268"/>
      <c r="S891" s="268"/>
      <c r="T891" s="268"/>
      <c r="U891" s="268"/>
      <c r="V891" s="268"/>
      <c r="W891" s="268"/>
      <c r="X891" s="268"/>
      <c r="Y891" s="268"/>
      <c r="Z891" s="268"/>
    </row>
    <row r="892" customHeight="1" spans="1:26">
      <c r="A892" s="268"/>
      <c r="B892" s="268"/>
      <c r="C892" s="268"/>
      <c r="D892" s="268"/>
      <c r="E892" s="268"/>
      <c r="F892" s="268"/>
      <c r="G892" s="268"/>
      <c r="H892" s="268"/>
      <c r="I892" s="268"/>
      <c r="J892" s="268"/>
      <c r="K892" s="268"/>
      <c r="L892" s="268"/>
      <c r="M892" s="268"/>
      <c r="N892" s="268"/>
      <c r="O892" s="268"/>
      <c r="P892" s="268"/>
      <c r="Q892" s="268"/>
      <c r="R892" s="268"/>
      <c r="S892" s="268"/>
      <c r="T892" s="268"/>
      <c r="U892" s="268"/>
      <c r="V892" s="268"/>
      <c r="W892" s="268"/>
      <c r="X892" s="268"/>
      <c r="Y892" s="268"/>
      <c r="Z892" s="268"/>
    </row>
    <row r="893" customHeight="1" spans="1:26">
      <c r="A893" s="268"/>
      <c r="B893" s="268"/>
      <c r="C893" s="268"/>
      <c r="D893" s="268"/>
      <c r="E893" s="268"/>
      <c r="F893" s="268"/>
      <c r="G893" s="268"/>
      <c r="H893" s="268"/>
      <c r="I893" s="268"/>
      <c r="J893" s="268"/>
      <c r="K893" s="268"/>
      <c r="L893" s="268"/>
      <c r="M893" s="268"/>
      <c r="N893" s="268"/>
      <c r="O893" s="268"/>
      <c r="P893" s="268"/>
      <c r="Q893" s="268"/>
      <c r="R893" s="268"/>
      <c r="S893" s="268"/>
      <c r="T893" s="268"/>
      <c r="U893" s="268"/>
      <c r="V893" s="268"/>
      <c r="W893" s="268"/>
      <c r="X893" s="268"/>
      <c r="Y893" s="268"/>
      <c r="Z893" s="268"/>
    </row>
    <row r="894" customHeight="1" spans="1:26">
      <c r="A894" s="268"/>
      <c r="B894" s="268"/>
      <c r="C894" s="268"/>
      <c r="D894" s="268"/>
      <c r="E894" s="268"/>
      <c r="F894" s="268"/>
      <c r="G894" s="268"/>
      <c r="H894" s="268"/>
      <c r="I894" s="268"/>
      <c r="J894" s="268"/>
      <c r="K894" s="268"/>
      <c r="L894" s="268"/>
      <c r="M894" s="268"/>
      <c r="N894" s="268"/>
      <c r="O894" s="268"/>
      <c r="P894" s="268"/>
      <c r="Q894" s="268"/>
      <c r="R894" s="268"/>
      <c r="S894" s="268"/>
      <c r="T894" s="268"/>
      <c r="U894" s="268"/>
      <c r="V894" s="268"/>
      <c r="W894" s="268"/>
      <c r="X894" s="268"/>
      <c r="Y894" s="268"/>
      <c r="Z894" s="268"/>
    </row>
    <row r="895" customHeight="1" spans="1:26">
      <c r="A895" s="268"/>
      <c r="B895" s="268"/>
      <c r="C895" s="268"/>
      <c r="D895" s="268"/>
      <c r="E895" s="268"/>
      <c r="F895" s="268"/>
      <c r="G895" s="268"/>
      <c r="H895" s="268"/>
      <c r="I895" s="268"/>
      <c r="J895" s="268"/>
      <c r="K895" s="268"/>
      <c r="L895" s="268"/>
      <c r="M895" s="268"/>
      <c r="N895" s="268"/>
      <c r="O895" s="268"/>
      <c r="P895" s="268"/>
      <c r="Q895" s="268"/>
      <c r="R895" s="268"/>
      <c r="S895" s="268"/>
      <c r="T895" s="268"/>
      <c r="U895" s="268"/>
      <c r="V895" s="268"/>
      <c r="W895" s="268"/>
      <c r="X895" s="268"/>
      <c r="Y895" s="268"/>
      <c r="Z895" s="268"/>
    </row>
    <row r="896" customHeight="1" spans="1:26">
      <c r="A896" s="268"/>
      <c r="B896" s="268"/>
      <c r="C896" s="268"/>
      <c r="D896" s="268"/>
      <c r="E896" s="268"/>
      <c r="F896" s="268"/>
      <c r="G896" s="268"/>
      <c r="H896" s="268"/>
      <c r="I896" s="268"/>
      <c r="J896" s="268"/>
      <c r="K896" s="268"/>
      <c r="L896" s="268"/>
      <c r="M896" s="268"/>
      <c r="N896" s="268"/>
      <c r="O896" s="268"/>
      <c r="P896" s="268"/>
      <c r="Q896" s="268"/>
      <c r="R896" s="268"/>
      <c r="S896" s="268"/>
      <c r="T896" s="268"/>
      <c r="U896" s="268"/>
      <c r="V896" s="268"/>
      <c r="W896" s="268"/>
      <c r="X896" s="268"/>
      <c r="Y896" s="268"/>
      <c r="Z896" s="268"/>
    </row>
    <row r="897" customHeight="1" spans="1:26">
      <c r="A897" s="268"/>
      <c r="B897" s="268"/>
      <c r="C897" s="268"/>
      <c r="D897" s="268"/>
      <c r="E897" s="268"/>
      <c r="F897" s="268"/>
      <c r="G897" s="268"/>
      <c r="H897" s="268"/>
      <c r="I897" s="268"/>
      <c r="J897" s="268"/>
      <c r="K897" s="268"/>
      <c r="L897" s="268"/>
      <c r="M897" s="268"/>
      <c r="N897" s="268"/>
      <c r="O897" s="268"/>
      <c r="P897" s="268"/>
      <c r="Q897" s="268"/>
      <c r="R897" s="268"/>
      <c r="S897" s="268"/>
      <c r="T897" s="268"/>
      <c r="U897" s="268"/>
      <c r="V897" s="268"/>
      <c r="W897" s="268"/>
      <c r="X897" s="268"/>
      <c r="Y897" s="268"/>
      <c r="Z897" s="268"/>
    </row>
    <row r="898" customHeight="1" spans="1:26">
      <c r="A898" s="268"/>
      <c r="B898" s="268"/>
      <c r="C898" s="268"/>
      <c r="D898" s="268"/>
      <c r="E898" s="268"/>
      <c r="F898" s="268"/>
      <c r="G898" s="268"/>
      <c r="H898" s="268"/>
      <c r="I898" s="268"/>
      <c r="J898" s="268"/>
      <c r="K898" s="268"/>
      <c r="L898" s="268"/>
      <c r="M898" s="268"/>
      <c r="N898" s="268"/>
      <c r="O898" s="268"/>
      <c r="P898" s="268"/>
      <c r="Q898" s="268"/>
      <c r="R898" s="268"/>
      <c r="S898" s="268"/>
      <c r="T898" s="268"/>
      <c r="U898" s="268"/>
      <c r="V898" s="268"/>
      <c r="W898" s="268"/>
      <c r="X898" s="268"/>
      <c r="Y898" s="268"/>
      <c r="Z898" s="268"/>
    </row>
    <row r="899" customHeight="1" spans="1:26">
      <c r="A899" s="268"/>
      <c r="B899" s="268"/>
      <c r="C899" s="268"/>
      <c r="D899" s="268"/>
      <c r="E899" s="268"/>
      <c r="F899" s="268"/>
      <c r="G899" s="268"/>
      <c r="H899" s="268"/>
      <c r="I899" s="268"/>
      <c r="J899" s="268"/>
      <c r="K899" s="268"/>
      <c r="L899" s="268"/>
      <c r="M899" s="268"/>
      <c r="N899" s="268"/>
      <c r="O899" s="268"/>
      <c r="P899" s="268"/>
      <c r="Q899" s="268"/>
      <c r="R899" s="268"/>
      <c r="S899" s="268"/>
      <c r="T899" s="268"/>
      <c r="U899" s="268"/>
      <c r="V899" s="268"/>
      <c r="W899" s="268"/>
      <c r="X899" s="268"/>
      <c r="Y899" s="268"/>
      <c r="Z899" s="268"/>
    </row>
    <row r="900" customHeight="1" spans="1:26">
      <c r="A900" s="268"/>
      <c r="B900" s="268"/>
      <c r="C900" s="268"/>
      <c r="D900" s="268"/>
      <c r="E900" s="268"/>
      <c r="F900" s="268"/>
      <c r="G900" s="268"/>
      <c r="H900" s="268"/>
      <c r="I900" s="268"/>
      <c r="J900" s="268"/>
      <c r="K900" s="268"/>
      <c r="L900" s="268"/>
      <c r="M900" s="268"/>
      <c r="N900" s="268"/>
      <c r="O900" s="268"/>
      <c r="P900" s="268"/>
      <c r="Q900" s="268"/>
      <c r="R900" s="268"/>
      <c r="S900" s="268"/>
      <c r="T900" s="268"/>
      <c r="U900" s="268"/>
      <c r="V900" s="268"/>
      <c r="W900" s="268"/>
      <c r="X900" s="268"/>
      <c r="Y900" s="268"/>
      <c r="Z900" s="268"/>
    </row>
    <row r="901" customHeight="1" spans="1:26">
      <c r="A901" s="268"/>
      <c r="B901" s="268"/>
      <c r="C901" s="268"/>
      <c r="D901" s="268"/>
      <c r="E901" s="268"/>
      <c r="F901" s="268"/>
      <c r="G901" s="268"/>
      <c r="H901" s="268"/>
      <c r="I901" s="268"/>
      <c r="J901" s="268"/>
      <c r="K901" s="268"/>
      <c r="L901" s="268"/>
      <c r="M901" s="268"/>
      <c r="N901" s="268"/>
      <c r="O901" s="268"/>
      <c r="P901" s="268"/>
      <c r="Q901" s="268"/>
      <c r="R901" s="268"/>
      <c r="S901" s="268"/>
      <c r="T901" s="268"/>
      <c r="U901" s="268"/>
      <c r="V901" s="268"/>
      <c r="W901" s="268"/>
      <c r="X901" s="268"/>
      <c r="Y901" s="268"/>
      <c r="Z901" s="268"/>
    </row>
    <row r="902" customHeight="1" spans="1:26">
      <c r="A902" s="268"/>
      <c r="B902" s="268"/>
      <c r="C902" s="268"/>
      <c r="D902" s="268"/>
      <c r="E902" s="268"/>
      <c r="F902" s="268"/>
      <c r="G902" s="268"/>
      <c r="H902" s="268"/>
      <c r="I902" s="268"/>
      <c r="J902" s="268"/>
      <c r="K902" s="268"/>
      <c r="L902" s="268"/>
      <c r="M902" s="268"/>
      <c r="N902" s="268"/>
      <c r="O902" s="268"/>
      <c r="P902" s="268"/>
      <c r="Q902" s="268"/>
      <c r="R902" s="268"/>
      <c r="S902" s="268"/>
      <c r="T902" s="268"/>
      <c r="U902" s="268"/>
      <c r="V902" s="268"/>
      <c r="W902" s="268"/>
      <c r="X902" s="268"/>
      <c r="Y902" s="268"/>
      <c r="Z902" s="268"/>
    </row>
    <row r="903" customHeight="1" spans="1:26">
      <c r="A903" s="268"/>
      <c r="B903" s="268"/>
      <c r="C903" s="268"/>
      <c r="D903" s="268"/>
      <c r="E903" s="268"/>
      <c r="F903" s="268"/>
      <c r="G903" s="268"/>
      <c r="H903" s="268"/>
      <c r="I903" s="268"/>
      <c r="J903" s="268"/>
      <c r="K903" s="268"/>
      <c r="L903" s="268"/>
      <c r="M903" s="268"/>
      <c r="N903" s="268"/>
      <c r="O903" s="268"/>
      <c r="P903" s="268"/>
      <c r="Q903" s="268"/>
      <c r="R903" s="268"/>
      <c r="S903" s="268"/>
      <c r="T903" s="268"/>
      <c r="U903" s="268"/>
      <c r="V903" s="268"/>
      <c r="W903" s="268"/>
      <c r="X903" s="268"/>
      <c r="Y903" s="268"/>
      <c r="Z903" s="268"/>
    </row>
    <row r="904" customHeight="1" spans="1:26">
      <c r="A904" s="268"/>
      <c r="B904" s="268"/>
      <c r="C904" s="268"/>
      <c r="D904" s="268"/>
      <c r="E904" s="268"/>
      <c r="F904" s="268"/>
      <c r="G904" s="268"/>
      <c r="H904" s="268"/>
      <c r="I904" s="268"/>
      <c r="J904" s="268"/>
      <c r="K904" s="268"/>
      <c r="L904" s="268"/>
      <c r="M904" s="268"/>
      <c r="N904" s="268"/>
      <c r="O904" s="268"/>
      <c r="P904" s="268"/>
      <c r="Q904" s="268"/>
      <c r="R904" s="268"/>
      <c r="S904" s="268"/>
      <c r="T904" s="268"/>
      <c r="U904" s="268"/>
      <c r="V904" s="268"/>
      <c r="W904" s="268"/>
      <c r="X904" s="268"/>
      <c r="Y904" s="268"/>
      <c r="Z904" s="268"/>
    </row>
    <row r="905" customHeight="1" spans="1:26">
      <c r="A905" s="268"/>
      <c r="B905" s="268"/>
      <c r="C905" s="268"/>
      <c r="D905" s="268"/>
      <c r="E905" s="268"/>
      <c r="F905" s="268"/>
      <c r="G905" s="268"/>
      <c r="H905" s="268"/>
      <c r="I905" s="268"/>
      <c r="J905" s="268"/>
      <c r="K905" s="268"/>
      <c r="L905" s="268"/>
      <c r="M905" s="268"/>
      <c r="N905" s="268"/>
      <c r="O905" s="268"/>
      <c r="P905" s="268"/>
      <c r="Q905" s="268"/>
      <c r="R905" s="268"/>
      <c r="S905" s="268"/>
      <c r="T905" s="268"/>
      <c r="U905" s="268"/>
      <c r="V905" s="268"/>
      <c r="W905" s="268"/>
      <c r="X905" s="268"/>
      <c r="Y905" s="268"/>
      <c r="Z905" s="268"/>
    </row>
    <row r="906" customHeight="1" spans="1:26">
      <c r="A906" s="268"/>
      <c r="B906" s="268"/>
      <c r="C906" s="268"/>
      <c r="D906" s="268"/>
      <c r="E906" s="268"/>
      <c r="F906" s="268"/>
      <c r="G906" s="268"/>
      <c r="H906" s="268"/>
      <c r="I906" s="268"/>
      <c r="J906" s="268"/>
      <c r="K906" s="268"/>
      <c r="L906" s="268"/>
      <c r="M906" s="268"/>
      <c r="N906" s="268"/>
      <c r="O906" s="268"/>
      <c r="P906" s="268"/>
      <c r="Q906" s="268"/>
      <c r="R906" s="268"/>
      <c r="S906" s="268"/>
      <c r="T906" s="268"/>
      <c r="U906" s="268"/>
      <c r="V906" s="268"/>
      <c r="W906" s="268"/>
      <c r="X906" s="268"/>
      <c r="Y906" s="268"/>
      <c r="Z906" s="268"/>
    </row>
    <row r="907" customHeight="1" spans="1:26">
      <c r="A907" s="268"/>
      <c r="B907" s="268"/>
      <c r="C907" s="268"/>
      <c r="D907" s="268"/>
      <c r="E907" s="268"/>
      <c r="F907" s="268"/>
      <c r="G907" s="268"/>
      <c r="H907" s="268"/>
      <c r="I907" s="268"/>
      <c r="J907" s="268"/>
      <c r="K907" s="268"/>
      <c r="L907" s="268"/>
      <c r="M907" s="268"/>
      <c r="N907" s="268"/>
      <c r="O907" s="268"/>
      <c r="P907" s="268"/>
      <c r="Q907" s="268"/>
      <c r="R907" s="268"/>
      <c r="S907" s="268"/>
      <c r="T907" s="268"/>
      <c r="U907" s="268"/>
      <c r="V907" s="268"/>
      <c r="W907" s="268"/>
      <c r="X907" s="268"/>
      <c r="Y907" s="268"/>
      <c r="Z907" s="268"/>
    </row>
    <row r="908" customHeight="1" spans="1:26">
      <c r="A908" s="268"/>
      <c r="B908" s="268"/>
      <c r="C908" s="268"/>
      <c r="D908" s="268"/>
      <c r="E908" s="268"/>
      <c r="F908" s="268"/>
      <c r="G908" s="268"/>
      <c r="H908" s="268"/>
      <c r="I908" s="268"/>
      <c r="J908" s="268"/>
      <c r="K908" s="268"/>
      <c r="L908" s="268"/>
      <c r="M908" s="268"/>
      <c r="N908" s="268"/>
      <c r="O908" s="268"/>
      <c r="P908" s="268"/>
      <c r="Q908" s="268"/>
      <c r="R908" s="268"/>
      <c r="S908" s="268"/>
      <c r="T908" s="268"/>
      <c r="U908" s="268"/>
      <c r="V908" s="268"/>
      <c r="W908" s="268"/>
      <c r="X908" s="268"/>
      <c r="Y908" s="268"/>
      <c r="Z908" s="268"/>
    </row>
    <row r="909" customHeight="1" spans="1:26">
      <c r="A909" s="268"/>
      <c r="B909" s="268"/>
      <c r="C909" s="268"/>
      <c r="D909" s="268"/>
      <c r="E909" s="268"/>
      <c r="F909" s="268"/>
      <c r="G909" s="268"/>
      <c r="H909" s="268"/>
      <c r="I909" s="268"/>
      <c r="J909" s="268"/>
      <c r="K909" s="268"/>
      <c r="L909" s="268"/>
      <c r="M909" s="268"/>
      <c r="N909" s="268"/>
      <c r="O909" s="268"/>
      <c r="P909" s="268"/>
      <c r="Q909" s="268"/>
      <c r="R909" s="268"/>
      <c r="S909" s="268"/>
      <c r="T909" s="268"/>
      <c r="U909" s="268"/>
      <c r="V909" s="268"/>
      <c r="W909" s="268"/>
      <c r="X909" s="268"/>
      <c r="Y909" s="268"/>
      <c r="Z909" s="268"/>
    </row>
    <row r="910" customHeight="1" spans="1:26">
      <c r="A910" s="268"/>
      <c r="B910" s="268"/>
      <c r="C910" s="268"/>
      <c r="D910" s="268"/>
      <c r="E910" s="268"/>
      <c r="F910" s="268"/>
      <c r="G910" s="268"/>
      <c r="H910" s="268"/>
      <c r="I910" s="268"/>
      <c r="J910" s="268"/>
      <c r="K910" s="268"/>
      <c r="L910" s="268"/>
      <c r="M910" s="268"/>
      <c r="N910" s="268"/>
      <c r="O910" s="268"/>
      <c r="P910" s="268"/>
      <c r="Q910" s="268"/>
      <c r="R910" s="268"/>
      <c r="S910" s="268"/>
      <c r="T910" s="268"/>
      <c r="U910" s="268"/>
      <c r="V910" s="268"/>
      <c r="W910" s="268"/>
      <c r="X910" s="268"/>
      <c r="Y910" s="268"/>
      <c r="Z910" s="268"/>
    </row>
    <row r="911" customHeight="1" spans="1:26">
      <c r="A911" s="268"/>
      <c r="B911" s="268"/>
      <c r="C911" s="268"/>
      <c r="D911" s="268"/>
      <c r="E911" s="268"/>
      <c r="F911" s="268"/>
      <c r="G911" s="268"/>
      <c r="H911" s="268"/>
      <c r="I911" s="268"/>
      <c r="J911" s="268"/>
      <c r="K911" s="268"/>
      <c r="L911" s="268"/>
      <c r="M911" s="268"/>
      <c r="N911" s="268"/>
      <c r="O911" s="268"/>
      <c r="P911" s="268"/>
      <c r="Q911" s="268"/>
      <c r="R911" s="268"/>
      <c r="S911" s="268"/>
      <c r="T911" s="268"/>
      <c r="U911" s="268"/>
      <c r="V911" s="268"/>
      <c r="W911" s="268"/>
      <c r="X911" s="268"/>
      <c r="Y911" s="268"/>
      <c r="Z911" s="268"/>
    </row>
    <row r="912" customHeight="1" spans="1:26">
      <c r="A912" s="268"/>
      <c r="B912" s="268"/>
      <c r="C912" s="268"/>
      <c r="D912" s="268"/>
      <c r="E912" s="268"/>
      <c r="F912" s="268"/>
      <c r="G912" s="268"/>
      <c r="H912" s="268"/>
      <c r="I912" s="268"/>
      <c r="J912" s="268"/>
      <c r="K912" s="268"/>
      <c r="L912" s="268"/>
      <c r="M912" s="268"/>
      <c r="N912" s="268"/>
      <c r="O912" s="268"/>
      <c r="P912" s="268"/>
      <c r="Q912" s="268"/>
      <c r="R912" s="268"/>
      <c r="S912" s="268"/>
      <c r="T912" s="268"/>
      <c r="U912" s="268"/>
      <c r="V912" s="268"/>
      <c r="W912" s="268"/>
      <c r="X912" s="268"/>
      <c r="Y912" s="268"/>
      <c r="Z912" s="268"/>
    </row>
    <row r="913" customHeight="1" spans="1:26">
      <c r="A913" s="268"/>
      <c r="B913" s="268"/>
      <c r="C913" s="268"/>
      <c r="D913" s="268"/>
      <c r="E913" s="268"/>
      <c r="F913" s="268"/>
      <c r="G913" s="268"/>
      <c r="H913" s="268"/>
      <c r="I913" s="268"/>
      <c r="J913" s="268"/>
      <c r="K913" s="268"/>
      <c r="L913" s="268"/>
      <c r="M913" s="268"/>
      <c r="N913" s="268"/>
      <c r="O913" s="268"/>
      <c r="P913" s="268"/>
      <c r="Q913" s="268"/>
      <c r="R913" s="268"/>
      <c r="S913" s="268"/>
      <c r="T913" s="268"/>
      <c r="U913" s="268"/>
      <c r="V913" s="268"/>
      <c r="W913" s="268"/>
      <c r="X913" s="268"/>
      <c r="Y913" s="268"/>
      <c r="Z913" s="268"/>
    </row>
    <row r="914" customHeight="1" spans="1:26">
      <c r="A914" s="268"/>
      <c r="B914" s="268"/>
      <c r="C914" s="268"/>
      <c r="D914" s="268"/>
      <c r="E914" s="268"/>
      <c r="F914" s="268"/>
      <c r="G914" s="268"/>
      <c r="H914" s="268"/>
      <c r="I914" s="268"/>
      <c r="J914" s="268"/>
      <c r="K914" s="268"/>
      <c r="L914" s="268"/>
      <c r="M914" s="268"/>
      <c r="N914" s="268"/>
      <c r="O914" s="268"/>
      <c r="P914" s="268"/>
      <c r="Q914" s="268"/>
      <c r="R914" s="268"/>
      <c r="S914" s="268"/>
      <c r="T914" s="268"/>
      <c r="U914" s="268"/>
      <c r="V914" s="268"/>
      <c r="W914" s="268"/>
      <c r="X914" s="268"/>
      <c r="Y914" s="268"/>
      <c r="Z914" s="268"/>
    </row>
    <row r="915" customHeight="1" spans="1:26">
      <c r="A915" s="268"/>
      <c r="B915" s="268"/>
      <c r="C915" s="268"/>
      <c r="D915" s="268"/>
      <c r="E915" s="268"/>
      <c r="F915" s="268"/>
      <c r="G915" s="268"/>
      <c r="H915" s="268"/>
      <c r="I915" s="268"/>
      <c r="J915" s="268"/>
      <c r="K915" s="268"/>
      <c r="L915" s="268"/>
      <c r="M915" s="268"/>
      <c r="N915" s="268"/>
      <c r="O915" s="268"/>
      <c r="P915" s="268"/>
      <c r="Q915" s="268"/>
      <c r="R915" s="268"/>
      <c r="S915" s="268"/>
      <c r="T915" s="268"/>
      <c r="U915" s="268"/>
      <c r="V915" s="268"/>
      <c r="W915" s="268"/>
      <c r="X915" s="268"/>
      <c r="Y915" s="268"/>
      <c r="Z915" s="268"/>
    </row>
    <row r="916" customHeight="1" spans="1:26">
      <c r="A916" s="268"/>
      <c r="B916" s="268"/>
      <c r="C916" s="268"/>
      <c r="D916" s="268"/>
      <c r="E916" s="268"/>
      <c r="F916" s="268"/>
      <c r="G916" s="268"/>
      <c r="H916" s="268"/>
      <c r="I916" s="268"/>
      <c r="J916" s="268"/>
      <c r="K916" s="268"/>
      <c r="L916" s="268"/>
      <c r="M916" s="268"/>
      <c r="N916" s="268"/>
      <c r="O916" s="268"/>
      <c r="P916" s="268"/>
      <c r="Q916" s="268"/>
      <c r="R916" s="268"/>
      <c r="S916" s="268"/>
      <c r="T916" s="268"/>
      <c r="U916" s="268"/>
      <c r="V916" s="268"/>
      <c r="W916" s="268"/>
      <c r="X916" s="268"/>
      <c r="Y916" s="268"/>
      <c r="Z916" s="268"/>
    </row>
    <row r="917" customHeight="1" spans="1:26">
      <c r="A917" s="268"/>
      <c r="B917" s="268"/>
      <c r="C917" s="268"/>
      <c r="D917" s="268"/>
      <c r="E917" s="268"/>
      <c r="F917" s="268"/>
      <c r="G917" s="268"/>
      <c r="H917" s="268"/>
      <c r="I917" s="268"/>
      <c r="J917" s="268"/>
      <c r="K917" s="268"/>
      <c r="L917" s="268"/>
      <c r="M917" s="268"/>
      <c r="N917" s="268"/>
      <c r="O917" s="268"/>
      <c r="P917" s="268"/>
      <c r="Q917" s="268"/>
      <c r="R917" s="268"/>
      <c r="S917" s="268"/>
      <c r="T917" s="268"/>
      <c r="U917" s="268"/>
      <c r="V917" s="268"/>
      <c r="W917" s="268"/>
      <c r="X917" s="268"/>
      <c r="Y917" s="268"/>
      <c r="Z917" s="268"/>
    </row>
    <row r="918" customHeight="1" spans="1:26">
      <c r="A918" s="268"/>
      <c r="B918" s="268"/>
      <c r="C918" s="268"/>
      <c r="D918" s="268"/>
      <c r="E918" s="268"/>
      <c r="F918" s="268"/>
      <c r="G918" s="268"/>
      <c r="H918" s="268"/>
      <c r="I918" s="268"/>
      <c r="J918" s="268"/>
      <c r="K918" s="268"/>
      <c r="L918" s="268"/>
      <c r="M918" s="268"/>
      <c r="N918" s="268"/>
      <c r="O918" s="268"/>
      <c r="P918" s="268"/>
      <c r="Q918" s="268"/>
      <c r="R918" s="268"/>
      <c r="S918" s="268"/>
      <c r="T918" s="268"/>
      <c r="U918" s="268"/>
      <c r="V918" s="268"/>
      <c r="W918" s="268"/>
      <c r="X918" s="268"/>
      <c r="Y918" s="268"/>
      <c r="Z918" s="268"/>
    </row>
    <row r="919" customHeight="1" spans="1:26">
      <c r="A919" s="268"/>
      <c r="B919" s="268"/>
      <c r="C919" s="268"/>
      <c r="D919" s="268"/>
      <c r="E919" s="268"/>
      <c r="F919" s="268"/>
      <c r="G919" s="268"/>
      <c r="H919" s="268"/>
      <c r="I919" s="268"/>
      <c r="J919" s="268"/>
      <c r="K919" s="268"/>
      <c r="L919" s="268"/>
      <c r="M919" s="268"/>
      <c r="N919" s="268"/>
      <c r="O919" s="268"/>
      <c r="P919" s="268"/>
      <c r="Q919" s="268"/>
      <c r="R919" s="268"/>
      <c r="S919" s="268"/>
      <c r="T919" s="268"/>
      <c r="U919" s="268"/>
      <c r="V919" s="268"/>
      <c r="W919" s="268"/>
      <c r="X919" s="268"/>
      <c r="Y919" s="268"/>
      <c r="Z919" s="268"/>
    </row>
    <row r="920" customHeight="1" spans="1:26">
      <c r="A920" s="268"/>
      <c r="B920" s="268"/>
      <c r="C920" s="268"/>
      <c r="D920" s="268"/>
      <c r="E920" s="268"/>
      <c r="F920" s="268"/>
      <c r="G920" s="268"/>
      <c r="H920" s="268"/>
      <c r="I920" s="268"/>
      <c r="J920" s="268"/>
      <c r="K920" s="268"/>
      <c r="L920" s="268"/>
      <c r="M920" s="268"/>
      <c r="N920" s="268"/>
      <c r="O920" s="268"/>
      <c r="P920" s="268"/>
      <c r="Q920" s="268"/>
      <c r="R920" s="268"/>
      <c r="S920" s="268"/>
      <c r="T920" s="268"/>
      <c r="U920" s="268"/>
      <c r="V920" s="268"/>
      <c r="W920" s="268"/>
      <c r="X920" s="268"/>
      <c r="Y920" s="268"/>
      <c r="Z920" s="268"/>
    </row>
    <row r="921" customHeight="1" spans="1:26">
      <c r="A921" s="268"/>
      <c r="B921" s="268"/>
      <c r="C921" s="268"/>
      <c r="D921" s="268"/>
      <c r="E921" s="268"/>
      <c r="F921" s="268"/>
      <c r="G921" s="268"/>
      <c r="H921" s="268"/>
      <c r="I921" s="268"/>
      <c r="J921" s="268"/>
      <c r="K921" s="268"/>
      <c r="L921" s="268"/>
      <c r="M921" s="268"/>
      <c r="N921" s="268"/>
      <c r="O921" s="268"/>
      <c r="P921" s="268"/>
      <c r="Q921" s="268"/>
      <c r="R921" s="268"/>
      <c r="S921" s="268"/>
      <c r="T921" s="268"/>
      <c r="U921" s="268"/>
      <c r="V921" s="268"/>
      <c r="W921" s="268"/>
      <c r="X921" s="268"/>
      <c r="Y921" s="268"/>
      <c r="Z921" s="268"/>
    </row>
    <row r="922" customHeight="1" spans="1:26">
      <c r="A922" s="268"/>
      <c r="B922" s="268"/>
      <c r="C922" s="268"/>
      <c r="D922" s="268"/>
      <c r="E922" s="268"/>
      <c r="F922" s="268"/>
      <c r="G922" s="268"/>
      <c r="H922" s="268"/>
      <c r="I922" s="268"/>
      <c r="J922" s="268"/>
      <c r="K922" s="268"/>
      <c r="L922" s="268"/>
      <c r="M922" s="268"/>
      <c r="N922" s="268"/>
      <c r="O922" s="268"/>
      <c r="P922" s="268"/>
      <c r="Q922" s="268"/>
      <c r="R922" s="268"/>
      <c r="S922" s="268"/>
      <c r="T922" s="268"/>
      <c r="U922" s="268"/>
      <c r="V922" s="268"/>
      <c r="W922" s="268"/>
      <c r="X922" s="268"/>
      <c r="Y922" s="268"/>
      <c r="Z922" s="268"/>
    </row>
    <row r="923" customHeight="1" spans="1:26">
      <c r="A923" s="268"/>
      <c r="B923" s="268"/>
      <c r="C923" s="268"/>
      <c r="D923" s="268"/>
      <c r="E923" s="268"/>
      <c r="F923" s="268"/>
      <c r="G923" s="268"/>
      <c r="H923" s="268"/>
      <c r="I923" s="268"/>
      <c r="J923" s="268"/>
      <c r="K923" s="268"/>
      <c r="L923" s="268"/>
      <c r="M923" s="268"/>
      <c r="N923" s="268"/>
      <c r="O923" s="268"/>
      <c r="P923" s="268"/>
      <c r="Q923" s="268"/>
      <c r="R923" s="268"/>
      <c r="S923" s="268"/>
      <c r="T923" s="268"/>
      <c r="U923" s="268"/>
      <c r="V923" s="268"/>
      <c r="W923" s="268"/>
      <c r="X923" s="268"/>
      <c r="Y923" s="268"/>
      <c r="Z923" s="268"/>
    </row>
    <row r="924" customHeight="1" spans="1:26">
      <c r="A924" s="268"/>
      <c r="B924" s="268"/>
      <c r="C924" s="268"/>
      <c r="D924" s="268"/>
      <c r="E924" s="268"/>
      <c r="F924" s="268"/>
      <c r="G924" s="268"/>
      <c r="H924" s="268"/>
      <c r="I924" s="268"/>
      <c r="J924" s="268"/>
      <c r="K924" s="268"/>
      <c r="L924" s="268"/>
      <c r="M924" s="268"/>
      <c r="N924" s="268"/>
      <c r="O924" s="268"/>
      <c r="P924" s="268"/>
      <c r="Q924" s="268"/>
      <c r="R924" s="268"/>
      <c r="S924" s="268"/>
      <c r="T924" s="268"/>
      <c r="U924" s="268"/>
      <c r="V924" s="268"/>
      <c r="W924" s="268"/>
      <c r="X924" s="268"/>
      <c r="Y924" s="268"/>
      <c r="Z924" s="268"/>
    </row>
    <row r="925" customHeight="1" spans="1:26">
      <c r="A925" s="268"/>
      <c r="B925" s="268"/>
      <c r="C925" s="268"/>
      <c r="D925" s="268"/>
      <c r="E925" s="268"/>
      <c r="F925" s="268"/>
      <c r="G925" s="268"/>
      <c r="H925" s="268"/>
      <c r="I925" s="268"/>
      <c r="J925" s="268"/>
      <c r="K925" s="268"/>
      <c r="L925" s="268"/>
      <c r="M925" s="268"/>
      <c r="N925" s="268"/>
      <c r="O925" s="268"/>
      <c r="P925" s="268"/>
      <c r="Q925" s="268"/>
      <c r="R925" s="268"/>
      <c r="S925" s="268"/>
      <c r="T925" s="268"/>
      <c r="U925" s="268"/>
      <c r="V925" s="268"/>
      <c r="W925" s="268"/>
      <c r="X925" s="268"/>
      <c r="Y925" s="268"/>
      <c r="Z925" s="268"/>
    </row>
    <row r="926" customHeight="1" spans="1:26">
      <c r="A926" s="268"/>
      <c r="B926" s="268"/>
      <c r="C926" s="268"/>
      <c r="D926" s="268"/>
      <c r="E926" s="268"/>
      <c r="F926" s="268"/>
      <c r="G926" s="268"/>
      <c r="H926" s="268"/>
      <c r="I926" s="268"/>
      <c r="J926" s="268"/>
      <c r="K926" s="268"/>
      <c r="L926" s="268"/>
      <c r="M926" s="268"/>
      <c r="N926" s="268"/>
      <c r="O926" s="268"/>
      <c r="P926" s="268"/>
      <c r="Q926" s="268"/>
      <c r="R926" s="268"/>
      <c r="S926" s="268"/>
      <c r="T926" s="268"/>
      <c r="U926" s="268"/>
      <c r="V926" s="268"/>
      <c r="W926" s="268"/>
      <c r="X926" s="268"/>
      <c r="Y926" s="268"/>
      <c r="Z926" s="268"/>
    </row>
    <row r="927" customHeight="1" spans="1:26">
      <c r="A927" s="268"/>
      <c r="B927" s="268"/>
      <c r="C927" s="268"/>
      <c r="D927" s="268"/>
      <c r="E927" s="268"/>
      <c r="F927" s="268"/>
      <c r="G927" s="268"/>
      <c r="H927" s="268"/>
      <c r="I927" s="268"/>
      <c r="J927" s="268"/>
      <c r="K927" s="268"/>
      <c r="L927" s="268"/>
      <c r="M927" s="268"/>
      <c r="N927" s="268"/>
      <c r="O927" s="268"/>
      <c r="P927" s="268"/>
      <c r="Q927" s="268"/>
      <c r="R927" s="268"/>
      <c r="S927" s="268"/>
      <c r="T927" s="268"/>
      <c r="U927" s="268"/>
      <c r="V927" s="268"/>
      <c r="W927" s="268"/>
      <c r="X927" s="268"/>
      <c r="Y927" s="268"/>
      <c r="Z927" s="268"/>
    </row>
    <row r="928" customHeight="1" spans="1:26">
      <c r="A928" s="268"/>
      <c r="B928" s="268"/>
      <c r="C928" s="268"/>
      <c r="D928" s="268"/>
      <c r="E928" s="268"/>
      <c r="F928" s="268"/>
      <c r="G928" s="268"/>
      <c r="H928" s="268"/>
      <c r="I928" s="268"/>
      <c r="J928" s="268"/>
      <c r="K928" s="268"/>
      <c r="L928" s="268"/>
      <c r="M928" s="268"/>
      <c r="N928" s="268"/>
      <c r="O928" s="268"/>
      <c r="P928" s="268"/>
      <c r="Q928" s="268"/>
      <c r="R928" s="268"/>
      <c r="S928" s="268"/>
      <c r="T928" s="268"/>
      <c r="U928" s="268"/>
      <c r="V928" s="268"/>
      <c r="W928" s="268"/>
      <c r="X928" s="268"/>
      <c r="Y928" s="268"/>
      <c r="Z928" s="268"/>
    </row>
    <row r="929" customHeight="1" spans="1:26">
      <c r="A929" s="268"/>
      <c r="B929" s="268"/>
      <c r="C929" s="268"/>
      <c r="D929" s="268"/>
      <c r="E929" s="268"/>
      <c r="F929" s="268"/>
      <c r="G929" s="268"/>
      <c r="H929" s="268"/>
      <c r="I929" s="268"/>
      <c r="J929" s="268"/>
      <c r="K929" s="268"/>
      <c r="L929" s="268"/>
      <c r="M929" s="268"/>
      <c r="N929" s="268"/>
      <c r="O929" s="268"/>
      <c r="P929" s="268"/>
      <c r="Q929" s="268"/>
      <c r="R929" s="268"/>
      <c r="S929" s="268"/>
      <c r="T929" s="268"/>
      <c r="U929" s="268"/>
      <c r="V929" s="268"/>
      <c r="W929" s="268"/>
      <c r="X929" s="268"/>
      <c r="Y929" s="268"/>
      <c r="Z929" s="268"/>
    </row>
    <row r="930" customHeight="1" spans="1:26">
      <c r="A930" s="268"/>
      <c r="B930" s="268"/>
      <c r="C930" s="268"/>
      <c r="D930" s="268"/>
      <c r="E930" s="268"/>
      <c r="F930" s="268"/>
      <c r="G930" s="268"/>
      <c r="H930" s="268"/>
      <c r="I930" s="268"/>
      <c r="J930" s="268"/>
      <c r="K930" s="268"/>
      <c r="L930" s="268"/>
      <c r="M930" s="268"/>
      <c r="N930" s="268"/>
      <c r="O930" s="268"/>
      <c r="P930" s="268"/>
      <c r="Q930" s="268"/>
      <c r="R930" s="268"/>
      <c r="S930" s="268"/>
      <c r="T930" s="268"/>
      <c r="U930" s="268"/>
      <c r="V930" s="268"/>
      <c r="W930" s="268"/>
      <c r="X930" s="268"/>
      <c r="Y930" s="268"/>
      <c r="Z930" s="268"/>
    </row>
    <row r="931" customHeight="1" spans="1:26">
      <c r="A931" s="268"/>
      <c r="B931" s="268"/>
      <c r="C931" s="268"/>
      <c r="D931" s="268"/>
      <c r="E931" s="268"/>
      <c r="F931" s="268"/>
      <c r="G931" s="268"/>
      <c r="H931" s="268"/>
      <c r="I931" s="268"/>
      <c r="J931" s="268"/>
      <c r="K931" s="268"/>
      <c r="L931" s="268"/>
      <c r="M931" s="268"/>
      <c r="N931" s="268"/>
      <c r="O931" s="268"/>
      <c r="P931" s="268"/>
      <c r="Q931" s="268"/>
      <c r="R931" s="268"/>
      <c r="S931" s="268"/>
      <c r="T931" s="268"/>
      <c r="U931" s="268"/>
      <c r="V931" s="268"/>
      <c r="W931" s="268"/>
      <c r="X931" s="268"/>
      <c r="Y931" s="268"/>
      <c r="Z931" s="268"/>
    </row>
    <row r="932" customHeight="1" spans="1:26">
      <c r="A932" s="268"/>
      <c r="B932" s="268"/>
      <c r="C932" s="268"/>
      <c r="D932" s="268"/>
      <c r="E932" s="268"/>
      <c r="F932" s="268"/>
      <c r="G932" s="268"/>
      <c r="H932" s="268"/>
      <c r="I932" s="268"/>
      <c r="J932" s="268"/>
      <c r="K932" s="268"/>
      <c r="L932" s="268"/>
      <c r="M932" s="268"/>
      <c r="N932" s="268"/>
      <c r="O932" s="268"/>
      <c r="P932" s="268"/>
      <c r="Q932" s="268"/>
      <c r="R932" s="268"/>
      <c r="S932" s="268"/>
      <c r="T932" s="268"/>
      <c r="U932" s="268"/>
      <c r="V932" s="268"/>
      <c r="W932" s="268"/>
      <c r="X932" s="268"/>
      <c r="Y932" s="268"/>
      <c r="Z932" s="268"/>
    </row>
    <row r="933" customHeight="1" spans="1:26">
      <c r="A933" s="268"/>
      <c r="B933" s="268"/>
      <c r="C933" s="268"/>
      <c r="D933" s="268"/>
      <c r="E933" s="268"/>
      <c r="F933" s="268"/>
      <c r="G933" s="268"/>
      <c r="H933" s="268"/>
      <c r="I933" s="268"/>
      <c r="J933" s="268"/>
      <c r="K933" s="268"/>
      <c r="L933" s="268"/>
      <c r="M933" s="268"/>
      <c r="N933" s="268"/>
      <c r="O933" s="268"/>
      <c r="P933" s="268"/>
      <c r="Q933" s="268"/>
      <c r="R933" s="268"/>
      <c r="S933" s="268"/>
      <c r="T933" s="268"/>
      <c r="U933" s="268"/>
      <c r="V933" s="268"/>
      <c r="W933" s="268"/>
      <c r="X933" s="268"/>
      <c r="Y933" s="268"/>
      <c r="Z933" s="268"/>
    </row>
    <row r="934" customHeight="1" spans="1:26">
      <c r="A934" s="268"/>
      <c r="B934" s="268"/>
      <c r="C934" s="268"/>
      <c r="D934" s="268"/>
      <c r="E934" s="268"/>
      <c r="F934" s="268"/>
      <c r="G934" s="268"/>
      <c r="H934" s="268"/>
      <c r="I934" s="268"/>
      <c r="J934" s="268"/>
      <c r="K934" s="268"/>
      <c r="L934" s="268"/>
      <c r="M934" s="268"/>
      <c r="N934" s="268"/>
      <c r="O934" s="268"/>
      <c r="P934" s="268"/>
      <c r="Q934" s="268"/>
      <c r="R934" s="268"/>
      <c r="S934" s="268"/>
      <c r="T934" s="268"/>
      <c r="U934" s="268"/>
      <c r="V934" s="268"/>
      <c r="W934" s="268"/>
      <c r="X934" s="268"/>
      <c r="Y934" s="268"/>
      <c r="Z934" s="268"/>
    </row>
    <row r="935" customHeight="1" spans="1:26">
      <c r="A935" s="268"/>
      <c r="B935" s="268"/>
      <c r="C935" s="268"/>
      <c r="D935" s="268"/>
      <c r="E935" s="268"/>
      <c r="F935" s="268"/>
      <c r="G935" s="268"/>
      <c r="H935" s="268"/>
      <c r="I935" s="268"/>
      <c r="J935" s="268"/>
      <c r="K935" s="268"/>
      <c r="L935" s="268"/>
      <c r="M935" s="268"/>
      <c r="N935" s="268"/>
      <c r="O935" s="268"/>
      <c r="P935" s="268"/>
      <c r="Q935" s="268"/>
      <c r="R935" s="268"/>
      <c r="S935" s="268"/>
      <c r="T935" s="268"/>
      <c r="U935" s="268"/>
      <c r="V935" s="268"/>
      <c r="W935" s="268"/>
      <c r="X935" s="268"/>
      <c r="Y935" s="268"/>
      <c r="Z935" s="268"/>
    </row>
    <row r="936" customHeight="1" spans="1:26">
      <c r="A936" s="268"/>
      <c r="B936" s="268"/>
      <c r="C936" s="268"/>
      <c r="D936" s="268"/>
      <c r="E936" s="268"/>
      <c r="F936" s="268"/>
      <c r="G936" s="268"/>
      <c r="H936" s="268"/>
      <c r="I936" s="268"/>
      <c r="J936" s="268"/>
      <c r="K936" s="268"/>
      <c r="L936" s="268"/>
      <c r="M936" s="268"/>
      <c r="N936" s="268"/>
      <c r="O936" s="268"/>
      <c r="P936" s="268"/>
      <c r="Q936" s="268"/>
      <c r="R936" s="268"/>
      <c r="S936" s="268"/>
      <c r="T936" s="268"/>
      <c r="U936" s="268"/>
      <c r="V936" s="268"/>
      <c r="W936" s="268"/>
      <c r="X936" s="268"/>
      <c r="Y936" s="268"/>
      <c r="Z936" s="268"/>
    </row>
    <row r="937" customHeight="1" spans="1:26">
      <c r="A937" s="268"/>
      <c r="B937" s="268"/>
      <c r="C937" s="268"/>
      <c r="D937" s="268"/>
      <c r="E937" s="268"/>
      <c r="F937" s="268"/>
      <c r="G937" s="268"/>
      <c r="H937" s="268"/>
      <c r="I937" s="268"/>
      <c r="J937" s="268"/>
      <c r="K937" s="268"/>
      <c r="L937" s="268"/>
      <c r="M937" s="268"/>
      <c r="N937" s="268"/>
      <c r="O937" s="268"/>
      <c r="P937" s="268"/>
      <c r="Q937" s="268"/>
      <c r="R937" s="268"/>
      <c r="S937" s="268"/>
      <c r="T937" s="268"/>
      <c r="U937" s="268"/>
      <c r="V937" s="268"/>
      <c r="W937" s="268"/>
      <c r="X937" s="268"/>
      <c r="Y937" s="268"/>
      <c r="Z937" s="268"/>
    </row>
    <row r="938" customHeight="1" spans="1:26">
      <c r="A938" s="268"/>
      <c r="B938" s="268"/>
      <c r="C938" s="268"/>
      <c r="D938" s="268"/>
      <c r="E938" s="268"/>
      <c r="F938" s="268"/>
      <c r="G938" s="268"/>
      <c r="H938" s="268"/>
      <c r="I938" s="268"/>
      <c r="J938" s="268"/>
      <c r="K938" s="268"/>
      <c r="L938" s="268"/>
      <c r="M938" s="268"/>
      <c r="N938" s="268"/>
      <c r="O938" s="268"/>
      <c r="P938" s="268"/>
      <c r="Q938" s="268"/>
      <c r="R938" s="268"/>
      <c r="S938" s="268"/>
      <c r="T938" s="268"/>
      <c r="U938" s="268"/>
      <c r="V938" s="268"/>
      <c r="W938" s="268"/>
      <c r="X938" s="268"/>
      <c r="Y938" s="268"/>
      <c r="Z938" s="268"/>
    </row>
    <row r="939" customHeight="1" spans="1:26">
      <c r="A939" s="268"/>
      <c r="B939" s="268"/>
      <c r="C939" s="268"/>
      <c r="D939" s="268"/>
      <c r="E939" s="268"/>
      <c r="F939" s="268"/>
      <c r="G939" s="268"/>
      <c r="H939" s="268"/>
      <c r="I939" s="268"/>
      <c r="J939" s="268"/>
      <c r="K939" s="268"/>
      <c r="L939" s="268"/>
      <c r="M939" s="268"/>
      <c r="N939" s="268"/>
      <c r="O939" s="268"/>
      <c r="P939" s="268"/>
      <c r="Q939" s="268"/>
      <c r="R939" s="268"/>
      <c r="S939" s="268"/>
      <c r="T939" s="268"/>
      <c r="U939" s="268"/>
      <c r="V939" s="268"/>
      <c r="W939" s="268"/>
      <c r="X939" s="268"/>
      <c r="Y939" s="268"/>
      <c r="Z939" s="268"/>
    </row>
    <row r="940" customHeight="1" spans="1:26">
      <c r="A940" s="268"/>
      <c r="B940" s="268"/>
      <c r="C940" s="268"/>
      <c r="D940" s="268"/>
      <c r="E940" s="268"/>
      <c r="F940" s="268"/>
      <c r="G940" s="268"/>
      <c r="H940" s="268"/>
      <c r="I940" s="268"/>
      <c r="J940" s="268"/>
      <c r="K940" s="268"/>
      <c r="L940" s="268"/>
      <c r="M940" s="268"/>
      <c r="N940" s="268"/>
      <c r="O940" s="268"/>
      <c r="P940" s="268"/>
      <c r="Q940" s="268"/>
      <c r="R940" s="268"/>
      <c r="S940" s="268"/>
      <c r="T940" s="268"/>
      <c r="U940" s="268"/>
      <c r="V940" s="268"/>
      <c r="W940" s="268"/>
      <c r="X940" s="268"/>
      <c r="Y940" s="268"/>
      <c r="Z940" s="268"/>
    </row>
    <row r="941" customHeight="1" spans="1:26">
      <c r="A941" s="268"/>
      <c r="B941" s="268"/>
      <c r="C941" s="268"/>
      <c r="D941" s="268"/>
      <c r="E941" s="268"/>
      <c r="F941" s="268"/>
      <c r="G941" s="268"/>
      <c r="H941" s="268"/>
      <c r="I941" s="268"/>
      <c r="J941" s="268"/>
      <c r="K941" s="268"/>
      <c r="L941" s="268"/>
      <c r="M941" s="268"/>
      <c r="N941" s="268"/>
      <c r="O941" s="268"/>
      <c r="P941" s="268"/>
      <c r="Q941" s="268"/>
      <c r="R941" s="268"/>
      <c r="S941" s="268"/>
      <c r="T941" s="268"/>
      <c r="U941" s="268"/>
      <c r="V941" s="268"/>
      <c r="W941" s="268"/>
      <c r="X941" s="268"/>
      <c r="Y941" s="268"/>
      <c r="Z941" s="268"/>
    </row>
    <row r="942" customHeight="1" spans="1:26">
      <c r="A942" s="268"/>
      <c r="B942" s="268"/>
      <c r="C942" s="268"/>
      <c r="D942" s="268"/>
      <c r="E942" s="268"/>
      <c r="F942" s="268"/>
      <c r="G942" s="268"/>
      <c r="H942" s="268"/>
      <c r="I942" s="268"/>
      <c r="J942" s="268"/>
      <c r="K942" s="268"/>
      <c r="L942" s="268"/>
      <c r="M942" s="268"/>
      <c r="N942" s="268"/>
      <c r="O942" s="268"/>
      <c r="P942" s="268"/>
      <c r="Q942" s="268"/>
      <c r="R942" s="268"/>
      <c r="S942" s="268"/>
      <c r="T942" s="268"/>
      <c r="U942" s="268"/>
      <c r="V942" s="268"/>
      <c r="W942" s="268"/>
      <c r="X942" s="268"/>
      <c r="Y942" s="268"/>
      <c r="Z942" s="268"/>
    </row>
    <row r="943" customHeight="1" spans="1:26">
      <c r="A943" s="268"/>
      <c r="B943" s="268"/>
      <c r="C943" s="268"/>
      <c r="D943" s="268"/>
      <c r="E943" s="268"/>
      <c r="F943" s="268"/>
      <c r="G943" s="268"/>
      <c r="H943" s="268"/>
      <c r="I943" s="268"/>
      <c r="J943" s="268"/>
      <c r="K943" s="268"/>
      <c r="L943" s="268"/>
      <c r="M943" s="268"/>
      <c r="N943" s="268"/>
      <c r="O943" s="268"/>
      <c r="P943" s="268"/>
      <c r="Q943" s="268"/>
      <c r="R943" s="268"/>
      <c r="S943" s="268"/>
      <c r="T943" s="268"/>
      <c r="U943" s="268"/>
      <c r="V943" s="268"/>
      <c r="W943" s="268"/>
      <c r="X943" s="268"/>
      <c r="Y943" s="268"/>
      <c r="Z943" s="268"/>
    </row>
    <row r="944" customHeight="1" spans="1:26">
      <c r="A944" s="268"/>
      <c r="B944" s="268"/>
      <c r="C944" s="268"/>
      <c r="D944" s="268"/>
      <c r="E944" s="268"/>
      <c r="F944" s="268"/>
      <c r="G944" s="268"/>
      <c r="H944" s="268"/>
      <c r="I944" s="268"/>
      <c r="J944" s="268"/>
      <c r="K944" s="268"/>
      <c r="L944" s="268"/>
      <c r="M944" s="268"/>
      <c r="N944" s="268"/>
      <c r="O944" s="268"/>
      <c r="P944" s="268"/>
      <c r="Q944" s="268"/>
      <c r="R944" s="268"/>
      <c r="S944" s="268"/>
      <c r="T944" s="268"/>
      <c r="U944" s="268"/>
      <c r="V944" s="268"/>
      <c r="W944" s="268"/>
      <c r="X944" s="268"/>
      <c r="Y944" s="268"/>
      <c r="Z944" s="268"/>
    </row>
    <row r="945" customHeight="1" spans="1:26">
      <c r="A945" s="268"/>
      <c r="B945" s="268"/>
      <c r="C945" s="268"/>
      <c r="D945" s="268"/>
      <c r="E945" s="268"/>
      <c r="F945" s="268"/>
      <c r="G945" s="268"/>
      <c r="H945" s="268"/>
      <c r="I945" s="268"/>
      <c r="J945" s="268"/>
      <c r="K945" s="268"/>
      <c r="L945" s="268"/>
      <c r="M945" s="268"/>
      <c r="N945" s="268"/>
      <c r="O945" s="268"/>
      <c r="P945" s="268"/>
      <c r="Q945" s="268"/>
      <c r="R945" s="268"/>
      <c r="S945" s="268"/>
      <c r="T945" s="268"/>
      <c r="U945" s="268"/>
      <c r="V945" s="268"/>
      <c r="W945" s="268"/>
      <c r="X945" s="268"/>
      <c r="Y945" s="268"/>
      <c r="Z945" s="268"/>
    </row>
    <row r="946" customHeight="1" spans="1:26">
      <c r="A946" s="268"/>
      <c r="B946" s="268"/>
      <c r="C946" s="268"/>
      <c r="D946" s="268"/>
      <c r="E946" s="268"/>
      <c r="F946" s="268"/>
      <c r="G946" s="268"/>
      <c r="H946" s="268"/>
      <c r="I946" s="268"/>
      <c r="J946" s="268"/>
      <c r="K946" s="268"/>
      <c r="L946" s="268"/>
      <c r="M946" s="268"/>
      <c r="N946" s="268"/>
      <c r="O946" s="268"/>
      <c r="P946" s="268"/>
      <c r="Q946" s="268"/>
      <c r="R946" s="268"/>
      <c r="S946" s="268"/>
      <c r="T946" s="268"/>
      <c r="U946" s="268"/>
      <c r="V946" s="268"/>
      <c r="W946" s="268"/>
      <c r="X946" s="268"/>
      <c r="Y946" s="268"/>
      <c r="Z946" s="268"/>
    </row>
    <row r="947" customHeight="1" spans="1:26">
      <c r="A947" s="268"/>
      <c r="B947" s="268"/>
      <c r="C947" s="268"/>
      <c r="D947" s="268"/>
      <c r="E947" s="268"/>
      <c r="F947" s="268"/>
      <c r="G947" s="268"/>
      <c r="H947" s="268"/>
      <c r="I947" s="268"/>
      <c r="J947" s="268"/>
      <c r="K947" s="268"/>
      <c r="L947" s="268"/>
      <c r="M947" s="268"/>
      <c r="N947" s="268"/>
      <c r="O947" s="268"/>
      <c r="P947" s="268"/>
      <c r="Q947" s="268"/>
      <c r="R947" s="268"/>
      <c r="S947" s="268"/>
      <c r="T947" s="268"/>
      <c r="U947" s="268"/>
      <c r="V947" s="268"/>
      <c r="W947" s="268"/>
      <c r="X947" s="268"/>
      <c r="Y947" s="268"/>
      <c r="Z947" s="268"/>
    </row>
    <row r="948" customHeight="1" spans="1:26">
      <c r="A948" s="268"/>
      <c r="B948" s="268"/>
      <c r="C948" s="268"/>
      <c r="D948" s="268"/>
      <c r="E948" s="268"/>
      <c r="F948" s="268"/>
      <c r="G948" s="268"/>
      <c r="H948" s="268"/>
      <c r="I948" s="268"/>
      <c r="J948" s="268"/>
      <c r="K948" s="268"/>
      <c r="L948" s="268"/>
      <c r="M948" s="268"/>
      <c r="N948" s="268"/>
      <c r="O948" s="268"/>
      <c r="P948" s="268"/>
      <c r="Q948" s="268"/>
      <c r="R948" s="268"/>
      <c r="S948" s="268"/>
      <c r="T948" s="268"/>
      <c r="U948" s="268"/>
      <c r="V948" s="268"/>
      <c r="W948" s="268"/>
      <c r="X948" s="268"/>
      <c r="Y948" s="268"/>
      <c r="Z948" s="268"/>
    </row>
    <row r="949" customHeight="1" spans="1:26">
      <c r="A949" s="268"/>
      <c r="B949" s="268"/>
      <c r="C949" s="268"/>
      <c r="D949" s="268"/>
      <c r="E949" s="268"/>
      <c r="F949" s="268"/>
      <c r="G949" s="268"/>
      <c r="H949" s="268"/>
      <c r="I949" s="268"/>
      <c r="J949" s="268"/>
      <c r="K949" s="268"/>
      <c r="L949" s="268"/>
      <c r="M949" s="268"/>
      <c r="N949" s="268"/>
      <c r="O949" s="268"/>
      <c r="P949" s="268"/>
      <c r="Q949" s="268"/>
      <c r="R949" s="268"/>
      <c r="S949" s="268"/>
      <c r="T949" s="268"/>
      <c r="U949" s="268"/>
      <c r="V949" s="268"/>
      <c r="W949" s="268"/>
      <c r="X949" s="268"/>
      <c r="Y949" s="268"/>
      <c r="Z949" s="268"/>
    </row>
    <row r="950" customHeight="1" spans="1:26">
      <c r="A950" s="268"/>
      <c r="B950" s="268"/>
      <c r="C950" s="268"/>
      <c r="D950" s="268"/>
      <c r="E950" s="268"/>
      <c r="F950" s="268"/>
      <c r="G950" s="268"/>
      <c r="H950" s="268"/>
      <c r="I950" s="268"/>
      <c r="J950" s="268"/>
      <c r="K950" s="268"/>
      <c r="L950" s="268"/>
      <c r="M950" s="268"/>
      <c r="N950" s="268"/>
      <c r="O950" s="268"/>
      <c r="P950" s="268"/>
      <c r="Q950" s="268"/>
      <c r="R950" s="268"/>
      <c r="S950" s="268"/>
      <c r="T950" s="268"/>
      <c r="U950" s="268"/>
      <c r="V950" s="268"/>
      <c r="W950" s="268"/>
      <c r="X950" s="268"/>
      <c r="Y950" s="268"/>
      <c r="Z950" s="268"/>
    </row>
    <row r="951" customHeight="1" spans="1:26">
      <c r="A951" s="268"/>
      <c r="B951" s="268"/>
      <c r="C951" s="268"/>
      <c r="D951" s="268"/>
      <c r="E951" s="268"/>
      <c r="F951" s="268"/>
      <c r="G951" s="268"/>
      <c r="H951" s="268"/>
      <c r="I951" s="268"/>
      <c r="J951" s="268"/>
      <c r="K951" s="268"/>
      <c r="L951" s="268"/>
      <c r="M951" s="268"/>
      <c r="N951" s="268"/>
      <c r="O951" s="268"/>
      <c r="P951" s="268"/>
      <c r="Q951" s="268"/>
      <c r="R951" s="268"/>
      <c r="S951" s="268"/>
      <c r="T951" s="268"/>
      <c r="U951" s="268"/>
      <c r="V951" s="268"/>
      <c r="W951" s="268"/>
      <c r="X951" s="268"/>
      <c r="Y951" s="268"/>
      <c r="Z951" s="268"/>
    </row>
    <row r="952" customHeight="1" spans="1:26">
      <c r="A952" s="268"/>
      <c r="B952" s="268"/>
      <c r="C952" s="268"/>
      <c r="D952" s="268"/>
      <c r="E952" s="268"/>
      <c r="F952" s="268"/>
      <c r="G952" s="268"/>
      <c r="H952" s="268"/>
      <c r="I952" s="268"/>
      <c r="J952" s="268"/>
      <c r="K952" s="268"/>
      <c r="L952" s="268"/>
      <c r="M952" s="268"/>
      <c r="N952" s="268"/>
      <c r="O952" s="268"/>
      <c r="P952" s="268"/>
      <c r="Q952" s="268"/>
      <c r="R952" s="268"/>
      <c r="S952" s="268"/>
      <c r="T952" s="268"/>
      <c r="U952" s="268"/>
      <c r="V952" s="268"/>
      <c r="W952" s="268"/>
      <c r="X952" s="268"/>
      <c r="Y952" s="268"/>
      <c r="Z952" s="268"/>
    </row>
    <row r="953" customHeight="1" spans="1:26">
      <c r="A953" s="268"/>
      <c r="B953" s="268"/>
      <c r="C953" s="268"/>
      <c r="D953" s="268"/>
      <c r="E953" s="268"/>
      <c r="F953" s="268"/>
      <c r="G953" s="268"/>
      <c r="H953" s="268"/>
      <c r="I953" s="268"/>
      <c r="J953" s="268"/>
      <c r="K953" s="268"/>
      <c r="L953" s="268"/>
      <c r="M953" s="268"/>
      <c r="N953" s="268"/>
      <c r="O953" s="268"/>
      <c r="P953" s="268"/>
      <c r="Q953" s="268"/>
      <c r="R953" s="268"/>
      <c r="S953" s="268"/>
      <c r="T953" s="268"/>
      <c r="U953" s="268"/>
      <c r="V953" s="268"/>
      <c r="W953" s="268"/>
      <c r="X953" s="268"/>
      <c r="Y953" s="268"/>
      <c r="Z953" s="268"/>
    </row>
    <row r="954" customHeight="1" spans="1:26">
      <c r="A954" s="268"/>
      <c r="B954" s="268"/>
      <c r="C954" s="268"/>
      <c r="D954" s="268"/>
      <c r="E954" s="268"/>
      <c r="F954" s="268"/>
      <c r="G954" s="268"/>
      <c r="H954" s="268"/>
      <c r="I954" s="268"/>
      <c r="J954" s="268"/>
      <c r="K954" s="268"/>
      <c r="L954" s="268"/>
      <c r="M954" s="268"/>
      <c r="N954" s="268"/>
      <c r="O954" s="268"/>
      <c r="P954" s="268"/>
      <c r="Q954" s="268"/>
      <c r="R954" s="268"/>
      <c r="S954" s="268"/>
      <c r="T954" s="268"/>
      <c r="U954" s="268"/>
      <c r="V954" s="268"/>
      <c r="W954" s="268"/>
      <c r="X954" s="268"/>
      <c r="Y954" s="268"/>
      <c r="Z954" s="268"/>
    </row>
    <row r="955" customHeight="1" spans="1:26">
      <c r="A955" s="268"/>
      <c r="B955" s="268"/>
      <c r="C955" s="268"/>
      <c r="D955" s="268"/>
      <c r="E955" s="268"/>
      <c r="F955" s="268"/>
      <c r="G955" s="268"/>
      <c r="H955" s="268"/>
      <c r="I955" s="268"/>
      <c r="J955" s="268"/>
      <c r="K955" s="268"/>
      <c r="L955" s="268"/>
      <c r="M955" s="268"/>
      <c r="N955" s="268"/>
      <c r="O955" s="268"/>
      <c r="P955" s="268"/>
      <c r="Q955" s="268"/>
      <c r="R955" s="268"/>
      <c r="S955" s="268"/>
      <c r="T955" s="268"/>
      <c r="U955" s="268"/>
      <c r="V955" s="268"/>
      <c r="W955" s="268"/>
      <c r="X955" s="268"/>
      <c r="Y955" s="268"/>
      <c r="Z955" s="268"/>
    </row>
    <row r="956" customHeight="1" spans="1:26">
      <c r="A956" s="268"/>
      <c r="B956" s="268"/>
      <c r="C956" s="268"/>
      <c r="D956" s="268"/>
      <c r="E956" s="268"/>
      <c r="F956" s="268"/>
      <c r="G956" s="268"/>
      <c r="H956" s="268"/>
      <c r="I956" s="268"/>
      <c r="J956" s="268"/>
      <c r="K956" s="268"/>
      <c r="L956" s="268"/>
      <c r="M956" s="268"/>
      <c r="N956" s="268"/>
      <c r="O956" s="268"/>
      <c r="P956" s="268"/>
      <c r="Q956" s="268"/>
      <c r="R956" s="268"/>
      <c r="S956" s="268"/>
      <c r="T956" s="268"/>
      <c r="U956" s="268"/>
      <c r="V956" s="268"/>
      <c r="W956" s="268"/>
      <c r="X956" s="268"/>
      <c r="Y956" s="268"/>
      <c r="Z956" s="268"/>
    </row>
    <row r="957" customHeight="1" spans="1:26">
      <c r="A957" s="268"/>
      <c r="B957" s="268"/>
      <c r="C957" s="268"/>
      <c r="D957" s="268"/>
      <c r="E957" s="268"/>
      <c r="F957" s="268"/>
      <c r="G957" s="268"/>
      <c r="H957" s="268"/>
      <c r="I957" s="268"/>
      <c r="J957" s="268"/>
      <c r="K957" s="268"/>
      <c r="L957" s="268"/>
      <c r="M957" s="268"/>
      <c r="N957" s="268"/>
      <c r="O957" s="268"/>
      <c r="P957" s="268"/>
      <c r="Q957" s="268"/>
      <c r="R957" s="268"/>
      <c r="S957" s="268"/>
      <c r="T957" s="268"/>
      <c r="U957" s="268"/>
      <c r="V957" s="268"/>
      <c r="W957" s="268"/>
      <c r="X957" s="268"/>
      <c r="Y957" s="268"/>
      <c r="Z957" s="268"/>
    </row>
    <row r="958" customHeight="1" spans="1:26">
      <c r="A958" s="268"/>
      <c r="B958" s="268"/>
      <c r="C958" s="268"/>
      <c r="D958" s="268"/>
      <c r="E958" s="268"/>
      <c r="F958" s="268"/>
      <c r="G958" s="268"/>
      <c r="H958" s="268"/>
      <c r="I958" s="268"/>
      <c r="J958" s="268"/>
      <c r="K958" s="268"/>
      <c r="L958" s="268"/>
      <c r="M958" s="268"/>
      <c r="N958" s="268"/>
      <c r="O958" s="268"/>
      <c r="P958" s="268"/>
      <c r="Q958" s="268"/>
      <c r="R958" s="268"/>
      <c r="S958" s="268"/>
      <c r="T958" s="268"/>
      <c r="U958" s="268"/>
      <c r="V958" s="268"/>
      <c r="W958" s="268"/>
      <c r="X958" s="268"/>
      <c r="Y958" s="268"/>
      <c r="Z958" s="268"/>
    </row>
    <row r="959" customHeight="1" spans="1:26">
      <c r="A959" s="268"/>
      <c r="B959" s="268"/>
      <c r="C959" s="268"/>
      <c r="D959" s="268"/>
      <c r="E959" s="268"/>
      <c r="F959" s="268"/>
      <c r="G959" s="268"/>
      <c r="H959" s="268"/>
      <c r="I959" s="268"/>
      <c r="J959" s="268"/>
      <c r="K959" s="268"/>
      <c r="L959" s="268"/>
      <c r="M959" s="268"/>
      <c r="N959" s="268"/>
      <c r="O959" s="268"/>
      <c r="P959" s="268"/>
      <c r="Q959" s="268"/>
      <c r="R959" s="268"/>
      <c r="S959" s="268"/>
      <c r="T959" s="268"/>
      <c r="U959" s="268"/>
      <c r="V959" s="268"/>
      <c r="W959" s="268"/>
      <c r="X959" s="268"/>
      <c r="Y959" s="268"/>
      <c r="Z959" s="268"/>
    </row>
    <row r="960" customHeight="1" spans="1:26">
      <c r="A960" s="268"/>
      <c r="B960" s="268"/>
      <c r="C960" s="268"/>
      <c r="D960" s="268"/>
      <c r="E960" s="268"/>
      <c r="F960" s="268"/>
      <c r="G960" s="268"/>
      <c r="H960" s="268"/>
      <c r="I960" s="268"/>
      <c r="J960" s="268"/>
      <c r="K960" s="268"/>
      <c r="L960" s="268"/>
      <c r="M960" s="268"/>
      <c r="N960" s="268"/>
      <c r="O960" s="268"/>
      <c r="P960" s="268"/>
      <c r="Q960" s="268"/>
      <c r="R960" s="268"/>
      <c r="S960" s="268"/>
      <c r="T960" s="268"/>
      <c r="U960" s="268"/>
      <c r="V960" s="268"/>
      <c r="W960" s="268"/>
      <c r="X960" s="268"/>
      <c r="Y960" s="268"/>
      <c r="Z960" s="268"/>
    </row>
    <row r="961" customHeight="1" spans="1:26">
      <c r="A961" s="268"/>
      <c r="B961" s="268"/>
      <c r="C961" s="268"/>
      <c r="D961" s="268"/>
      <c r="E961" s="268"/>
      <c r="F961" s="268"/>
      <c r="G961" s="268"/>
      <c r="H961" s="268"/>
      <c r="I961" s="268"/>
      <c r="J961" s="268"/>
      <c r="K961" s="268"/>
      <c r="L961" s="268"/>
      <c r="M961" s="268"/>
      <c r="N961" s="268"/>
      <c r="O961" s="268"/>
      <c r="P961" s="268"/>
      <c r="Q961" s="268"/>
      <c r="R961" s="268"/>
      <c r="S961" s="268"/>
      <c r="T961" s="268"/>
      <c r="U961" s="268"/>
      <c r="V961" s="268"/>
      <c r="W961" s="268"/>
      <c r="X961" s="268"/>
      <c r="Y961" s="268"/>
      <c r="Z961" s="268"/>
    </row>
    <row r="962" customHeight="1" spans="1:26">
      <c r="A962" s="268"/>
      <c r="B962" s="268"/>
      <c r="C962" s="268"/>
      <c r="D962" s="268"/>
      <c r="E962" s="268"/>
      <c r="F962" s="268"/>
      <c r="G962" s="268"/>
      <c r="H962" s="268"/>
      <c r="I962" s="268"/>
      <c r="J962" s="268"/>
      <c r="K962" s="268"/>
      <c r="L962" s="268"/>
      <c r="M962" s="268"/>
      <c r="N962" s="268"/>
      <c r="O962" s="268"/>
      <c r="P962" s="268"/>
      <c r="Q962" s="268"/>
      <c r="R962" s="268"/>
      <c r="S962" s="268"/>
      <c r="T962" s="268"/>
      <c r="U962" s="268"/>
      <c r="V962" s="268"/>
      <c r="W962" s="268"/>
      <c r="X962" s="268"/>
      <c r="Y962" s="268"/>
      <c r="Z962" s="268"/>
    </row>
    <row r="963" customHeight="1" spans="1:26">
      <c r="A963" s="268"/>
      <c r="B963" s="268"/>
      <c r="C963" s="268"/>
      <c r="D963" s="268"/>
      <c r="E963" s="268"/>
      <c r="F963" s="268"/>
      <c r="G963" s="268"/>
      <c r="H963" s="268"/>
      <c r="I963" s="268"/>
      <c r="J963" s="268"/>
      <c r="K963" s="268"/>
      <c r="L963" s="268"/>
      <c r="M963" s="268"/>
      <c r="N963" s="268"/>
      <c r="O963" s="268"/>
      <c r="P963" s="268"/>
      <c r="Q963" s="268"/>
      <c r="R963" s="268"/>
      <c r="S963" s="268"/>
      <c r="T963" s="268"/>
      <c r="U963" s="268"/>
      <c r="V963" s="268"/>
      <c r="W963" s="268"/>
      <c r="X963" s="268"/>
      <c r="Y963" s="268"/>
      <c r="Z963" s="268"/>
    </row>
    <row r="964" customHeight="1" spans="1:26">
      <c r="A964" s="268"/>
      <c r="B964" s="268"/>
      <c r="C964" s="268"/>
      <c r="D964" s="268"/>
      <c r="E964" s="268"/>
      <c r="F964" s="268"/>
      <c r="G964" s="268"/>
      <c r="H964" s="268"/>
      <c r="I964" s="268"/>
      <c r="J964" s="268"/>
      <c r="K964" s="268"/>
      <c r="L964" s="268"/>
      <c r="M964" s="268"/>
      <c r="N964" s="268"/>
      <c r="O964" s="268"/>
      <c r="P964" s="268"/>
      <c r="Q964" s="268"/>
      <c r="R964" s="268"/>
      <c r="S964" s="268"/>
      <c r="T964" s="268"/>
      <c r="U964" s="268"/>
      <c r="V964" s="268"/>
      <c r="W964" s="268"/>
      <c r="X964" s="268"/>
      <c r="Y964" s="268"/>
      <c r="Z964" s="268"/>
    </row>
    <row r="965" customHeight="1" spans="1:26">
      <c r="A965" s="268"/>
      <c r="B965" s="268"/>
      <c r="C965" s="268"/>
      <c r="D965" s="268"/>
      <c r="E965" s="268"/>
      <c r="F965" s="268"/>
      <c r="G965" s="268"/>
      <c r="H965" s="268"/>
      <c r="I965" s="268"/>
      <c r="J965" s="268"/>
      <c r="K965" s="268"/>
      <c r="L965" s="268"/>
      <c r="M965" s="268"/>
      <c r="N965" s="268"/>
      <c r="O965" s="268"/>
      <c r="P965" s="268"/>
      <c r="Q965" s="268"/>
      <c r="R965" s="268"/>
      <c r="S965" s="268"/>
      <c r="T965" s="268"/>
      <c r="U965" s="268"/>
      <c r="V965" s="268"/>
      <c r="W965" s="268"/>
      <c r="X965" s="268"/>
      <c r="Y965" s="268"/>
      <c r="Z965" s="268"/>
    </row>
    <row r="966" customHeight="1" spans="1:26">
      <c r="A966" s="268"/>
      <c r="B966" s="268"/>
      <c r="C966" s="268"/>
      <c r="D966" s="268"/>
      <c r="E966" s="268"/>
      <c r="F966" s="268"/>
      <c r="G966" s="268"/>
      <c r="H966" s="268"/>
      <c r="I966" s="268"/>
      <c r="J966" s="268"/>
      <c r="K966" s="268"/>
      <c r="L966" s="268"/>
      <c r="M966" s="268"/>
      <c r="N966" s="268"/>
      <c r="O966" s="268"/>
      <c r="P966" s="268"/>
      <c r="Q966" s="268"/>
      <c r="R966" s="268"/>
      <c r="S966" s="268"/>
      <c r="T966" s="268"/>
      <c r="U966" s="268"/>
      <c r="V966" s="268"/>
      <c r="W966" s="268"/>
      <c r="X966" s="268"/>
      <c r="Y966" s="268"/>
      <c r="Z966" s="268"/>
    </row>
    <row r="967" customHeight="1" spans="1:26">
      <c r="A967" s="268"/>
      <c r="B967" s="268"/>
      <c r="C967" s="268"/>
      <c r="D967" s="268"/>
      <c r="E967" s="268"/>
      <c r="F967" s="268"/>
      <c r="G967" s="268"/>
      <c r="H967" s="268"/>
      <c r="I967" s="268"/>
      <c r="J967" s="268"/>
      <c r="K967" s="268"/>
      <c r="L967" s="268"/>
      <c r="M967" s="268"/>
      <c r="N967" s="268"/>
      <c r="O967" s="268"/>
      <c r="P967" s="268"/>
      <c r="Q967" s="268"/>
      <c r="R967" s="268"/>
      <c r="S967" s="268"/>
      <c r="T967" s="268"/>
      <c r="U967" s="268"/>
      <c r="V967" s="268"/>
      <c r="W967" s="268"/>
      <c r="X967" s="268"/>
      <c r="Y967" s="268"/>
      <c r="Z967" s="268"/>
    </row>
    <row r="968" customHeight="1" spans="1:26">
      <c r="A968" s="268"/>
      <c r="B968" s="268"/>
      <c r="C968" s="268"/>
      <c r="D968" s="268"/>
      <c r="E968" s="268"/>
      <c r="F968" s="268"/>
      <c r="G968" s="268"/>
      <c r="H968" s="268"/>
      <c r="I968" s="268"/>
      <c r="J968" s="268"/>
      <c r="K968" s="268"/>
      <c r="L968" s="268"/>
      <c r="M968" s="268"/>
      <c r="N968" s="268"/>
      <c r="O968" s="268"/>
      <c r="P968" s="268"/>
      <c r="Q968" s="268"/>
      <c r="R968" s="268"/>
      <c r="S968" s="268"/>
      <c r="T968" s="268"/>
      <c r="U968" s="268"/>
      <c r="V968" s="268"/>
      <c r="W968" s="268"/>
      <c r="X968" s="268"/>
      <c r="Y968" s="268"/>
      <c r="Z968" s="268"/>
    </row>
    <row r="969" customHeight="1" spans="1:26">
      <c r="A969" s="268"/>
      <c r="B969" s="268"/>
      <c r="C969" s="268"/>
      <c r="D969" s="268"/>
      <c r="E969" s="268"/>
      <c r="F969" s="268"/>
      <c r="G969" s="268"/>
      <c r="H969" s="268"/>
      <c r="I969" s="268"/>
      <c r="J969" s="268"/>
      <c r="K969" s="268"/>
      <c r="L969" s="268"/>
      <c r="M969" s="268"/>
      <c r="N969" s="268"/>
      <c r="O969" s="268"/>
      <c r="P969" s="268"/>
      <c r="Q969" s="268"/>
      <c r="R969" s="268"/>
      <c r="S969" s="268"/>
      <c r="T969" s="268"/>
      <c r="U969" s="268"/>
      <c r="V969" s="268"/>
      <c r="W969" s="268"/>
      <c r="X969" s="268"/>
      <c r="Y969" s="268"/>
      <c r="Z969" s="268"/>
    </row>
    <row r="970" customHeight="1" spans="1:26">
      <c r="A970" s="268"/>
      <c r="B970" s="268"/>
      <c r="C970" s="268"/>
      <c r="D970" s="268"/>
      <c r="E970" s="268"/>
      <c r="F970" s="268"/>
      <c r="G970" s="268"/>
      <c r="H970" s="268"/>
      <c r="I970" s="268"/>
      <c r="J970" s="268"/>
      <c r="K970" s="268"/>
      <c r="L970" s="268"/>
      <c r="M970" s="268"/>
      <c r="N970" s="268"/>
      <c r="O970" s="268"/>
      <c r="P970" s="268"/>
      <c r="Q970" s="268"/>
      <c r="R970" s="268"/>
      <c r="S970" s="268"/>
      <c r="T970" s="268"/>
      <c r="U970" s="268"/>
      <c r="V970" s="268"/>
      <c r="W970" s="268"/>
      <c r="X970" s="268"/>
      <c r="Y970" s="268"/>
      <c r="Z970" s="268"/>
    </row>
    <row r="971" customHeight="1" spans="1:26">
      <c r="A971" s="268"/>
      <c r="B971" s="268"/>
      <c r="C971" s="268"/>
      <c r="D971" s="268"/>
      <c r="E971" s="268"/>
      <c r="F971" s="268"/>
      <c r="G971" s="268"/>
      <c r="H971" s="268"/>
      <c r="I971" s="268"/>
      <c r="J971" s="268"/>
      <c r="K971" s="268"/>
      <c r="L971" s="268"/>
      <c r="M971" s="268"/>
      <c r="N971" s="268"/>
      <c r="O971" s="268"/>
      <c r="P971" s="268"/>
      <c r="Q971" s="268"/>
      <c r="R971" s="268"/>
      <c r="S971" s="268"/>
      <c r="T971" s="268"/>
      <c r="U971" s="268"/>
      <c r="V971" s="268"/>
      <c r="W971" s="268"/>
      <c r="X971" s="268"/>
      <c r="Y971" s="268"/>
      <c r="Z971" s="268"/>
    </row>
    <row r="972" customHeight="1" spans="1:26">
      <c r="A972" s="268"/>
      <c r="B972" s="268"/>
      <c r="C972" s="268"/>
      <c r="D972" s="268"/>
      <c r="E972" s="268"/>
      <c r="F972" s="268"/>
      <c r="G972" s="268"/>
      <c r="H972" s="268"/>
      <c r="I972" s="268"/>
      <c r="J972" s="268"/>
      <c r="K972" s="268"/>
      <c r="L972" s="268"/>
      <c r="M972" s="268"/>
      <c r="N972" s="268"/>
      <c r="O972" s="268"/>
      <c r="P972" s="268"/>
      <c r="Q972" s="268"/>
      <c r="R972" s="268"/>
      <c r="S972" s="268"/>
      <c r="T972" s="268"/>
      <c r="U972" s="268"/>
      <c r="V972" s="268"/>
      <c r="W972" s="268"/>
      <c r="X972" s="268"/>
      <c r="Y972" s="268"/>
      <c r="Z972" s="268"/>
    </row>
    <row r="973" customHeight="1" spans="1:26">
      <c r="A973" s="268"/>
      <c r="B973" s="268"/>
      <c r="C973" s="268"/>
      <c r="D973" s="268"/>
      <c r="E973" s="268"/>
      <c r="F973" s="268"/>
      <c r="G973" s="268"/>
      <c r="H973" s="268"/>
      <c r="I973" s="268"/>
      <c r="J973" s="268"/>
      <c r="K973" s="268"/>
      <c r="L973" s="268"/>
      <c r="M973" s="268"/>
      <c r="N973" s="268"/>
      <c r="O973" s="268"/>
      <c r="P973" s="268"/>
      <c r="Q973" s="268"/>
      <c r="R973" s="268"/>
      <c r="S973" s="268"/>
      <c r="T973" s="268"/>
      <c r="U973" s="268"/>
      <c r="V973" s="268"/>
      <c r="W973" s="268"/>
      <c r="X973" s="268"/>
      <c r="Y973" s="268"/>
      <c r="Z973" s="268"/>
    </row>
    <row r="974" customHeight="1" spans="1:26">
      <c r="A974" s="268"/>
      <c r="B974" s="268"/>
      <c r="C974" s="268"/>
      <c r="D974" s="268"/>
      <c r="E974" s="268"/>
      <c r="F974" s="268"/>
      <c r="G974" s="268"/>
      <c r="H974" s="268"/>
      <c r="I974" s="268"/>
      <c r="J974" s="268"/>
      <c r="K974" s="268"/>
      <c r="L974" s="268"/>
      <c r="M974" s="268"/>
      <c r="N974" s="268"/>
      <c r="O974" s="268"/>
      <c r="P974" s="268"/>
      <c r="Q974" s="268"/>
      <c r="R974" s="268"/>
      <c r="S974" s="268"/>
      <c r="T974" s="268"/>
      <c r="U974" s="268"/>
      <c r="V974" s="268"/>
      <c r="W974" s="268"/>
      <c r="X974" s="268"/>
      <c r="Y974" s="268"/>
      <c r="Z974" s="268"/>
    </row>
    <row r="975" customHeight="1" spans="1:26">
      <c r="A975" s="268"/>
      <c r="B975" s="268"/>
      <c r="C975" s="268"/>
      <c r="D975" s="268"/>
      <c r="E975" s="268"/>
      <c r="F975" s="268"/>
      <c r="G975" s="268"/>
      <c r="H975" s="268"/>
      <c r="I975" s="268"/>
      <c r="J975" s="268"/>
      <c r="K975" s="268"/>
      <c r="L975" s="268"/>
      <c r="M975" s="268"/>
      <c r="N975" s="268"/>
      <c r="O975" s="268"/>
      <c r="P975" s="268"/>
      <c r="Q975" s="268"/>
      <c r="R975" s="268"/>
      <c r="S975" s="268"/>
      <c r="T975" s="268"/>
      <c r="U975" s="268"/>
      <c r="V975" s="268"/>
      <c r="W975" s="268"/>
      <c r="X975" s="268"/>
      <c r="Y975" s="268"/>
      <c r="Z975" s="268"/>
    </row>
    <row r="976" customHeight="1" spans="1:26">
      <c r="A976" s="268"/>
      <c r="B976" s="268"/>
      <c r="C976" s="268"/>
      <c r="D976" s="268"/>
      <c r="E976" s="268"/>
      <c r="F976" s="268"/>
      <c r="G976" s="268"/>
      <c r="H976" s="268"/>
      <c r="I976" s="268"/>
      <c r="J976" s="268"/>
      <c r="K976" s="268"/>
      <c r="L976" s="268"/>
      <c r="M976" s="268"/>
      <c r="N976" s="268"/>
      <c r="O976" s="268"/>
      <c r="P976" s="268"/>
      <c r="Q976" s="268"/>
      <c r="R976" s="268"/>
      <c r="S976" s="268"/>
      <c r="T976" s="268"/>
      <c r="U976" s="268"/>
      <c r="V976" s="268"/>
      <c r="W976" s="268"/>
      <c r="X976" s="268"/>
      <c r="Y976" s="268"/>
      <c r="Z976" s="268"/>
    </row>
    <row r="977" customHeight="1" spans="1:26">
      <c r="A977" s="268"/>
      <c r="B977" s="268"/>
      <c r="C977" s="268"/>
      <c r="D977" s="268"/>
      <c r="E977" s="268"/>
      <c r="F977" s="268"/>
      <c r="G977" s="268"/>
      <c r="H977" s="268"/>
      <c r="I977" s="268"/>
      <c r="J977" s="268"/>
      <c r="K977" s="268"/>
      <c r="L977" s="268"/>
      <c r="M977" s="268"/>
      <c r="N977" s="268"/>
      <c r="O977" s="268"/>
      <c r="P977" s="268"/>
      <c r="Q977" s="268"/>
      <c r="R977" s="268"/>
      <c r="S977" s="268"/>
      <c r="T977" s="268"/>
      <c r="U977" s="268"/>
      <c r="V977" s="268"/>
      <c r="W977" s="268"/>
      <c r="X977" s="268"/>
      <c r="Y977" s="268"/>
      <c r="Z977" s="268"/>
    </row>
    <row r="978" customHeight="1" spans="1:26">
      <c r="A978" s="268"/>
      <c r="B978" s="268"/>
      <c r="C978" s="268"/>
      <c r="D978" s="268"/>
      <c r="E978" s="268"/>
      <c r="F978" s="268"/>
      <c r="G978" s="268"/>
      <c r="H978" s="268"/>
      <c r="I978" s="268"/>
      <c r="J978" s="268"/>
      <c r="K978" s="268"/>
      <c r="L978" s="268"/>
      <c r="M978" s="268"/>
      <c r="N978" s="268"/>
      <c r="O978" s="268"/>
      <c r="P978" s="268"/>
      <c r="Q978" s="268"/>
      <c r="R978" s="268"/>
      <c r="S978" s="268"/>
      <c r="T978" s="268"/>
      <c r="U978" s="268"/>
      <c r="V978" s="268"/>
      <c r="W978" s="268"/>
      <c r="X978" s="268"/>
      <c r="Y978" s="268"/>
      <c r="Z978" s="268"/>
    </row>
    <row r="979" customHeight="1" spans="1:26">
      <c r="A979" s="268"/>
      <c r="B979" s="268"/>
      <c r="C979" s="268"/>
      <c r="D979" s="268"/>
      <c r="E979" s="268"/>
      <c r="F979" s="268"/>
      <c r="G979" s="268"/>
      <c r="H979" s="268"/>
      <c r="I979" s="268"/>
      <c r="J979" s="268"/>
      <c r="K979" s="268"/>
      <c r="L979" s="268"/>
      <c r="M979" s="268"/>
      <c r="N979" s="268"/>
      <c r="O979" s="268"/>
      <c r="P979" s="268"/>
      <c r="Q979" s="268"/>
      <c r="R979" s="268"/>
      <c r="S979" s="268"/>
      <c r="T979" s="268"/>
      <c r="U979" s="268"/>
      <c r="V979" s="268"/>
      <c r="W979" s="268"/>
      <c r="X979" s="268"/>
      <c r="Y979" s="268"/>
      <c r="Z979" s="268"/>
    </row>
    <row r="980" customHeight="1" spans="1:26">
      <c r="A980" s="268"/>
      <c r="B980" s="268"/>
      <c r="C980" s="268"/>
      <c r="D980" s="268"/>
      <c r="E980" s="268"/>
      <c r="F980" s="268"/>
      <c r="G980" s="268"/>
      <c r="H980" s="268"/>
      <c r="I980" s="268"/>
      <c r="J980" s="268"/>
      <c r="K980" s="268"/>
      <c r="L980" s="268"/>
      <c r="M980" s="268"/>
      <c r="N980" s="268"/>
      <c r="O980" s="268"/>
      <c r="P980" s="268"/>
      <c r="Q980" s="268"/>
      <c r="R980" s="268"/>
      <c r="S980" s="268"/>
      <c r="T980" s="268"/>
      <c r="U980" s="268"/>
      <c r="V980" s="268"/>
      <c r="W980" s="268"/>
      <c r="X980" s="268"/>
      <c r="Y980" s="268"/>
      <c r="Z980" s="268"/>
    </row>
    <row r="981" customHeight="1" spans="1:26">
      <c r="A981" s="268"/>
      <c r="B981" s="268"/>
      <c r="C981" s="268"/>
      <c r="D981" s="268"/>
      <c r="E981" s="268"/>
      <c r="F981" s="268"/>
      <c r="G981" s="268"/>
      <c r="H981" s="268"/>
      <c r="I981" s="268"/>
      <c r="J981" s="268"/>
      <c r="K981" s="268"/>
      <c r="L981" s="268"/>
      <c r="M981" s="268"/>
      <c r="N981" s="268"/>
      <c r="O981" s="268"/>
      <c r="P981" s="268"/>
      <c r="Q981" s="268"/>
      <c r="R981" s="268"/>
      <c r="S981" s="268"/>
      <c r="T981" s="268"/>
      <c r="U981" s="268"/>
      <c r="V981" s="268"/>
      <c r="W981" s="268"/>
      <c r="X981" s="268"/>
      <c r="Y981" s="268"/>
      <c r="Z981" s="268"/>
    </row>
    <row r="982" customHeight="1" spans="1:26">
      <c r="A982" s="268"/>
      <c r="B982" s="268"/>
      <c r="C982" s="268"/>
      <c r="D982" s="268"/>
      <c r="E982" s="268"/>
      <c r="F982" s="268"/>
      <c r="G982" s="268"/>
      <c r="H982" s="268"/>
      <c r="I982" s="268"/>
      <c r="J982" s="268"/>
      <c r="K982" s="268"/>
      <c r="L982" s="268"/>
      <c r="M982" s="268"/>
      <c r="N982" s="268"/>
      <c r="O982" s="268"/>
      <c r="P982" s="268"/>
      <c r="Q982" s="268"/>
      <c r="R982" s="268"/>
      <c r="S982" s="268"/>
      <c r="T982" s="268"/>
      <c r="U982" s="268"/>
      <c r="V982" s="268"/>
      <c r="W982" s="268"/>
      <c r="X982" s="268"/>
      <c r="Y982" s="268"/>
      <c r="Z982" s="268"/>
    </row>
    <row r="983" customHeight="1" spans="1:26">
      <c r="A983" s="268"/>
      <c r="B983" s="268"/>
      <c r="C983" s="268"/>
      <c r="D983" s="268"/>
      <c r="E983" s="268"/>
      <c r="F983" s="268"/>
      <c r="G983" s="268"/>
      <c r="H983" s="268"/>
      <c r="I983" s="268"/>
      <c r="J983" s="268"/>
      <c r="K983" s="268"/>
      <c r="L983" s="268"/>
      <c r="M983" s="268"/>
      <c r="N983" s="268"/>
      <c r="O983" s="268"/>
      <c r="P983" s="268"/>
      <c r="Q983" s="268"/>
      <c r="R983" s="268"/>
      <c r="S983" s="268"/>
      <c r="T983" s="268"/>
      <c r="U983" s="268"/>
      <c r="V983" s="268"/>
      <c r="W983" s="268"/>
      <c r="X983" s="268"/>
      <c r="Y983" s="268"/>
      <c r="Z983" s="268"/>
    </row>
    <row r="984" customHeight="1" spans="1:26">
      <c r="A984" s="268"/>
      <c r="B984" s="268"/>
      <c r="C984" s="268"/>
      <c r="D984" s="268"/>
      <c r="E984" s="268"/>
      <c r="F984" s="268"/>
      <c r="G984" s="268"/>
      <c r="H984" s="268"/>
      <c r="I984" s="268"/>
      <c r="J984" s="268"/>
      <c r="K984" s="268"/>
      <c r="L984" s="268"/>
      <c r="M984" s="268"/>
      <c r="N984" s="268"/>
      <c r="O984" s="268"/>
      <c r="P984" s="268"/>
      <c r="Q984" s="268"/>
      <c r="R984" s="268"/>
      <c r="S984" s="268"/>
      <c r="T984" s="268"/>
      <c r="U984" s="268"/>
      <c r="V984" s="268"/>
      <c r="W984" s="268"/>
      <c r="X984" s="268"/>
      <c r="Y984" s="268"/>
      <c r="Z984" s="268"/>
    </row>
    <row r="985" customHeight="1" spans="1:26">
      <c r="A985" s="268"/>
      <c r="B985" s="268"/>
      <c r="C985" s="268"/>
      <c r="D985" s="268"/>
      <c r="E985" s="268"/>
      <c r="F985" s="268"/>
      <c r="G985" s="268"/>
      <c r="H985" s="268"/>
      <c r="I985" s="268"/>
      <c r="J985" s="268"/>
      <c r="K985" s="268"/>
      <c r="L985" s="268"/>
      <c r="M985" s="268"/>
      <c r="N985" s="268"/>
      <c r="O985" s="268"/>
      <c r="P985" s="268"/>
      <c r="Q985" s="268"/>
      <c r="R985" s="268"/>
      <c r="S985" s="268"/>
      <c r="T985" s="268"/>
      <c r="U985" s="268"/>
      <c r="V985" s="268"/>
      <c r="W985" s="268"/>
      <c r="X985" s="268"/>
      <c r="Y985" s="268"/>
      <c r="Z985" s="268"/>
    </row>
    <row r="986" customHeight="1" spans="1:26">
      <c r="A986" s="268"/>
      <c r="B986" s="268"/>
      <c r="C986" s="268"/>
      <c r="D986" s="268"/>
      <c r="E986" s="268"/>
      <c r="F986" s="268"/>
      <c r="G986" s="268"/>
      <c r="H986" s="268"/>
      <c r="I986" s="268"/>
      <c r="J986" s="268"/>
      <c r="K986" s="268"/>
      <c r="L986" s="268"/>
      <c r="M986" s="268"/>
      <c r="N986" s="268"/>
      <c r="O986" s="268"/>
      <c r="P986" s="268"/>
      <c r="Q986" s="268"/>
      <c r="R986" s="268"/>
      <c r="S986" s="268"/>
      <c r="T986" s="268"/>
      <c r="U986" s="268"/>
      <c r="V986" s="268"/>
      <c r="W986" s="268"/>
      <c r="X986" s="268"/>
      <c r="Y986" s="268"/>
      <c r="Z986" s="268"/>
    </row>
    <row r="987" customHeight="1" spans="1:26">
      <c r="A987" s="268"/>
      <c r="B987" s="268"/>
      <c r="C987" s="268"/>
      <c r="D987" s="268"/>
      <c r="E987" s="268"/>
      <c r="F987" s="268"/>
      <c r="G987" s="268"/>
      <c r="H987" s="268"/>
      <c r="I987" s="268"/>
      <c r="J987" s="268"/>
      <c r="K987" s="268"/>
      <c r="L987" s="268"/>
      <c r="M987" s="268"/>
      <c r="N987" s="268"/>
      <c r="O987" s="268"/>
      <c r="P987" s="268"/>
      <c r="Q987" s="268"/>
      <c r="R987" s="268"/>
      <c r="S987" s="268"/>
      <c r="T987" s="268"/>
      <c r="U987" s="268"/>
      <c r="V987" s="268"/>
      <c r="W987" s="268"/>
      <c r="X987" s="268"/>
      <c r="Y987" s="268"/>
      <c r="Z987" s="268"/>
    </row>
    <row r="988" customHeight="1" spans="1:26">
      <c r="A988" s="268"/>
      <c r="B988" s="268"/>
      <c r="C988" s="268"/>
      <c r="D988" s="268"/>
      <c r="E988" s="268"/>
      <c r="F988" s="268"/>
      <c r="G988" s="268"/>
      <c r="H988" s="268"/>
      <c r="I988" s="268"/>
      <c r="J988" s="268"/>
      <c r="K988" s="268"/>
      <c r="L988" s="268"/>
      <c r="M988" s="268"/>
      <c r="N988" s="268"/>
      <c r="O988" s="268"/>
      <c r="P988" s="268"/>
      <c r="Q988" s="268"/>
      <c r="R988" s="268"/>
      <c r="S988" s="268"/>
      <c r="T988" s="268"/>
      <c r="U988" s="268"/>
      <c r="V988" s="268"/>
      <c r="W988" s="268"/>
      <c r="X988" s="268"/>
      <c r="Y988" s="268"/>
      <c r="Z988" s="268"/>
    </row>
    <row r="989" customHeight="1" spans="1:26">
      <c r="A989" s="268"/>
      <c r="B989" s="268"/>
      <c r="C989" s="268"/>
      <c r="D989" s="268"/>
      <c r="E989" s="268"/>
      <c r="F989" s="268"/>
      <c r="G989" s="268"/>
      <c r="H989" s="268"/>
      <c r="I989" s="268"/>
      <c r="J989" s="268"/>
      <c r="K989" s="268"/>
      <c r="L989" s="268"/>
      <c r="M989" s="268"/>
      <c r="N989" s="268"/>
      <c r="O989" s="268"/>
      <c r="P989" s="268"/>
      <c r="Q989" s="268"/>
      <c r="R989" s="268"/>
      <c r="S989" s="268"/>
      <c r="T989" s="268"/>
      <c r="U989" s="268"/>
      <c r="V989" s="268"/>
      <c r="W989" s="268"/>
      <c r="X989" s="268"/>
      <c r="Y989" s="268"/>
      <c r="Z989" s="268"/>
    </row>
    <row r="990" customHeight="1" spans="1:26">
      <c r="A990" s="268"/>
      <c r="B990" s="268"/>
      <c r="C990" s="268"/>
      <c r="D990" s="268"/>
      <c r="E990" s="268"/>
      <c r="F990" s="268"/>
      <c r="G990" s="268"/>
      <c r="H990" s="268"/>
      <c r="I990" s="268"/>
      <c r="J990" s="268"/>
      <c r="K990" s="268"/>
      <c r="L990" s="268"/>
      <c r="M990" s="268"/>
      <c r="N990" s="268"/>
      <c r="O990" s="268"/>
      <c r="P990" s="268"/>
      <c r="Q990" s="268"/>
      <c r="R990" s="268"/>
      <c r="S990" s="268"/>
      <c r="T990" s="268"/>
      <c r="U990" s="268"/>
      <c r="V990" s="268"/>
      <c r="W990" s="268"/>
      <c r="X990" s="268"/>
      <c r="Y990" s="268"/>
      <c r="Z990" s="268"/>
    </row>
    <row r="991" customHeight="1" spans="1:26">
      <c r="A991" s="268"/>
      <c r="B991" s="268"/>
      <c r="C991" s="268"/>
      <c r="D991" s="268"/>
      <c r="E991" s="268"/>
      <c r="F991" s="268"/>
      <c r="G991" s="268"/>
      <c r="H991" s="268"/>
      <c r="I991" s="268"/>
      <c r="J991" s="268"/>
      <c r="K991" s="268"/>
      <c r="L991" s="268"/>
      <c r="M991" s="268"/>
      <c r="N991" s="268"/>
      <c r="O991" s="268"/>
      <c r="P991" s="268"/>
      <c r="Q991" s="268"/>
      <c r="R991" s="268"/>
      <c r="S991" s="268"/>
      <c r="T991" s="268"/>
      <c r="U991" s="268"/>
      <c r="V991" s="268"/>
      <c r="W991" s="268"/>
      <c r="X991" s="268"/>
      <c r="Y991" s="268"/>
      <c r="Z991" s="268"/>
    </row>
    <row r="992" customHeight="1" spans="1:26">
      <c r="A992" s="268"/>
      <c r="B992" s="268"/>
      <c r="C992" s="268"/>
      <c r="D992" s="268"/>
      <c r="E992" s="268"/>
      <c r="F992" s="268"/>
      <c r="G992" s="268"/>
      <c r="H992" s="268"/>
      <c r="I992" s="268"/>
      <c r="J992" s="268"/>
      <c r="K992" s="268"/>
      <c r="L992" s="268"/>
      <c r="M992" s="268"/>
      <c r="N992" s="268"/>
      <c r="O992" s="268"/>
      <c r="P992" s="268"/>
      <c r="Q992" s="268"/>
      <c r="R992" s="268"/>
      <c r="S992" s="268"/>
      <c r="T992" s="268"/>
      <c r="U992" s="268"/>
      <c r="V992" s="268"/>
      <c r="W992" s="268"/>
      <c r="X992" s="268"/>
      <c r="Y992" s="268"/>
      <c r="Z992" s="268"/>
    </row>
    <row r="993" customHeight="1" spans="1:26">
      <c r="A993" s="268"/>
      <c r="B993" s="268"/>
      <c r="C993" s="268"/>
      <c r="D993" s="268"/>
      <c r="E993" s="268"/>
      <c r="F993" s="268"/>
      <c r="G993" s="268"/>
      <c r="H993" s="268"/>
      <c r="I993" s="268"/>
      <c r="J993" s="268"/>
      <c r="K993" s="268"/>
      <c r="L993" s="268"/>
      <c r="M993" s="268"/>
      <c r="N993" s="268"/>
      <c r="O993" s="268"/>
      <c r="P993" s="268"/>
      <c r="Q993" s="268"/>
      <c r="R993" s="268"/>
      <c r="S993" s="268"/>
      <c r="T993" s="268"/>
      <c r="U993" s="268"/>
      <c r="V993" s="268"/>
      <c r="W993" s="268"/>
      <c r="X993" s="268"/>
      <c r="Y993" s="268"/>
      <c r="Z993" s="268"/>
    </row>
    <row r="994" customHeight="1" spans="1:26">
      <c r="A994" s="268"/>
      <c r="B994" s="268"/>
      <c r="C994" s="268"/>
      <c r="D994" s="268"/>
      <c r="E994" s="268"/>
      <c r="F994" s="268"/>
      <c r="G994" s="268"/>
      <c r="H994" s="268"/>
      <c r="I994" s="268"/>
      <c r="J994" s="268"/>
      <c r="K994" s="268"/>
      <c r="L994" s="268"/>
      <c r="M994" s="268"/>
      <c r="N994" s="268"/>
      <c r="O994" s="268"/>
      <c r="P994" s="268"/>
      <c r="Q994" s="268"/>
      <c r="R994" s="268"/>
      <c r="S994" s="268"/>
      <c r="T994" s="268"/>
      <c r="U994" s="268"/>
      <c r="V994" s="268"/>
      <c r="W994" s="268"/>
      <c r="X994" s="268"/>
      <c r="Y994" s="268"/>
      <c r="Z994" s="268"/>
    </row>
    <row r="995" customHeight="1" spans="1:26">
      <c r="A995" s="268"/>
      <c r="B995" s="268"/>
      <c r="C995" s="268"/>
      <c r="D995" s="268"/>
      <c r="E995" s="268"/>
      <c r="F995" s="268"/>
      <c r="G995" s="268"/>
      <c r="H995" s="268"/>
      <c r="I995" s="268"/>
      <c r="J995" s="268"/>
      <c r="K995" s="268"/>
      <c r="L995" s="268"/>
      <c r="M995" s="268"/>
      <c r="N995" s="268"/>
      <c r="O995" s="268"/>
      <c r="P995" s="268"/>
      <c r="Q995" s="268"/>
      <c r="R995" s="268"/>
      <c r="S995" s="268"/>
      <c r="T995" s="268"/>
      <c r="U995" s="268"/>
      <c r="V995" s="268"/>
      <c r="W995" s="268"/>
      <c r="X995" s="268"/>
      <c r="Y995" s="268"/>
      <c r="Z995" s="268"/>
    </row>
    <row r="996" customHeight="1" spans="1:26">
      <c r="A996" s="268"/>
      <c r="B996" s="268"/>
      <c r="C996" s="268"/>
      <c r="D996" s="268"/>
      <c r="E996" s="268"/>
      <c r="F996" s="268"/>
      <c r="G996" s="268"/>
      <c r="H996" s="268"/>
      <c r="I996" s="268"/>
      <c r="J996" s="268"/>
      <c r="K996" s="268"/>
      <c r="L996" s="268"/>
      <c r="M996" s="268"/>
      <c r="N996" s="268"/>
      <c r="O996" s="268"/>
      <c r="P996" s="268"/>
      <c r="Q996" s="268"/>
      <c r="R996" s="268"/>
      <c r="S996" s="268"/>
      <c r="T996" s="268"/>
      <c r="U996" s="268"/>
      <c r="V996" s="268"/>
      <c r="W996" s="268"/>
      <c r="X996" s="268"/>
      <c r="Y996" s="268"/>
      <c r="Z996" s="268"/>
    </row>
    <row r="997" customHeight="1" spans="1:26">
      <c r="A997" s="268"/>
      <c r="B997" s="268"/>
      <c r="C997" s="268"/>
      <c r="D997" s="268"/>
      <c r="E997" s="268"/>
      <c r="F997" s="268"/>
      <c r="G997" s="268"/>
      <c r="H997" s="268"/>
      <c r="I997" s="268"/>
      <c r="J997" s="268"/>
      <c r="K997" s="268"/>
      <c r="L997" s="268"/>
      <c r="M997" s="268"/>
      <c r="N997" s="268"/>
      <c r="O997" s="268"/>
      <c r="P997" s="268"/>
      <c r="Q997" s="268"/>
      <c r="R997" s="268"/>
      <c r="S997" s="268"/>
      <c r="T997" s="268"/>
      <c r="U997" s="268"/>
      <c r="V997" s="268"/>
      <c r="W997" s="268"/>
      <c r="X997" s="268"/>
      <c r="Y997" s="268"/>
      <c r="Z997" s="268"/>
    </row>
    <row r="998" customHeight="1" spans="1:26">
      <c r="A998" s="268"/>
      <c r="B998" s="268"/>
      <c r="C998" s="268"/>
      <c r="D998" s="268"/>
      <c r="E998" s="268"/>
      <c r="F998" s="268"/>
      <c r="G998" s="268"/>
      <c r="H998" s="268"/>
      <c r="I998" s="268"/>
      <c r="J998" s="268"/>
      <c r="K998" s="268"/>
      <c r="L998" s="268"/>
      <c r="M998" s="268"/>
      <c r="N998" s="268"/>
      <c r="O998" s="268"/>
      <c r="P998" s="268"/>
      <c r="Q998" s="268"/>
      <c r="R998" s="268"/>
      <c r="S998" s="268"/>
      <c r="T998" s="268"/>
      <c r="U998" s="268"/>
      <c r="V998" s="268"/>
      <c r="W998" s="268"/>
      <c r="X998" s="268"/>
      <c r="Y998" s="268"/>
      <c r="Z998" s="268"/>
    </row>
    <row r="999" customHeight="1" spans="1:26">
      <c r="A999" s="268"/>
      <c r="B999" s="268"/>
      <c r="C999" s="268"/>
      <c r="D999" s="268"/>
      <c r="E999" s="268"/>
      <c r="F999" s="268"/>
      <c r="G999" s="268"/>
      <c r="H999" s="268"/>
      <c r="I999" s="268"/>
      <c r="J999" s="268"/>
      <c r="K999" s="268"/>
      <c r="L999" s="268"/>
      <c r="M999" s="268"/>
      <c r="N999" s="268"/>
      <c r="O999" s="268"/>
      <c r="P999" s="268"/>
      <c r="Q999" s="268"/>
      <c r="R999" s="268"/>
      <c r="S999" s="268"/>
      <c r="T999" s="268"/>
      <c r="U999" s="268"/>
      <c r="V999" s="268"/>
      <c r="W999" s="268"/>
      <c r="X999" s="268"/>
      <c r="Y999" s="268"/>
      <c r="Z999" s="268"/>
    </row>
    <row r="1000" customHeight="1" spans="1:26">
      <c r="A1000" s="268"/>
      <c r="B1000" s="268"/>
      <c r="C1000" s="268"/>
      <c r="D1000" s="268"/>
      <c r="E1000" s="268"/>
      <c r="F1000" s="268"/>
      <c r="G1000" s="268"/>
      <c r="H1000" s="268"/>
      <c r="I1000" s="268"/>
      <c r="J1000" s="268"/>
      <c r="K1000" s="268"/>
      <c r="L1000" s="268"/>
      <c r="M1000" s="268"/>
      <c r="N1000" s="268"/>
      <c r="O1000" s="268"/>
      <c r="P1000" s="268"/>
      <c r="Q1000" s="268"/>
      <c r="R1000" s="268"/>
      <c r="S1000" s="268"/>
      <c r="T1000" s="268"/>
      <c r="U1000" s="268"/>
      <c r="V1000" s="268"/>
      <c r="W1000" s="268"/>
      <c r="X1000" s="268"/>
      <c r="Y1000" s="268"/>
      <c r="Z1000" s="268"/>
    </row>
    <row r="1001" customHeight="1" spans="1:26">
      <c r="A1001" s="268"/>
      <c r="B1001" s="268"/>
      <c r="C1001" s="268"/>
      <c r="D1001" s="268"/>
      <c r="E1001" s="268"/>
      <c r="F1001" s="268"/>
      <c r="G1001" s="268"/>
      <c r="H1001" s="268"/>
      <c r="I1001" s="268"/>
      <c r="J1001" s="268"/>
      <c r="K1001" s="268"/>
      <c r="L1001" s="268"/>
      <c r="M1001" s="268"/>
      <c r="N1001" s="268"/>
      <c r="O1001" s="268"/>
      <c r="P1001" s="268"/>
      <c r="Q1001" s="268"/>
      <c r="R1001" s="268"/>
      <c r="S1001" s="268"/>
      <c r="T1001" s="268"/>
      <c r="U1001" s="268"/>
      <c r="V1001" s="268"/>
      <c r="W1001" s="268"/>
      <c r="X1001" s="268"/>
      <c r="Y1001" s="268"/>
      <c r="Z1001" s="268"/>
    </row>
    <row r="1002" customHeight="1" spans="1:26">
      <c r="A1002" s="268"/>
      <c r="B1002" s="268"/>
      <c r="C1002" s="268"/>
      <c r="D1002" s="268"/>
      <c r="E1002" s="268"/>
      <c r="F1002" s="268"/>
      <c r="G1002" s="268"/>
      <c r="H1002" s="268"/>
      <c r="I1002" s="268"/>
      <c r="J1002" s="268"/>
      <c r="K1002" s="268"/>
      <c r="L1002" s="268"/>
      <c r="M1002" s="268"/>
      <c r="N1002" s="268"/>
      <c r="O1002" s="268"/>
      <c r="P1002" s="268"/>
      <c r="Q1002" s="268"/>
      <c r="R1002" s="268"/>
      <c r="S1002" s="268"/>
      <c r="T1002" s="268"/>
      <c r="U1002" s="268"/>
      <c r="V1002" s="268"/>
      <c r="W1002" s="268"/>
      <c r="X1002" s="268"/>
      <c r="Y1002" s="268"/>
      <c r="Z1002" s="268"/>
    </row>
    <row r="1003" customHeight="1" spans="1:26">
      <c r="A1003" s="268"/>
      <c r="B1003" s="268"/>
      <c r="C1003" s="268"/>
      <c r="D1003" s="268"/>
      <c r="E1003" s="268"/>
      <c r="F1003" s="268"/>
      <c r="G1003" s="268"/>
      <c r="H1003" s="268"/>
      <c r="I1003" s="268"/>
      <c r="J1003" s="268"/>
      <c r="K1003" s="268"/>
      <c r="L1003" s="268"/>
      <c r="M1003" s="268"/>
      <c r="N1003" s="268"/>
      <c r="O1003" s="268"/>
      <c r="P1003" s="268"/>
      <c r="Q1003" s="268"/>
      <c r="R1003" s="268"/>
      <c r="S1003" s="268"/>
      <c r="T1003" s="268"/>
      <c r="U1003" s="268"/>
      <c r="V1003" s="268"/>
      <c r="W1003" s="268"/>
      <c r="X1003" s="268"/>
      <c r="Y1003" s="268"/>
      <c r="Z1003" s="268"/>
    </row>
    <row r="1004" customHeight="1" spans="1:26">
      <c r="A1004" s="268"/>
      <c r="B1004" s="268"/>
      <c r="C1004" s="268"/>
      <c r="D1004" s="268"/>
      <c r="E1004" s="268"/>
      <c r="F1004" s="268"/>
      <c r="G1004" s="268"/>
      <c r="H1004" s="268"/>
      <c r="I1004" s="268"/>
      <c r="J1004" s="268"/>
      <c r="K1004" s="268"/>
      <c r="L1004" s="268"/>
      <c r="M1004" s="268"/>
      <c r="N1004" s="268"/>
      <c r="O1004" s="268"/>
      <c r="P1004" s="268"/>
      <c r="Q1004" s="268"/>
      <c r="R1004" s="268"/>
      <c r="S1004" s="268"/>
      <c r="T1004" s="268"/>
      <c r="U1004" s="268"/>
      <c r="V1004" s="268"/>
      <c r="W1004" s="268"/>
      <c r="X1004" s="268"/>
      <c r="Y1004" s="268"/>
      <c r="Z1004" s="268"/>
    </row>
    <row r="1005" customHeight="1" spans="1:26">
      <c r="A1005" s="268"/>
      <c r="B1005" s="268"/>
      <c r="C1005" s="268"/>
      <c r="D1005" s="268"/>
      <c r="E1005" s="268"/>
      <c r="F1005" s="268"/>
      <c r="G1005" s="268"/>
      <c r="H1005" s="268"/>
      <c r="I1005" s="268"/>
      <c r="J1005" s="268"/>
      <c r="K1005" s="268"/>
      <c r="L1005" s="268"/>
      <c r="M1005" s="268"/>
      <c r="N1005" s="268"/>
      <c r="O1005" s="268"/>
      <c r="P1005" s="268"/>
      <c r="Q1005" s="268"/>
      <c r="R1005" s="268"/>
      <c r="S1005" s="268"/>
      <c r="T1005" s="268"/>
      <c r="U1005" s="268"/>
      <c r="V1005" s="268"/>
      <c r="W1005" s="268"/>
      <c r="X1005" s="268"/>
      <c r="Y1005" s="268"/>
      <c r="Z1005" s="268"/>
    </row>
    <row r="1006" customHeight="1" spans="1:26">
      <c r="A1006" s="268"/>
      <c r="B1006" s="268"/>
      <c r="C1006" s="268"/>
      <c r="D1006" s="268"/>
      <c r="E1006" s="268"/>
      <c r="F1006" s="268"/>
      <c r="G1006" s="268"/>
      <c r="H1006" s="268"/>
      <c r="I1006" s="268"/>
      <c r="J1006" s="268"/>
      <c r="K1006" s="268"/>
      <c r="L1006" s="268"/>
      <c r="M1006" s="268"/>
      <c r="N1006" s="268"/>
      <c r="O1006" s="268"/>
      <c r="P1006" s="268"/>
      <c r="Q1006" s="268"/>
      <c r="R1006" s="268"/>
      <c r="S1006" s="268"/>
      <c r="T1006" s="268"/>
      <c r="U1006" s="268"/>
      <c r="V1006" s="268"/>
      <c r="W1006" s="268"/>
      <c r="X1006" s="268"/>
      <c r="Y1006" s="268"/>
      <c r="Z1006" s="268"/>
    </row>
    <row r="1007" customHeight="1" spans="1:26">
      <c r="A1007" s="268"/>
      <c r="B1007" s="268"/>
      <c r="C1007" s="268"/>
      <c r="D1007" s="268"/>
      <c r="E1007" s="268"/>
      <c r="F1007" s="268"/>
      <c r="G1007" s="268"/>
      <c r="H1007" s="268"/>
      <c r="I1007" s="268"/>
      <c r="J1007" s="268"/>
      <c r="K1007" s="268"/>
      <c r="L1007" s="268"/>
      <c r="M1007" s="268"/>
      <c r="N1007" s="268"/>
      <c r="O1007" s="268"/>
      <c r="P1007" s="268"/>
      <c r="Q1007" s="268"/>
      <c r="R1007" s="268"/>
      <c r="S1007" s="268"/>
      <c r="T1007" s="268"/>
      <c r="U1007" s="268"/>
      <c r="V1007" s="268"/>
      <c r="W1007" s="268"/>
      <c r="X1007" s="268"/>
      <c r="Y1007" s="268"/>
      <c r="Z1007" s="268"/>
    </row>
    <row r="1008" customHeight="1" spans="1:26">
      <c r="A1008" s="268"/>
      <c r="B1008" s="268"/>
      <c r="C1008" s="268"/>
      <c r="D1008" s="268"/>
      <c r="E1008" s="268"/>
      <c r="F1008" s="268"/>
      <c r="G1008" s="268"/>
      <c r="H1008" s="268"/>
      <c r="I1008" s="268"/>
      <c r="J1008" s="268"/>
      <c r="K1008" s="268"/>
      <c r="L1008" s="268"/>
      <c r="M1008" s="268"/>
      <c r="N1008" s="268"/>
      <c r="O1008" s="268"/>
      <c r="P1008" s="268"/>
      <c r="Q1008" s="268"/>
      <c r="R1008" s="268"/>
      <c r="S1008" s="268"/>
      <c r="T1008" s="268"/>
      <c r="U1008" s="268"/>
      <c r="V1008" s="268"/>
      <c r="W1008" s="268"/>
      <c r="X1008" s="268"/>
      <c r="Y1008" s="268"/>
      <c r="Z1008" s="268"/>
    </row>
    <row r="1009" customHeight="1" spans="1:26">
      <c r="A1009" s="268"/>
      <c r="B1009" s="268"/>
      <c r="C1009" s="268"/>
      <c r="D1009" s="268"/>
      <c r="E1009" s="268"/>
      <c r="F1009" s="268"/>
      <c r="G1009" s="268"/>
      <c r="H1009" s="268"/>
      <c r="I1009" s="268"/>
      <c r="J1009" s="268"/>
      <c r="K1009" s="268"/>
      <c r="L1009" s="268"/>
      <c r="M1009" s="268"/>
      <c r="N1009" s="268"/>
      <c r="O1009" s="268"/>
      <c r="P1009" s="268"/>
      <c r="Q1009" s="268"/>
      <c r="R1009" s="268"/>
      <c r="S1009" s="268"/>
      <c r="T1009" s="268"/>
      <c r="U1009" s="268"/>
      <c r="V1009" s="268"/>
      <c r="W1009" s="268"/>
      <c r="X1009" s="268"/>
      <c r="Y1009" s="268"/>
      <c r="Z1009" s="268"/>
    </row>
    <row r="1010" customHeight="1" spans="1:26">
      <c r="A1010" s="268"/>
      <c r="B1010" s="268"/>
      <c r="C1010" s="268"/>
      <c r="D1010" s="268"/>
      <c r="E1010" s="268"/>
      <c r="F1010" s="268"/>
      <c r="G1010" s="268"/>
      <c r="H1010" s="268"/>
      <c r="I1010" s="268"/>
      <c r="J1010" s="268"/>
      <c r="K1010" s="268"/>
      <c r="L1010" s="268"/>
      <c r="M1010" s="268"/>
      <c r="N1010" s="268"/>
      <c r="O1010" s="268"/>
      <c r="P1010" s="268"/>
      <c r="Q1010" s="268"/>
      <c r="R1010" s="268"/>
      <c r="S1010" s="268"/>
      <c r="T1010" s="268"/>
      <c r="U1010" s="268"/>
      <c r="V1010" s="268"/>
      <c r="W1010" s="268"/>
      <c r="X1010" s="268"/>
      <c r="Y1010" s="268"/>
      <c r="Z1010" s="268"/>
    </row>
    <row r="1011" customHeight="1" spans="1:26">
      <c r="A1011" s="268"/>
      <c r="B1011" s="268"/>
      <c r="C1011" s="268"/>
      <c r="D1011" s="268"/>
      <c r="E1011" s="268"/>
      <c r="F1011" s="268"/>
      <c r="G1011" s="268"/>
      <c r="H1011" s="268"/>
      <c r="I1011" s="268"/>
      <c r="J1011" s="268"/>
      <c r="K1011" s="268"/>
      <c r="L1011" s="268"/>
      <c r="M1011" s="268"/>
      <c r="N1011" s="268"/>
      <c r="O1011" s="268"/>
      <c r="P1011" s="268"/>
      <c r="Q1011" s="268"/>
      <c r="R1011" s="268"/>
      <c r="S1011" s="268"/>
      <c r="T1011" s="268"/>
      <c r="U1011" s="268"/>
      <c r="V1011" s="268"/>
      <c r="W1011" s="268"/>
      <c r="X1011" s="268"/>
      <c r="Y1011" s="268"/>
      <c r="Z1011" s="268"/>
    </row>
    <row r="1012" customHeight="1" spans="1:26">
      <c r="A1012" s="268"/>
      <c r="B1012" s="268"/>
      <c r="C1012" s="268"/>
      <c r="D1012" s="268"/>
      <c r="E1012" s="268"/>
      <c r="F1012" s="268"/>
      <c r="G1012" s="268"/>
      <c r="H1012" s="268"/>
      <c r="I1012" s="268"/>
      <c r="J1012" s="268"/>
      <c r="K1012" s="268"/>
      <c r="L1012" s="268"/>
      <c r="M1012" s="268"/>
      <c r="N1012" s="268"/>
      <c r="O1012" s="268"/>
      <c r="P1012" s="268"/>
      <c r="Q1012" s="268"/>
      <c r="R1012" s="268"/>
      <c r="S1012" s="268"/>
      <c r="T1012" s="268"/>
      <c r="U1012" s="268"/>
      <c r="V1012" s="268"/>
      <c r="W1012" s="268"/>
      <c r="X1012" s="268"/>
      <c r="Y1012" s="268"/>
      <c r="Z1012" s="268"/>
    </row>
    <row r="1013" customHeight="1" spans="1:26">
      <c r="A1013" s="268"/>
      <c r="B1013" s="268"/>
      <c r="C1013" s="268"/>
      <c r="D1013" s="268"/>
      <c r="E1013" s="268"/>
      <c r="F1013" s="268"/>
      <c r="G1013" s="268"/>
      <c r="H1013" s="268"/>
      <c r="I1013" s="268"/>
      <c r="J1013" s="268"/>
      <c r="K1013" s="268"/>
      <c r="L1013" s="268"/>
      <c r="M1013" s="268"/>
      <c r="N1013" s="268"/>
      <c r="O1013" s="268"/>
      <c r="P1013" s="268"/>
      <c r="Q1013" s="268"/>
      <c r="R1013" s="268"/>
      <c r="S1013" s="268"/>
      <c r="T1013" s="268"/>
      <c r="U1013" s="268"/>
      <c r="V1013" s="268"/>
      <c r="W1013" s="268"/>
      <c r="X1013" s="268"/>
      <c r="Y1013" s="268"/>
      <c r="Z1013" s="268"/>
    </row>
    <row r="1014" customHeight="1" spans="1:26">
      <c r="A1014" s="268"/>
      <c r="B1014" s="268"/>
      <c r="C1014" s="268"/>
      <c r="D1014" s="268"/>
      <c r="E1014" s="268"/>
      <c r="F1014" s="268"/>
      <c r="G1014" s="268"/>
      <c r="H1014" s="268"/>
      <c r="I1014" s="268"/>
      <c r="J1014" s="268"/>
      <c r="K1014" s="268"/>
      <c r="L1014" s="268"/>
      <c r="M1014" s="268"/>
      <c r="N1014" s="268"/>
      <c r="O1014" s="268"/>
      <c r="P1014" s="268"/>
      <c r="Q1014" s="268"/>
      <c r="R1014" s="268"/>
      <c r="S1014" s="268"/>
      <c r="T1014" s="268"/>
      <c r="U1014" s="268"/>
      <c r="V1014" s="268"/>
      <c r="W1014" s="268"/>
      <c r="X1014" s="268"/>
      <c r="Y1014" s="268"/>
      <c r="Z1014" s="268"/>
    </row>
    <row r="1015" customHeight="1" spans="1:26">
      <c r="A1015" s="268"/>
      <c r="B1015" s="268"/>
      <c r="C1015" s="268"/>
      <c r="D1015" s="268"/>
      <c r="E1015" s="268"/>
      <c r="F1015" s="268"/>
      <c r="G1015" s="268"/>
      <c r="H1015" s="268"/>
      <c r="I1015" s="268"/>
      <c r="J1015" s="268"/>
      <c r="K1015" s="268"/>
      <c r="L1015" s="268"/>
      <c r="M1015" s="268"/>
      <c r="N1015" s="268"/>
      <c r="O1015" s="268"/>
      <c r="P1015" s="268"/>
      <c r="Q1015" s="268"/>
      <c r="R1015" s="268"/>
      <c r="S1015" s="268"/>
      <c r="T1015" s="268"/>
      <c r="U1015" s="268"/>
      <c r="V1015" s="268"/>
      <c r="W1015" s="268"/>
      <c r="X1015" s="268"/>
      <c r="Y1015" s="268"/>
      <c r="Z1015" s="268"/>
    </row>
    <row r="1016" customHeight="1" spans="1:26">
      <c r="A1016" s="268"/>
      <c r="B1016" s="268"/>
      <c r="C1016" s="268"/>
      <c r="D1016" s="268"/>
      <c r="E1016" s="268"/>
      <c r="F1016" s="268"/>
      <c r="G1016" s="268"/>
      <c r="H1016" s="268"/>
      <c r="I1016" s="268"/>
      <c r="J1016" s="268"/>
      <c r="K1016" s="268"/>
      <c r="L1016" s="268"/>
      <c r="M1016" s="268"/>
      <c r="N1016" s="268"/>
      <c r="O1016" s="268"/>
      <c r="P1016" s="268"/>
      <c r="Q1016" s="268"/>
      <c r="R1016" s="268"/>
      <c r="S1016" s="268"/>
      <c r="T1016" s="268"/>
      <c r="U1016" s="268"/>
      <c r="V1016" s="268"/>
      <c r="W1016" s="268"/>
      <c r="X1016" s="268"/>
      <c r="Y1016" s="268"/>
      <c r="Z1016" s="268"/>
    </row>
    <row r="1017" customHeight="1" spans="1:26">
      <c r="A1017" s="268"/>
      <c r="B1017" s="268"/>
      <c r="C1017" s="268"/>
      <c r="D1017" s="268"/>
      <c r="E1017" s="268"/>
      <c r="F1017" s="268"/>
      <c r="G1017" s="268"/>
      <c r="H1017" s="268"/>
      <c r="I1017" s="268"/>
      <c r="J1017" s="268"/>
      <c r="K1017" s="268"/>
      <c r="L1017" s="268"/>
      <c r="M1017" s="268"/>
      <c r="N1017" s="268"/>
      <c r="O1017" s="268"/>
      <c r="P1017" s="268"/>
      <c r="Q1017" s="268"/>
      <c r="R1017" s="268"/>
      <c r="S1017" s="268"/>
      <c r="T1017" s="268"/>
      <c r="U1017" s="268"/>
      <c r="V1017" s="268"/>
      <c r="W1017" s="268"/>
      <c r="X1017" s="268"/>
      <c r="Y1017" s="268"/>
      <c r="Z1017" s="268"/>
    </row>
  </sheetData>
  <mergeCells count="1">
    <mergeCell ref="A1:B1"/>
  </mergeCells>
  <hyperlinks>
    <hyperlink ref="B25" r:id="rId3" display="Add papers from https://scholar.google.com/citations?hl=en&amp;user=gLnCTgIAAAAJ&amp;view_op=list_works"/>
    <hyperlink ref="B26" r:id="rId4" display="Add papers from https://old.reddit.com/r/mlscaling/"/>
    <hyperlink ref="B27" r:id="rId5" display="Add papers from https://www.sciencedirect.com/science/article/pii/S0893608014002135"/>
    <hyperlink ref="B32" r:id="rId6" display="Double check our data against https://github.com/kingoflolz/mesh-transformer-jax/"/>
    <hyperlink ref="B33" r:id="rId7" display="Add papers from https://www.davidsilver.uk/wp-content/uploads/2020/03/games.pdf"/>
    <hyperlink ref="B36" r:id="rId8" display="Add forward pass compute info in figure 10 of https://arxiv.org/pdf/2103.00020.pdf"/>
    <hyperlink ref="B38" r:id="rId9" display="Add data from https://arxiv.org/pdf/2007.05558.pdf"/>
    <hyperlink ref="B39" r:id="rId10" display="Add data from https://arxiv.org/pdf/1701.06538.pdf"/>
    <hyperlink ref="B46" r:id="rId11" display="See Microsoft systems in https://www.microsoft.com/en-us/research/blog/"/>
    <hyperlink ref="B47" r:id="rId12" location="scrollTo=jcQEX_3vHOUz" display="Make this work with our visualization https://colab.research.google.com/notebooks/data_table.ipynb#scrollTo=jcQEX_3vHOUz"/>
    <hyperlink ref="B53" r:id="rId13" display="Add papers from https://resources.wolframcloud.com/NeuralNetRepository/"/>
    <hyperlink ref="B55" r:id="rId14" display="Add bibliographic data from computerprogress.com"/>
    <hyperlink ref="B69" r:id="rId15" display="Add data from https://computerprogress.com/tasks/image-classification/imagenet"/>
    <hyperlink ref="B75" r:id="rId16" display="Add all papers from https://www.gwern.net/notes/Scaling"/>
    <hyperlink ref="B77" r:id="rId17" display="Add data from update to https://github.com/lightonai/akronomicon/pull/6"/>
    <hyperlink ref="B78" r:id="rId14" display="Send email to Gabriel from computerprogress.com to clarify the metrics and references used"/>
    <hyperlink ref="B83" r:id="rId18" display="Add parameters from https://openai.com/blog/image-gpt/"/>
    <hyperlink ref="B90" r:id="rId19" location="gid=54587040&amp;fvid=1361937389" display="Add data from https://docs.google.com/spreadsheets/d/1Kj4Q5WADcDXtUJLIOfGTCE3tGvxNczEMwyy8QtgSkHk/edit#gid=54587040&amp;fvid=1361937389"/>
    <hyperlink ref="B92" r:id="rId20" display="Add papers from https://github.com/terryum/awesome-deep-learning-papers"/>
  </hyperlink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R789"/>
  <sheetViews>
    <sheetView workbookViewId="0">
      <pane xSplit="1" ySplit="1" topLeftCell="B2" activePane="bottomRight" state="frozen"/>
      <selection/>
      <selection pane="topRight"/>
      <selection pane="bottomLeft"/>
      <selection pane="bottomRight" activeCell="B2" sqref="B2"/>
    </sheetView>
  </sheetViews>
  <sheetFormatPr defaultColWidth="12.6285714285714" defaultRowHeight="15.75" customHeight="1"/>
  <cols>
    <col min="1" max="1" width="17.3809523809524" customWidth="1"/>
    <col min="2" max="2" width="6.24761904761905" customWidth="1"/>
    <col min="3" max="3" width="12.5047619047619" customWidth="1"/>
    <col min="4" max="5" width="15.1333333333333" customWidth="1"/>
    <col min="6" max="6" width="9" customWidth="1"/>
    <col min="7" max="7" width="5.87619047619048" customWidth="1"/>
    <col min="8" max="8" width="32.3809523809524" customWidth="1"/>
    <col min="9" max="9" width="20.6285714285714" customWidth="1"/>
    <col min="10" max="10" width="6.75238095238095" customWidth="1"/>
    <col min="11" max="11" width="6.75238095238095" hidden="1" customWidth="1"/>
    <col min="12" max="12" width="15.1333333333333" customWidth="1"/>
    <col min="13" max="13" width="10.6285714285714" hidden="1" customWidth="1"/>
    <col min="14" max="14" width="8.5047619047619" customWidth="1"/>
    <col min="15" max="15" width="9.38095238095238" customWidth="1"/>
    <col min="16" max="16" width="7.87619047619048" customWidth="1"/>
    <col min="17" max="17" width="12.247619047619" customWidth="1"/>
    <col min="18" max="18" width="17" customWidth="1"/>
    <col min="19" max="19" width="24.6285714285714" customWidth="1"/>
    <col min="20" max="20" width="23.8761904761905" customWidth="1"/>
    <col min="21" max="21" width="22" customWidth="1"/>
    <col min="22" max="22" width="13.1333333333333" customWidth="1"/>
    <col min="23" max="23" width="16.5047619047619" customWidth="1"/>
    <col min="24" max="24" width="15.1333333333333" customWidth="1"/>
    <col min="25" max="25" width="21.5047619047619" customWidth="1"/>
  </cols>
  <sheetData>
    <row r="1" ht="12.75" spans="1:44">
      <c r="A1" s="150" t="s">
        <v>0</v>
      </c>
      <c r="B1" s="150" t="s">
        <v>1</v>
      </c>
      <c r="C1" s="150" t="s">
        <v>2</v>
      </c>
      <c r="D1" s="150" t="s">
        <v>3</v>
      </c>
      <c r="E1" s="150" t="s">
        <v>5</v>
      </c>
      <c r="F1" s="150" t="s">
        <v>6</v>
      </c>
      <c r="G1" s="151" t="s">
        <v>7</v>
      </c>
      <c r="H1" s="150" t="s">
        <v>8</v>
      </c>
      <c r="I1" s="150" t="s">
        <v>9</v>
      </c>
      <c r="J1" s="150" t="s">
        <v>10</v>
      </c>
      <c r="K1" s="150" t="s">
        <v>4242</v>
      </c>
      <c r="L1" s="150" t="s">
        <v>11</v>
      </c>
      <c r="M1" s="150" t="s">
        <v>17</v>
      </c>
      <c r="N1" s="157" t="s">
        <v>13</v>
      </c>
      <c r="O1" s="150" t="s">
        <v>2512</v>
      </c>
      <c r="P1" s="157" t="s">
        <v>2513</v>
      </c>
      <c r="Q1" s="150" t="s">
        <v>15</v>
      </c>
      <c r="R1" s="157" t="s">
        <v>16</v>
      </c>
      <c r="S1" s="150" t="s">
        <v>20</v>
      </c>
      <c r="T1" s="150" t="s">
        <v>21</v>
      </c>
      <c r="U1" s="150" t="s">
        <v>22</v>
      </c>
      <c r="V1" s="150" t="s">
        <v>23</v>
      </c>
      <c r="W1" s="150" t="s">
        <v>25</v>
      </c>
      <c r="X1" s="150" t="s">
        <v>4243</v>
      </c>
      <c r="Y1" s="150" t="s">
        <v>2514</v>
      </c>
      <c r="Z1" s="162" t="s">
        <v>2700</v>
      </c>
      <c r="AA1" s="163"/>
      <c r="AB1" s="163"/>
      <c r="AC1" s="163"/>
      <c r="AD1" s="163"/>
      <c r="AE1" s="163"/>
      <c r="AF1" s="163"/>
      <c r="AG1" s="163"/>
      <c r="AH1" s="163"/>
      <c r="AI1" s="163"/>
      <c r="AJ1" s="163"/>
      <c r="AK1" s="163"/>
      <c r="AL1" s="163"/>
      <c r="AM1" s="163"/>
      <c r="AN1" s="163"/>
      <c r="AO1" s="163"/>
      <c r="AP1" s="163"/>
      <c r="AQ1" s="163"/>
      <c r="AR1" s="163"/>
    </row>
    <row r="2" ht="14.25" spans="1:44">
      <c r="A2" s="114" t="s">
        <v>2507</v>
      </c>
      <c r="B2" s="114" t="s">
        <v>199</v>
      </c>
      <c r="C2" s="114" t="s">
        <v>2503</v>
      </c>
      <c r="D2" s="114" t="s">
        <v>2508</v>
      </c>
      <c r="E2" s="114" t="s">
        <v>2509</v>
      </c>
      <c r="F2" s="114">
        <v>1952</v>
      </c>
      <c r="G2" s="152">
        <f t="shared" ref="G2:G65" si="0">IF(INT(RIGHT(F2,4))&lt;1,"",INT(RIGHT(F2,4)))</f>
        <v>1952</v>
      </c>
      <c r="H2" s="114" t="s">
        <v>2510</v>
      </c>
      <c r="I2" s="123" t="s">
        <v>2511</v>
      </c>
      <c r="J2" s="33"/>
      <c r="K2" s="124"/>
      <c r="L2" s="114"/>
      <c r="M2" s="114"/>
      <c r="N2" s="124">
        <f>16*2+8</f>
        <v>40</v>
      </c>
      <c r="O2" s="158">
        <v>40</v>
      </c>
      <c r="P2" s="124"/>
      <c r="Q2" s="114"/>
      <c r="R2" s="124"/>
      <c r="S2" s="114"/>
      <c r="T2" s="114"/>
      <c r="U2" s="114"/>
      <c r="V2" s="114"/>
      <c r="W2" s="114"/>
      <c r="X2" s="114"/>
      <c r="Y2" s="114"/>
      <c r="Z2" s="164"/>
      <c r="AA2" s="114"/>
      <c r="AB2" s="114"/>
      <c r="AC2" s="114"/>
      <c r="AD2" s="114"/>
      <c r="AE2" s="114"/>
      <c r="AF2" s="114"/>
      <c r="AG2" s="114"/>
      <c r="AH2" s="114"/>
      <c r="AI2" s="114"/>
      <c r="AJ2" s="114"/>
      <c r="AK2" s="114"/>
      <c r="AL2" s="114"/>
      <c r="AM2" s="114"/>
      <c r="AN2" s="114"/>
      <c r="AO2" s="114"/>
      <c r="AP2" s="114"/>
      <c r="AQ2" s="114"/>
      <c r="AR2" s="114"/>
    </row>
    <row r="3" ht="14.25" spans="1:44">
      <c r="A3" s="114" t="s">
        <v>2502</v>
      </c>
      <c r="B3" s="114" t="s">
        <v>199</v>
      </c>
      <c r="C3" s="114" t="s">
        <v>2503</v>
      </c>
      <c r="D3" s="114" t="s">
        <v>2504</v>
      </c>
      <c r="E3" s="114" t="s">
        <v>2451</v>
      </c>
      <c r="F3" s="153">
        <v>19001</v>
      </c>
      <c r="G3" s="152">
        <f t="shared" si="0"/>
        <v>9001</v>
      </c>
      <c r="H3" s="114" t="s">
        <v>2505</v>
      </c>
      <c r="I3" s="123" t="s">
        <v>2506</v>
      </c>
      <c r="J3" s="33">
        <v>33</v>
      </c>
      <c r="K3" s="124"/>
      <c r="L3" s="114" t="s">
        <v>1923</v>
      </c>
      <c r="M3" s="114"/>
      <c r="N3" s="124">
        <v>40</v>
      </c>
      <c r="O3" s="114"/>
      <c r="P3" s="124"/>
      <c r="Q3" s="114"/>
      <c r="R3" s="124"/>
      <c r="S3" s="114"/>
      <c r="T3" s="114"/>
      <c r="U3" s="114"/>
      <c r="V3" s="114"/>
      <c r="W3" s="114"/>
      <c r="X3" s="114"/>
      <c r="Y3" s="114"/>
      <c r="Z3" s="164"/>
      <c r="AA3" s="114"/>
      <c r="AB3" s="114"/>
      <c r="AC3" s="114"/>
      <c r="AD3" s="114"/>
      <c r="AE3" s="114"/>
      <c r="AF3" s="114"/>
      <c r="AG3" s="114"/>
      <c r="AH3" s="114"/>
      <c r="AI3" s="114"/>
      <c r="AJ3" s="114"/>
      <c r="AK3" s="114"/>
      <c r="AL3" s="114"/>
      <c r="AM3" s="114"/>
      <c r="AN3" s="114"/>
      <c r="AO3" s="114"/>
      <c r="AP3" s="114"/>
      <c r="AQ3" s="114"/>
      <c r="AR3" s="114"/>
    </row>
    <row r="4" ht="14.25" spans="1:44">
      <c r="A4" s="114"/>
      <c r="B4" s="114"/>
      <c r="C4" s="114"/>
      <c r="D4" s="114"/>
      <c r="E4" s="114"/>
      <c r="F4" s="114">
        <v>1954</v>
      </c>
      <c r="G4" s="152">
        <f t="shared" si="0"/>
        <v>1954</v>
      </c>
      <c r="H4" s="114" t="s">
        <v>2500</v>
      </c>
      <c r="I4" s="114"/>
      <c r="J4" s="33"/>
      <c r="K4" s="124"/>
      <c r="L4" s="114" t="s">
        <v>1923</v>
      </c>
      <c r="M4" s="114"/>
      <c r="N4" s="124"/>
      <c r="O4" s="114"/>
      <c r="P4" s="124"/>
      <c r="Q4" s="114"/>
      <c r="R4" s="124"/>
      <c r="S4" s="114"/>
      <c r="T4" s="114"/>
      <c r="U4" s="114"/>
      <c r="V4" s="114"/>
      <c r="W4" s="114"/>
      <c r="X4" s="114"/>
      <c r="Y4" s="114"/>
      <c r="Z4" s="165" t="s">
        <v>4244</v>
      </c>
      <c r="AA4" s="114"/>
      <c r="AB4" s="114"/>
      <c r="AC4" s="114"/>
      <c r="AD4" s="114"/>
      <c r="AE4" s="114"/>
      <c r="AF4" s="114"/>
      <c r="AG4" s="114"/>
      <c r="AH4" s="114"/>
      <c r="AI4" s="114"/>
      <c r="AJ4" s="114"/>
      <c r="AK4" s="114"/>
      <c r="AL4" s="114"/>
      <c r="AM4" s="114"/>
      <c r="AN4" s="114"/>
      <c r="AO4" s="114"/>
      <c r="AP4" s="114"/>
      <c r="AQ4" s="114"/>
      <c r="AR4" s="114"/>
    </row>
    <row r="5" ht="14.25" spans="1:44">
      <c r="A5" s="114" t="s">
        <v>2491</v>
      </c>
      <c r="B5" s="114" t="s">
        <v>41</v>
      </c>
      <c r="C5" s="114" t="s">
        <v>2463</v>
      </c>
      <c r="D5" s="114" t="s">
        <v>2253</v>
      </c>
      <c r="E5" s="114" t="s">
        <v>2492</v>
      </c>
      <c r="F5" s="114">
        <v>1954</v>
      </c>
      <c r="G5" s="152">
        <f t="shared" si="0"/>
        <v>1954</v>
      </c>
      <c r="H5" s="114" t="s">
        <v>2493</v>
      </c>
      <c r="I5" s="123" t="s">
        <v>2494</v>
      </c>
      <c r="J5" s="33">
        <v>83</v>
      </c>
      <c r="K5" s="124"/>
      <c r="L5" s="114" t="s">
        <v>1923</v>
      </c>
      <c r="M5" s="114"/>
      <c r="N5" s="124">
        <f>5*5*9</f>
        <v>225</v>
      </c>
      <c r="O5" s="114"/>
      <c r="P5" s="124"/>
      <c r="Q5" s="114"/>
      <c r="R5" s="124"/>
      <c r="S5" s="114"/>
      <c r="T5" s="114"/>
      <c r="U5" s="114"/>
      <c r="V5" s="114"/>
      <c r="W5" s="114"/>
      <c r="X5" s="114"/>
      <c r="Y5" s="114"/>
      <c r="Z5" s="164"/>
      <c r="AA5" s="114"/>
      <c r="AB5" s="114"/>
      <c r="AC5" s="114"/>
      <c r="AD5" s="114"/>
      <c r="AE5" s="114"/>
      <c r="AF5" s="114"/>
      <c r="AG5" s="114"/>
      <c r="AH5" s="114"/>
      <c r="AI5" s="114"/>
      <c r="AJ5" s="114"/>
      <c r="AK5" s="114"/>
      <c r="AL5" s="114"/>
      <c r="AM5" s="114"/>
      <c r="AN5" s="114"/>
      <c r="AO5" s="114"/>
      <c r="AP5" s="114"/>
      <c r="AQ5" s="114"/>
      <c r="AR5" s="114"/>
    </row>
    <row r="6" ht="14.25" spans="1:44">
      <c r="A6" s="114"/>
      <c r="B6" s="114" t="s">
        <v>41</v>
      </c>
      <c r="C6" s="114" t="s">
        <v>1231</v>
      </c>
      <c r="D6" s="114" t="s">
        <v>2253</v>
      </c>
      <c r="E6" s="114" t="s">
        <v>2495</v>
      </c>
      <c r="F6" s="153">
        <v>20149</v>
      </c>
      <c r="G6" s="152">
        <f t="shared" si="0"/>
        <v>149</v>
      </c>
      <c r="H6" s="114" t="s">
        <v>2496</v>
      </c>
      <c r="I6" s="123" t="s">
        <v>2497</v>
      </c>
      <c r="J6" s="33">
        <v>290</v>
      </c>
      <c r="K6" s="124"/>
      <c r="L6" s="114" t="s">
        <v>1923</v>
      </c>
      <c r="M6" s="114"/>
      <c r="N6" s="124"/>
      <c r="O6" s="114"/>
      <c r="P6" s="124"/>
      <c r="Q6" s="114"/>
      <c r="R6" s="124"/>
      <c r="S6" s="114"/>
      <c r="T6" s="114"/>
      <c r="U6" s="114"/>
      <c r="V6" s="114"/>
      <c r="W6" s="114"/>
      <c r="X6" s="114"/>
      <c r="Y6" s="114"/>
      <c r="Z6" s="164"/>
      <c r="AA6" s="114"/>
      <c r="AB6" s="114"/>
      <c r="AC6" s="114"/>
      <c r="AD6" s="114"/>
      <c r="AE6" s="114"/>
      <c r="AF6" s="114"/>
      <c r="AG6" s="114"/>
      <c r="AH6" s="114"/>
      <c r="AI6" s="114"/>
      <c r="AJ6" s="114"/>
      <c r="AK6" s="114"/>
      <c r="AL6" s="114"/>
      <c r="AM6" s="114"/>
      <c r="AN6" s="114"/>
      <c r="AO6" s="114"/>
      <c r="AP6" s="114"/>
      <c r="AQ6" s="114"/>
      <c r="AR6" s="114"/>
    </row>
    <row r="7" ht="14.25" spans="1:44">
      <c r="A7" s="114"/>
      <c r="B7" s="114" t="s">
        <v>41</v>
      </c>
      <c r="C7" s="114"/>
      <c r="D7" s="114" t="s">
        <v>2342</v>
      </c>
      <c r="E7" s="114" t="s">
        <v>2488</v>
      </c>
      <c r="F7" s="114">
        <v>1956</v>
      </c>
      <c r="G7" s="152">
        <f t="shared" si="0"/>
        <v>1956</v>
      </c>
      <c r="H7" s="114" t="s">
        <v>2489</v>
      </c>
      <c r="I7" s="123" t="s">
        <v>4245</v>
      </c>
      <c r="J7" s="33">
        <v>84</v>
      </c>
      <c r="K7" s="124"/>
      <c r="L7" s="114" t="s">
        <v>1923</v>
      </c>
      <c r="M7" s="114"/>
      <c r="N7" s="124"/>
      <c r="O7" s="114"/>
      <c r="P7" s="124"/>
      <c r="Q7" s="114"/>
      <c r="R7" s="124"/>
      <c r="S7" s="114"/>
      <c r="T7" s="114"/>
      <c r="U7" s="114"/>
      <c r="V7" s="114"/>
      <c r="W7" s="114"/>
      <c r="X7" s="114"/>
      <c r="Y7" s="114"/>
      <c r="Z7" s="164"/>
      <c r="AA7" s="114"/>
      <c r="AB7" s="114"/>
      <c r="AC7" s="114"/>
      <c r="AD7" s="114"/>
      <c r="AE7" s="114"/>
      <c r="AF7" s="114"/>
      <c r="AG7" s="114"/>
      <c r="AH7" s="114"/>
      <c r="AI7" s="114"/>
      <c r="AJ7" s="114"/>
      <c r="AK7" s="114"/>
      <c r="AL7" s="114"/>
      <c r="AM7" s="114"/>
      <c r="AN7" s="114"/>
      <c r="AO7" s="114"/>
      <c r="AP7" s="114"/>
      <c r="AQ7" s="114"/>
      <c r="AR7" s="114"/>
    </row>
    <row r="8" ht="14.25" spans="1:44">
      <c r="A8" s="114" t="s">
        <v>2483</v>
      </c>
      <c r="B8" s="114" t="s">
        <v>41</v>
      </c>
      <c r="C8" s="114" t="s">
        <v>2457</v>
      </c>
      <c r="D8" s="114" t="s">
        <v>2484</v>
      </c>
      <c r="E8" s="114" t="s">
        <v>2485</v>
      </c>
      <c r="F8" s="153">
        <v>20821</v>
      </c>
      <c r="G8" s="152">
        <f t="shared" si="0"/>
        <v>821</v>
      </c>
      <c r="H8" s="114" t="s">
        <v>2486</v>
      </c>
      <c r="I8" s="123" t="s">
        <v>2487</v>
      </c>
      <c r="J8" s="33">
        <v>1610</v>
      </c>
      <c r="K8" s="124"/>
      <c r="L8" s="114" t="s">
        <v>1923</v>
      </c>
      <c r="M8" s="114" t="s">
        <v>1546</v>
      </c>
      <c r="N8" s="124">
        <v>400</v>
      </c>
      <c r="O8" s="158">
        <v>694894.937736182</v>
      </c>
      <c r="P8" s="124"/>
      <c r="Q8" s="114"/>
      <c r="R8" s="114"/>
      <c r="S8" s="114"/>
      <c r="T8" s="114"/>
      <c r="U8" s="114"/>
      <c r="V8" s="114"/>
      <c r="W8" s="114" t="s">
        <v>1546</v>
      </c>
      <c r="X8" s="114" t="s">
        <v>4246</v>
      </c>
      <c r="Y8" s="114" t="s">
        <v>1546</v>
      </c>
      <c r="Z8" s="166" t="s">
        <v>34</v>
      </c>
      <c r="AA8" s="114"/>
      <c r="AB8" s="114"/>
      <c r="AC8" s="114"/>
      <c r="AD8" s="114"/>
      <c r="AE8" s="114"/>
      <c r="AF8" s="114"/>
      <c r="AG8" s="114"/>
      <c r="AH8" s="114"/>
      <c r="AI8" s="114"/>
      <c r="AJ8" s="114"/>
      <c r="AK8" s="114"/>
      <c r="AL8" s="114"/>
      <c r="AM8" s="114"/>
      <c r="AN8" s="114"/>
      <c r="AO8" s="114"/>
      <c r="AP8" s="114"/>
      <c r="AQ8" s="114"/>
      <c r="AR8" s="114"/>
    </row>
    <row r="9" ht="14.25" spans="1:44">
      <c r="A9" s="114"/>
      <c r="B9" s="114" t="s">
        <v>41</v>
      </c>
      <c r="C9" s="114" t="s">
        <v>1231</v>
      </c>
      <c r="D9" s="114" t="s">
        <v>2480</v>
      </c>
      <c r="E9" s="114" t="s">
        <v>2481</v>
      </c>
      <c r="F9" s="114">
        <v>1959</v>
      </c>
      <c r="G9" s="152">
        <f t="shared" si="0"/>
        <v>1959</v>
      </c>
      <c r="H9" s="114" t="s">
        <v>2479</v>
      </c>
      <c r="I9" s="123" t="s">
        <v>4247</v>
      </c>
      <c r="J9" s="33">
        <v>553</v>
      </c>
      <c r="K9" s="124"/>
      <c r="L9" s="114" t="s">
        <v>1923</v>
      </c>
      <c r="M9" s="114"/>
      <c r="N9" s="124">
        <f>75*35</f>
        <v>2625</v>
      </c>
      <c r="O9" s="114"/>
      <c r="P9" s="124"/>
      <c r="Q9" s="114"/>
      <c r="R9" s="124"/>
      <c r="S9" s="114"/>
      <c r="T9" s="159"/>
      <c r="U9" s="114"/>
      <c r="V9" s="114"/>
      <c r="W9" s="114"/>
      <c r="X9" s="114"/>
      <c r="Y9" s="114"/>
      <c r="Z9" s="164"/>
      <c r="AA9" s="114"/>
      <c r="AB9" s="114"/>
      <c r="AC9" s="114"/>
      <c r="AD9" s="114"/>
      <c r="AE9" s="114"/>
      <c r="AF9" s="114"/>
      <c r="AG9" s="114"/>
      <c r="AH9" s="114"/>
      <c r="AI9" s="114"/>
      <c r="AJ9" s="114"/>
      <c r="AK9" s="114"/>
      <c r="AL9" s="114"/>
      <c r="AM9" s="114"/>
      <c r="AN9" s="114"/>
      <c r="AO9" s="114"/>
      <c r="AP9" s="114"/>
      <c r="AQ9" s="114"/>
      <c r="AR9" s="114"/>
    </row>
    <row r="10" ht="14.25" spans="1:44">
      <c r="A10" s="114" t="s">
        <v>2475</v>
      </c>
      <c r="B10" s="114" t="s">
        <v>256</v>
      </c>
      <c r="C10" s="114" t="s">
        <v>2432</v>
      </c>
      <c r="D10" s="114" t="s">
        <v>2265</v>
      </c>
      <c r="E10" s="114" t="s">
        <v>2476</v>
      </c>
      <c r="F10" s="114">
        <v>1959</v>
      </c>
      <c r="G10" s="152">
        <f t="shared" si="0"/>
        <v>1959</v>
      </c>
      <c r="H10" s="114" t="s">
        <v>2477</v>
      </c>
      <c r="I10" s="123" t="s">
        <v>2478</v>
      </c>
      <c r="J10" s="33">
        <v>4151</v>
      </c>
      <c r="K10" s="124"/>
      <c r="L10" s="114" t="s">
        <v>454</v>
      </c>
      <c r="M10" s="114" t="s">
        <v>1546</v>
      </c>
      <c r="N10" s="124">
        <v>16</v>
      </c>
      <c r="O10" s="158">
        <f>11900*10*60*60</f>
        <v>428400000</v>
      </c>
      <c r="P10" s="124"/>
      <c r="Q10" s="114"/>
      <c r="R10" s="124"/>
      <c r="S10" s="114">
        <v>9</v>
      </c>
      <c r="T10" s="114">
        <v>7.5</v>
      </c>
      <c r="U10" s="114"/>
      <c r="V10" s="114"/>
      <c r="W10" s="114"/>
      <c r="X10" s="114"/>
      <c r="Y10" s="114"/>
      <c r="Z10" s="164"/>
      <c r="AA10" s="114"/>
      <c r="AB10" s="114"/>
      <c r="AC10" s="114"/>
      <c r="AD10" s="114"/>
      <c r="AE10" s="114"/>
      <c r="AF10" s="114"/>
      <c r="AG10" s="114"/>
      <c r="AH10" s="114"/>
      <c r="AI10" s="114"/>
      <c r="AJ10" s="114"/>
      <c r="AK10" s="114"/>
      <c r="AL10" s="114"/>
      <c r="AM10" s="114"/>
      <c r="AN10" s="114"/>
      <c r="AO10" s="114"/>
      <c r="AP10" s="114"/>
      <c r="AQ10" s="114"/>
      <c r="AR10" s="114"/>
    </row>
    <row r="11" ht="14.25" spans="1:44">
      <c r="A11" s="114" t="s">
        <v>2470</v>
      </c>
      <c r="B11" s="114" t="s">
        <v>199</v>
      </c>
      <c r="C11" s="114" t="s">
        <v>2471</v>
      </c>
      <c r="D11" s="114" t="s">
        <v>2253</v>
      </c>
      <c r="E11" s="114" t="s">
        <v>2472</v>
      </c>
      <c r="F11" s="153">
        <v>21582</v>
      </c>
      <c r="G11" s="152">
        <f t="shared" si="0"/>
        <v>1582</v>
      </c>
      <c r="H11" s="114" t="s">
        <v>2473</v>
      </c>
      <c r="I11" s="123" t="s">
        <v>2474</v>
      </c>
      <c r="J11" s="33">
        <v>1453</v>
      </c>
      <c r="K11" s="124"/>
      <c r="L11" s="114" t="s">
        <v>454</v>
      </c>
      <c r="M11" s="114"/>
      <c r="N11" s="124">
        <v>3000</v>
      </c>
      <c r="O11" s="158">
        <f>600*10^6</f>
        <v>600000000</v>
      </c>
      <c r="P11" s="124"/>
      <c r="Q11" s="114"/>
      <c r="R11" s="124"/>
      <c r="S11" s="114"/>
      <c r="T11" s="114"/>
      <c r="U11" s="114"/>
      <c r="V11" s="114"/>
      <c r="W11" s="114"/>
      <c r="X11" s="114"/>
      <c r="Y11" s="114"/>
      <c r="Z11" s="164"/>
      <c r="AA11" s="114"/>
      <c r="AB11" s="114"/>
      <c r="AC11" s="114"/>
      <c r="AD11" s="114"/>
      <c r="AE11" s="114"/>
      <c r="AF11" s="114"/>
      <c r="AG11" s="114"/>
      <c r="AH11" s="114"/>
      <c r="AI11" s="114"/>
      <c r="AJ11" s="114"/>
      <c r="AK11" s="114"/>
      <c r="AL11" s="114"/>
      <c r="AM11" s="114"/>
      <c r="AN11" s="114"/>
      <c r="AO11" s="114"/>
      <c r="AP11" s="114"/>
      <c r="AQ11" s="114"/>
      <c r="AR11" s="114"/>
    </row>
    <row r="12" ht="14.25" spans="1:44">
      <c r="A12" s="114" t="s">
        <v>2467</v>
      </c>
      <c r="B12" s="114"/>
      <c r="C12" s="114"/>
      <c r="D12" s="114" t="s">
        <v>4248</v>
      </c>
      <c r="E12" s="114" t="s">
        <v>2464</v>
      </c>
      <c r="F12" s="114">
        <v>1960</v>
      </c>
      <c r="G12" s="152">
        <f t="shared" si="0"/>
        <v>1960</v>
      </c>
      <c r="H12" s="114" t="s">
        <v>2468</v>
      </c>
      <c r="I12" s="123" t="s">
        <v>4249</v>
      </c>
      <c r="J12" s="33">
        <v>6329</v>
      </c>
      <c r="K12" s="124"/>
      <c r="L12" s="114" t="s">
        <v>454</v>
      </c>
      <c r="M12" s="114"/>
      <c r="N12" s="124"/>
      <c r="O12" s="114"/>
      <c r="P12" s="124"/>
      <c r="Q12" s="114"/>
      <c r="R12" s="124"/>
      <c r="S12" s="114"/>
      <c r="T12" s="114"/>
      <c r="U12" s="114"/>
      <c r="V12" s="114"/>
      <c r="W12" s="114"/>
      <c r="X12" s="114"/>
      <c r="Y12" s="114"/>
      <c r="Z12" s="164"/>
      <c r="AA12" s="114"/>
      <c r="AB12" s="114"/>
      <c r="AC12" s="114"/>
      <c r="AD12" s="114"/>
      <c r="AE12" s="114"/>
      <c r="AF12" s="114"/>
      <c r="AG12" s="114"/>
      <c r="AH12" s="114"/>
      <c r="AI12" s="114"/>
      <c r="AJ12" s="114"/>
      <c r="AK12" s="114"/>
      <c r="AL12" s="114"/>
      <c r="AM12" s="114"/>
      <c r="AN12" s="114"/>
      <c r="AO12" s="114"/>
      <c r="AP12" s="114"/>
      <c r="AQ12" s="114"/>
      <c r="AR12" s="114"/>
    </row>
    <row r="13" ht="14.25" spans="1:44">
      <c r="A13" s="114" t="s">
        <v>2462</v>
      </c>
      <c r="B13" s="114" t="s">
        <v>41</v>
      </c>
      <c r="C13" s="114" t="s">
        <v>2463</v>
      </c>
      <c r="D13" s="114" t="s">
        <v>4248</v>
      </c>
      <c r="E13" s="114" t="s">
        <v>2464</v>
      </c>
      <c r="F13" s="114">
        <v>1960</v>
      </c>
      <c r="G13" s="152">
        <f t="shared" si="0"/>
        <v>1960</v>
      </c>
      <c r="H13" s="114" t="s">
        <v>2465</v>
      </c>
      <c r="I13" s="123" t="s">
        <v>2466</v>
      </c>
      <c r="J13" s="33">
        <v>6329</v>
      </c>
      <c r="K13" s="124"/>
      <c r="L13" s="114" t="s">
        <v>454</v>
      </c>
      <c r="M13" s="114"/>
      <c r="N13" s="124">
        <v>17</v>
      </c>
      <c r="O13" s="158">
        <f>P13*3*R13</f>
        <v>9900</v>
      </c>
      <c r="P13" s="124">
        <f>16*2+1</f>
        <v>33</v>
      </c>
      <c r="Q13" s="114"/>
      <c r="R13" s="124">
        <v>100</v>
      </c>
      <c r="S13" s="114"/>
      <c r="T13" s="114"/>
      <c r="U13" s="114"/>
      <c r="V13" s="114"/>
      <c r="W13" s="114"/>
      <c r="X13" s="114"/>
      <c r="Y13" s="114"/>
      <c r="Z13" s="164"/>
      <c r="AA13" s="114"/>
      <c r="AB13" s="114"/>
      <c r="AC13" s="114"/>
      <c r="AD13" s="114"/>
      <c r="AE13" s="114"/>
      <c r="AF13" s="114"/>
      <c r="AG13" s="114"/>
      <c r="AH13" s="114"/>
      <c r="AI13" s="114"/>
      <c r="AJ13" s="114"/>
      <c r="AK13" s="114"/>
      <c r="AL13" s="114"/>
      <c r="AM13" s="114"/>
      <c r="AN13" s="114"/>
      <c r="AO13" s="114"/>
      <c r="AP13" s="114"/>
      <c r="AQ13" s="114"/>
      <c r="AR13" s="114"/>
    </row>
    <row r="14" ht="14.25" spans="1:44">
      <c r="A14" s="114"/>
      <c r="B14" s="114"/>
      <c r="C14" s="114"/>
      <c r="D14" s="114" t="s">
        <v>2450</v>
      </c>
      <c r="E14" s="114" t="s">
        <v>2451</v>
      </c>
      <c r="F14" s="114">
        <v>1961</v>
      </c>
      <c r="G14" s="152">
        <f t="shared" si="0"/>
        <v>1961</v>
      </c>
      <c r="H14" s="114" t="s">
        <v>2452</v>
      </c>
      <c r="I14" s="123" t="s">
        <v>2453</v>
      </c>
      <c r="J14" s="33">
        <v>2430</v>
      </c>
      <c r="K14" s="124"/>
      <c r="L14" s="114" t="s">
        <v>454</v>
      </c>
      <c r="M14" s="114"/>
      <c r="N14" s="124"/>
      <c r="O14" s="114"/>
      <c r="P14" s="124"/>
      <c r="Q14" s="114"/>
      <c r="R14" s="124"/>
      <c r="S14" s="114"/>
      <c r="T14" s="114"/>
      <c r="U14" s="114"/>
      <c r="V14" s="114"/>
      <c r="W14" s="114"/>
      <c r="X14" s="114"/>
      <c r="Y14" s="114"/>
      <c r="Z14" s="164"/>
      <c r="AA14" s="114"/>
      <c r="AB14" s="114"/>
      <c r="AC14" s="114"/>
      <c r="AD14" s="114"/>
      <c r="AE14" s="114"/>
      <c r="AF14" s="114"/>
      <c r="AG14" s="114"/>
      <c r="AH14" s="114"/>
      <c r="AI14" s="114"/>
      <c r="AJ14" s="114"/>
      <c r="AK14" s="114"/>
      <c r="AL14" s="114"/>
      <c r="AM14" s="114"/>
      <c r="AN14" s="114"/>
      <c r="AO14" s="114"/>
      <c r="AP14" s="114"/>
      <c r="AQ14" s="114"/>
      <c r="AR14" s="114"/>
    </row>
    <row r="15" ht="14.25" spans="1:44">
      <c r="A15" s="114"/>
      <c r="B15" s="114"/>
      <c r="C15" s="114"/>
      <c r="D15" s="114" t="s">
        <v>2450</v>
      </c>
      <c r="E15" s="114" t="s">
        <v>2454</v>
      </c>
      <c r="F15" s="114">
        <v>1961</v>
      </c>
      <c r="G15" s="152">
        <f t="shared" si="0"/>
        <v>1961</v>
      </c>
      <c r="H15" s="114" t="s">
        <v>2455</v>
      </c>
      <c r="I15" s="123" t="s">
        <v>2456</v>
      </c>
      <c r="J15" s="33">
        <v>47</v>
      </c>
      <c r="K15" s="124"/>
      <c r="L15" s="114" t="s">
        <v>1923</v>
      </c>
      <c r="M15" s="114"/>
      <c r="N15" s="124"/>
      <c r="O15" s="114"/>
      <c r="P15" s="124"/>
      <c r="Q15" s="114"/>
      <c r="R15" s="124"/>
      <c r="S15" s="114"/>
      <c r="T15" s="114"/>
      <c r="U15" s="114"/>
      <c r="V15" s="114"/>
      <c r="W15" s="114"/>
      <c r="X15" s="114"/>
      <c r="Y15" s="114"/>
      <c r="Z15" s="164"/>
      <c r="AA15" s="114"/>
      <c r="AB15" s="114"/>
      <c r="AC15" s="114"/>
      <c r="AD15" s="114"/>
      <c r="AE15" s="114"/>
      <c r="AF15" s="114"/>
      <c r="AG15" s="114"/>
      <c r="AH15" s="114"/>
      <c r="AI15" s="114"/>
      <c r="AJ15" s="114"/>
      <c r="AK15" s="114"/>
      <c r="AL15" s="114"/>
      <c r="AM15" s="114"/>
      <c r="AN15" s="114"/>
      <c r="AO15" s="114"/>
      <c r="AP15" s="114"/>
      <c r="AQ15" s="114"/>
      <c r="AR15" s="114"/>
    </row>
    <row r="16" ht="14.25" spans="1:44">
      <c r="A16" s="114"/>
      <c r="B16" s="114"/>
      <c r="C16" s="114" t="s">
        <v>2457</v>
      </c>
      <c r="D16" s="114" t="s">
        <v>2458</v>
      </c>
      <c r="E16" s="114" t="s">
        <v>2459</v>
      </c>
      <c r="F16" s="153">
        <v>22367</v>
      </c>
      <c r="G16" s="152">
        <f t="shared" si="0"/>
        <v>2367</v>
      </c>
      <c r="H16" s="114" t="s">
        <v>2460</v>
      </c>
      <c r="I16" s="123" t="s">
        <v>4250</v>
      </c>
      <c r="J16" s="33">
        <v>21</v>
      </c>
      <c r="K16" s="124"/>
      <c r="L16" s="114" t="s">
        <v>49</v>
      </c>
      <c r="M16" s="114"/>
      <c r="N16" s="124"/>
      <c r="O16" s="114"/>
      <c r="P16" s="124"/>
      <c r="Q16" s="114"/>
      <c r="R16" s="124"/>
      <c r="S16" s="114"/>
      <c r="T16" s="114"/>
      <c r="U16" s="114"/>
      <c r="V16" s="114"/>
      <c r="W16" s="114"/>
      <c r="X16" s="114"/>
      <c r="Y16" s="114"/>
      <c r="Z16" s="164"/>
      <c r="AA16" s="114"/>
      <c r="AB16" s="114"/>
      <c r="AC16" s="114"/>
      <c r="AD16" s="114"/>
      <c r="AE16" s="114"/>
      <c r="AF16" s="114"/>
      <c r="AG16" s="114"/>
      <c r="AH16" s="114"/>
      <c r="AI16" s="114"/>
      <c r="AJ16" s="114"/>
      <c r="AK16" s="114"/>
      <c r="AL16" s="114"/>
      <c r="AM16" s="114"/>
      <c r="AN16" s="114"/>
      <c r="AO16" s="114"/>
      <c r="AP16" s="114"/>
      <c r="AQ16" s="114"/>
      <c r="AR16" s="114"/>
    </row>
    <row r="17" ht="14.25" spans="1:44">
      <c r="A17" s="114" t="s">
        <v>2446</v>
      </c>
      <c r="B17" s="114"/>
      <c r="C17" s="114"/>
      <c r="D17" s="114" t="s">
        <v>4248</v>
      </c>
      <c r="E17" s="114" t="s">
        <v>2447</v>
      </c>
      <c r="F17" s="114">
        <v>1962</v>
      </c>
      <c r="G17" s="152">
        <f t="shared" si="0"/>
        <v>1962</v>
      </c>
      <c r="H17" s="114" t="s">
        <v>2448</v>
      </c>
      <c r="I17" s="123" t="s">
        <v>2449</v>
      </c>
      <c r="J17" s="33">
        <v>75</v>
      </c>
      <c r="K17" s="124"/>
      <c r="L17" s="114" t="s">
        <v>1923</v>
      </c>
      <c r="M17" s="114"/>
      <c r="N17" s="124"/>
      <c r="O17" s="114"/>
      <c r="P17" s="124"/>
      <c r="Q17" s="114"/>
      <c r="R17" s="124"/>
      <c r="S17" s="114"/>
      <c r="T17" s="114"/>
      <c r="U17" s="114"/>
      <c r="V17" s="114"/>
      <c r="W17" s="114"/>
      <c r="X17" s="114"/>
      <c r="Y17" s="114"/>
      <c r="Z17" s="164"/>
      <c r="AA17" s="114"/>
      <c r="AB17" s="114"/>
      <c r="AC17" s="114"/>
      <c r="AD17" s="114"/>
      <c r="AE17" s="114"/>
      <c r="AF17" s="114"/>
      <c r="AG17" s="114"/>
      <c r="AH17" s="114"/>
      <c r="AI17" s="114"/>
      <c r="AJ17" s="114"/>
      <c r="AK17" s="114"/>
      <c r="AL17" s="114"/>
      <c r="AM17" s="114"/>
      <c r="AN17" s="114"/>
      <c r="AO17" s="114"/>
      <c r="AP17" s="114"/>
      <c r="AQ17" s="114"/>
      <c r="AR17" s="114"/>
    </row>
    <row r="18" ht="14.25" spans="1:44">
      <c r="A18" s="114" t="s">
        <v>2437</v>
      </c>
      <c r="B18" s="114"/>
      <c r="C18" s="114"/>
      <c r="D18" s="114" t="s">
        <v>2438</v>
      </c>
      <c r="E18" s="114" t="s">
        <v>2439</v>
      </c>
      <c r="F18" s="114">
        <v>1963</v>
      </c>
      <c r="G18" s="152">
        <f t="shared" si="0"/>
        <v>1963</v>
      </c>
      <c r="H18" s="114" t="s">
        <v>2440</v>
      </c>
      <c r="I18" s="123" t="s">
        <v>2441</v>
      </c>
      <c r="J18" s="33">
        <v>34</v>
      </c>
      <c r="K18" s="124"/>
      <c r="L18" s="114" t="s">
        <v>49</v>
      </c>
      <c r="M18" s="114"/>
      <c r="N18" s="124"/>
      <c r="O18" s="114"/>
      <c r="P18" s="124"/>
      <c r="Q18" s="114"/>
      <c r="R18" s="124"/>
      <c r="S18" s="114"/>
      <c r="T18" s="114"/>
      <c r="U18" s="114"/>
      <c r="V18" s="114"/>
      <c r="W18" s="114"/>
      <c r="X18" s="114"/>
      <c r="Y18" s="114"/>
      <c r="Z18" s="164"/>
      <c r="AA18" s="114"/>
      <c r="AB18" s="114"/>
      <c r="AC18" s="114"/>
      <c r="AD18" s="114"/>
      <c r="AE18" s="114"/>
      <c r="AF18" s="114"/>
      <c r="AG18" s="114"/>
      <c r="AH18" s="114"/>
      <c r="AI18" s="114"/>
      <c r="AJ18" s="114"/>
      <c r="AK18" s="114"/>
      <c r="AL18" s="114"/>
      <c r="AM18" s="114"/>
      <c r="AN18" s="114"/>
      <c r="AO18" s="114"/>
      <c r="AP18" s="114"/>
      <c r="AQ18" s="114"/>
      <c r="AR18" s="114"/>
    </row>
    <row r="19" ht="14.25" spans="1:44">
      <c r="A19" s="114" t="s">
        <v>2442</v>
      </c>
      <c r="B19" s="114" t="s">
        <v>256</v>
      </c>
      <c r="C19" s="114" t="s">
        <v>2426</v>
      </c>
      <c r="D19" s="114"/>
      <c r="E19" s="114" t="s">
        <v>2443</v>
      </c>
      <c r="F19" s="153">
        <v>23316</v>
      </c>
      <c r="G19" s="152">
        <f t="shared" si="0"/>
        <v>3316</v>
      </c>
      <c r="H19" s="114" t="s">
        <v>2444</v>
      </c>
      <c r="I19" s="123" t="s">
        <v>2445</v>
      </c>
      <c r="J19" s="33">
        <v>46</v>
      </c>
      <c r="K19" s="124"/>
      <c r="L19" s="114" t="s">
        <v>49</v>
      </c>
      <c r="M19" s="114"/>
      <c r="N19" s="124"/>
      <c r="O19" s="114"/>
      <c r="P19" s="124"/>
      <c r="Q19" s="114"/>
      <c r="R19" s="124"/>
      <c r="S19" s="114"/>
      <c r="T19" s="114"/>
      <c r="U19" s="114"/>
      <c r="V19" s="114"/>
      <c r="W19" s="114"/>
      <c r="X19" s="114"/>
      <c r="Y19" s="114"/>
      <c r="Z19" s="164"/>
      <c r="AA19" s="114"/>
      <c r="AB19" s="114"/>
      <c r="AC19" s="114"/>
      <c r="AD19" s="114"/>
      <c r="AE19" s="114"/>
      <c r="AF19" s="114"/>
      <c r="AG19" s="114"/>
      <c r="AH19" s="114"/>
      <c r="AI19" s="114"/>
      <c r="AJ19" s="114"/>
      <c r="AK19" s="114"/>
      <c r="AL19" s="114"/>
      <c r="AM19" s="114"/>
      <c r="AN19" s="114"/>
      <c r="AO19" s="114"/>
      <c r="AP19" s="114"/>
      <c r="AQ19" s="114"/>
      <c r="AR19" s="114"/>
    </row>
    <row r="20" ht="14.25" spans="1:44">
      <c r="A20" s="114" t="s">
        <v>2431</v>
      </c>
      <c r="B20" s="114" t="s">
        <v>256</v>
      </c>
      <c r="C20" s="114" t="s">
        <v>2432</v>
      </c>
      <c r="D20" s="114" t="s">
        <v>2433</v>
      </c>
      <c r="E20" s="114" t="s">
        <v>2434</v>
      </c>
      <c r="F20" s="153">
        <v>24777</v>
      </c>
      <c r="G20" s="152">
        <f t="shared" si="0"/>
        <v>4777</v>
      </c>
      <c r="H20" s="114" t="s">
        <v>2435</v>
      </c>
      <c r="I20" s="123" t="s">
        <v>2436</v>
      </c>
      <c r="J20" s="33">
        <v>747</v>
      </c>
      <c r="K20" s="124"/>
      <c r="L20" s="114" t="s">
        <v>49</v>
      </c>
      <c r="M20" s="114" t="s">
        <v>1546</v>
      </c>
      <c r="N20" s="124">
        <v>40</v>
      </c>
      <c r="O20" s="114"/>
      <c r="P20" s="124"/>
      <c r="Q20" s="114"/>
      <c r="R20" s="124"/>
      <c r="S20" s="114"/>
      <c r="T20" s="114"/>
      <c r="U20" s="114"/>
      <c r="V20" s="114"/>
      <c r="W20" s="114"/>
      <c r="X20" s="114"/>
      <c r="Y20" s="114"/>
      <c r="Z20" s="164"/>
      <c r="AA20" s="114"/>
      <c r="AB20" s="114"/>
      <c r="AC20" s="114"/>
      <c r="AD20" s="114"/>
      <c r="AE20" s="114"/>
      <c r="AF20" s="114"/>
      <c r="AG20" s="114"/>
      <c r="AH20" s="114"/>
      <c r="AI20" s="114"/>
      <c r="AJ20" s="114"/>
      <c r="AK20" s="114"/>
      <c r="AL20" s="114"/>
      <c r="AM20" s="114"/>
      <c r="AN20" s="114"/>
      <c r="AO20" s="114"/>
      <c r="AP20" s="114"/>
      <c r="AQ20" s="114"/>
      <c r="AR20" s="114"/>
    </row>
    <row r="21" ht="14.25" spans="1:44">
      <c r="A21" s="114" t="s">
        <v>2425</v>
      </c>
      <c r="B21" s="114" t="s">
        <v>256</v>
      </c>
      <c r="C21" s="114" t="s">
        <v>2426</v>
      </c>
      <c r="D21" s="114" t="s">
        <v>1479</v>
      </c>
      <c r="E21" s="114" t="s">
        <v>2427</v>
      </c>
      <c r="F21" s="114">
        <v>1968</v>
      </c>
      <c r="G21" s="152">
        <f t="shared" si="0"/>
        <v>1968</v>
      </c>
      <c r="H21" s="114" t="s">
        <v>2428</v>
      </c>
      <c r="I21" s="123" t="s">
        <v>4251</v>
      </c>
      <c r="J21" s="33">
        <v>590</v>
      </c>
      <c r="K21" s="124"/>
      <c r="L21" s="114" t="s">
        <v>1923</v>
      </c>
      <c r="M21" s="114"/>
      <c r="N21" s="124"/>
      <c r="O21" s="114"/>
      <c r="P21" s="124"/>
      <c r="Q21" s="114"/>
      <c r="R21" s="124"/>
      <c r="S21" s="114"/>
      <c r="T21" s="114"/>
      <c r="U21" s="114"/>
      <c r="V21" s="114"/>
      <c r="W21" s="114"/>
      <c r="X21" s="114"/>
      <c r="Y21" s="114"/>
      <c r="Z21" s="164"/>
      <c r="AA21" s="114"/>
      <c r="AB21" s="114"/>
      <c r="AC21" s="114"/>
      <c r="AD21" s="114"/>
      <c r="AE21" s="114"/>
      <c r="AF21" s="114"/>
      <c r="AG21" s="114"/>
      <c r="AH21" s="114"/>
      <c r="AI21" s="114"/>
      <c r="AJ21" s="114"/>
      <c r="AK21" s="114"/>
      <c r="AL21" s="114"/>
      <c r="AM21" s="114"/>
      <c r="AN21" s="114"/>
      <c r="AO21" s="114"/>
      <c r="AP21" s="114"/>
      <c r="AQ21" s="114"/>
      <c r="AR21" s="114"/>
    </row>
    <row r="22" ht="14.25" spans="1:44">
      <c r="A22" s="114" t="s">
        <v>2430</v>
      </c>
      <c r="B22" s="114" t="s">
        <v>256</v>
      </c>
      <c r="C22" s="114" t="s">
        <v>2337</v>
      </c>
      <c r="D22" s="114" t="s">
        <v>1479</v>
      </c>
      <c r="E22" s="114" t="s">
        <v>2427</v>
      </c>
      <c r="F22" s="114">
        <v>1968</v>
      </c>
      <c r="G22" s="152">
        <f t="shared" si="0"/>
        <v>1968</v>
      </c>
      <c r="H22" s="114" t="s">
        <v>2428</v>
      </c>
      <c r="I22" s="123" t="s">
        <v>4251</v>
      </c>
      <c r="J22" s="33">
        <v>590</v>
      </c>
      <c r="K22" s="124"/>
      <c r="L22" s="114" t="s">
        <v>1923</v>
      </c>
      <c r="M22" s="114"/>
      <c r="N22" s="124"/>
      <c r="O22" s="114"/>
      <c r="P22" s="124"/>
      <c r="Q22" s="114"/>
      <c r="R22" s="124"/>
      <c r="S22" s="114"/>
      <c r="T22" s="114"/>
      <c r="U22" s="114"/>
      <c r="V22" s="114"/>
      <c r="W22" s="114"/>
      <c r="X22" s="114"/>
      <c r="Y22" s="114"/>
      <c r="Z22" s="164"/>
      <c r="AA22" s="114"/>
      <c r="AB22" s="114"/>
      <c r="AC22" s="114"/>
      <c r="AD22" s="114"/>
      <c r="AE22" s="114"/>
      <c r="AF22" s="114"/>
      <c r="AG22" s="114"/>
      <c r="AH22" s="114"/>
      <c r="AI22" s="114"/>
      <c r="AJ22" s="114"/>
      <c r="AK22" s="114"/>
      <c r="AL22" s="114"/>
      <c r="AM22" s="114"/>
      <c r="AN22" s="114"/>
      <c r="AO22" s="114"/>
      <c r="AP22" s="114"/>
      <c r="AQ22" s="114"/>
      <c r="AR22" s="114"/>
    </row>
    <row r="23" ht="14.25" spans="1:44">
      <c r="A23" s="114"/>
      <c r="B23" s="114"/>
      <c r="C23" s="114"/>
      <c r="D23" s="114" t="s">
        <v>2253</v>
      </c>
      <c r="E23" s="114" t="s">
        <v>2422</v>
      </c>
      <c r="F23" s="153">
        <v>25812</v>
      </c>
      <c r="G23" s="152">
        <f t="shared" si="0"/>
        <v>5812</v>
      </c>
      <c r="H23" s="114" t="s">
        <v>2423</v>
      </c>
      <c r="I23" s="123" t="s">
        <v>2424</v>
      </c>
      <c r="J23" s="33">
        <v>1805</v>
      </c>
      <c r="K23" s="124"/>
      <c r="L23" s="114" t="s">
        <v>454</v>
      </c>
      <c r="M23" s="114"/>
      <c r="N23" s="124"/>
      <c r="O23" s="114"/>
      <c r="P23" s="124"/>
      <c r="Q23" s="114"/>
      <c r="R23" s="124"/>
      <c r="S23" s="114"/>
      <c r="T23" s="114"/>
      <c r="U23" s="114"/>
      <c r="V23" s="114"/>
      <c r="W23" s="114"/>
      <c r="X23" s="114"/>
      <c r="Y23" s="114"/>
      <c r="Z23" s="164"/>
      <c r="AA23" s="114"/>
      <c r="AB23" s="114"/>
      <c r="AC23" s="114"/>
      <c r="AD23" s="114"/>
      <c r="AE23" s="114"/>
      <c r="AF23" s="114"/>
      <c r="AG23" s="114"/>
      <c r="AH23" s="114"/>
      <c r="AI23" s="114"/>
      <c r="AJ23" s="114"/>
      <c r="AK23" s="114"/>
      <c r="AL23" s="114"/>
      <c r="AM23" s="114"/>
      <c r="AN23" s="114"/>
      <c r="AO23" s="114"/>
      <c r="AP23" s="114"/>
      <c r="AQ23" s="114"/>
      <c r="AR23" s="114"/>
    </row>
    <row r="24" ht="14.25" spans="1:44">
      <c r="A24" s="114" t="s">
        <v>2410</v>
      </c>
      <c r="B24" s="114" t="s">
        <v>41</v>
      </c>
      <c r="C24" s="114"/>
      <c r="D24" s="114" t="s">
        <v>2253</v>
      </c>
      <c r="E24" s="114" t="s">
        <v>2412</v>
      </c>
      <c r="F24" s="114">
        <v>1973</v>
      </c>
      <c r="G24" s="152">
        <f t="shared" si="0"/>
        <v>1973</v>
      </c>
      <c r="H24" s="114" t="s">
        <v>2413</v>
      </c>
      <c r="I24" s="123" t="s">
        <v>4252</v>
      </c>
      <c r="J24" s="33">
        <v>23127</v>
      </c>
      <c r="K24" s="124"/>
      <c r="L24" s="114" t="s">
        <v>454</v>
      </c>
      <c r="M24" s="114"/>
      <c r="N24" s="124"/>
      <c r="O24" s="114"/>
      <c r="P24" s="124"/>
      <c r="Q24" s="114"/>
      <c r="R24" s="124"/>
      <c r="S24" s="114"/>
      <c r="T24" s="114"/>
      <c r="U24" s="114"/>
      <c r="V24" s="114"/>
      <c r="W24" s="114"/>
      <c r="X24" s="114"/>
      <c r="Y24" s="114"/>
      <c r="Z24" s="164"/>
      <c r="AA24" s="114"/>
      <c r="AB24" s="114"/>
      <c r="AC24" s="114"/>
      <c r="AD24" s="114"/>
      <c r="AE24" s="114"/>
      <c r="AF24" s="114"/>
      <c r="AG24" s="114"/>
      <c r="AH24" s="114"/>
      <c r="AI24" s="114"/>
      <c r="AJ24" s="114"/>
      <c r="AK24" s="114"/>
      <c r="AL24" s="114"/>
      <c r="AM24" s="114"/>
      <c r="AN24" s="114"/>
      <c r="AO24" s="114"/>
      <c r="AP24" s="114"/>
      <c r="AQ24" s="114"/>
      <c r="AR24" s="114"/>
    </row>
    <row r="25" ht="14.25" spans="1:44">
      <c r="A25" s="114" t="s">
        <v>2415</v>
      </c>
      <c r="B25" s="114" t="s">
        <v>256</v>
      </c>
      <c r="C25" s="114" t="s">
        <v>2416</v>
      </c>
      <c r="D25" s="114" t="s">
        <v>2417</v>
      </c>
      <c r="E25" s="114" t="s">
        <v>2418</v>
      </c>
      <c r="F25" s="154">
        <v>26908</v>
      </c>
      <c r="G25" s="152">
        <f t="shared" si="0"/>
        <v>6908</v>
      </c>
      <c r="H25" s="114" t="s">
        <v>2419</v>
      </c>
      <c r="I25" s="123" t="s">
        <v>2420</v>
      </c>
      <c r="J25" s="33">
        <v>382</v>
      </c>
      <c r="K25" s="124"/>
      <c r="L25" s="114" t="s">
        <v>49</v>
      </c>
      <c r="M25" s="114"/>
      <c r="N25" s="124">
        <v>21</v>
      </c>
      <c r="O25" s="114"/>
      <c r="P25" s="124"/>
      <c r="Q25" s="114"/>
      <c r="R25" s="124"/>
      <c r="S25" s="114"/>
      <c r="T25" s="114"/>
      <c r="U25" s="114"/>
      <c r="V25" s="114"/>
      <c r="W25" s="159"/>
      <c r="X25" s="114"/>
      <c r="Y25" s="114"/>
      <c r="Z25" s="164"/>
      <c r="AA25" s="114"/>
      <c r="AB25" s="114"/>
      <c r="AC25" s="114"/>
      <c r="AD25" s="114"/>
      <c r="AE25" s="114"/>
      <c r="AF25" s="114"/>
      <c r="AG25" s="114"/>
      <c r="AH25" s="114"/>
      <c r="AI25" s="114"/>
      <c r="AJ25" s="114"/>
      <c r="AK25" s="114"/>
      <c r="AL25" s="114"/>
      <c r="AM25" s="114"/>
      <c r="AN25" s="114"/>
      <c r="AO25" s="114"/>
      <c r="AP25" s="114"/>
      <c r="AQ25" s="114"/>
      <c r="AR25" s="114"/>
    </row>
    <row r="26" ht="14.25" spans="1:44">
      <c r="A26" s="114" t="s">
        <v>2405</v>
      </c>
      <c r="B26" s="114"/>
      <c r="C26" s="114"/>
      <c r="D26" s="114" t="s">
        <v>2406</v>
      </c>
      <c r="E26" s="114" t="s">
        <v>2407</v>
      </c>
      <c r="F26" s="114">
        <v>1975</v>
      </c>
      <c r="G26" s="152">
        <f t="shared" si="0"/>
        <v>1975</v>
      </c>
      <c r="H26" s="114" t="s">
        <v>2408</v>
      </c>
      <c r="I26" s="123" t="s">
        <v>2409</v>
      </c>
      <c r="J26" s="33">
        <v>791</v>
      </c>
      <c r="K26" s="124"/>
      <c r="L26" s="114" t="s">
        <v>1923</v>
      </c>
      <c r="M26" s="114"/>
      <c r="O26" s="114"/>
      <c r="P26" s="124"/>
      <c r="Q26" s="114"/>
      <c r="R26" s="124"/>
      <c r="S26" s="114"/>
      <c r="T26" s="114"/>
      <c r="U26" s="114"/>
      <c r="V26" s="114"/>
      <c r="W26" s="159"/>
      <c r="X26" s="114"/>
      <c r="Y26" s="114"/>
      <c r="Z26" s="164"/>
      <c r="AA26" s="114"/>
      <c r="AB26" s="114"/>
      <c r="AC26" s="114"/>
      <c r="AD26" s="114"/>
      <c r="AE26" s="114"/>
      <c r="AF26" s="114"/>
      <c r="AG26" s="114"/>
      <c r="AH26" s="114"/>
      <c r="AI26" s="114"/>
      <c r="AJ26" s="114"/>
      <c r="AK26" s="114"/>
      <c r="AL26" s="114"/>
      <c r="AM26" s="114"/>
      <c r="AN26" s="114"/>
      <c r="AO26" s="114"/>
      <c r="AP26" s="114"/>
      <c r="AQ26" s="114"/>
      <c r="AR26" s="114"/>
    </row>
    <row r="27" ht="14.25" spans="1:44">
      <c r="A27" s="114" t="s">
        <v>2400</v>
      </c>
      <c r="B27" s="114"/>
      <c r="C27" s="114"/>
      <c r="D27" s="114" t="s">
        <v>2401</v>
      </c>
      <c r="E27" s="114" t="s">
        <v>2402</v>
      </c>
      <c r="F27" s="114">
        <v>1977</v>
      </c>
      <c r="G27" s="152">
        <f t="shared" si="0"/>
        <v>1977</v>
      </c>
      <c r="H27" s="114" t="s">
        <v>2403</v>
      </c>
      <c r="I27" s="123" t="s">
        <v>2404</v>
      </c>
      <c r="J27" s="33">
        <v>244</v>
      </c>
      <c r="K27" s="124"/>
      <c r="L27" s="114" t="s">
        <v>1923</v>
      </c>
      <c r="M27" s="114"/>
      <c r="N27" s="124"/>
      <c r="O27" s="114"/>
      <c r="P27" s="124"/>
      <c r="Q27" s="114"/>
      <c r="R27" s="124"/>
      <c r="S27" s="114"/>
      <c r="T27" s="114"/>
      <c r="U27" s="114"/>
      <c r="V27" s="114"/>
      <c r="W27" s="159"/>
      <c r="X27" s="114"/>
      <c r="Y27" s="114"/>
      <c r="Z27" s="164"/>
      <c r="AA27" s="114"/>
      <c r="AB27" s="114"/>
      <c r="AC27" s="114"/>
      <c r="AD27" s="114"/>
      <c r="AE27" s="114"/>
      <c r="AF27" s="114"/>
      <c r="AG27" s="114"/>
      <c r="AH27" s="114"/>
      <c r="AI27" s="114"/>
      <c r="AJ27" s="114"/>
      <c r="AK27" s="114"/>
      <c r="AL27" s="114"/>
      <c r="AM27" s="114"/>
      <c r="AN27" s="114"/>
      <c r="AO27" s="114"/>
      <c r="AP27" s="114"/>
      <c r="AQ27" s="114"/>
      <c r="AR27" s="114"/>
    </row>
    <row r="28" ht="14.25" spans="1:44">
      <c r="A28" s="114"/>
      <c r="B28" s="114" t="s">
        <v>41</v>
      </c>
      <c r="C28" s="114"/>
      <c r="D28" s="114" t="s">
        <v>2396</v>
      </c>
      <c r="E28" s="114" t="s">
        <v>2397</v>
      </c>
      <c r="F28" s="114">
        <v>1979</v>
      </c>
      <c r="G28" s="152">
        <f t="shared" si="0"/>
        <v>1979</v>
      </c>
      <c r="H28" s="114" t="s">
        <v>2398</v>
      </c>
      <c r="I28" s="123" t="s">
        <v>2399</v>
      </c>
      <c r="J28" s="33">
        <v>981</v>
      </c>
      <c r="K28" s="124"/>
      <c r="L28" s="114" t="s">
        <v>1923</v>
      </c>
      <c r="M28" s="114"/>
      <c r="N28" s="124"/>
      <c r="O28" s="114"/>
      <c r="P28" s="124"/>
      <c r="Q28" s="114"/>
      <c r="R28" s="124"/>
      <c r="S28" s="114"/>
      <c r="T28" s="114"/>
      <c r="U28" s="114"/>
      <c r="V28" s="114"/>
      <c r="W28" s="159"/>
      <c r="X28" s="114"/>
      <c r="Y28" s="114"/>
      <c r="Z28" s="164"/>
      <c r="AA28" s="114"/>
      <c r="AB28" s="114"/>
      <c r="AC28" s="114"/>
      <c r="AD28" s="114"/>
      <c r="AE28" s="114"/>
      <c r="AF28" s="114"/>
      <c r="AG28" s="114"/>
      <c r="AH28" s="114"/>
      <c r="AI28" s="114"/>
      <c r="AJ28" s="114"/>
      <c r="AK28" s="114"/>
      <c r="AL28" s="114"/>
      <c r="AM28" s="114"/>
      <c r="AN28" s="114"/>
      <c r="AO28" s="114"/>
      <c r="AP28" s="114"/>
      <c r="AQ28" s="114"/>
      <c r="AR28" s="114"/>
    </row>
    <row r="29" ht="14.25" spans="1:44">
      <c r="A29" s="114" t="s">
        <v>2391</v>
      </c>
      <c r="B29" s="114" t="s">
        <v>41</v>
      </c>
      <c r="C29" s="114" t="s">
        <v>1231</v>
      </c>
      <c r="D29" s="114" t="s">
        <v>2392</v>
      </c>
      <c r="E29" s="114" t="s">
        <v>2393</v>
      </c>
      <c r="F29" s="114">
        <v>1980</v>
      </c>
      <c r="G29" s="152">
        <f t="shared" si="0"/>
        <v>1980</v>
      </c>
      <c r="H29" s="114" t="s">
        <v>2394</v>
      </c>
      <c r="I29" s="123" t="s">
        <v>2395</v>
      </c>
      <c r="J29" s="33">
        <v>5782</v>
      </c>
      <c r="K29" s="124"/>
      <c r="L29" s="114" t="s">
        <v>454</v>
      </c>
      <c r="M29" s="114"/>
      <c r="N29" s="124">
        <f>(16*16*24)*(5*5+1)+(8*8*24)*(5*5*24+1)+(2*2*24)*(5*5*24+1)</f>
        <v>1140576</v>
      </c>
      <c r="O29" s="124">
        <f>2*5*20*N29</f>
        <v>228115200</v>
      </c>
      <c r="P29" s="124"/>
      <c r="Q29" s="114"/>
      <c r="R29" s="124">
        <v>5</v>
      </c>
      <c r="S29" s="114"/>
      <c r="T29" s="114"/>
      <c r="U29" s="114"/>
      <c r="V29" s="114"/>
      <c r="W29" s="159"/>
      <c r="X29" s="114"/>
      <c r="Y29" s="114"/>
      <c r="Z29" s="164"/>
      <c r="AA29" s="114"/>
      <c r="AB29" s="114"/>
      <c r="AC29" s="114"/>
      <c r="AD29" s="114"/>
      <c r="AE29" s="114"/>
      <c r="AF29" s="114"/>
      <c r="AG29" s="114"/>
      <c r="AH29" s="114"/>
      <c r="AI29" s="114"/>
      <c r="AJ29" s="114"/>
      <c r="AK29" s="114"/>
      <c r="AL29" s="114"/>
      <c r="AM29" s="114"/>
      <c r="AN29" s="114"/>
      <c r="AO29" s="114"/>
      <c r="AP29" s="114"/>
      <c r="AQ29" s="114"/>
      <c r="AR29" s="114"/>
    </row>
    <row r="30" ht="14.25" spans="1:44">
      <c r="A30" s="114" t="s">
        <v>2385</v>
      </c>
      <c r="B30" s="114" t="s">
        <v>199</v>
      </c>
      <c r="C30" s="114" t="s">
        <v>2386</v>
      </c>
      <c r="D30" s="114" t="s">
        <v>2387</v>
      </c>
      <c r="E30" s="114" t="s">
        <v>2388</v>
      </c>
      <c r="F30" s="153">
        <v>29792</v>
      </c>
      <c r="G30" s="152">
        <f t="shared" si="0"/>
        <v>9792</v>
      </c>
      <c r="H30" s="114" t="s">
        <v>2389</v>
      </c>
      <c r="I30" s="123" t="s">
        <v>2390</v>
      </c>
      <c r="J30" s="33">
        <v>11841</v>
      </c>
      <c r="K30" s="124"/>
      <c r="L30" s="114" t="s">
        <v>454</v>
      </c>
      <c r="M30" s="114"/>
      <c r="N30" s="124">
        <f>8*8*64</f>
        <v>4096</v>
      </c>
      <c r="O30" s="114"/>
      <c r="P30" s="124"/>
      <c r="Q30" s="114"/>
      <c r="R30" s="124"/>
      <c r="S30" s="114"/>
      <c r="T30" s="114"/>
      <c r="U30" s="114"/>
      <c r="V30" s="114"/>
      <c r="W30" s="114"/>
      <c r="X30" s="114"/>
      <c r="Y30" s="114"/>
      <c r="Z30" s="164"/>
      <c r="AA30" s="114"/>
      <c r="AB30" s="114"/>
      <c r="AC30" s="114"/>
      <c r="AD30" s="114"/>
      <c r="AE30" s="114"/>
      <c r="AF30" s="114"/>
      <c r="AG30" s="114"/>
      <c r="AH30" s="114"/>
      <c r="AI30" s="114"/>
      <c r="AJ30" s="114"/>
      <c r="AK30" s="114"/>
      <c r="AL30" s="114"/>
      <c r="AM30" s="114"/>
      <c r="AN30" s="114"/>
      <c r="AO30" s="114"/>
      <c r="AP30" s="114"/>
      <c r="AQ30" s="114"/>
      <c r="AR30" s="114"/>
    </row>
    <row r="31" ht="14.25" spans="1:44">
      <c r="A31" s="155" t="s">
        <v>2380</v>
      </c>
      <c r="B31" s="114" t="s">
        <v>199</v>
      </c>
      <c r="C31" s="114" t="s">
        <v>2381</v>
      </c>
      <c r="D31" s="114" t="s">
        <v>2075</v>
      </c>
      <c r="E31" s="114" t="s">
        <v>2382</v>
      </c>
      <c r="F31" s="153">
        <v>30042</v>
      </c>
      <c r="G31" s="152">
        <f t="shared" si="0"/>
        <v>42</v>
      </c>
      <c r="H31" s="114" t="s">
        <v>2383</v>
      </c>
      <c r="I31" s="123" t="s">
        <v>4253</v>
      </c>
      <c r="J31" s="33">
        <v>23315</v>
      </c>
      <c r="K31" s="124"/>
      <c r="L31" s="114" t="s">
        <v>454</v>
      </c>
      <c r="M31" s="114" t="s">
        <v>1546</v>
      </c>
      <c r="N31" s="124">
        <f>100*99</f>
        <v>9900</v>
      </c>
      <c r="O31" s="114"/>
      <c r="P31" s="124"/>
      <c r="Q31" s="114"/>
      <c r="R31" s="124"/>
      <c r="S31" s="114"/>
      <c r="T31" s="114"/>
      <c r="U31" s="114"/>
      <c r="V31" s="114"/>
      <c r="W31" s="114"/>
      <c r="X31" s="114"/>
      <c r="Y31" s="114"/>
      <c r="Z31" s="164"/>
      <c r="AA31" s="114"/>
      <c r="AB31" s="114"/>
      <c r="AC31" s="114"/>
      <c r="AD31" s="114"/>
      <c r="AE31" s="114"/>
      <c r="AF31" s="114"/>
      <c r="AG31" s="114"/>
      <c r="AH31" s="114"/>
      <c r="AI31" s="114"/>
      <c r="AJ31" s="114"/>
      <c r="AK31" s="114"/>
      <c r="AL31" s="114"/>
      <c r="AM31" s="114"/>
      <c r="AN31" s="114"/>
      <c r="AO31" s="114"/>
      <c r="AP31" s="114"/>
      <c r="AQ31" s="114"/>
      <c r="AR31" s="114"/>
    </row>
    <row r="32" ht="14.25" spans="1:44">
      <c r="A32" s="114" t="s">
        <v>2376</v>
      </c>
      <c r="B32" s="114" t="s">
        <v>256</v>
      </c>
      <c r="C32" s="114" t="s">
        <v>2337</v>
      </c>
      <c r="D32" s="114" t="s">
        <v>1392</v>
      </c>
      <c r="E32" s="114" t="s">
        <v>2377</v>
      </c>
      <c r="F32" s="154">
        <v>30560</v>
      </c>
      <c r="G32" s="152">
        <f t="shared" si="0"/>
        <v>560</v>
      </c>
      <c r="H32" s="114" t="s">
        <v>2378</v>
      </c>
      <c r="I32" s="123" t="s">
        <v>4254</v>
      </c>
      <c r="J32" s="33">
        <v>4296</v>
      </c>
      <c r="K32" s="124"/>
      <c r="L32" s="114" t="s">
        <v>454</v>
      </c>
      <c r="M32" s="114"/>
      <c r="N32" s="124">
        <f>162*2</f>
        <v>324</v>
      </c>
      <c r="O32" s="114"/>
      <c r="P32" s="124"/>
      <c r="Q32" s="114"/>
      <c r="R32" s="124"/>
      <c r="S32" s="114"/>
      <c r="T32" s="114"/>
      <c r="U32" s="114"/>
      <c r="V32" s="114"/>
      <c r="W32" s="114"/>
      <c r="X32" s="114"/>
      <c r="Y32" s="114"/>
      <c r="Z32" s="164"/>
      <c r="AA32" s="114"/>
      <c r="AB32" s="114"/>
      <c r="AC32" s="114"/>
      <c r="AD32" s="114"/>
      <c r="AE32" s="114"/>
      <c r="AF32" s="114"/>
      <c r="AG32" s="114"/>
      <c r="AH32" s="114"/>
      <c r="AI32" s="114"/>
      <c r="AJ32" s="114"/>
      <c r="AK32" s="114"/>
      <c r="AL32" s="114"/>
      <c r="AM32" s="114"/>
      <c r="AN32" s="114"/>
      <c r="AO32" s="114"/>
      <c r="AP32" s="114"/>
      <c r="AQ32" s="114"/>
      <c r="AR32" s="114"/>
    </row>
    <row r="33" ht="14.25" spans="1:44">
      <c r="A33" s="114"/>
      <c r="B33" s="114" t="s">
        <v>51</v>
      </c>
      <c r="C33" s="114"/>
      <c r="D33" s="114"/>
      <c r="E33" s="114"/>
      <c r="F33" s="114">
        <v>1984</v>
      </c>
      <c r="G33" s="152">
        <f t="shared" si="0"/>
        <v>1984</v>
      </c>
      <c r="H33" s="114" t="s">
        <v>2374</v>
      </c>
      <c r="I33" s="123" t="s">
        <v>2375</v>
      </c>
      <c r="J33" s="33">
        <v>4730</v>
      </c>
      <c r="K33" s="124"/>
      <c r="L33" s="114" t="s">
        <v>454</v>
      </c>
      <c r="M33" s="114"/>
      <c r="N33" s="124"/>
      <c r="O33" s="114"/>
      <c r="P33" s="124"/>
      <c r="Q33" s="114"/>
      <c r="R33" s="124"/>
      <c r="S33" s="114"/>
      <c r="T33" s="114"/>
      <c r="U33" s="114"/>
      <c r="V33" s="114"/>
      <c r="W33" s="114"/>
      <c r="X33" s="114"/>
      <c r="Y33" s="114"/>
      <c r="Z33" s="164"/>
      <c r="AA33" s="114"/>
      <c r="AB33" s="114"/>
      <c r="AC33" s="114"/>
      <c r="AD33" s="114"/>
      <c r="AE33" s="114"/>
      <c r="AF33" s="114"/>
      <c r="AG33" s="114"/>
      <c r="AH33" s="114"/>
      <c r="AI33" s="114"/>
      <c r="AJ33" s="114"/>
      <c r="AK33" s="114"/>
      <c r="AL33" s="114"/>
      <c r="AM33" s="114"/>
      <c r="AN33" s="114"/>
      <c r="AO33" s="114"/>
      <c r="AP33" s="114"/>
      <c r="AQ33" s="114"/>
      <c r="AR33" s="114"/>
    </row>
    <row r="34" ht="14.25" spans="1:44">
      <c r="A34" s="155"/>
      <c r="B34" s="114"/>
      <c r="C34" s="114"/>
      <c r="D34" s="114" t="s">
        <v>2357</v>
      </c>
      <c r="E34" s="114" t="s">
        <v>2358</v>
      </c>
      <c r="F34" s="114">
        <v>1985</v>
      </c>
      <c r="G34" s="152">
        <f t="shared" si="0"/>
        <v>1985</v>
      </c>
      <c r="H34" s="114" t="s">
        <v>2359</v>
      </c>
      <c r="I34" s="123" t="s">
        <v>4255</v>
      </c>
      <c r="J34" s="33">
        <v>27322</v>
      </c>
      <c r="K34" s="124"/>
      <c r="L34" s="114" t="s">
        <v>454</v>
      </c>
      <c r="M34" s="114"/>
      <c r="N34" s="124"/>
      <c r="O34" s="114"/>
      <c r="P34" s="124"/>
      <c r="Q34" s="114"/>
      <c r="R34" s="124"/>
      <c r="S34" s="114"/>
      <c r="T34" s="114"/>
      <c r="U34" s="114"/>
      <c r="V34" s="114"/>
      <c r="W34" s="114"/>
      <c r="X34" s="114"/>
      <c r="Y34" s="114"/>
      <c r="Z34" s="164"/>
      <c r="AA34" s="114"/>
      <c r="AB34" s="114"/>
      <c r="AC34" s="114"/>
      <c r="AD34" s="114"/>
      <c r="AE34" s="114"/>
      <c r="AF34" s="114"/>
      <c r="AG34" s="114"/>
      <c r="AH34" s="114"/>
      <c r="AI34" s="114"/>
      <c r="AJ34" s="114"/>
      <c r="AK34" s="114"/>
      <c r="AL34" s="114"/>
      <c r="AM34" s="114"/>
      <c r="AN34" s="114"/>
      <c r="AO34" s="114"/>
      <c r="AP34" s="114"/>
      <c r="AQ34" s="114"/>
      <c r="AR34" s="114"/>
    </row>
    <row r="35" ht="14.25" spans="1:44">
      <c r="A35" s="155"/>
      <c r="B35" s="114" t="s">
        <v>41</v>
      </c>
      <c r="C35" s="114"/>
      <c r="D35" s="114" t="s">
        <v>2253</v>
      </c>
      <c r="E35" s="114" t="s">
        <v>2370</v>
      </c>
      <c r="F35" s="114">
        <v>1986</v>
      </c>
      <c r="G35" s="152">
        <f t="shared" si="0"/>
        <v>1986</v>
      </c>
      <c r="H35" s="114" t="s">
        <v>2371</v>
      </c>
      <c r="I35" s="123" t="s">
        <v>4256</v>
      </c>
      <c r="J35" s="33">
        <v>37931</v>
      </c>
      <c r="K35" s="124"/>
      <c r="L35" s="114" t="s">
        <v>454</v>
      </c>
      <c r="M35" s="114"/>
      <c r="N35" s="124"/>
      <c r="O35" s="114"/>
      <c r="P35" s="124"/>
      <c r="Q35" s="114"/>
      <c r="R35" s="124"/>
      <c r="S35" s="114"/>
      <c r="T35" s="114"/>
      <c r="U35" s="114"/>
      <c r="V35" s="114" t="s">
        <v>2356</v>
      </c>
      <c r="W35" s="114"/>
      <c r="X35" s="114"/>
      <c r="Y35" s="114"/>
      <c r="Z35" s="164"/>
      <c r="AA35" s="114"/>
      <c r="AB35" s="114"/>
      <c r="AC35" s="114"/>
      <c r="AD35" s="114"/>
      <c r="AE35" s="114"/>
      <c r="AF35" s="114"/>
      <c r="AG35" s="114"/>
      <c r="AH35" s="114"/>
      <c r="AI35" s="114"/>
      <c r="AJ35" s="114"/>
      <c r="AK35" s="114"/>
      <c r="AL35" s="114"/>
      <c r="AM35" s="114"/>
      <c r="AN35" s="114"/>
      <c r="AO35" s="114"/>
      <c r="AP35" s="114"/>
      <c r="AQ35" s="114"/>
      <c r="AR35" s="114"/>
    </row>
    <row r="36" ht="14.25" spans="1:44">
      <c r="A36" s="114" t="s">
        <v>2722</v>
      </c>
      <c r="B36" s="114"/>
      <c r="C36" s="114"/>
      <c r="D36" s="114" t="s">
        <v>2417</v>
      </c>
      <c r="E36" s="114" t="s">
        <v>2723</v>
      </c>
      <c r="F36" s="114">
        <v>1986</v>
      </c>
      <c r="G36" s="152">
        <f t="shared" si="0"/>
        <v>1986</v>
      </c>
      <c r="H36" s="114"/>
      <c r="I36" s="114"/>
      <c r="J36" s="33"/>
      <c r="K36" s="124"/>
      <c r="L36" s="114" t="s">
        <v>49</v>
      </c>
      <c r="M36" s="114"/>
      <c r="N36" s="124"/>
      <c r="O36" s="114"/>
      <c r="P36" s="124"/>
      <c r="Q36" s="114"/>
      <c r="R36" s="124"/>
      <c r="S36" s="114"/>
      <c r="T36" s="114"/>
      <c r="U36" s="114"/>
      <c r="V36" s="114"/>
      <c r="W36" s="114"/>
      <c r="X36" s="114"/>
      <c r="Y36" s="114"/>
      <c r="Z36" s="164"/>
      <c r="AA36" s="114"/>
      <c r="AB36" s="114"/>
      <c r="AC36" s="114"/>
      <c r="AD36" s="114"/>
      <c r="AE36" s="114"/>
      <c r="AF36" s="114"/>
      <c r="AG36" s="114"/>
      <c r="AH36" s="114"/>
      <c r="AI36" s="114"/>
      <c r="AJ36" s="114"/>
      <c r="AK36" s="114"/>
      <c r="AL36" s="114"/>
      <c r="AM36" s="114"/>
      <c r="AN36" s="114"/>
      <c r="AO36" s="114"/>
      <c r="AP36" s="114"/>
      <c r="AQ36" s="114"/>
      <c r="AR36" s="114"/>
    </row>
    <row r="37" ht="14.25" spans="1:44">
      <c r="A37" s="114"/>
      <c r="B37" s="114"/>
      <c r="C37" s="114"/>
      <c r="D37" s="114" t="s">
        <v>2352</v>
      </c>
      <c r="E37" s="114" t="s">
        <v>2367</v>
      </c>
      <c r="F37" s="114">
        <v>1986</v>
      </c>
      <c r="G37" s="152">
        <f t="shared" si="0"/>
        <v>1986</v>
      </c>
      <c r="H37" s="114" t="s">
        <v>2368</v>
      </c>
      <c r="I37" s="123" t="s">
        <v>2369</v>
      </c>
      <c r="J37" s="33">
        <v>1502</v>
      </c>
      <c r="K37" s="124"/>
      <c r="L37" s="114" t="s">
        <v>454</v>
      </c>
      <c r="M37" s="114"/>
      <c r="N37" s="124"/>
      <c r="O37" s="114"/>
      <c r="P37" s="124"/>
      <c r="Q37" s="114"/>
      <c r="R37" s="124"/>
      <c r="S37" s="114"/>
      <c r="T37" s="114"/>
      <c r="U37" s="114"/>
      <c r="V37" s="114"/>
      <c r="W37" s="114"/>
      <c r="X37" s="114"/>
      <c r="Y37" s="114"/>
      <c r="Z37" s="164"/>
      <c r="AA37" s="114"/>
      <c r="AB37" s="114"/>
      <c r="AC37" s="114"/>
      <c r="AD37" s="114"/>
      <c r="AE37" s="114"/>
      <c r="AF37" s="114"/>
      <c r="AG37" s="114"/>
      <c r="AH37" s="114"/>
      <c r="AI37" s="114"/>
      <c r="AJ37" s="114"/>
      <c r="AK37" s="114"/>
      <c r="AL37" s="114"/>
      <c r="AM37" s="114"/>
      <c r="AN37" s="114"/>
      <c r="AO37" s="114"/>
      <c r="AP37" s="114"/>
      <c r="AQ37" s="114"/>
      <c r="AR37" s="114"/>
    </row>
    <row r="38" ht="14.25" spans="1:44">
      <c r="A38" s="114" t="s">
        <v>2350</v>
      </c>
      <c r="B38" s="114" t="s">
        <v>199</v>
      </c>
      <c r="C38" s="114" t="s">
        <v>2351</v>
      </c>
      <c r="D38" s="114" t="s">
        <v>2352</v>
      </c>
      <c r="E38" s="114" t="s">
        <v>2353</v>
      </c>
      <c r="F38" s="153">
        <v>31694</v>
      </c>
      <c r="G38" s="152">
        <f t="shared" si="0"/>
        <v>1694</v>
      </c>
      <c r="H38" s="114" t="s">
        <v>2354</v>
      </c>
      <c r="I38" s="123" t="s">
        <v>4257</v>
      </c>
      <c r="J38" s="33">
        <v>25301</v>
      </c>
      <c r="K38" s="124"/>
      <c r="L38" s="114" t="s">
        <v>454</v>
      </c>
      <c r="M38" s="114"/>
      <c r="N38" s="124">
        <f>24*6</f>
        <v>144</v>
      </c>
      <c r="O38" s="124">
        <f>P38*2*1500*R38</f>
        <v>124416000</v>
      </c>
      <c r="P38" s="124">
        <f>N38*2</f>
        <v>288</v>
      </c>
      <c r="Q38" s="114"/>
      <c r="R38" s="124">
        <f>12*12</f>
        <v>144</v>
      </c>
      <c r="S38" s="114"/>
      <c r="T38" s="114"/>
      <c r="U38" s="114"/>
      <c r="V38" s="114"/>
      <c r="W38" s="114"/>
      <c r="X38" s="114"/>
      <c r="Y38" s="114"/>
      <c r="Z38" s="164"/>
      <c r="AA38" s="114"/>
      <c r="AB38" s="114"/>
      <c r="AC38" s="114"/>
      <c r="AD38" s="114"/>
      <c r="AE38" s="114"/>
      <c r="AF38" s="114"/>
      <c r="AG38" s="114"/>
      <c r="AH38" s="114"/>
      <c r="AI38" s="114"/>
      <c r="AJ38" s="114"/>
      <c r="AK38" s="114"/>
      <c r="AL38" s="114"/>
      <c r="AM38" s="114"/>
      <c r="AN38" s="114"/>
      <c r="AO38" s="114"/>
      <c r="AP38" s="114"/>
      <c r="AQ38" s="114"/>
      <c r="AR38" s="114"/>
    </row>
    <row r="39" ht="14.25" spans="1:44">
      <c r="A39" s="114"/>
      <c r="B39" s="114" t="s">
        <v>51</v>
      </c>
      <c r="C39" s="114" t="s">
        <v>2362</v>
      </c>
      <c r="D39" s="114" t="s">
        <v>1392</v>
      </c>
      <c r="E39" s="114" t="s">
        <v>2363</v>
      </c>
      <c r="F39" s="114">
        <v>1987</v>
      </c>
      <c r="G39" s="152">
        <f t="shared" si="0"/>
        <v>1987</v>
      </c>
      <c r="H39" s="114" t="s">
        <v>2364</v>
      </c>
      <c r="I39" s="123" t="s">
        <v>4258</v>
      </c>
      <c r="J39" s="33">
        <v>306</v>
      </c>
      <c r="K39" s="124"/>
      <c r="L39" s="114" t="s">
        <v>49</v>
      </c>
      <c r="M39" s="114"/>
      <c r="N39" s="124">
        <f>460*460</f>
        <v>211600</v>
      </c>
      <c r="O39" s="114"/>
      <c r="P39" s="124"/>
      <c r="Q39" s="114"/>
      <c r="R39" s="124"/>
      <c r="S39" s="114"/>
      <c r="T39" s="114"/>
      <c r="U39" s="114"/>
      <c r="V39" s="114"/>
      <c r="W39" s="114"/>
      <c r="X39" s="114"/>
      <c r="Y39" s="114"/>
      <c r="Z39" s="164"/>
      <c r="AA39" s="114"/>
      <c r="AB39" s="114"/>
      <c r="AC39" s="114"/>
      <c r="AD39" s="114"/>
      <c r="AE39" s="114"/>
      <c r="AF39" s="114"/>
      <c r="AG39" s="114"/>
      <c r="AH39" s="114"/>
      <c r="AI39" s="114"/>
      <c r="AJ39" s="114"/>
      <c r="AK39" s="114"/>
      <c r="AL39" s="114"/>
      <c r="AM39" s="114"/>
      <c r="AN39" s="114"/>
      <c r="AO39" s="114"/>
      <c r="AP39" s="114"/>
      <c r="AQ39" s="114"/>
      <c r="AR39" s="114"/>
    </row>
    <row r="40" ht="14.25" spans="1:44">
      <c r="A40" s="114"/>
      <c r="B40" s="114" t="s">
        <v>41</v>
      </c>
      <c r="C40" s="114"/>
      <c r="D40" s="114" t="s">
        <v>2346</v>
      </c>
      <c r="E40" s="114" t="s">
        <v>2347</v>
      </c>
      <c r="F40" s="114">
        <v>1987</v>
      </c>
      <c r="G40" s="152">
        <f t="shared" si="0"/>
        <v>1987</v>
      </c>
      <c r="H40" s="156" t="s">
        <v>2348</v>
      </c>
      <c r="I40" s="123" t="s">
        <v>2349</v>
      </c>
      <c r="J40" s="33">
        <v>7588</v>
      </c>
      <c r="K40" s="124"/>
      <c r="L40" s="114" t="s">
        <v>454</v>
      </c>
      <c r="M40" s="114"/>
      <c r="N40" s="124"/>
      <c r="O40" s="114"/>
      <c r="P40" s="124"/>
      <c r="Q40" s="114"/>
      <c r="R40" s="124"/>
      <c r="S40" s="114"/>
      <c r="T40" s="114"/>
      <c r="U40" s="114"/>
      <c r="V40" s="114"/>
      <c r="W40" s="114"/>
      <c r="X40" s="114"/>
      <c r="Y40" s="114"/>
      <c r="Z40" s="164"/>
      <c r="AA40" s="114"/>
      <c r="AB40" s="114"/>
      <c r="AC40" s="114"/>
      <c r="AD40" s="114"/>
      <c r="AE40" s="114"/>
      <c r="AF40" s="114"/>
      <c r="AG40" s="114"/>
      <c r="AH40" s="114"/>
      <c r="AI40" s="114"/>
      <c r="AJ40" s="114"/>
      <c r="AK40" s="114"/>
      <c r="AL40" s="114"/>
      <c r="AM40" s="114"/>
      <c r="AN40" s="114"/>
      <c r="AO40" s="114"/>
      <c r="AP40" s="114"/>
      <c r="AQ40" s="114"/>
      <c r="AR40" s="114"/>
    </row>
    <row r="41" ht="14.25" spans="1:44">
      <c r="A41" s="114" t="s">
        <v>2341</v>
      </c>
      <c r="B41" s="114" t="s">
        <v>126</v>
      </c>
      <c r="C41" s="114" t="s">
        <v>2180</v>
      </c>
      <c r="D41" s="114" t="s">
        <v>2342</v>
      </c>
      <c r="E41" s="114" t="s">
        <v>2343</v>
      </c>
      <c r="F41" s="153">
        <v>31934</v>
      </c>
      <c r="G41" s="152">
        <f t="shared" si="0"/>
        <v>1934</v>
      </c>
      <c r="H41" s="114" t="s">
        <v>2344</v>
      </c>
      <c r="I41" s="123" t="s">
        <v>2345</v>
      </c>
      <c r="J41" s="33">
        <v>2558</v>
      </c>
      <c r="K41" s="124"/>
      <c r="L41" s="114" t="s">
        <v>454</v>
      </c>
      <c r="M41" s="114">
        <v>1</v>
      </c>
      <c r="N41" s="124">
        <v>18629</v>
      </c>
      <c r="O41" s="158">
        <v>81187041441.209</v>
      </c>
      <c r="P41" s="124"/>
      <c r="Q41" s="114"/>
      <c r="R41" s="124"/>
      <c r="S41" s="114"/>
      <c r="T41" s="114"/>
      <c r="U41" s="114"/>
      <c r="V41" s="114"/>
      <c r="W41" s="114"/>
      <c r="X41" s="114"/>
      <c r="Y41" s="114"/>
      <c r="Z41" s="166" t="s">
        <v>34</v>
      </c>
      <c r="AA41" s="114"/>
      <c r="AB41" s="114"/>
      <c r="AC41" s="114"/>
      <c r="AD41" s="114"/>
      <c r="AE41" s="114"/>
      <c r="AF41" s="114"/>
      <c r="AG41" s="114"/>
      <c r="AH41" s="114"/>
      <c r="AI41" s="114"/>
      <c r="AJ41" s="114"/>
      <c r="AK41" s="114"/>
      <c r="AL41" s="114"/>
      <c r="AM41" s="114"/>
      <c r="AN41" s="114"/>
      <c r="AO41" s="114"/>
      <c r="AP41" s="114"/>
      <c r="AQ41" s="114"/>
      <c r="AR41" s="114"/>
    </row>
    <row r="42" ht="14.25" spans="1:44">
      <c r="A42" s="156" t="s">
        <v>2332</v>
      </c>
      <c r="B42" s="114" t="s">
        <v>199</v>
      </c>
      <c r="C42" s="114" t="s">
        <v>2309</v>
      </c>
      <c r="D42" s="114" t="s">
        <v>1166</v>
      </c>
      <c r="E42" s="114" t="s">
        <v>2333</v>
      </c>
      <c r="F42" s="114">
        <v>1988</v>
      </c>
      <c r="G42" s="152">
        <f t="shared" si="0"/>
        <v>1988</v>
      </c>
      <c r="H42" s="114" t="s">
        <v>2334</v>
      </c>
      <c r="I42" s="123" t="s">
        <v>4259</v>
      </c>
      <c r="J42" s="33">
        <v>81</v>
      </c>
      <c r="K42" s="124"/>
      <c r="L42" s="114" t="s">
        <v>49</v>
      </c>
      <c r="M42" s="114"/>
      <c r="N42" s="124"/>
      <c r="O42" s="114"/>
      <c r="P42" s="124"/>
      <c r="Q42" s="114"/>
      <c r="R42" s="124"/>
      <c r="S42" s="114"/>
      <c r="T42" s="114"/>
      <c r="U42" s="114"/>
      <c r="V42" s="114"/>
      <c r="W42" s="114"/>
      <c r="X42" s="114"/>
      <c r="Y42" s="114"/>
      <c r="Z42" s="164"/>
      <c r="AA42" s="114"/>
      <c r="AB42" s="114"/>
      <c r="AC42" s="114"/>
      <c r="AD42" s="114"/>
      <c r="AE42" s="114"/>
      <c r="AF42" s="114"/>
      <c r="AG42" s="114"/>
      <c r="AH42" s="114"/>
      <c r="AI42" s="114"/>
      <c r="AJ42" s="114"/>
      <c r="AK42" s="114"/>
      <c r="AL42" s="114"/>
      <c r="AM42" s="114"/>
      <c r="AN42" s="114"/>
      <c r="AO42" s="114"/>
      <c r="AP42" s="114"/>
      <c r="AQ42" s="114"/>
      <c r="AR42" s="114"/>
    </row>
    <row r="43" ht="14.25" spans="1:44">
      <c r="A43" s="114"/>
      <c r="B43" s="114" t="s">
        <v>41</v>
      </c>
      <c r="C43" s="114"/>
      <c r="D43" s="114" t="s">
        <v>2328</v>
      </c>
      <c r="E43" s="114" t="s">
        <v>2329</v>
      </c>
      <c r="F43" s="114">
        <v>1988</v>
      </c>
      <c r="G43" s="152">
        <f t="shared" si="0"/>
        <v>1988</v>
      </c>
      <c r="H43" s="156" t="s">
        <v>2330</v>
      </c>
      <c r="I43" s="123" t="s">
        <v>2331</v>
      </c>
      <c r="J43" s="33">
        <v>19068</v>
      </c>
      <c r="K43" s="124"/>
      <c r="L43" s="114" t="s">
        <v>454</v>
      </c>
      <c r="M43" s="114"/>
      <c r="N43" s="124"/>
      <c r="O43" s="114"/>
      <c r="P43" s="124"/>
      <c r="Q43" s="114"/>
      <c r="R43" s="124"/>
      <c r="S43" s="114"/>
      <c r="T43" s="114"/>
      <c r="U43" s="114"/>
      <c r="V43" s="114"/>
      <c r="W43" s="114"/>
      <c r="X43" s="114"/>
      <c r="Y43" s="114"/>
      <c r="Z43" s="164"/>
      <c r="AA43" s="114"/>
      <c r="AB43" s="114"/>
      <c r="AC43" s="114"/>
      <c r="AD43" s="114"/>
      <c r="AE43" s="114"/>
      <c r="AF43" s="114"/>
      <c r="AG43" s="114"/>
      <c r="AH43" s="114"/>
      <c r="AI43" s="114"/>
      <c r="AJ43" s="114"/>
      <c r="AK43" s="114"/>
      <c r="AL43" s="114"/>
      <c r="AM43" s="114"/>
      <c r="AN43" s="114"/>
      <c r="AO43" s="114"/>
      <c r="AP43" s="114"/>
      <c r="AQ43" s="114"/>
      <c r="AR43" s="114"/>
    </row>
    <row r="44" ht="14.25" spans="1:44">
      <c r="A44" s="114" t="s">
        <v>2336</v>
      </c>
      <c r="B44" s="114" t="s">
        <v>256</v>
      </c>
      <c r="C44" s="114" t="s">
        <v>2337</v>
      </c>
      <c r="D44" s="114" t="s">
        <v>1166</v>
      </c>
      <c r="E44" s="114" t="s">
        <v>2338</v>
      </c>
      <c r="F44" s="114">
        <v>1988</v>
      </c>
      <c r="G44" s="152">
        <f t="shared" si="0"/>
        <v>1988</v>
      </c>
      <c r="H44" s="114" t="s">
        <v>2339</v>
      </c>
      <c r="I44" s="123" t="s">
        <v>4260</v>
      </c>
      <c r="J44" s="33">
        <v>80</v>
      </c>
      <c r="K44" s="124"/>
      <c r="L44" s="114" t="s">
        <v>49</v>
      </c>
      <c r="M44" s="114"/>
      <c r="N44" s="124">
        <f>11*10</f>
        <v>110</v>
      </c>
      <c r="O44" s="114"/>
      <c r="P44" s="124"/>
      <c r="Q44" s="114"/>
      <c r="R44" s="124"/>
      <c r="S44" s="114"/>
      <c r="T44" s="114"/>
      <c r="U44" s="114"/>
      <c r="V44" s="114"/>
      <c r="W44" s="114"/>
      <c r="X44" s="114"/>
      <c r="Y44" s="114"/>
      <c r="Z44" s="164"/>
      <c r="AA44" s="114"/>
      <c r="AB44" s="114"/>
      <c r="AC44" s="114"/>
      <c r="AD44" s="114"/>
      <c r="AE44" s="114"/>
      <c r="AF44" s="114"/>
      <c r="AG44" s="114"/>
      <c r="AH44" s="114"/>
      <c r="AI44" s="114"/>
      <c r="AJ44" s="114"/>
      <c r="AK44" s="114"/>
      <c r="AL44" s="114"/>
      <c r="AM44" s="114"/>
      <c r="AN44" s="114"/>
      <c r="AO44" s="114"/>
      <c r="AP44" s="114"/>
      <c r="AQ44" s="114"/>
      <c r="AR44" s="114"/>
    </row>
    <row r="45" ht="14.25" spans="1:44">
      <c r="A45" s="114"/>
      <c r="B45" s="114"/>
      <c r="C45" s="114"/>
      <c r="D45" s="114" t="s">
        <v>2324</v>
      </c>
      <c r="E45" s="114" t="s">
        <v>2325</v>
      </c>
      <c r="F45" s="114">
        <v>1989</v>
      </c>
      <c r="G45" s="152">
        <f t="shared" si="0"/>
        <v>1989</v>
      </c>
      <c r="H45" s="114" t="s">
        <v>2326</v>
      </c>
      <c r="I45" s="123" t="s">
        <v>2327</v>
      </c>
      <c r="J45" s="33">
        <v>21663</v>
      </c>
      <c r="K45" s="124"/>
      <c r="L45" s="114" t="s">
        <v>454</v>
      </c>
      <c r="M45" s="114"/>
      <c r="N45" s="124"/>
      <c r="O45" s="114"/>
      <c r="P45" s="124"/>
      <c r="Q45" s="114"/>
      <c r="R45" s="124"/>
      <c r="S45" s="114"/>
      <c r="T45" s="114"/>
      <c r="U45" s="114"/>
      <c r="V45" s="114"/>
      <c r="W45" s="114"/>
      <c r="X45" s="114"/>
      <c r="Y45" s="114"/>
      <c r="Z45" s="164"/>
      <c r="AA45" s="114"/>
      <c r="AB45" s="114"/>
      <c r="AC45" s="114"/>
      <c r="AD45" s="114"/>
      <c r="AE45" s="114"/>
      <c r="AF45" s="114"/>
      <c r="AG45" s="114"/>
      <c r="AH45" s="114"/>
      <c r="AI45" s="114"/>
      <c r="AJ45" s="114"/>
      <c r="AK45" s="114"/>
      <c r="AL45" s="114"/>
      <c r="AM45" s="114"/>
      <c r="AN45" s="114"/>
      <c r="AO45" s="114"/>
      <c r="AP45" s="114"/>
      <c r="AQ45" s="114"/>
      <c r="AR45" s="114"/>
    </row>
    <row r="46" ht="14.25" spans="1:44">
      <c r="A46" s="155" t="s">
        <v>2319</v>
      </c>
      <c r="B46" s="114"/>
      <c r="C46" s="114"/>
      <c r="D46" s="114" t="s">
        <v>2320</v>
      </c>
      <c r="E46" s="114" t="s">
        <v>2321</v>
      </c>
      <c r="F46" s="114">
        <v>1989</v>
      </c>
      <c r="G46" s="152">
        <f t="shared" si="0"/>
        <v>1989</v>
      </c>
      <c r="H46" s="156" t="s">
        <v>2322</v>
      </c>
      <c r="I46" s="123" t="s">
        <v>2323</v>
      </c>
      <c r="J46" s="33">
        <v>3445</v>
      </c>
      <c r="K46" s="124"/>
      <c r="L46" s="114" t="s">
        <v>454</v>
      </c>
      <c r="M46" s="114"/>
      <c r="N46" s="124"/>
      <c r="O46" s="114"/>
      <c r="P46" s="124"/>
      <c r="Q46" s="114"/>
      <c r="R46" s="124"/>
      <c r="S46" s="114"/>
      <c r="T46" s="114"/>
      <c r="U46" s="114"/>
      <c r="V46" s="114"/>
      <c r="W46" s="114"/>
      <c r="X46" s="114"/>
      <c r="Y46" s="114"/>
      <c r="Z46" s="164"/>
      <c r="AA46" s="114"/>
      <c r="AB46" s="114"/>
      <c r="AC46" s="114"/>
      <c r="AD46" s="114"/>
      <c r="AE46" s="114"/>
      <c r="AF46" s="114"/>
      <c r="AG46" s="114"/>
      <c r="AH46" s="114"/>
      <c r="AI46" s="114"/>
      <c r="AJ46" s="114"/>
      <c r="AK46" s="114"/>
      <c r="AL46" s="114"/>
      <c r="AM46" s="114"/>
      <c r="AN46" s="114"/>
      <c r="AO46" s="114"/>
      <c r="AP46" s="114"/>
      <c r="AQ46" s="114"/>
      <c r="AR46" s="114"/>
    </row>
    <row r="47" ht="14.25" spans="1:44">
      <c r="A47" s="114" t="s">
        <v>2314</v>
      </c>
      <c r="B47" s="114"/>
      <c r="C47" s="114"/>
      <c r="D47" s="114" t="s">
        <v>2315</v>
      </c>
      <c r="E47" s="114" t="s">
        <v>2316</v>
      </c>
      <c r="F47" s="153">
        <v>32509</v>
      </c>
      <c r="G47" s="152">
        <f t="shared" si="0"/>
        <v>2509</v>
      </c>
      <c r="H47" s="114" t="s">
        <v>2317</v>
      </c>
      <c r="I47" s="123" t="s">
        <v>2318</v>
      </c>
      <c r="J47" s="33">
        <v>8025</v>
      </c>
      <c r="K47" s="124"/>
      <c r="L47" s="114" t="s">
        <v>454</v>
      </c>
      <c r="M47" s="114"/>
      <c r="N47" s="124"/>
      <c r="O47" s="114"/>
      <c r="P47" s="124"/>
      <c r="Q47" s="114"/>
      <c r="R47" s="124"/>
      <c r="S47" s="114"/>
      <c r="T47" s="114"/>
      <c r="U47" s="114"/>
      <c r="V47" s="114"/>
      <c r="W47" s="114"/>
      <c r="X47" s="114"/>
      <c r="Y47" s="114"/>
      <c r="Z47" s="164"/>
      <c r="AA47" s="114"/>
      <c r="AB47" s="114"/>
      <c r="AC47" s="114"/>
      <c r="AD47" s="114"/>
      <c r="AE47" s="114"/>
      <c r="AF47" s="114"/>
      <c r="AG47" s="114"/>
      <c r="AH47" s="114"/>
      <c r="AI47" s="114"/>
      <c r="AJ47" s="114"/>
      <c r="AK47" s="114"/>
      <c r="AL47" s="114"/>
      <c r="AM47" s="114"/>
      <c r="AN47" s="114"/>
      <c r="AO47" s="114"/>
      <c r="AP47" s="114"/>
      <c r="AQ47" s="114"/>
      <c r="AR47" s="114"/>
    </row>
    <row r="48" ht="14.25" spans="1:44">
      <c r="A48" s="114" t="s">
        <v>2297</v>
      </c>
      <c r="B48" s="114" t="s">
        <v>1910</v>
      </c>
      <c r="C48" s="114"/>
      <c r="D48" s="114" t="s">
        <v>2298</v>
      </c>
      <c r="E48" s="114" t="s">
        <v>2299</v>
      </c>
      <c r="F48" s="153">
        <v>32843</v>
      </c>
      <c r="G48" s="152">
        <f t="shared" si="0"/>
        <v>2843</v>
      </c>
      <c r="H48" s="114" t="s">
        <v>2300</v>
      </c>
      <c r="I48" s="123" t="s">
        <v>2301</v>
      </c>
      <c r="J48" s="33">
        <v>1579</v>
      </c>
      <c r="K48" s="124"/>
      <c r="L48" s="114" t="s">
        <v>454</v>
      </c>
      <c r="M48" s="114">
        <v>1</v>
      </c>
      <c r="N48" s="124">
        <v>3994</v>
      </c>
      <c r="O48" s="158">
        <v>81187041441.209</v>
      </c>
      <c r="P48" s="124"/>
      <c r="Q48" s="114"/>
      <c r="R48" s="124"/>
      <c r="S48" s="114"/>
      <c r="T48" s="114"/>
      <c r="U48" s="114"/>
      <c r="V48" s="114"/>
      <c r="W48" s="114"/>
      <c r="X48" s="114"/>
      <c r="Y48" s="114"/>
      <c r="Z48" s="166" t="s">
        <v>34</v>
      </c>
      <c r="AA48" s="114"/>
      <c r="AB48" s="114"/>
      <c r="AC48" s="114"/>
      <c r="AD48" s="114"/>
      <c r="AE48" s="114"/>
      <c r="AF48" s="114"/>
      <c r="AG48" s="114"/>
      <c r="AH48" s="114"/>
      <c r="AI48" s="114"/>
      <c r="AJ48" s="114"/>
      <c r="AK48" s="114"/>
      <c r="AL48" s="114"/>
      <c r="AM48" s="114"/>
      <c r="AN48" s="114"/>
      <c r="AO48" s="114"/>
      <c r="AP48" s="114"/>
      <c r="AQ48" s="114"/>
      <c r="AR48" s="114"/>
    </row>
    <row r="49" ht="14.25" spans="1:44">
      <c r="A49" s="114" t="s">
        <v>2303</v>
      </c>
      <c r="B49" s="114" t="s">
        <v>41</v>
      </c>
      <c r="C49" s="114" t="s">
        <v>1231</v>
      </c>
      <c r="D49" s="114" t="s">
        <v>2240</v>
      </c>
      <c r="E49" s="114" t="s">
        <v>2304</v>
      </c>
      <c r="F49" s="153">
        <v>32843</v>
      </c>
      <c r="G49" s="152">
        <f t="shared" si="0"/>
        <v>2843</v>
      </c>
      <c r="H49" s="114" t="s">
        <v>2305</v>
      </c>
      <c r="I49" s="123" t="s">
        <v>2306</v>
      </c>
      <c r="J49" s="33">
        <v>9052</v>
      </c>
      <c r="K49" s="124"/>
      <c r="L49" s="114" t="s">
        <v>454</v>
      </c>
      <c r="M49" s="114">
        <v>3</v>
      </c>
      <c r="N49" s="124">
        <v>9760</v>
      </c>
      <c r="O49" s="124">
        <f>P49*2*R49*23</f>
        <v>43372117520</v>
      </c>
      <c r="P49" s="124">
        <f>2*64660</f>
        <v>129320</v>
      </c>
      <c r="Q49" s="156" t="s">
        <v>2307</v>
      </c>
      <c r="R49" s="114">
        <v>7291</v>
      </c>
      <c r="S49" s="114"/>
      <c r="T49" s="114"/>
      <c r="U49" s="114"/>
      <c r="V49" s="114"/>
      <c r="W49" s="114"/>
      <c r="X49" s="114"/>
      <c r="Y49" s="114"/>
      <c r="Z49" s="164"/>
      <c r="AA49" s="114"/>
      <c r="AB49" s="114"/>
      <c r="AC49" s="114"/>
      <c r="AD49" s="114"/>
      <c r="AE49" s="114"/>
      <c r="AF49" s="114"/>
      <c r="AG49" s="114"/>
      <c r="AH49" s="114"/>
      <c r="AI49" s="114"/>
      <c r="AJ49" s="114"/>
      <c r="AK49" s="114"/>
      <c r="AL49" s="114"/>
      <c r="AM49" s="114"/>
      <c r="AN49" s="114"/>
      <c r="AO49" s="114"/>
      <c r="AP49" s="114"/>
      <c r="AQ49" s="114"/>
      <c r="AR49" s="114"/>
    </row>
    <row r="50" ht="14.25" spans="1:44">
      <c r="A50" s="114"/>
      <c r="B50" s="114"/>
      <c r="C50" s="114"/>
      <c r="D50" s="114" t="s">
        <v>2293</v>
      </c>
      <c r="E50" s="114" t="s">
        <v>2294</v>
      </c>
      <c r="F50" s="114">
        <v>1990</v>
      </c>
      <c r="G50" s="152">
        <f t="shared" si="0"/>
        <v>1990</v>
      </c>
      <c r="H50" s="114" t="s">
        <v>2295</v>
      </c>
      <c r="I50" s="123" t="s">
        <v>2296</v>
      </c>
      <c r="J50" s="33">
        <v>1046</v>
      </c>
      <c r="K50" s="124"/>
      <c r="L50" s="114" t="s">
        <v>454</v>
      </c>
      <c r="M50" s="114"/>
      <c r="N50" s="124"/>
      <c r="O50" s="114"/>
      <c r="P50" s="124"/>
      <c r="Q50" s="114"/>
      <c r="R50" s="124"/>
      <c r="S50" s="114"/>
      <c r="T50" s="114"/>
      <c r="U50" s="114"/>
      <c r="V50" s="114"/>
      <c r="W50" s="114"/>
      <c r="X50" s="114"/>
      <c r="Y50" s="114"/>
      <c r="Z50" s="164"/>
      <c r="AA50" s="114"/>
      <c r="AB50" s="114"/>
      <c r="AC50" s="114"/>
      <c r="AD50" s="114"/>
      <c r="AE50" s="114"/>
      <c r="AF50" s="114"/>
      <c r="AG50" s="114"/>
      <c r="AH50" s="114"/>
      <c r="AI50" s="114"/>
      <c r="AJ50" s="114"/>
      <c r="AK50" s="114"/>
      <c r="AL50" s="114"/>
      <c r="AM50" s="114"/>
      <c r="AN50" s="114"/>
      <c r="AO50" s="114"/>
      <c r="AP50" s="114"/>
      <c r="AQ50" s="114"/>
      <c r="AR50" s="114"/>
    </row>
    <row r="51" ht="14.25" spans="1:44">
      <c r="A51" s="114" t="s">
        <v>2288</v>
      </c>
      <c r="B51" s="114"/>
      <c r="C51" s="114"/>
      <c r="D51" s="114"/>
      <c r="E51" s="114"/>
      <c r="F51" s="114">
        <v>1990</v>
      </c>
      <c r="G51" s="152">
        <f t="shared" si="0"/>
        <v>1990</v>
      </c>
      <c r="H51" s="114" t="s">
        <v>2291</v>
      </c>
      <c r="I51" s="114"/>
      <c r="J51" s="33">
        <v>3013</v>
      </c>
      <c r="K51" s="124"/>
      <c r="L51" s="114"/>
      <c r="M51" s="114"/>
      <c r="N51" s="124"/>
      <c r="O51" s="114"/>
      <c r="P51" s="124"/>
      <c r="Q51" s="114"/>
      <c r="R51" s="124"/>
      <c r="S51" s="114"/>
      <c r="T51" s="114"/>
      <c r="U51" s="114"/>
      <c r="V51" s="114"/>
      <c r="W51" s="114"/>
      <c r="X51" s="114"/>
      <c r="Y51" s="114"/>
      <c r="Z51" s="164"/>
      <c r="AA51" s="114"/>
      <c r="AB51" s="114"/>
      <c r="AC51" s="114"/>
      <c r="AD51" s="114"/>
      <c r="AE51" s="114"/>
      <c r="AF51" s="114"/>
      <c r="AG51" s="114"/>
      <c r="AH51" s="114"/>
      <c r="AI51" s="114"/>
      <c r="AJ51" s="114"/>
      <c r="AK51" s="114"/>
      <c r="AL51" s="114"/>
      <c r="AM51" s="114"/>
      <c r="AN51" s="114"/>
      <c r="AO51" s="114"/>
      <c r="AP51" s="114"/>
      <c r="AQ51" s="114"/>
      <c r="AR51" s="114"/>
    </row>
    <row r="52" ht="14.25" spans="1:44">
      <c r="A52" s="114" t="s">
        <v>2277</v>
      </c>
      <c r="B52" s="114" t="s">
        <v>199</v>
      </c>
      <c r="C52" s="114" t="s">
        <v>2278</v>
      </c>
      <c r="D52" s="114" t="s">
        <v>2279</v>
      </c>
      <c r="E52" s="114" t="s">
        <v>2280</v>
      </c>
      <c r="F52" s="114">
        <v>1991</v>
      </c>
      <c r="G52" s="152">
        <f t="shared" si="0"/>
        <v>1991</v>
      </c>
      <c r="H52" s="114" t="s">
        <v>2281</v>
      </c>
      <c r="I52" s="123" t="s">
        <v>2282</v>
      </c>
      <c r="J52" s="33">
        <v>132</v>
      </c>
      <c r="K52" s="124"/>
      <c r="L52" s="114" t="s">
        <v>49</v>
      </c>
      <c r="M52" s="114"/>
      <c r="N52" s="124">
        <v>429409</v>
      </c>
      <c r="O52" s="114"/>
      <c r="P52" s="124"/>
      <c r="Q52" s="114"/>
      <c r="R52" s="124"/>
      <c r="S52" s="114"/>
      <c r="T52" s="114"/>
      <c r="U52" s="114"/>
      <c r="V52" s="114"/>
      <c r="W52" s="114"/>
      <c r="X52" s="114"/>
      <c r="Y52" s="114"/>
      <c r="Z52" s="164"/>
      <c r="AA52" s="114"/>
      <c r="AB52" s="114"/>
      <c r="AC52" s="114"/>
      <c r="AD52" s="114"/>
      <c r="AE52" s="114"/>
      <c r="AF52" s="114"/>
      <c r="AG52" s="114"/>
      <c r="AH52" s="114"/>
      <c r="AI52" s="114"/>
      <c r="AJ52" s="114"/>
      <c r="AK52" s="114"/>
      <c r="AL52" s="114"/>
      <c r="AM52" s="114"/>
      <c r="AN52" s="114"/>
      <c r="AO52" s="114"/>
      <c r="AP52" s="114"/>
      <c r="AQ52" s="114"/>
      <c r="AR52" s="114"/>
    </row>
    <row r="53" ht="14.25" spans="1:44">
      <c r="A53" s="114"/>
      <c r="B53" s="114" t="s">
        <v>51</v>
      </c>
      <c r="C53" s="114"/>
      <c r="D53" s="114" t="s">
        <v>2283</v>
      </c>
      <c r="E53" s="114" t="s">
        <v>2284</v>
      </c>
      <c r="F53" s="114">
        <v>1991</v>
      </c>
      <c r="G53" s="152">
        <f t="shared" si="0"/>
        <v>1991</v>
      </c>
      <c r="H53" s="156" t="s">
        <v>2285</v>
      </c>
      <c r="I53" s="123" t="s">
        <v>4261</v>
      </c>
      <c r="J53" s="33">
        <v>1717</v>
      </c>
      <c r="K53" s="124"/>
      <c r="L53" s="114" t="s">
        <v>454</v>
      </c>
      <c r="M53" s="114"/>
      <c r="N53" s="124"/>
      <c r="O53" s="114"/>
      <c r="P53" s="124"/>
      <c r="Q53" s="114"/>
      <c r="R53" s="124"/>
      <c r="S53" s="114"/>
      <c r="T53" s="114"/>
      <c r="U53" s="114"/>
      <c r="V53" s="114"/>
      <c r="W53" s="114"/>
      <c r="X53" s="114"/>
      <c r="Y53" s="114"/>
      <c r="Z53" s="164"/>
      <c r="AA53" s="114"/>
      <c r="AB53" s="114"/>
      <c r="AC53" s="114"/>
      <c r="AD53" s="114"/>
      <c r="AE53" s="114"/>
      <c r="AF53" s="114"/>
      <c r="AG53" s="114"/>
      <c r="AH53" s="114"/>
      <c r="AI53" s="114"/>
      <c r="AJ53" s="114"/>
      <c r="AK53" s="114"/>
      <c r="AL53" s="114"/>
      <c r="AM53" s="114"/>
      <c r="AN53" s="114"/>
      <c r="AO53" s="114"/>
      <c r="AP53" s="114"/>
      <c r="AQ53" s="114"/>
      <c r="AR53" s="114"/>
    </row>
    <row r="54" ht="14.25" spans="1:44">
      <c r="A54" s="114"/>
      <c r="B54" s="114"/>
      <c r="C54" s="114"/>
      <c r="D54" s="114" t="s">
        <v>1058</v>
      </c>
      <c r="E54" s="114" t="s">
        <v>2274</v>
      </c>
      <c r="F54" s="114">
        <v>1992</v>
      </c>
      <c r="G54" s="152">
        <f t="shared" si="0"/>
        <v>1992</v>
      </c>
      <c r="H54" s="114" t="s">
        <v>2275</v>
      </c>
      <c r="I54" s="123" t="s">
        <v>4262</v>
      </c>
      <c r="J54" s="33">
        <v>6528</v>
      </c>
      <c r="K54" s="124"/>
      <c r="L54" s="114" t="s">
        <v>454</v>
      </c>
      <c r="M54" s="114"/>
      <c r="N54" s="124"/>
      <c r="O54" s="114"/>
      <c r="P54" s="124"/>
      <c r="Q54" s="114"/>
      <c r="R54" s="124"/>
      <c r="S54" s="114"/>
      <c r="T54" s="114"/>
      <c r="U54" s="114"/>
      <c r="V54" s="114"/>
      <c r="W54" s="114"/>
      <c r="X54" s="114"/>
      <c r="Y54" s="114"/>
      <c r="Z54" s="164"/>
      <c r="AA54" s="114"/>
      <c r="AB54" s="114"/>
      <c r="AC54" s="114"/>
      <c r="AD54" s="114"/>
      <c r="AE54" s="114"/>
      <c r="AF54" s="114"/>
      <c r="AG54" s="114"/>
      <c r="AH54" s="114"/>
      <c r="AI54" s="114"/>
      <c r="AJ54" s="114"/>
      <c r="AK54" s="114"/>
      <c r="AL54" s="114"/>
      <c r="AM54" s="114"/>
      <c r="AN54" s="114"/>
      <c r="AO54" s="114"/>
      <c r="AP54" s="114"/>
      <c r="AQ54" s="114"/>
      <c r="AR54" s="114"/>
    </row>
    <row r="55" ht="14.25" spans="1:44">
      <c r="A55" s="114" t="s">
        <v>2263</v>
      </c>
      <c r="B55" s="114" t="s">
        <v>256</v>
      </c>
      <c r="C55" s="114" t="s">
        <v>2264</v>
      </c>
      <c r="D55" s="114" t="s">
        <v>2265</v>
      </c>
      <c r="E55" s="114" t="s">
        <v>2266</v>
      </c>
      <c r="F55" s="153">
        <v>33725</v>
      </c>
      <c r="G55" s="152">
        <f t="shared" si="0"/>
        <v>3725</v>
      </c>
      <c r="H55" s="114" t="s">
        <v>2267</v>
      </c>
      <c r="I55" s="123" t="s">
        <v>2268</v>
      </c>
      <c r="J55" s="33">
        <v>1344</v>
      </c>
      <c r="K55" s="124"/>
      <c r="L55" s="114" t="s">
        <v>454</v>
      </c>
      <c r="M55" s="114">
        <v>1</v>
      </c>
      <c r="N55" s="124">
        <v>25000</v>
      </c>
      <c r="O55" s="158">
        <v>18232157622832.7</v>
      </c>
      <c r="P55" s="124"/>
      <c r="Q55" s="114"/>
      <c r="R55" s="124"/>
      <c r="S55" s="114"/>
      <c r="T55" s="114"/>
      <c r="U55" s="114"/>
      <c r="V55" s="114"/>
      <c r="W55" s="114"/>
      <c r="X55" s="114"/>
      <c r="Y55" s="114"/>
      <c r="Z55" s="166" t="s">
        <v>34</v>
      </c>
      <c r="AA55" s="114"/>
      <c r="AB55" s="114"/>
      <c r="AC55" s="114"/>
      <c r="AD55" s="114"/>
      <c r="AE55" s="114"/>
      <c r="AF55" s="114"/>
      <c r="AG55" s="114"/>
      <c r="AH55" s="114"/>
      <c r="AI55" s="114"/>
      <c r="AJ55" s="114"/>
      <c r="AK55" s="114"/>
      <c r="AL55" s="114"/>
      <c r="AM55" s="114"/>
      <c r="AN55" s="114"/>
      <c r="AO55" s="114"/>
      <c r="AP55" s="114"/>
      <c r="AQ55" s="114"/>
      <c r="AR55" s="114"/>
    </row>
    <row r="56" ht="14.25" spans="1:44">
      <c r="A56" s="114" t="s">
        <v>2269</v>
      </c>
      <c r="B56" s="114" t="s">
        <v>126</v>
      </c>
      <c r="C56" s="114" t="s">
        <v>874</v>
      </c>
      <c r="D56" s="114" t="s">
        <v>2270</v>
      </c>
      <c r="E56" s="114" t="s">
        <v>2271</v>
      </c>
      <c r="F56" s="153">
        <v>33848</v>
      </c>
      <c r="G56" s="152">
        <f t="shared" si="0"/>
        <v>3848</v>
      </c>
      <c r="H56" s="114" t="s">
        <v>2272</v>
      </c>
      <c r="I56" s="123" t="s">
        <v>2273</v>
      </c>
      <c r="J56" s="33">
        <v>1223</v>
      </c>
      <c r="K56" s="124"/>
      <c r="L56" s="114" t="s">
        <v>454</v>
      </c>
      <c r="M56" s="114"/>
      <c r="N56" s="124"/>
      <c r="O56" s="114"/>
      <c r="P56" s="124"/>
      <c r="Q56" s="114"/>
      <c r="R56" s="124"/>
      <c r="S56" s="114"/>
      <c r="T56" s="114"/>
      <c r="U56" s="114"/>
      <c r="V56" s="114"/>
      <c r="W56" s="114"/>
      <c r="X56" s="159"/>
      <c r="Y56" s="114"/>
      <c r="Z56" s="164"/>
      <c r="AA56" s="114"/>
      <c r="AB56" s="114"/>
      <c r="AC56" s="114"/>
      <c r="AD56" s="114"/>
      <c r="AE56" s="114"/>
      <c r="AF56" s="114"/>
      <c r="AG56" s="114"/>
      <c r="AH56" s="114"/>
      <c r="AI56" s="114"/>
      <c r="AJ56" s="114"/>
      <c r="AK56" s="114"/>
      <c r="AL56" s="114"/>
      <c r="AM56" s="114"/>
      <c r="AN56" s="114"/>
      <c r="AO56" s="114"/>
      <c r="AP56" s="114"/>
      <c r="AQ56" s="114"/>
      <c r="AR56" s="114"/>
    </row>
    <row r="57" ht="14.25" spans="1:44">
      <c r="A57" s="114" t="s">
        <v>2257</v>
      </c>
      <c r="B57" s="114" t="s">
        <v>51</v>
      </c>
      <c r="C57" s="114" t="s">
        <v>144</v>
      </c>
      <c r="D57" s="114" t="s">
        <v>2258</v>
      </c>
      <c r="E57" s="114" t="s">
        <v>2259</v>
      </c>
      <c r="F57" s="153">
        <v>34135</v>
      </c>
      <c r="G57" s="152">
        <f t="shared" si="0"/>
        <v>4135</v>
      </c>
      <c r="H57" s="114" t="s">
        <v>2260</v>
      </c>
      <c r="I57" s="123" t="s">
        <v>4263</v>
      </c>
      <c r="J57" s="33">
        <v>5752</v>
      </c>
      <c r="K57" s="124"/>
      <c r="L57" s="114" t="s">
        <v>454</v>
      </c>
      <c r="M57" s="114"/>
      <c r="N57" s="124">
        <f>1658364</f>
        <v>1658364</v>
      </c>
      <c r="O57" s="114"/>
      <c r="P57" s="124"/>
      <c r="Q57" s="114" t="s">
        <v>2262</v>
      </c>
      <c r="R57" s="160">
        <v>1778620</v>
      </c>
      <c r="S57" s="161"/>
      <c r="T57" s="114"/>
      <c r="U57" s="114"/>
      <c r="V57" s="114"/>
      <c r="W57" s="114"/>
      <c r="X57" s="114"/>
      <c r="Y57" s="114"/>
      <c r="Z57" s="164"/>
      <c r="AA57" s="114"/>
      <c r="AB57" s="114"/>
      <c r="AC57" s="114"/>
      <c r="AD57" s="114"/>
      <c r="AE57" s="114"/>
      <c r="AF57" s="114"/>
      <c r="AG57" s="114"/>
      <c r="AH57" s="114"/>
      <c r="AI57" s="114"/>
      <c r="AJ57" s="114"/>
      <c r="AK57" s="114"/>
      <c r="AL57" s="114"/>
      <c r="AM57" s="114"/>
      <c r="AN57" s="114"/>
      <c r="AO57" s="114"/>
      <c r="AP57" s="114"/>
      <c r="AQ57" s="114"/>
      <c r="AR57" s="114"/>
    </row>
    <row r="58" ht="14.25" spans="1:44">
      <c r="A58" s="114"/>
      <c r="B58" s="114" t="s">
        <v>51</v>
      </c>
      <c r="C58" s="114" t="s">
        <v>1737</v>
      </c>
      <c r="D58" s="114" t="s">
        <v>2248</v>
      </c>
      <c r="E58" s="114" t="s">
        <v>2249</v>
      </c>
      <c r="F58" s="114">
        <v>1994</v>
      </c>
      <c r="G58" s="152">
        <f t="shared" si="0"/>
        <v>1994</v>
      </c>
      <c r="H58" s="114" t="s">
        <v>2250</v>
      </c>
      <c r="I58" s="123" t="s">
        <v>4264</v>
      </c>
      <c r="J58" s="33">
        <v>788</v>
      </c>
      <c r="K58" s="124"/>
      <c r="L58" s="114" t="s">
        <v>49</v>
      </c>
      <c r="M58" s="114" t="s">
        <v>1546</v>
      </c>
      <c r="N58" s="124">
        <f>(26500-1)*76+(76-1)*76*76</f>
        <v>2447124</v>
      </c>
      <c r="O58" s="114"/>
      <c r="P58" s="124"/>
      <c r="Q58" s="159"/>
      <c r="R58" s="124">
        <v>1000000</v>
      </c>
      <c r="S58" s="114"/>
      <c r="T58" s="114"/>
      <c r="U58" s="114"/>
      <c r="V58" s="114"/>
      <c r="W58" s="114"/>
      <c r="X58" s="114"/>
      <c r="Y58" s="114"/>
      <c r="Z58" s="164"/>
      <c r="AA58" s="114"/>
      <c r="AB58" s="114"/>
      <c r="AC58" s="114"/>
      <c r="AD58" s="114"/>
      <c r="AE58" s="114"/>
      <c r="AF58" s="114"/>
      <c r="AG58" s="114"/>
      <c r="AH58" s="114"/>
      <c r="AI58" s="114"/>
      <c r="AJ58" s="114"/>
      <c r="AK58" s="114"/>
      <c r="AL58" s="114"/>
      <c r="AM58" s="114"/>
      <c r="AN58" s="114"/>
      <c r="AO58" s="114"/>
      <c r="AP58" s="114"/>
      <c r="AQ58" s="114"/>
      <c r="AR58" s="114"/>
    </row>
    <row r="59" ht="14.25" spans="1:44">
      <c r="A59" s="114" t="s">
        <v>2252</v>
      </c>
      <c r="B59" s="114" t="s">
        <v>434</v>
      </c>
      <c r="C59" s="114"/>
      <c r="D59" s="114" t="s">
        <v>2253</v>
      </c>
      <c r="E59" s="114" t="s">
        <v>2254</v>
      </c>
      <c r="F59" s="114">
        <v>1994</v>
      </c>
      <c r="G59" s="152">
        <f t="shared" si="0"/>
        <v>1994</v>
      </c>
      <c r="H59" s="114" t="s">
        <v>2255</v>
      </c>
      <c r="I59" s="123" t="s">
        <v>4265</v>
      </c>
      <c r="J59" s="33">
        <v>7733</v>
      </c>
      <c r="K59" s="124"/>
      <c r="L59" s="114" t="s">
        <v>454</v>
      </c>
      <c r="M59" s="114"/>
      <c r="N59" s="124">
        <f>10000*10000</f>
        <v>100000000</v>
      </c>
      <c r="O59" s="114"/>
      <c r="P59" s="124"/>
      <c r="Q59" s="159"/>
      <c r="R59" s="124"/>
      <c r="S59" s="114"/>
      <c r="T59" s="114"/>
      <c r="U59" s="114"/>
      <c r="V59" s="114"/>
      <c r="W59" s="114"/>
      <c r="X59" s="114"/>
      <c r="Y59" s="114"/>
      <c r="Z59" s="164"/>
      <c r="AA59" s="114"/>
      <c r="AB59" s="114"/>
      <c r="AC59" s="114"/>
      <c r="AD59" s="114"/>
      <c r="AE59" s="114"/>
      <c r="AF59" s="114"/>
      <c r="AG59" s="114"/>
      <c r="AH59" s="114"/>
      <c r="AI59" s="114"/>
      <c r="AJ59" s="114"/>
      <c r="AK59" s="114"/>
      <c r="AL59" s="114"/>
      <c r="AM59" s="114"/>
      <c r="AN59" s="114"/>
      <c r="AO59" s="114"/>
      <c r="AP59" s="114"/>
      <c r="AQ59" s="114"/>
      <c r="AR59" s="114"/>
    </row>
    <row r="60" ht="14.25" spans="1:44">
      <c r="A60" s="114" t="s">
        <v>2244</v>
      </c>
      <c r="B60" s="114"/>
      <c r="C60" s="114"/>
      <c r="D60" s="114" t="s">
        <v>2240</v>
      </c>
      <c r="E60" s="114" t="s">
        <v>2245</v>
      </c>
      <c r="F60" s="114">
        <v>1995</v>
      </c>
      <c r="G60" s="152">
        <f t="shared" si="0"/>
        <v>1995</v>
      </c>
      <c r="H60" s="114" t="s">
        <v>2246</v>
      </c>
      <c r="I60" s="123" t="s">
        <v>4266</v>
      </c>
      <c r="J60" s="33">
        <v>48968</v>
      </c>
      <c r="K60" s="124"/>
      <c r="L60" s="114" t="s">
        <v>454</v>
      </c>
      <c r="M60" s="114"/>
      <c r="N60" s="124"/>
      <c r="O60" s="114"/>
      <c r="P60" s="124"/>
      <c r="Q60" s="159"/>
      <c r="R60" s="124"/>
      <c r="S60" s="114"/>
      <c r="T60" s="114"/>
      <c r="U60" s="114"/>
      <c r="V60" s="114"/>
      <c r="W60" s="114"/>
      <c r="X60" s="114"/>
      <c r="Y60" s="114"/>
      <c r="Z60" s="164"/>
      <c r="AA60" s="114"/>
      <c r="AB60" s="114"/>
      <c r="AC60" s="114"/>
      <c r="AD60" s="114"/>
      <c r="AE60" s="114"/>
      <c r="AF60" s="114"/>
      <c r="AG60" s="114"/>
      <c r="AH60" s="114"/>
      <c r="AI60" s="114"/>
      <c r="AJ60" s="114"/>
      <c r="AK60" s="114"/>
      <c r="AL60" s="114"/>
      <c r="AM60" s="114"/>
      <c r="AN60" s="114"/>
      <c r="AO60" s="114"/>
      <c r="AP60" s="114"/>
      <c r="AQ60" s="114"/>
      <c r="AR60" s="114"/>
    </row>
    <row r="61" ht="14.25" spans="1:44">
      <c r="A61" s="114"/>
      <c r="B61" s="114" t="s">
        <v>51</v>
      </c>
      <c r="C61" s="114"/>
      <c r="D61" s="114" t="s">
        <v>2234</v>
      </c>
      <c r="E61" s="114" t="s">
        <v>2235</v>
      </c>
      <c r="F61" s="114">
        <v>1995</v>
      </c>
      <c r="G61" s="152">
        <f t="shared" si="0"/>
        <v>1995</v>
      </c>
      <c r="H61" s="114" t="s">
        <v>2236</v>
      </c>
      <c r="I61" s="123" t="s">
        <v>4267</v>
      </c>
      <c r="J61" s="33">
        <v>2996</v>
      </c>
      <c r="K61" s="124"/>
      <c r="L61" s="114" t="s">
        <v>454</v>
      </c>
      <c r="M61" s="114"/>
      <c r="N61" s="124"/>
      <c r="O61" s="114"/>
      <c r="P61" s="124"/>
      <c r="Q61" s="159"/>
      <c r="R61" s="124"/>
      <c r="S61" s="114"/>
      <c r="T61" s="114"/>
      <c r="U61" s="114"/>
      <c r="V61" s="114"/>
      <c r="W61" s="114"/>
      <c r="X61" s="114"/>
      <c r="Y61" s="114"/>
      <c r="Z61" s="164"/>
      <c r="AA61" s="114"/>
      <c r="AB61" s="114"/>
      <c r="AC61" s="114"/>
      <c r="AD61" s="114"/>
      <c r="AE61" s="114"/>
      <c r="AF61" s="114"/>
      <c r="AG61" s="114"/>
      <c r="AH61" s="114"/>
      <c r="AI61" s="114"/>
      <c r="AJ61" s="114"/>
      <c r="AK61" s="114"/>
      <c r="AL61" s="114"/>
      <c r="AM61" s="114"/>
      <c r="AN61" s="114"/>
      <c r="AO61" s="114"/>
      <c r="AP61" s="114"/>
      <c r="AQ61" s="114"/>
      <c r="AR61" s="114"/>
    </row>
    <row r="62" ht="14.25" spans="1:44">
      <c r="A62" s="114"/>
      <c r="B62" s="114"/>
      <c r="C62" s="114"/>
      <c r="D62" s="114"/>
      <c r="E62" s="114"/>
      <c r="F62" s="153">
        <v>34700</v>
      </c>
      <c r="G62" s="152">
        <f t="shared" si="0"/>
        <v>4700</v>
      </c>
      <c r="H62" s="114" t="s">
        <v>2231</v>
      </c>
      <c r="I62" s="123" t="s">
        <v>2232</v>
      </c>
      <c r="J62" s="33">
        <v>176</v>
      </c>
      <c r="K62" s="124"/>
      <c r="L62" s="114" t="s">
        <v>49</v>
      </c>
      <c r="M62" s="114"/>
      <c r="N62" s="124"/>
      <c r="O62" s="114"/>
      <c r="P62" s="124"/>
      <c r="Q62" s="114"/>
      <c r="R62" s="124"/>
      <c r="S62" s="114"/>
      <c r="T62" s="114"/>
      <c r="U62" s="114"/>
      <c r="V62" s="114"/>
      <c r="W62" s="114" t="s">
        <v>2233</v>
      </c>
      <c r="X62" s="114" t="s">
        <v>4268</v>
      </c>
      <c r="Y62" s="114"/>
      <c r="Z62" s="164"/>
      <c r="AA62" s="114"/>
      <c r="AB62" s="114"/>
      <c r="AC62" s="114"/>
      <c r="AD62" s="114"/>
      <c r="AE62" s="114"/>
      <c r="AF62" s="114"/>
      <c r="AG62" s="114"/>
      <c r="AH62" s="114"/>
      <c r="AI62" s="114"/>
      <c r="AJ62" s="114"/>
      <c r="AK62" s="114"/>
      <c r="AL62" s="114"/>
      <c r="AM62" s="114"/>
      <c r="AN62" s="114"/>
      <c r="AO62" s="114"/>
      <c r="AP62" s="114"/>
      <c r="AQ62" s="114"/>
      <c r="AR62" s="114"/>
    </row>
    <row r="63" ht="14.25" spans="1:44">
      <c r="A63" s="114" t="s">
        <v>2239</v>
      </c>
      <c r="B63" s="114"/>
      <c r="C63" s="114"/>
      <c r="D63" s="114" t="s">
        <v>2240</v>
      </c>
      <c r="E63" s="114" t="s">
        <v>2241</v>
      </c>
      <c r="F63" s="153">
        <v>34925</v>
      </c>
      <c r="G63" s="152">
        <f t="shared" si="0"/>
        <v>4925</v>
      </c>
      <c r="H63" s="114" t="s">
        <v>2242</v>
      </c>
      <c r="I63" s="123" t="s">
        <v>2243</v>
      </c>
      <c r="J63" s="33">
        <v>4678</v>
      </c>
      <c r="K63" s="124"/>
      <c r="L63" s="114" t="s">
        <v>454</v>
      </c>
      <c r="M63" s="114"/>
      <c r="N63" s="124"/>
      <c r="O63" s="114"/>
      <c r="P63" s="124"/>
      <c r="Q63" s="159"/>
      <c r="R63" s="124"/>
      <c r="S63" s="114"/>
      <c r="T63" s="114"/>
      <c r="U63" s="114"/>
      <c r="V63" s="114"/>
      <c r="W63" s="114"/>
      <c r="X63" s="159"/>
      <c r="Y63" s="114"/>
      <c r="Z63" s="164"/>
      <c r="AA63" s="114"/>
      <c r="AB63" s="114"/>
      <c r="AC63" s="114"/>
      <c r="AD63" s="114"/>
      <c r="AE63" s="114"/>
      <c r="AF63" s="114"/>
      <c r="AG63" s="114"/>
      <c r="AH63" s="114"/>
      <c r="AI63" s="114"/>
      <c r="AJ63" s="114"/>
      <c r="AK63" s="114"/>
      <c r="AL63" s="114"/>
      <c r="AM63" s="114"/>
      <c r="AN63" s="114"/>
      <c r="AO63" s="114"/>
      <c r="AP63" s="114"/>
      <c r="AQ63" s="114"/>
      <c r="AR63" s="114"/>
    </row>
    <row r="64" ht="14.25" spans="1:44">
      <c r="A64" s="114" t="s">
        <v>2223</v>
      </c>
      <c r="B64" s="114" t="s">
        <v>51</v>
      </c>
      <c r="C64" s="114" t="s">
        <v>144</v>
      </c>
      <c r="D64" s="114" t="s">
        <v>2225</v>
      </c>
      <c r="E64" s="114" t="s">
        <v>2226</v>
      </c>
      <c r="F64" s="114">
        <v>1996</v>
      </c>
      <c r="G64" s="152">
        <f t="shared" si="0"/>
        <v>1996</v>
      </c>
      <c r="H64" s="114" t="s">
        <v>2227</v>
      </c>
      <c r="I64" s="123" t="s">
        <v>4269</v>
      </c>
      <c r="J64" s="33">
        <v>1099</v>
      </c>
      <c r="K64" s="124"/>
      <c r="L64" s="114" t="s">
        <v>454</v>
      </c>
      <c r="M64" s="114"/>
      <c r="N64" s="124"/>
      <c r="O64" s="114"/>
      <c r="P64" s="124"/>
      <c r="Q64" s="159"/>
      <c r="R64" s="124"/>
      <c r="S64" s="114"/>
      <c r="T64" s="114"/>
      <c r="U64" s="114"/>
      <c r="V64" s="114"/>
      <c r="W64" s="114"/>
      <c r="X64" s="159"/>
      <c r="Y64" s="114"/>
      <c r="Z64" s="164"/>
      <c r="AA64" s="114"/>
      <c r="AB64" s="114"/>
      <c r="AC64" s="114"/>
      <c r="AD64" s="114"/>
      <c r="AE64" s="114"/>
      <c r="AF64" s="114"/>
      <c r="AG64" s="114"/>
      <c r="AH64" s="114"/>
      <c r="AI64" s="114"/>
      <c r="AJ64" s="114"/>
      <c r="AK64" s="114"/>
      <c r="AL64" s="114"/>
      <c r="AM64" s="114"/>
      <c r="AN64" s="114"/>
      <c r="AO64" s="114"/>
      <c r="AP64" s="114"/>
      <c r="AQ64" s="114"/>
      <c r="AR64" s="114"/>
    </row>
    <row r="65" ht="14.25" spans="1:44">
      <c r="A65" s="114" t="s">
        <v>2219</v>
      </c>
      <c r="B65" s="114" t="s">
        <v>41</v>
      </c>
      <c r="C65" s="114" t="s">
        <v>1811</v>
      </c>
      <c r="D65" s="114" t="s">
        <v>1089</v>
      </c>
      <c r="E65" s="114" t="s">
        <v>2220</v>
      </c>
      <c r="F65" s="114">
        <v>1996</v>
      </c>
      <c r="G65" s="152">
        <f t="shared" si="0"/>
        <v>1996</v>
      </c>
      <c r="H65" s="114" t="s">
        <v>2221</v>
      </c>
      <c r="I65" s="123" t="s">
        <v>4270</v>
      </c>
      <c r="J65" s="33">
        <v>6011</v>
      </c>
      <c r="K65" s="124"/>
      <c r="L65" s="114" t="s">
        <v>454</v>
      </c>
      <c r="M65" s="114"/>
      <c r="N65" s="124">
        <f>2095+4357</f>
        <v>6452</v>
      </c>
      <c r="O65" s="124">
        <f>2*N65*3*(15*1050+1000+8000)</f>
        <v>958122000</v>
      </c>
      <c r="P65" s="124">
        <f>2*N65</f>
        <v>12904</v>
      </c>
      <c r="Q65" s="114"/>
      <c r="R65" s="124">
        <f>8000+1050*15</f>
        <v>23750</v>
      </c>
      <c r="S65" s="114"/>
      <c r="T65" s="114"/>
      <c r="U65" s="114"/>
      <c r="V65" s="114" t="s">
        <v>1761</v>
      </c>
      <c r="W65" s="114"/>
      <c r="X65" s="159"/>
      <c r="Y65" s="114"/>
      <c r="Z65" s="164"/>
      <c r="AA65" s="114"/>
      <c r="AB65" s="114"/>
      <c r="AC65" s="114"/>
      <c r="AD65" s="114"/>
      <c r="AE65" s="114"/>
      <c r="AF65" s="114"/>
      <c r="AG65" s="114"/>
      <c r="AH65" s="114"/>
      <c r="AI65" s="114"/>
      <c r="AJ65" s="114"/>
      <c r="AK65" s="114"/>
      <c r="AL65" s="114"/>
      <c r="AM65" s="114"/>
      <c r="AN65" s="114"/>
      <c r="AO65" s="114"/>
      <c r="AP65" s="114"/>
      <c r="AQ65" s="114"/>
      <c r="AR65" s="114"/>
    </row>
    <row r="66" ht="14.25" spans="1:44">
      <c r="A66" s="22"/>
      <c r="B66" s="114"/>
      <c r="C66" s="114"/>
      <c r="D66" s="114"/>
      <c r="E66" s="114"/>
      <c r="F66" s="167"/>
      <c r="G66" s="152"/>
      <c r="H66" s="114"/>
      <c r="I66" s="123" t="s">
        <v>2730</v>
      </c>
      <c r="J66" s="33"/>
      <c r="K66" s="124"/>
      <c r="L66" s="156"/>
      <c r="M66" s="114"/>
      <c r="N66" s="124"/>
      <c r="O66" s="114"/>
      <c r="P66" s="124"/>
      <c r="Q66" s="159"/>
      <c r="R66" s="124"/>
      <c r="S66" s="114"/>
      <c r="T66" s="114"/>
      <c r="U66" s="114"/>
      <c r="V66" s="114"/>
      <c r="W66" s="114"/>
      <c r="X66" s="114"/>
      <c r="Y66" s="114"/>
      <c r="Z66" s="178"/>
      <c r="AA66" s="114"/>
      <c r="AB66" s="114"/>
      <c r="AC66" s="114"/>
      <c r="AD66" s="114"/>
      <c r="AE66" s="114"/>
      <c r="AF66" s="114"/>
      <c r="AG66" s="114"/>
      <c r="AH66" s="114"/>
      <c r="AI66" s="114"/>
      <c r="AJ66" s="114"/>
      <c r="AK66" s="114"/>
      <c r="AL66" s="114"/>
      <c r="AM66" s="114"/>
      <c r="AN66" s="114"/>
      <c r="AO66" s="114"/>
      <c r="AP66" s="114"/>
      <c r="AQ66" s="114"/>
      <c r="AR66" s="114"/>
    </row>
    <row r="67" ht="14.25" spans="1:44">
      <c r="A67" s="168" t="s">
        <v>2210</v>
      </c>
      <c r="B67" s="114" t="s">
        <v>126</v>
      </c>
      <c r="C67" s="114" t="s">
        <v>874</v>
      </c>
      <c r="D67" s="114"/>
      <c r="E67" s="114"/>
      <c r="F67" s="167">
        <v>35735</v>
      </c>
      <c r="G67" s="152">
        <f t="shared" ref="G67:G96" si="1">IF(INT(RIGHT(F67,4))&lt;1,"",INT(RIGHT(F67,4)))</f>
        <v>5735</v>
      </c>
      <c r="H67" s="114" t="s">
        <v>2213</v>
      </c>
      <c r="I67" s="123" t="s">
        <v>2214</v>
      </c>
      <c r="J67" s="172">
        <v>6094</v>
      </c>
      <c r="K67" s="124"/>
      <c r="L67" s="156"/>
      <c r="M67" s="114"/>
      <c r="N67" s="124"/>
      <c r="O67" s="114"/>
      <c r="P67" s="124"/>
      <c r="Q67" s="159"/>
      <c r="R67" s="124"/>
      <c r="S67" s="114"/>
      <c r="T67" s="114"/>
      <c r="U67" s="114"/>
      <c r="V67" s="114"/>
      <c r="W67" s="114"/>
      <c r="X67" s="114"/>
      <c r="Y67" s="114"/>
      <c r="Z67" s="165" t="s">
        <v>1961</v>
      </c>
      <c r="AA67" s="114"/>
      <c r="AB67" s="114"/>
      <c r="AC67" s="114"/>
      <c r="AD67" s="114"/>
      <c r="AE67" s="114"/>
      <c r="AF67" s="114"/>
      <c r="AG67" s="114"/>
      <c r="AH67" s="114"/>
      <c r="AI67" s="114"/>
      <c r="AJ67" s="114"/>
      <c r="AK67" s="114"/>
      <c r="AL67" s="114"/>
      <c r="AM67" s="114"/>
      <c r="AN67" s="114"/>
      <c r="AO67" s="114"/>
      <c r="AP67" s="114"/>
      <c r="AQ67" s="114"/>
      <c r="AR67" s="114"/>
    </row>
    <row r="68" ht="14.25" spans="1:44">
      <c r="A68" s="22"/>
      <c r="B68" s="114"/>
      <c r="C68" s="114"/>
      <c r="D68" s="114"/>
      <c r="E68" s="114"/>
      <c r="F68" s="167">
        <v>35765</v>
      </c>
      <c r="G68" s="152">
        <f t="shared" si="1"/>
        <v>5765</v>
      </c>
      <c r="H68" s="114" t="s">
        <v>2217</v>
      </c>
      <c r="I68" s="123" t="s">
        <v>2218</v>
      </c>
      <c r="J68" s="172">
        <v>4257</v>
      </c>
      <c r="K68" s="124"/>
      <c r="L68" s="156"/>
      <c r="M68" s="114"/>
      <c r="N68" s="124"/>
      <c r="O68" s="114"/>
      <c r="P68" s="124"/>
      <c r="Q68" s="159"/>
      <c r="R68" s="124"/>
      <c r="S68" s="114"/>
      <c r="T68" s="114"/>
      <c r="U68" s="114"/>
      <c r="V68" s="114"/>
      <c r="W68" s="114"/>
      <c r="X68" s="114"/>
      <c r="Y68" s="114"/>
      <c r="Z68" s="165" t="s">
        <v>4271</v>
      </c>
      <c r="AA68" s="114"/>
      <c r="AB68" s="114"/>
      <c r="AC68" s="114"/>
      <c r="AD68" s="114"/>
      <c r="AE68" s="114"/>
      <c r="AF68" s="114"/>
      <c r="AG68" s="114"/>
      <c r="AH68" s="114"/>
      <c r="AI68" s="114"/>
      <c r="AJ68" s="114"/>
      <c r="AK68" s="114"/>
      <c r="AL68" s="114"/>
      <c r="AM68" s="114"/>
      <c r="AN68" s="114"/>
      <c r="AO68" s="114"/>
      <c r="AP68" s="114"/>
      <c r="AQ68" s="114"/>
      <c r="AR68" s="114"/>
    </row>
    <row r="69" ht="14.25" spans="1:44">
      <c r="A69" s="114"/>
      <c r="B69" s="114" t="s">
        <v>51</v>
      </c>
      <c r="C69" s="114" t="s">
        <v>4272</v>
      </c>
      <c r="D69" s="114" t="s">
        <v>2206</v>
      </c>
      <c r="E69" s="114" t="s">
        <v>2207</v>
      </c>
      <c r="F69" s="114">
        <v>1997</v>
      </c>
      <c r="G69" s="152">
        <f t="shared" si="1"/>
        <v>1997</v>
      </c>
      <c r="H69" s="114" t="s">
        <v>2208</v>
      </c>
      <c r="I69" s="123" t="s">
        <v>4273</v>
      </c>
      <c r="J69" s="33">
        <v>954</v>
      </c>
      <c r="K69" s="124"/>
      <c r="L69" s="114" t="s">
        <v>49</v>
      </c>
      <c r="M69" s="114"/>
      <c r="N69" s="124"/>
      <c r="O69" s="114"/>
      <c r="P69" s="124"/>
      <c r="Q69" s="159"/>
      <c r="R69" s="124"/>
      <c r="S69" s="114"/>
      <c r="T69" s="114"/>
      <c r="U69" s="114"/>
      <c r="V69" s="114" t="s">
        <v>1761</v>
      </c>
      <c r="W69" s="114"/>
      <c r="X69" s="175"/>
      <c r="Y69" s="114"/>
      <c r="Z69" s="164"/>
      <c r="AA69" s="114"/>
      <c r="AB69" s="114"/>
      <c r="AC69" s="114"/>
      <c r="AD69" s="114"/>
      <c r="AE69" s="114"/>
      <c r="AF69" s="114"/>
      <c r="AG69" s="114"/>
      <c r="AH69" s="114"/>
      <c r="AI69" s="114"/>
      <c r="AJ69" s="114"/>
      <c r="AK69" s="114"/>
      <c r="AL69" s="114"/>
      <c r="AM69" s="114"/>
      <c r="AN69" s="114"/>
      <c r="AO69" s="114"/>
      <c r="AP69" s="114"/>
      <c r="AQ69" s="114"/>
      <c r="AR69" s="114"/>
    </row>
    <row r="70" ht="14.25" spans="1:44">
      <c r="A70" s="114" t="s">
        <v>2197</v>
      </c>
      <c r="B70" s="114" t="s">
        <v>199</v>
      </c>
      <c r="C70" s="114" t="s">
        <v>2198</v>
      </c>
      <c r="D70" s="114" t="s">
        <v>2199</v>
      </c>
      <c r="E70" s="114" t="s">
        <v>2200</v>
      </c>
      <c r="F70" s="114">
        <v>1997</v>
      </c>
      <c r="G70" s="152">
        <f t="shared" si="1"/>
        <v>1997</v>
      </c>
      <c r="H70" s="114" t="s">
        <v>2201</v>
      </c>
      <c r="I70" s="123" t="s">
        <v>4274</v>
      </c>
      <c r="J70" s="33">
        <v>51992</v>
      </c>
      <c r="K70" s="124"/>
      <c r="L70" s="114" t="s">
        <v>454</v>
      </c>
      <c r="M70" s="114"/>
      <c r="N70" s="124">
        <v>10504</v>
      </c>
      <c r="O70" s="124">
        <f>5000000*100*P70</f>
        <v>21008000000000</v>
      </c>
      <c r="P70" s="124">
        <f>N70*4</f>
        <v>42016</v>
      </c>
      <c r="Q70" s="159"/>
      <c r="R70" s="124"/>
      <c r="S70" s="114"/>
      <c r="T70" s="114"/>
      <c r="U70" s="114"/>
      <c r="V70" s="114"/>
      <c r="W70" s="114"/>
      <c r="X70" s="175"/>
      <c r="Y70" s="114"/>
      <c r="Z70" s="164"/>
      <c r="AA70" s="114"/>
      <c r="AB70" s="114"/>
      <c r="AC70" s="114"/>
      <c r="AD70" s="114"/>
      <c r="AE70" s="114"/>
      <c r="AF70" s="114"/>
      <c r="AG70" s="114"/>
      <c r="AH70" s="114"/>
      <c r="AI70" s="114"/>
      <c r="AJ70" s="114"/>
      <c r="AK70" s="114"/>
      <c r="AL70" s="114"/>
      <c r="AM70" s="114"/>
      <c r="AN70" s="114"/>
      <c r="AO70" s="114"/>
      <c r="AP70" s="114"/>
      <c r="AQ70" s="114"/>
      <c r="AR70" s="114"/>
    </row>
    <row r="71" ht="14.25" spans="1:44">
      <c r="A71" s="114"/>
      <c r="B71" s="114" t="s">
        <v>41</v>
      </c>
      <c r="C71" s="114"/>
      <c r="D71" s="114" t="s">
        <v>4275</v>
      </c>
      <c r="E71" s="114" t="s">
        <v>2203</v>
      </c>
      <c r="F71" s="114">
        <v>1997</v>
      </c>
      <c r="G71" s="152">
        <f t="shared" si="1"/>
        <v>1997</v>
      </c>
      <c r="H71" s="114" t="s">
        <v>2204</v>
      </c>
      <c r="I71" s="123" t="s">
        <v>2205</v>
      </c>
      <c r="J71" s="33">
        <v>3851</v>
      </c>
      <c r="K71" s="124"/>
      <c r="L71" s="114" t="s">
        <v>454</v>
      </c>
      <c r="M71" s="114"/>
      <c r="N71" s="124"/>
      <c r="O71" s="114"/>
      <c r="P71" s="124"/>
      <c r="Q71" s="159"/>
      <c r="R71" s="124"/>
      <c r="S71" s="114"/>
      <c r="T71" s="114"/>
      <c r="U71" s="114"/>
      <c r="V71" s="114"/>
      <c r="W71" s="114"/>
      <c r="X71" s="175"/>
      <c r="Y71" s="114"/>
      <c r="Z71" s="164"/>
      <c r="AA71" s="114"/>
      <c r="AB71" s="114"/>
      <c r="AC71" s="114"/>
      <c r="AD71" s="114"/>
      <c r="AE71" s="114"/>
      <c r="AF71" s="114"/>
      <c r="AG71" s="114"/>
      <c r="AH71" s="114"/>
      <c r="AI71" s="114"/>
      <c r="AJ71" s="114"/>
      <c r="AK71" s="114"/>
      <c r="AL71" s="114"/>
      <c r="AM71" s="114"/>
      <c r="AN71" s="114"/>
      <c r="AO71" s="114"/>
      <c r="AP71" s="114"/>
      <c r="AQ71" s="114"/>
      <c r="AR71" s="114"/>
    </row>
    <row r="72" ht="14.25" spans="1:44">
      <c r="A72" s="22" t="s">
        <v>2725</v>
      </c>
      <c r="B72" s="114" t="s">
        <v>256</v>
      </c>
      <c r="C72" s="114" t="s">
        <v>2726</v>
      </c>
      <c r="D72" s="114"/>
      <c r="E72" s="114"/>
      <c r="F72" s="114">
        <v>1997</v>
      </c>
      <c r="G72" s="152">
        <f t="shared" si="1"/>
        <v>1997</v>
      </c>
      <c r="H72" s="114"/>
      <c r="I72" s="114"/>
      <c r="J72" s="33"/>
      <c r="K72" s="124"/>
      <c r="L72" s="156" t="s">
        <v>4276</v>
      </c>
      <c r="M72" s="114"/>
      <c r="N72" s="124"/>
      <c r="O72" s="114"/>
      <c r="P72" s="124"/>
      <c r="Q72" s="159"/>
      <c r="R72" s="124"/>
      <c r="S72" s="114"/>
      <c r="T72" s="114"/>
      <c r="U72" s="114"/>
      <c r="V72" s="114"/>
      <c r="W72" s="114"/>
      <c r="X72" s="114"/>
      <c r="Y72" s="114"/>
      <c r="Z72" s="164"/>
      <c r="AA72" s="114"/>
      <c r="AB72" s="114"/>
      <c r="AC72" s="114"/>
      <c r="AD72" s="114"/>
      <c r="AE72" s="114"/>
      <c r="AF72" s="114"/>
      <c r="AG72" s="114"/>
      <c r="AH72" s="114"/>
      <c r="AI72" s="114"/>
      <c r="AJ72" s="114"/>
      <c r="AK72" s="114"/>
      <c r="AL72" s="114"/>
      <c r="AM72" s="114"/>
      <c r="AN72" s="114"/>
      <c r="AO72" s="114"/>
      <c r="AP72" s="114"/>
      <c r="AQ72" s="114"/>
      <c r="AR72" s="114"/>
    </row>
    <row r="73" ht="14.25" spans="1:44">
      <c r="A73" s="155"/>
      <c r="B73" s="114" t="s">
        <v>126</v>
      </c>
      <c r="C73" s="114"/>
      <c r="D73" s="114" t="s">
        <v>4277</v>
      </c>
      <c r="E73" s="114" t="s">
        <v>2186</v>
      </c>
      <c r="F73" s="114">
        <v>1998</v>
      </c>
      <c r="G73" s="152">
        <f t="shared" si="1"/>
        <v>1998</v>
      </c>
      <c r="H73" s="114" t="s">
        <v>2187</v>
      </c>
      <c r="I73" s="123" t="s">
        <v>4278</v>
      </c>
      <c r="J73" s="33">
        <v>3058</v>
      </c>
      <c r="K73" s="124"/>
      <c r="L73" s="114" t="s">
        <v>454</v>
      </c>
      <c r="M73" s="114"/>
      <c r="N73" s="124"/>
      <c r="O73" s="114"/>
      <c r="P73" s="124"/>
      <c r="Q73" s="159"/>
      <c r="R73" s="124"/>
      <c r="S73" s="114"/>
      <c r="T73" s="114"/>
      <c r="U73" s="114"/>
      <c r="V73" s="114"/>
      <c r="W73" s="114"/>
      <c r="X73" s="159"/>
      <c r="Y73" s="114"/>
      <c r="Z73" s="164"/>
      <c r="AA73" s="114"/>
      <c r="AB73" s="114"/>
      <c r="AC73" s="114"/>
      <c r="AD73" s="114"/>
      <c r="AE73" s="114"/>
      <c r="AF73" s="114"/>
      <c r="AG73" s="114"/>
      <c r="AH73" s="114"/>
      <c r="AI73" s="114"/>
      <c r="AJ73" s="114"/>
      <c r="AK73" s="114"/>
      <c r="AL73" s="114"/>
      <c r="AM73" s="114"/>
      <c r="AN73" s="114"/>
      <c r="AO73" s="114"/>
      <c r="AP73" s="114"/>
      <c r="AQ73" s="114"/>
      <c r="AR73" s="114"/>
    </row>
    <row r="74" ht="14.25" spans="1:44">
      <c r="A74" s="114"/>
      <c r="B74" s="114"/>
      <c r="C74" s="114"/>
      <c r="D74" s="114" t="s">
        <v>1089</v>
      </c>
      <c r="E74" s="114" t="s">
        <v>2189</v>
      </c>
      <c r="F74" s="114">
        <v>1998</v>
      </c>
      <c r="G74" s="152">
        <f t="shared" si="1"/>
        <v>1998</v>
      </c>
      <c r="H74" s="114" t="s">
        <v>2190</v>
      </c>
      <c r="I74" s="123" t="s">
        <v>2191</v>
      </c>
      <c r="J74" s="33">
        <v>602</v>
      </c>
      <c r="K74" s="124"/>
      <c r="L74" s="114" t="s">
        <v>49</v>
      </c>
      <c r="M74" s="114"/>
      <c r="N74" s="124"/>
      <c r="O74" s="114"/>
      <c r="P74" s="124"/>
      <c r="Q74" s="159"/>
      <c r="R74" s="124"/>
      <c r="S74" s="114"/>
      <c r="T74" s="114"/>
      <c r="U74" s="114"/>
      <c r="V74" s="114"/>
      <c r="W74" s="114"/>
      <c r="X74" s="159"/>
      <c r="Y74" s="114"/>
      <c r="Z74" s="164"/>
      <c r="AA74" s="114"/>
      <c r="AB74" s="114"/>
      <c r="AC74" s="114"/>
      <c r="AD74" s="114"/>
      <c r="AE74" s="114"/>
      <c r="AF74" s="114"/>
      <c r="AG74" s="114"/>
      <c r="AH74" s="114"/>
      <c r="AI74" s="114"/>
      <c r="AJ74" s="114"/>
      <c r="AK74" s="114"/>
      <c r="AL74" s="114"/>
      <c r="AM74" s="114"/>
      <c r="AN74" s="114"/>
      <c r="AO74" s="114"/>
      <c r="AP74" s="114"/>
      <c r="AQ74" s="114"/>
      <c r="AR74" s="114"/>
    </row>
    <row r="75" ht="14.25" spans="1:44">
      <c r="A75" s="114"/>
      <c r="B75" s="114" t="s">
        <v>199</v>
      </c>
      <c r="C75" s="114" t="s">
        <v>2192</v>
      </c>
      <c r="D75" s="114" t="s">
        <v>2193</v>
      </c>
      <c r="E75" s="114" t="s">
        <v>2194</v>
      </c>
      <c r="F75" s="114">
        <v>1998</v>
      </c>
      <c r="G75" s="152">
        <f t="shared" si="1"/>
        <v>1998</v>
      </c>
      <c r="H75" s="114" t="s">
        <v>2195</v>
      </c>
      <c r="I75" s="123" t="s">
        <v>2196</v>
      </c>
      <c r="J75" s="33">
        <v>1564</v>
      </c>
      <c r="K75" s="124"/>
      <c r="L75" s="114" t="s">
        <v>454</v>
      </c>
      <c r="M75" s="114"/>
      <c r="N75" s="124"/>
      <c r="O75" s="124"/>
      <c r="P75" s="124"/>
      <c r="Q75" s="114"/>
      <c r="R75" s="124"/>
      <c r="S75" s="114"/>
      <c r="T75" s="114"/>
      <c r="U75" s="114"/>
      <c r="V75" s="114"/>
      <c r="W75" s="114"/>
      <c r="X75" s="114"/>
      <c r="Y75" s="114"/>
      <c r="Z75" s="164"/>
      <c r="AA75" s="114"/>
      <c r="AB75" s="114"/>
      <c r="AC75" s="114"/>
      <c r="AD75" s="114"/>
      <c r="AE75" s="114"/>
      <c r="AF75" s="114"/>
      <c r="AG75" s="114"/>
      <c r="AH75" s="114"/>
      <c r="AI75" s="114"/>
      <c r="AJ75" s="114"/>
      <c r="AK75" s="114"/>
      <c r="AL75" s="114"/>
      <c r="AM75" s="114"/>
      <c r="AN75" s="114"/>
      <c r="AO75" s="114"/>
      <c r="AP75" s="114"/>
      <c r="AQ75" s="114"/>
      <c r="AR75" s="114"/>
    </row>
    <row r="76" ht="14.25" spans="1:44">
      <c r="A76" s="114" t="s">
        <v>2179</v>
      </c>
      <c r="B76" s="114" t="s">
        <v>126</v>
      </c>
      <c r="C76" s="114" t="s">
        <v>2180</v>
      </c>
      <c r="D76" s="114" t="s">
        <v>2181</v>
      </c>
      <c r="E76" s="114" t="s">
        <v>2182</v>
      </c>
      <c r="F76" s="153">
        <v>35930</v>
      </c>
      <c r="G76" s="152">
        <f t="shared" si="1"/>
        <v>5930</v>
      </c>
      <c r="H76" s="114" t="s">
        <v>2183</v>
      </c>
      <c r="I76" s="123" t="s">
        <v>2184</v>
      </c>
      <c r="J76" s="33">
        <v>231</v>
      </c>
      <c r="K76" s="124"/>
      <c r="L76" s="114" t="s">
        <v>49</v>
      </c>
      <c r="M76" s="114"/>
      <c r="N76" s="124">
        <f>(102+35+1)*35+(43+35+1)*30+(30+8+1)*8</f>
        <v>7512</v>
      </c>
      <c r="O76" s="158">
        <v>226690156032.018</v>
      </c>
      <c r="P76" s="124"/>
      <c r="Q76" s="159"/>
      <c r="R76" s="124"/>
      <c r="S76" s="114"/>
      <c r="T76" s="114"/>
      <c r="U76" s="114"/>
      <c r="V76" s="114"/>
      <c r="W76" s="114"/>
      <c r="X76" s="114"/>
      <c r="Y76" s="114"/>
      <c r="Z76" s="166" t="s">
        <v>34</v>
      </c>
      <c r="AA76" s="114"/>
      <c r="AB76" s="114"/>
      <c r="AC76" s="114"/>
      <c r="AD76" s="114"/>
      <c r="AE76" s="114"/>
      <c r="AF76" s="114"/>
      <c r="AG76" s="114"/>
      <c r="AH76" s="114"/>
      <c r="AI76" s="114"/>
      <c r="AJ76" s="114"/>
      <c r="AK76" s="114"/>
      <c r="AL76" s="114"/>
      <c r="AM76" s="114"/>
      <c r="AN76" s="114"/>
      <c r="AO76" s="114"/>
      <c r="AP76" s="114"/>
      <c r="AQ76" s="114"/>
      <c r="AR76" s="114"/>
    </row>
    <row r="77" ht="14.25" spans="1:44">
      <c r="A77" s="114" t="s">
        <v>2175</v>
      </c>
      <c r="B77" s="114" t="s">
        <v>41</v>
      </c>
      <c r="C77" s="114" t="s">
        <v>1231</v>
      </c>
      <c r="D77" s="114" t="s">
        <v>1838</v>
      </c>
      <c r="E77" s="114" t="s">
        <v>2176</v>
      </c>
      <c r="F77" s="153">
        <v>36100</v>
      </c>
      <c r="G77" s="152">
        <f t="shared" si="1"/>
        <v>6100</v>
      </c>
      <c r="H77" s="114" t="s">
        <v>2177</v>
      </c>
      <c r="I77" s="123" t="s">
        <v>2178</v>
      </c>
      <c r="J77" s="33">
        <v>38581</v>
      </c>
      <c r="K77" s="124"/>
      <c r="L77" s="114" t="s">
        <v>1923</v>
      </c>
      <c r="M77" s="114">
        <v>6</v>
      </c>
      <c r="N77" s="124">
        <v>60000</v>
      </c>
      <c r="O77" s="124">
        <f>390408*2*3*60000*20</f>
        <v>2810937600000</v>
      </c>
      <c r="P77" s="124">
        <f>390408*2</f>
        <v>780816</v>
      </c>
      <c r="Q77" s="114" t="s">
        <v>1647</v>
      </c>
      <c r="R77" s="124">
        <v>60000</v>
      </c>
      <c r="S77" s="114"/>
      <c r="T77" s="114"/>
      <c r="U77" s="114">
        <f>21/1000</f>
        <v>0.021</v>
      </c>
      <c r="V77" s="114"/>
      <c r="W77" s="114"/>
      <c r="X77" s="114"/>
      <c r="Y77" s="114"/>
      <c r="Z77" s="166" t="s">
        <v>34</v>
      </c>
      <c r="AA77" s="114"/>
      <c r="AB77" s="114"/>
      <c r="AC77" s="114"/>
      <c r="AD77" s="114"/>
      <c r="AE77" s="114"/>
      <c r="AF77" s="114"/>
      <c r="AG77" s="114"/>
      <c r="AH77" s="114"/>
      <c r="AI77" s="114"/>
      <c r="AJ77" s="114"/>
      <c r="AK77" s="114"/>
      <c r="AL77" s="114"/>
      <c r="AM77" s="114"/>
      <c r="AN77" s="114"/>
      <c r="AO77" s="114"/>
      <c r="AP77" s="114"/>
      <c r="AQ77" s="114"/>
      <c r="AR77" s="114"/>
    </row>
    <row r="78" ht="14.25" spans="1:44">
      <c r="A78" s="155"/>
      <c r="B78" s="114"/>
      <c r="C78" s="114"/>
      <c r="D78" s="114" t="s">
        <v>2171</v>
      </c>
      <c r="E78" s="114" t="s">
        <v>2172</v>
      </c>
      <c r="F78" s="114">
        <v>1999</v>
      </c>
      <c r="G78" s="152">
        <f t="shared" si="1"/>
        <v>1999</v>
      </c>
      <c r="H78" s="114" t="s">
        <v>2173</v>
      </c>
      <c r="I78" s="123" t="s">
        <v>2174</v>
      </c>
      <c r="J78" s="33">
        <v>1731</v>
      </c>
      <c r="K78" s="124"/>
      <c r="L78" s="114" t="s">
        <v>454</v>
      </c>
      <c r="M78" s="114"/>
      <c r="N78" s="124"/>
      <c r="O78" s="114"/>
      <c r="P78" s="124"/>
      <c r="Q78" s="156" t="s">
        <v>4279</v>
      </c>
      <c r="R78" s="124">
        <v>60000</v>
      </c>
      <c r="S78" s="114"/>
      <c r="T78" s="114"/>
      <c r="U78" s="114"/>
      <c r="V78" s="114"/>
      <c r="W78" s="114"/>
      <c r="X78" s="114"/>
      <c r="Y78" s="114"/>
      <c r="Z78" s="164"/>
      <c r="AA78" s="114"/>
      <c r="AB78" s="114"/>
      <c r="AC78" s="114"/>
      <c r="AD78" s="114"/>
      <c r="AE78" s="114"/>
      <c r="AF78" s="114"/>
      <c r="AG78" s="114"/>
      <c r="AH78" s="114"/>
      <c r="AI78" s="114"/>
      <c r="AJ78" s="114"/>
      <c r="AK78" s="114"/>
      <c r="AL78" s="114"/>
      <c r="AM78" s="114"/>
      <c r="AN78" s="114"/>
      <c r="AO78" s="114"/>
      <c r="AP78" s="114"/>
      <c r="AQ78" s="114"/>
      <c r="AR78" s="114"/>
    </row>
    <row r="79" ht="14.25" spans="1:44">
      <c r="A79" s="114" t="s">
        <v>2166</v>
      </c>
      <c r="B79" s="114" t="s">
        <v>51</v>
      </c>
      <c r="C79" s="114" t="s">
        <v>144</v>
      </c>
      <c r="D79" s="114" t="s">
        <v>2167</v>
      </c>
      <c r="E79" s="114" t="s">
        <v>2168</v>
      </c>
      <c r="F79" s="114">
        <v>1999</v>
      </c>
      <c r="G79" s="152">
        <f t="shared" si="1"/>
        <v>1999</v>
      </c>
      <c r="H79" s="114" t="s">
        <v>2169</v>
      </c>
      <c r="I79" s="123" t="s">
        <v>2170</v>
      </c>
      <c r="J79" s="33">
        <v>1921</v>
      </c>
      <c r="K79" s="124"/>
      <c r="L79" s="114" t="s">
        <v>454</v>
      </c>
      <c r="M79" s="114"/>
      <c r="N79" s="124"/>
      <c r="O79" s="124"/>
      <c r="P79" s="124"/>
      <c r="Q79" s="114"/>
      <c r="R79" s="124"/>
      <c r="S79" s="114"/>
      <c r="T79" s="114"/>
      <c r="U79" s="114"/>
      <c r="V79" s="114"/>
      <c r="W79" s="114"/>
      <c r="X79" s="114"/>
      <c r="Y79" s="114"/>
      <c r="Z79" s="164"/>
      <c r="AA79" s="114"/>
      <c r="AB79" s="114"/>
      <c r="AC79" s="114"/>
      <c r="AD79" s="114"/>
      <c r="AE79" s="114"/>
      <c r="AF79" s="114"/>
      <c r="AG79" s="114"/>
      <c r="AH79" s="114"/>
      <c r="AI79" s="114"/>
      <c r="AJ79" s="114"/>
      <c r="AK79" s="114"/>
      <c r="AL79" s="114"/>
      <c r="AM79" s="114"/>
      <c r="AN79" s="114"/>
      <c r="AO79" s="114"/>
      <c r="AP79" s="114"/>
      <c r="AQ79" s="114"/>
      <c r="AR79" s="114"/>
    </row>
    <row r="80" ht="14.25" spans="1:44">
      <c r="A80" s="155"/>
      <c r="B80" s="114"/>
      <c r="C80" s="114"/>
      <c r="D80" s="114" t="s">
        <v>2115</v>
      </c>
      <c r="E80" s="114" t="s">
        <v>2163</v>
      </c>
      <c r="F80" s="114">
        <v>1999</v>
      </c>
      <c r="G80" s="152">
        <f t="shared" si="1"/>
        <v>1999</v>
      </c>
      <c r="H80" s="114" t="s">
        <v>2164</v>
      </c>
      <c r="I80" s="123" t="s">
        <v>2165</v>
      </c>
      <c r="J80" s="33">
        <v>4522</v>
      </c>
      <c r="K80" s="124"/>
      <c r="L80" s="114" t="s">
        <v>454</v>
      </c>
      <c r="M80" s="114"/>
      <c r="N80" s="124"/>
      <c r="O80" s="124"/>
      <c r="P80" s="124"/>
      <c r="Q80" s="114"/>
      <c r="R80" s="124"/>
      <c r="S80" s="114"/>
      <c r="T80" s="114"/>
      <c r="U80" s="114"/>
      <c r="V80" s="114"/>
      <c r="W80" s="114"/>
      <c r="X80" s="114"/>
      <c r="Y80" s="114"/>
      <c r="Z80" s="164"/>
      <c r="AA80" s="114"/>
      <c r="AB80" s="114"/>
      <c r="AC80" s="114"/>
      <c r="AD80" s="114"/>
      <c r="AE80" s="114"/>
      <c r="AF80" s="114"/>
      <c r="AG80" s="114"/>
      <c r="AH80" s="114"/>
      <c r="AI80" s="114"/>
      <c r="AJ80" s="114"/>
      <c r="AK80" s="114"/>
      <c r="AL80" s="114"/>
      <c r="AM80" s="114"/>
      <c r="AN80" s="114"/>
      <c r="AO80" s="114"/>
      <c r="AP80" s="114"/>
      <c r="AQ80" s="114"/>
      <c r="AR80" s="114"/>
    </row>
    <row r="81" ht="14.25" spans="1:44">
      <c r="A81" s="114"/>
      <c r="B81" s="114" t="s">
        <v>434</v>
      </c>
      <c r="C81" s="114"/>
      <c r="D81" s="114" t="s">
        <v>2144</v>
      </c>
      <c r="E81" s="114" t="s">
        <v>2145</v>
      </c>
      <c r="F81" s="114">
        <v>2000</v>
      </c>
      <c r="G81" s="152">
        <f t="shared" si="1"/>
        <v>2000</v>
      </c>
      <c r="H81" s="114" t="s">
        <v>2146</v>
      </c>
      <c r="I81" s="123" t="s">
        <v>2147</v>
      </c>
      <c r="J81" s="33">
        <v>2126</v>
      </c>
      <c r="K81" s="124"/>
      <c r="L81" s="114" t="s">
        <v>454</v>
      </c>
      <c r="M81" s="114"/>
      <c r="N81" s="124"/>
      <c r="O81" s="124"/>
      <c r="P81" s="124"/>
      <c r="Q81" s="114"/>
      <c r="R81" s="124"/>
      <c r="S81" s="114"/>
      <c r="T81" s="114"/>
      <c r="U81" s="114"/>
      <c r="V81" s="114"/>
      <c r="W81" s="114"/>
      <c r="X81" s="114"/>
      <c r="Y81" s="114"/>
      <c r="Z81" s="164"/>
      <c r="AA81" s="114"/>
      <c r="AB81" s="114"/>
      <c r="AC81" s="114"/>
      <c r="AD81" s="114"/>
      <c r="AE81" s="114"/>
      <c r="AF81" s="114"/>
      <c r="AG81" s="114"/>
      <c r="AH81" s="114"/>
      <c r="AI81" s="114"/>
      <c r="AJ81" s="114"/>
      <c r="AK81" s="114"/>
      <c r="AL81" s="114"/>
      <c r="AM81" s="114"/>
      <c r="AN81" s="114"/>
      <c r="AO81" s="114"/>
      <c r="AP81" s="114"/>
      <c r="AQ81" s="114"/>
      <c r="AR81" s="114"/>
    </row>
    <row r="82" ht="14.25" spans="1:44">
      <c r="A82" s="114" t="s">
        <v>2148</v>
      </c>
      <c r="B82" s="114"/>
      <c r="C82" s="114"/>
      <c r="D82" s="114" t="s">
        <v>2115</v>
      </c>
      <c r="E82" s="114" t="s">
        <v>2150</v>
      </c>
      <c r="F82" s="153">
        <v>36734</v>
      </c>
      <c r="G82" s="152">
        <f t="shared" si="1"/>
        <v>6734</v>
      </c>
      <c r="H82" s="114" t="s">
        <v>2151</v>
      </c>
      <c r="I82" s="123" t="s">
        <v>2152</v>
      </c>
      <c r="J82" s="33">
        <v>630</v>
      </c>
      <c r="K82" s="124"/>
      <c r="L82" s="114" t="s">
        <v>49</v>
      </c>
      <c r="M82" s="114"/>
      <c r="N82" s="124"/>
      <c r="O82" s="124"/>
      <c r="P82" s="124"/>
      <c r="Q82" s="114"/>
      <c r="R82" s="124"/>
      <c r="S82" s="114"/>
      <c r="T82" s="114"/>
      <c r="U82" s="114"/>
      <c r="V82" s="114"/>
      <c r="W82" s="114"/>
      <c r="X82" s="114"/>
      <c r="Y82" s="114"/>
      <c r="Z82" s="164"/>
      <c r="AA82" s="114"/>
      <c r="AB82" s="114"/>
      <c r="AC82" s="114"/>
      <c r="AD82" s="114"/>
      <c r="AE82" s="114"/>
      <c r="AF82" s="114"/>
      <c r="AG82" s="114"/>
      <c r="AH82" s="114"/>
      <c r="AI82" s="114"/>
      <c r="AJ82" s="114"/>
      <c r="AK82" s="114"/>
      <c r="AL82" s="114"/>
      <c r="AM82" s="114"/>
      <c r="AN82" s="114"/>
      <c r="AO82" s="114"/>
      <c r="AP82" s="114"/>
      <c r="AQ82" s="114"/>
      <c r="AR82" s="114"/>
    </row>
    <row r="83" ht="14.25" spans="1:44">
      <c r="A83" s="114"/>
      <c r="B83" s="114" t="s">
        <v>51</v>
      </c>
      <c r="C83" s="114"/>
      <c r="D83" s="114" t="s">
        <v>2153</v>
      </c>
      <c r="E83" s="114" t="s">
        <v>2154</v>
      </c>
      <c r="F83" s="154">
        <v>36800</v>
      </c>
      <c r="G83" s="152">
        <f t="shared" si="1"/>
        <v>6800</v>
      </c>
      <c r="H83" s="114" t="s">
        <v>2155</v>
      </c>
      <c r="I83" s="123" t="s">
        <v>4280</v>
      </c>
      <c r="J83" s="33">
        <v>2329</v>
      </c>
      <c r="K83" s="124"/>
      <c r="L83" s="114" t="s">
        <v>454</v>
      </c>
      <c r="M83" s="114"/>
      <c r="N83" s="124"/>
      <c r="O83" s="124"/>
      <c r="P83" s="124"/>
      <c r="Q83" s="114"/>
      <c r="R83" s="124"/>
      <c r="S83" s="114"/>
      <c r="T83" s="114"/>
      <c r="U83" s="114"/>
      <c r="V83" s="114"/>
      <c r="W83" s="114"/>
      <c r="X83" s="159"/>
      <c r="Y83" s="114"/>
      <c r="Z83" s="164"/>
      <c r="AA83" s="114"/>
      <c r="AB83" s="114"/>
      <c r="AC83" s="114"/>
      <c r="AD83" s="114"/>
      <c r="AE83" s="114"/>
      <c r="AF83" s="114"/>
      <c r="AG83" s="114"/>
      <c r="AH83" s="114"/>
      <c r="AI83" s="114"/>
      <c r="AJ83" s="114"/>
      <c r="AK83" s="114"/>
      <c r="AL83" s="114"/>
      <c r="AM83" s="114"/>
      <c r="AN83" s="114"/>
      <c r="AO83" s="114"/>
      <c r="AP83" s="114"/>
      <c r="AQ83" s="114"/>
      <c r="AR83" s="114"/>
    </row>
    <row r="84" ht="14.25" spans="1:44">
      <c r="A84" s="114"/>
      <c r="B84" s="114" t="s">
        <v>51</v>
      </c>
      <c r="C84" s="114"/>
      <c r="D84" s="114" t="s">
        <v>2158</v>
      </c>
      <c r="E84" s="114" t="s">
        <v>2159</v>
      </c>
      <c r="F84" s="154">
        <v>36800</v>
      </c>
      <c r="G84" s="152">
        <f t="shared" si="1"/>
        <v>6800</v>
      </c>
      <c r="H84" s="114" t="s">
        <v>2160</v>
      </c>
      <c r="I84" s="123" t="s">
        <v>4281</v>
      </c>
      <c r="J84" s="33">
        <v>1315</v>
      </c>
      <c r="K84" s="124"/>
      <c r="L84" s="114" t="s">
        <v>454</v>
      </c>
      <c r="M84" s="114"/>
      <c r="N84" s="124"/>
      <c r="O84" s="124"/>
      <c r="P84" s="124"/>
      <c r="Q84" s="114"/>
      <c r="R84" s="124"/>
      <c r="S84" s="114"/>
      <c r="T84" s="114"/>
      <c r="U84" s="114"/>
      <c r="V84" s="114"/>
      <c r="W84" s="114"/>
      <c r="X84" s="159"/>
      <c r="Y84" s="114"/>
      <c r="Z84" s="164"/>
      <c r="AA84" s="114"/>
      <c r="AB84" s="114"/>
      <c r="AC84" s="114"/>
      <c r="AD84" s="114"/>
      <c r="AE84" s="114"/>
      <c r="AF84" s="114"/>
      <c r="AG84" s="114"/>
      <c r="AH84" s="114"/>
      <c r="AI84" s="114"/>
      <c r="AJ84" s="114"/>
      <c r="AK84" s="114"/>
      <c r="AL84" s="114"/>
      <c r="AM84" s="114"/>
      <c r="AN84" s="114"/>
      <c r="AO84" s="114"/>
      <c r="AP84" s="114"/>
      <c r="AQ84" s="114"/>
      <c r="AR84" s="114"/>
    </row>
    <row r="85" ht="14.25" spans="1:44">
      <c r="A85" s="114"/>
      <c r="B85" s="114"/>
      <c r="C85" s="114"/>
      <c r="D85" s="114" t="s">
        <v>4248</v>
      </c>
      <c r="E85" s="114" t="s">
        <v>2141</v>
      </c>
      <c r="F85" s="114">
        <v>2001</v>
      </c>
      <c r="G85" s="152">
        <f t="shared" si="1"/>
        <v>2001</v>
      </c>
      <c r="H85" s="114" t="s">
        <v>2142</v>
      </c>
      <c r="I85" s="123" t="s">
        <v>4282</v>
      </c>
      <c r="J85" s="33">
        <v>14291</v>
      </c>
      <c r="K85" s="124"/>
      <c r="L85" s="114" t="s">
        <v>454</v>
      </c>
      <c r="M85" s="114"/>
      <c r="N85" s="124"/>
      <c r="O85" s="124"/>
      <c r="P85" s="124"/>
      <c r="Q85" s="156"/>
      <c r="R85" s="124"/>
      <c r="S85" s="114"/>
      <c r="T85" s="114"/>
      <c r="U85" s="114"/>
      <c r="V85" s="114"/>
      <c r="W85" s="114"/>
      <c r="X85" s="159"/>
      <c r="Y85" s="114"/>
      <c r="Z85" s="164"/>
      <c r="AA85" s="114"/>
      <c r="AB85" s="114"/>
      <c r="AC85" s="114"/>
      <c r="AD85" s="114"/>
      <c r="AE85" s="114"/>
      <c r="AF85" s="114"/>
      <c r="AG85" s="114"/>
      <c r="AH85" s="114"/>
      <c r="AI85" s="114"/>
      <c r="AJ85" s="114"/>
      <c r="AK85" s="114"/>
      <c r="AL85" s="114"/>
      <c r="AM85" s="114"/>
      <c r="AN85" s="114"/>
      <c r="AO85" s="114"/>
      <c r="AP85" s="114"/>
      <c r="AQ85" s="114"/>
      <c r="AR85" s="114"/>
    </row>
    <row r="86" ht="14.25" spans="1:44">
      <c r="A86" s="114" t="s">
        <v>2136</v>
      </c>
      <c r="B86" s="114" t="s">
        <v>51</v>
      </c>
      <c r="C86" s="114"/>
      <c r="D86" s="114" t="s">
        <v>2137</v>
      </c>
      <c r="E86" s="114" t="s">
        <v>2138</v>
      </c>
      <c r="F86" s="154">
        <v>37073</v>
      </c>
      <c r="G86" s="152">
        <f t="shared" si="1"/>
        <v>7073</v>
      </c>
      <c r="H86" s="114" t="s">
        <v>2139</v>
      </c>
      <c r="I86" s="123" t="s">
        <v>4283</v>
      </c>
      <c r="J86" s="33">
        <v>422</v>
      </c>
      <c r="K86" s="124"/>
      <c r="L86" s="114" t="s">
        <v>49</v>
      </c>
      <c r="M86" s="114"/>
      <c r="N86" s="124"/>
      <c r="O86" s="124"/>
      <c r="P86" s="124"/>
      <c r="Q86" s="114"/>
      <c r="R86" s="124"/>
      <c r="S86" s="114"/>
      <c r="T86" s="114"/>
      <c r="U86" s="114"/>
      <c r="V86" s="114"/>
      <c r="W86" s="114"/>
      <c r="X86" s="159"/>
      <c r="Y86" s="114"/>
      <c r="Z86" s="164"/>
      <c r="AA86" s="114"/>
      <c r="AB86" s="114"/>
      <c r="AC86" s="114"/>
      <c r="AD86" s="114"/>
      <c r="AE86" s="114"/>
      <c r="AF86" s="114"/>
      <c r="AG86" s="114"/>
      <c r="AH86" s="114"/>
      <c r="AI86" s="114"/>
      <c r="AJ86" s="114"/>
      <c r="AK86" s="114"/>
      <c r="AL86" s="114"/>
      <c r="AM86" s="114"/>
      <c r="AN86" s="114"/>
      <c r="AO86" s="114"/>
      <c r="AP86" s="114"/>
      <c r="AQ86" s="114"/>
      <c r="AR86" s="114"/>
    </row>
    <row r="87" ht="14.25" spans="1:44">
      <c r="A87" s="155" t="s">
        <v>2131</v>
      </c>
      <c r="B87" s="114" t="s">
        <v>41</v>
      </c>
      <c r="C87" s="114" t="s">
        <v>1811</v>
      </c>
      <c r="D87" s="114" t="s">
        <v>2132</v>
      </c>
      <c r="E87" s="114" t="s">
        <v>2133</v>
      </c>
      <c r="F87" s="169">
        <v>37233</v>
      </c>
      <c r="G87" s="152">
        <f t="shared" si="1"/>
        <v>7233</v>
      </c>
      <c r="H87" s="114" t="s">
        <v>2134</v>
      </c>
      <c r="I87" s="123" t="s">
        <v>2135</v>
      </c>
      <c r="J87" s="33">
        <v>23449</v>
      </c>
      <c r="K87" s="124"/>
      <c r="L87" s="114" t="s">
        <v>454</v>
      </c>
      <c r="M87" s="114"/>
      <c r="N87" s="124">
        <v>120000000</v>
      </c>
      <c r="O87" s="124">
        <v>63000000000000</v>
      </c>
      <c r="P87" s="124">
        <v>67000000</v>
      </c>
      <c r="Q87" s="156"/>
      <c r="R87" s="124">
        <v>19376</v>
      </c>
      <c r="S87" s="114"/>
      <c r="T87" s="114"/>
      <c r="U87" s="114"/>
      <c r="V87" s="114"/>
      <c r="W87" s="114"/>
      <c r="X87" s="159"/>
      <c r="Y87" s="114"/>
      <c r="Z87" s="164"/>
      <c r="AA87" s="114"/>
      <c r="AB87" s="114"/>
      <c r="AC87" s="114"/>
      <c r="AD87" s="114"/>
      <c r="AE87" s="114"/>
      <c r="AF87" s="114"/>
      <c r="AG87" s="114"/>
      <c r="AH87" s="114"/>
      <c r="AI87" s="114"/>
      <c r="AJ87" s="114"/>
      <c r="AK87" s="114"/>
      <c r="AL87" s="114"/>
      <c r="AM87" s="114"/>
      <c r="AN87" s="114"/>
      <c r="AO87" s="114"/>
      <c r="AP87" s="114"/>
      <c r="AQ87" s="114"/>
      <c r="AR87" s="114"/>
    </row>
    <row r="88" ht="14.25" spans="1:44">
      <c r="A88" s="114"/>
      <c r="B88" s="114" t="s">
        <v>51</v>
      </c>
      <c r="C88" s="114" t="s">
        <v>144</v>
      </c>
      <c r="D88" s="114" t="s">
        <v>2119</v>
      </c>
      <c r="E88" s="114" t="s">
        <v>2120</v>
      </c>
      <c r="F88" s="114">
        <v>2002</v>
      </c>
      <c r="G88" s="152">
        <f t="shared" si="1"/>
        <v>2002</v>
      </c>
      <c r="H88" s="170" t="s">
        <v>2121</v>
      </c>
      <c r="I88" s="123" t="s">
        <v>4284</v>
      </c>
      <c r="J88" s="33">
        <v>1413</v>
      </c>
      <c r="K88" s="124"/>
      <c r="L88" s="114" t="s">
        <v>454</v>
      </c>
      <c r="M88" s="114"/>
      <c r="N88" s="124"/>
      <c r="O88" s="124"/>
      <c r="P88" s="124"/>
      <c r="Q88" s="156"/>
      <c r="R88" s="124"/>
      <c r="S88" s="114"/>
      <c r="T88" s="114"/>
      <c r="U88" s="114"/>
      <c r="V88" s="114"/>
      <c r="W88" s="114"/>
      <c r="X88" s="159"/>
      <c r="Y88" s="114"/>
      <c r="Z88" s="164"/>
      <c r="AA88" s="114"/>
      <c r="AB88" s="114"/>
      <c r="AC88" s="114"/>
      <c r="AD88" s="114"/>
      <c r="AE88" s="114"/>
      <c r="AF88" s="114"/>
      <c r="AG88" s="114"/>
      <c r="AH88" s="114"/>
      <c r="AI88" s="114"/>
      <c r="AJ88" s="114"/>
      <c r="AK88" s="114"/>
      <c r="AL88" s="114"/>
      <c r="AM88" s="114"/>
      <c r="AN88" s="114"/>
      <c r="AO88" s="114"/>
      <c r="AP88" s="114"/>
      <c r="AQ88" s="114"/>
      <c r="AR88" s="114"/>
    </row>
    <row r="89" ht="14.25" spans="1:44">
      <c r="A89" s="159"/>
      <c r="B89" s="114" t="s">
        <v>51</v>
      </c>
      <c r="C89" s="114"/>
      <c r="D89" s="114" t="s">
        <v>2123</v>
      </c>
      <c r="E89" s="114" t="s">
        <v>2124</v>
      </c>
      <c r="F89" s="114">
        <v>2002</v>
      </c>
      <c r="G89" s="152">
        <f t="shared" si="1"/>
        <v>2002</v>
      </c>
      <c r="H89" s="114" t="s">
        <v>2125</v>
      </c>
      <c r="I89" s="123" t="s">
        <v>4285</v>
      </c>
      <c r="J89" s="33">
        <v>15825</v>
      </c>
      <c r="K89" s="124"/>
      <c r="L89" s="114" t="s">
        <v>454</v>
      </c>
      <c r="M89" s="114"/>
      <c r="N89" s="124"/>
      <c r="O89" s="124"/>
      <c r="P89" s="124"/>
      <c r="Q89" s="176"/>
      <c r="R89" s="124"/>
      <c r="S89" s="114"/>
      <c r="T89" s="114"/>
      <c r="U89" s="114"/>
      <c r="V89" s="114"/>
      <c r="W89" s="114"/>
      <c r="X89" s="159"/>
      <c r="Y89" s="114"/>
      <c r="Z89" s="164"/>
      <c r="AA89" s="114"/>
      <c r="AB89" s="114"/>
      <c r="AC89" s="114"/>
      <c r="AD89" s="114"/>
      <c r="AE89" s="114"/>
      <c r="AF89" s="114"/>
      <c r="AG89" s="114"/>
      <c r="AH89" s="114"/>
      <c r="AI89" s="114"/>
      <c r="AJ89" s="114"/>
      <c r="AK89" s="114"/>
      <c r="AL89" s="114"/>
      <c r="AM89" s="114"/>
      <c r="AN89" s="114"/>
      <c r="AO89" s="114"/>
      <c r="AP89" s="114"/>
      <c r="AQ89" s="114"/>
      <c r="AR89" s="114"/>
    </row>
    <row r="90" ht="14.25" spans="1:44">
      <c r="A90" s="159"/>
      <c r="B90" s="114"/>
      <c r="C90" s="114"/>
      <c r="D90" s="114" t="s">
        <v>2127</v>
      </c>
      <c r="E90" s="114" t="s">
        <v>2128</v>
      </c>
      <c r="F90" s="114">
        <v>2002</v>
      </c>
      <c r="G90" s="152">
        <f t="shared" si="1"/>
        <v>2002</v>
      </c>
      <c r="H90" s="114" t="s">
        <v>2129</v>
      </c>
      <c r="I90" s="123" t="s">
        <v>4286</v>
      </c>
      <c r="J90" s="33">
        <v>656</v>
      </c>
      <c r="K90" s="124"/>
      <c r="L90" s="114" t="s">
        <v>49</v>
      </c>
      <c r="M90" s="114"/>
      <c r="N90" s="124"/>
      <c r="O90" s="124"/>
      <c r="P90" s="124"/>
      <c r="Q90" s="176"/>
      <c r="R90" s="124"/>
      <c r="S90" s="114"/>
      <c r="T90" s="114"/>
      <c r="U90" s="114"/>
      <c r="V90" s="114"/>
      <c r="W90" s="114"/>
      <c r="X90" s="159"/>
      <c r="Y90" s="114"/>
      <c r="Z90" s="164"/>
      <c r="AA90" s="114"/>
      <c r="AB90" s="114"/>
      <c r="AC90" s="114"/>
      <c r="AD90" s="114"/>
      <c r="AE90" s="114"/>
      <c r="AF90" s="114"/>
      <c r="AG90" s="114"/>
      <c r="AH90" s="114"/>
      <c r="AI90" s="114"/>
      <c r="AJ90" s="114"/>
      <c r="AK90" s="114"/>
      <c r="AL90" s="114"/>
      <c r="AM90" s="114"/>
      <c r="AN90" s="114"/>
      <c r="AO90" s="114"/>
      <c r="AP90" s="114"/>
      <c r="AQ90" s="114"/>
      <c r="AR90" s="114"/>
    </row>
    <row r="91" ht="14.25" spans="1:44">
      <c r="A91" s="114"/>
      <c r="B91" s="114" t="s">
        <v>51</v>
      </c>
      <c r="C91" s="114"/>
      <c r="D91" s="114" t="s">
        <v>1838</v>
      </c>
      <c r="E91" s="114" t="s">
        <v>2107</v>
      </c>
      <c r="F91" s="153">
        <v>37408</v>
      </c>
      <c r="G91" s="152">
        <f t="shared" si="1"/>
        <v>7408</v>
      </c>
      <c r="H91" s="114" t="s">
        <v>2108</v>
      </c>
      <c r="I91" s="123" t="s">
        <v>4287</v>
      </c>
      <c r="J91" s="33">
        <v>2582</v>
      </c>
      <c r="K91" s="124"/>
      <c r="L91" s="114" t="s">
        <v>454</v>
      </c>
      <c r="M91" s="114"/>
      <c r="N91" s="124"/>
      <c r="O91" s="124"/>
      <c r="P91" s="124"/>
      <c r="Q91" s="156"/>
      <c r="R91" s="124"/>
      <c r="S91" s="114"/>
      <c r="T91" s="114"/>
      <c r="U91" s="114"/>
      <c r="V91" s="114"/>
      <c r="W91" s="114"/>
      <c r="X91" s="114"/>
      <c r="Y91" s="114"/>
      <c r="Z91" s="164"/>
      <c r="AA91" s="114"/>
      <c r="AB91" s="114"/>
      <c r="AC91" s="114"/>
      <c r="AD91" s="114"/>
      <c r="AE91" s="114"/>
      <c r="AF91" s="114"/>
      <c r="AG91" s="114"/>
      <c r="AH91" s="114"/>
      <c r="AI91" s="114"/>
      <c r="AJ91" s="114"/>
      <c r="AK91" s="114"/>
      <c r="AL91" s="114"/>
      <c r="AM91" s="114"/>
      <c r="AN91" s="114"/>
      <c r="AO91" s="114"/>
      <c r="AP91" s="114"/>
      <c r="AQ91" s="114"/>
      <c r="AR91" s="114"/>
    </row>
    <row r="92" ht="14.25" spans="1:44">
      <c r="A92" s="159"/>
      <c r="B92" s="114" t="s">
        <v>51</v>
      </c>
      <c r="C92" s="114"/>
      <c r="D92" s="114" t="s">
        <v>2087</v>
      </c>
      <c r="E92" s="114" t="s">
        <v>2110</v>
      </c>
      <c r="F92" s="154">
        <v>37408</v>
      </c>
      <c r="G92" s="152">
        <f t="shared" si="1"/>
        <v>7408</v>
      </c>
      <c r="H92" s="114" t="s">
        <v>2111</v>
      </c>
      <c r="I92" s="123" t="s">
        <v>4288</v>
      </c>
      <c r="J92" s="33">
        <v>623</v>
      </c>
      <c r="K92" s="124"/>
      <c r="L92" s="114" t="s">
        <v>49</v>
      </c>
      <c r="M92" s="114"/>
      <c r="N92" s="124"/>
      <c r="O92" s="124"/>
      <c r="P92" s="124"/>
      <c r="Q92" s="176" t="s">
        <v>2113</v>
      </c>
      <c r="R92" s="124"/>
      <c r="S92" s="114"/>
      <c r="T92" s="114"/>
      <c r="U92" s="114"/>
      <c r="V92" s="114"/>
      <c r="W92" s="114"/>
      <c r="X92" s="159"/>
      <c r="Y92" s="114"/>
      <c r="Z92" s="164"/>
      <c r="AA92" s="114"/>
      <c r="AB92" s="114"/>
      <c r="AC92" s="114"/>
      <c r="AD92" s="114"/>
      <c r="AE92" s="114"/>
      <c r="AF92" s="114"/>
      <c r="AG92" s="114"/>
      <c r="AH92" s="114"/>
      <c r="AI92" s="114"/>
      <c r="AJ92" s="114"/>
      <c r="AK92" s="114"/>
      <c r="AL92" s="114"/>
      <c r="AM92" s="114"/>
      <c r="AN92" s="114"/>
      <c r="AO92" s="114"/>
      <c r="AP92" s="114"/>
      <c r="AQ92" s="114"/>
      <c r="AR92" s="114"/>
    </row>
    <row r="93" ht="14.25" spans="1:44">
      <c r="A93" s="159"/>
      <c r="B93" s="114"/>
      <c r="C93" s="114"/>
      <c r="D93" s="114" t="s">
        <v>2115</v>
      </c>
      <c r="E93" s="114" t="s">
        <v>2116</v>
      </c>
      <c r="F93" s="153">
        <v>37408</v>
      </c>
      <c r="G93" s="152">
        <f t="shared" si="1"/>
        <v>7408</v>
      </c>
      <c r="H93" s="114" t="s">
        <v>2117</v>
      </c>
      <c r="I93" s="123" t="s">
        <v>2118</v>
      </c>
      <c r="J93" s="33">
        <v>3366</v>
      </c>
      <c r="K93" s="124"/>
      <c r="L93" s="114" t="s">
        <v>454</v>
      </c>
      <c r="M93" s="114"/>
      <c r="N93" s="124"/>
      <c r="O93" s="124"/>
      <c r="P93" s="124"/>
      <c r="Q93" s="176"/>
      <c r="R93" s="124"/>
      <c r="S93" s="114"/>
      <c r="T93" s="114"/>
      <c r="U93" s="114"/>
      <c r="V93" s="114"/>
      <c r="W93" s="114"/>
      <c r="X93" s="114"/>
      <c r="Y93" s="114"/>
      <c r="Z93" s="164"/>
      <c r="AA93" s="114"/>
      <c r="AB93" s="114"/>
      <c r="AC93" s="114"/>
      <c r="AD93" s="114"/>
      <c r="AE93" s="114"/>
      <c r="AF93" s="114"/>
      <c r="AG93" s="114"/>
      <c r="AH93" s="114"/>
      <c r="AI93" s="114"/>
      <c r="AJ93" s="114"/>
      <c r="AK93" s="114"/>
      <c r="AL93" s="114"/>
      <c r="AM93" s="114"/>
      <c r="AN93" s="114"/>
      <c r="AO93" s="114"/>
      <c r="AP93" s="114"/>
      <c r="AQ93" s="114"/>
      <c r="AR93" s="114"/>
    </row>
    <row r="94" ht="14.25" spans="1:44">
      <c r="A94" s="155" t="s">
        <v>2100</v>
      </c>
      <c r="B94" s="114" t="s">
        <v>51</v>
      </c>
      <c r="C94" s="114" t="s">
        <v>2101</v>
      </c>
      <c r="D94" s="114" t="s">
        <v>2102</v>
      </c>
      <c r="E94" s="114" t="s">
        <v>2103</v>
      </c>
      <c r="F94" s="154">
        <v>37438</v>
      </c>
      <c r="G94" s="152">
        <f t="shared" si="1"/>
        <v>7438</v>
      </c>
      <c r="H94" s="114" t="s">
        <v>2104</v>
      </c>
      <c r="I94" s="123" t="s">
        <v>4289</v>
      </c>
      <c r="J94" s="33">
        <v>10656</v>
      </c>
      <c r="K94" s="124"/>
      <c r="L94" s="114" t="s">
        <v>454</v>
      </c>
      <c r="M94" s="114"/>
      <c r="N94" s="124"/>
      <c r="O94" s="124"/>
      <c r="P94" s="124"/>
      <c r="Q94" s="176"/>
      <c r="R94" s="124"/>
      <c r="S94" s="114"/>
      <c r="T94" s="114"/>
      <c r="U94" s="114"/>
      <c r="V94" s="114"/>
      <c r="W94" s="114"/>
      <c r="X94" s="114"/>
      <c r="Y94" s="114"/>
      <c r="Z94" s="164"/>
      <c r="AA94" s="114"/>
      <c r="AB94" s="114"/>
      <c r="AC94" s="114"/>
      <c r="AD94" s="114"/>
      <c r="AE94" s="114"/>
      <c r="AF94" s="114"/>
      <c r="AG94" s="114"/>
      <c r="AH94" s="114"/>
      <c r="AI94" s="114"/>
      <c r="AJ94" s="114"/>
      <c r="AK94" s="114"/>
      <c r="AL94" s="114"/>
      <c r="AM94" s="114"/>
      <c r="AN94" s="114"/>
      <c r="AO94" s="114"/>
      <c r="AP94" s="114"/>
      <c r="AQ94" s="114"/>
      <c r="AR94" s="114"/>
    </row>
    <row r="95" ht="14.25" spans="1:44">
      <c r="A95" s="114"/>
      <c r="B95" s="114" t="s">
        <v>1910</v>
      </c>
      <c r="C95" s="114" t="s">
        <v>1970</v>
      </c>
      <c r="D95" s="114" t="s">
        <v>1971</v>
      </c>
      <c r="E95" s="114" t="s">
        <v>1972</v>
      </c>
      <c r="F95" s="114">
        <v>2003</v>
      </c>
      <c r="G95" s="152">
        <f t="shared" si="1"/>
        <v>2003</v>
      </c>
      <c r="H95" s="114" t="s">
        <v>1973</v>
      </c>
      <c r="I95" s="123" t="s">
        <v>1974</v>
      </c>
      <c r="J95" s="33">
        <v>385</v>
      </c>
      <c r="K95" s="124"/>
      <c r="L95" s="114" t="s">
        <v>49</v>
      </c>
      <c r="M95" s="114"/>
      <c r="N95" s="124"/>
      <c r="O95" s="114"/>
      <c r="P95" s="173"/>
      <c r="Q95" s="114"/>
      <c r="R95" s="124"/>
      <c r="S95" s="114"/>
      <c r="T95" s="114"/>
      <c r="U95" s="159"/>
      <c r="V95" s="114"/>
      <c r="W95" s="114"/>
      <c r="X95" s="114"/>
      <c r="Y95" s="114"/>
      <c r="Z95" s="164"/>
      <c r="AA95" s="114"/>
      <c r="AB95" s="114"/>
      <c r="AC95" s="114"/>
      <c r="AD95" s="114"/>
      <c r="AE95" s="114"/>
      <c r="AF95" s="114"/>
      <c r="AG95" s="114"/>
      <c r="AH95" s="114"/>
      <c r="AI95" s="114"/>
      <c r="AJ95" s="114"/>
      <c r="AK95" s="114"/>
      <c r="AL95" s="114"/>
      <c r="AM95" s="114"/>
      <c r="AN95" s="114"/>
      <c r="AO95" s="114"/>
      <c r="AP95" s="114"/>
      <c r="AQ95" s="114"/>
      <c r="AR95" s="114"/>
    </row>
    <row r="96" ht="14.25" spans="1:44">
      <c r="A96" s="114"/>
      <c r="B96" s="114" t="s">
        <v>41</v>
      </c>
      <c r="C96" s="114"/>
      <c r="D96" s="114" t="s">
        <v>950</v>
      </c>
      <c r="E96" s="114" t="s">
        <v>2092</v>
      </c>
      <c r="F96" s="114">
        <v>2003</v>
      </c>
      <c r="G96" s="152">
        <f t="shared" si="1"/>
        <v>2003</v>
      </c>
      <c r="H96" s="114" t="s">
        <v>2093</v>
      </c>
      <c r="I96" s="123" t="s">
        <v>2094</v>
      </c>
      <c r="J96" s="33">
        <v>2970</v>
      </c>
      <c r="K96" s="124"/>
      <c r="L96" s="114" t="s">
        <v>454</v>
      </c>
      <c r="M96" s="114"/>
      <c r="N96" s="124"/>
      <c r="O96" s="114"/>
      <c r="P96" s="173"/>
      <c r="Q96" s="114"/>
      <c r="R96" s="124"/>
      <c r="S96" s="114"/>
      <c r="T96" s="114"/>
      <c r="U96" s="159"/>
      <c r="V96" s="114"/>
      <c r="W96" s="114"/>
      <c r="X96" s="114"/>
      <c r="Y96" s="114"/>
      <c r="Z96" s="164"/>
      <c r="AA96" s="114"/>
      <c r="AB96" s="114"/>
      <c r="AC96" s="114"/>
      <c r="AD96" s="114"/>
      <c r="AE96" s="114"/>
      <c r="AF96" s="114"/>
      <c r="AG96" s="114"/>
      <c r="AH96" s="114"/>
      <c r="AI96" s="114"/>
      <c r="AJ96" s="114"/>
      <c r="AK96" s="114"/>
      <c r="AL96" s="114"/>
      <c r="AM96" s="114"/>
      <c r="AN96" s="114"/>
      <c r="AO96" s="114"/>
      <c r="AP96" s="114"/>
      <c r="AQ96" s="114"/>
      <c r="AR96" s="114"/>
    </row>
    <row r="97" ht="14.25" spans="1:44">
      <c r="A97" s="155" t="s">
        <v>2095</v>
      </c>
      <c r="B97" s="114" t="s">
        <v>41</v>
      </c>
      <c r="C97" s="114" t="s">
        <v>1231</v>
      </c>
      <c r="D97" s="114"/>
      <c r="E97" s="114"/>
      <c r="F97" s="153">
        <v>37839</v>
      </c>
      <c r="G97" s="152">
        <v>2003</v>
      </c>
      <c r="H97" s="114" t="s">
        <v>2098</v>
      </c>
      <c r="I97" s="123" t="s">
        <v>2099</v>
      </c>
      <c r="J97" s="172">
        <v>3065</v>
      </c>
      <c r="K97" s="124"/>
      <c r="L97" s="114" t="s">
        <v>454</v>
      </c>
      <c r="M97" s="114"/>
      <c r="N97" s="124"/>
      <c r="O97" s="114"/>
      <c r="P97" s="124"/>
      <c r="Q97" s="114"/>
      <c r="R97" s="124"/>
      <c r="S97" s="114"/>
      <c r="T97" s="114"/>
      <c r="U97" s="114"/>
      <c r="V97" s="114"/>
      <c r="W97" s="114"/>
      <c r="X97" s="114"/>
      <c r="Y97" s="114"/>
      <c r="Z97" s="164"/>
      <c r="AA97" s="114"/>
      <c r="AB97" s="114"/>
      <c r="AC97" s="114"/>
      <c r="AD97" s="114"/>
      <c r="AE97" s="114"/>
      <c r="AF97" s="114"/>
      <c r="AG97" s="114"/>
      <c r="AH97" s="114"/>
      <c r="AI97" s="114"/>
      <c r="AJ97" s="114"/>
      <c r="AK97" s="114"/>
      <c r="AL97" s="114"/>
      <c r="AM97" s="114"/>
      <c r="AN97" s="114"/>
      <c r="AO97" s="114"/>
      <c r="AP97" s="114"/>
      <c r="AQ97" s="114"/>
      <c r="AR97" s="114"/>
    </row>
    <row r="98" ht="14.25" spans="1:44">
      <c r="A98" s="114"/>
      <c r="B98" s="114" t="s">
        <v>434</v>
      </c>
      <c r="C98" s="114"/>
      <c r="D98" s="114" t="s">
        <v>898</v>
      </c>
      <c r="E98" s="114" t="s">
        <v>2072</v>
      </c>
      <c r="F98" s="153">
        <v>37622</v>
      </c>
      <c r="G98" s="152">
        <f t="shared" ref="G98:G225" si="2">IF(INT(RIGHT(F98,4))&lt;1,"",INT(RIGHT(F98,4)))</f>
        <v>7622</v>
      </c>
      <c r="H98" s="156" t="s">
        <v>2073</v>
      </c>
      <c r="I98" s="123" t="s">
        <v>4290</v>
      </c>
      <c r="J98" s="33">
        <v>7262</v>
      </c>
      <c r="K98" s="124"/>
      <c r="L98" s="114" t="s">
        <v>454</v>
      </c>
      <c r="M98" s="114"/>
      <c r="N98" s="124"/>
      <c r="O98" s="114"/>
      <c r="P98" s="124"/>
      <c r="Q98" s="114"/>
      <c r="R98" s="124"/>
      <c r="S98" s="114"/>
      <c r="T98" s="114"/>
      <c r="U98" s="114"/>
      <c r="V98" s="114"/>
      <c r="W98" s="114"/>
      <c r="X98" s="114"/>
      <c r="Y98" s="114"/>
      <c r="Z98" s="164"/>
      <c r="AA98" s="114"/>
      <c r="AB98" s="114"/>
      <c r="AC98" s="114"/>
      <c r="AD98" s="114"/>
      <c r="AE98" s="114"/>
      <c r="AF98" s="114"/>
      <c r="AG98" s="114"/>
      <c r="AH98" s="114"/>
      <c r="AI98" s="114"/>
      <c r="AJ98" s="114"/>
      <c r="AK98" s="114"/>
      <c r="AL98" s="114"/>
      <c r="AM98" s="114"/>
      <c r="AN98" s="114"/>
      <c r="AO98" s="114"/>
      <c r="AP98" s="114"/>
      <c r="AQ98" s="114"/>
      <c r="AR98" s="114"/>
    </row>
    <row r="99" ht="14.25" spans="1:44">
      <c r="A99" s="114" t="s">
        <v>2079</v>
      </c>
      <c r="B99" s="114" t="s">
        <v>51</v>
      </c>
      <c r="C99" s="114" t="s">
        <v>2080</v>
      </c>
      <c r="D99" s="114" t="s">
        <v>2081</v>
      </c>
      <c r="E99" s="114" t="s">
        <v>2082</v>
      </c>
      <c r="F99" s="153">
        <v>37654</v>
      </c>
      <c r="G99" s="152">
        <f t="shared" si="2"/>
        <v>7654</v>
      </c>
      <c r="H99" s="114" t="s">
        <v>2083</v>
      </c>
      <c r="I99" s="123" t="s">
        <v>2084</v>
      </c>
      <c r="J99" s="33">
        <v>38724</v>
      </c>
      <c r="K99" s="124"/>
      <c r="L99" s="114" t="s">
        <v>454</v>
      </c>
      <c r="M99" s="114"/>
      <c r="N99" s="124"/>
      <c r="O99" s="114"/>
      <c r="P99" s="124"/>
      <c r="Q99" s="114"/>
      <c r="R99" s="124"/>
      <c r="S99" s="114"/>
      <c r="T99" s="114"/>
      <c r="U99" s="114"/>
      <c r="V99" s="114"/>
      <c r="W99" s="114"/>
      <c r="X99" s="114"/>
      <c r="Y99" s="114"/>
      <c r="Z99" s="164"/>
      <c r="AA99" s="114"/>
      <c r="AB99" s="114"/>
      <c r="AC99" s="114"/>
      <c r="AD99" s="114"/>
      <c r="AE99" s="114"/>
      <c r="AF99" s="114"/>
      <c r="AG99" s="114"/>
      <c r="AH99" s="114"/>
      <c r="AI99" s="114"/>
      <c r="AJ99" s="114"/>
      <c r="AK99" s="114"/>
      <c r="AL99" s="114"/>
      <c r="AM99" s="114"/>
      <c r="AN99" s="114"/>
      <c r="AO99" s="114"/>
      <c r="AP99" s="114"/>
      <c r="AQ99" s="114"/>
      <c r="AR99" s="114"/>
    </row>
    <row r="100" ht="14.25" spans="1:44">
      <c r="A100" s="114" t="s">
        <v>2066</v>
      </c>
      <c r="B100" s="114" t="s">
        <v>51</v>
      </c>
      <c r="C100" s="114" t="s">
        <v>267</v>
      </c>
      <c r="D100" s="114" t="s">
        <v>2067</v>
      </c>
      <c r="E100" s="114" t="s">
        <v>2068</v>
      </c>
      <c r="F100" s="153">
        <v>37695</v>
      </c>
      <c r="G100" s="152">
        <f t="shared" si="2"/>
        <v>7695</v>
      </c>
      <c r="H100" s="114" t="s">
        <v>2069</v>
      </c>
      <c r="I100" s="123" t="s">
        <v>4291</v>
      </c>
      <c r="J100" s="33">
        <v>7627</v>
      </c>
      <c r="K100" s="124"/>
      <c r="L100" s="114" t="s">
        <v>454</v>
      </c>
      <c r="M100" s="114"/>
      <c r="N100" s="124">
        <f>17964*(1+6*100+60)+60*(1+(6-1)*100)</f>
        <v>11904264</v>
      </c>
      <c r="O100" s="124">
        <f>(16383*(1+6*100+60)+60*(1+6*100)+6*100)*2*3*1000000*20</f>
        <v>1303898760000000</v>
      </c>
      <c r="P100" s="124">
        <f>(16383*(1+6*100+60)+60*(1+6*100)+6*100)*2</f>
        <v>21731646</v>
      </c>
      <c r="Q100" s="176" t="s">
        <v>2071</v>
      </c>
      <c r="R100" s="124">
        <f>1000000</f>
        <v>1000000</v>
      </c>
      <c r="S100" s="114">
        <f>3*7*24*40</f>
        <v>20160</v>
      </c>
      <c r="T100" s="114"/>
      <c r="U100" s="114"/>
      <c r="V100" s="114"/>
      <c r="W100" s="114"/>
      <c r="X100" s="114"/>
      <c r="Y100" s="114"/>
      <c r="Z100" s="164"/>
      <c r="AA100" s="114"/>
      <c r="AB100" s="114"/>
      <c r="AC100" s="114"/>
      <c r="AD100" s="114"/>
      <c r="AE100" s="114"/>
      <c r="AF100" s="114"/>
      <c r="AG100" s="114"/>
      <c r="AH100" s="114"/>
      <c r="AI100" s="114"/>
      <c r="AJ100" s="114"/>
      <c r="AK100" s="114"/>
      <c r="AL100" s="114"/>
      <c r="AM100" s="114"/>
      <c r="AN100" s="114"/>
      <c r="AO100" s="114"/>
      <c r="AP100" s="114"/>
      <c r="AQ100" s="114"/>
      <c r="AR100" s="114"/>
    </row>
    <row r="101" ht="14.25" spans="1:44">
      <c r="A101" s="114" t="s">
        <v>2086</v>
      </c>
      <c r="B101" s="114" t="s">
        <v>51</v>
      </c>
      <c r="C101" s="114" t="s">
        <v>144</v>
      </c>
      <c r="D101" s="114" t="s">
        <v>2087</v>
      </c>
      <c r="E101" s="114" t="s">
        <v>2088</v>
      </c>
      <c r="F101" s="154">
        <v>37742</v>
      </c>
      <c r="G101" s="152">
        <f t="shared" si="2"/>
        <v>7742</v>
      </c>
      <c r="H101" s="114" t="s">
        <v>2089</v>
      </c>
      <c r="I101" s="123" t="s">
        <v>4292</v>
      </c>
      <c r="J101" s="33">
        <v>4270</v>
      </c>
      <c r="K101" s="124"/>
      <c r="L101" s="114" t="s">
        <v>454</v>
      </c>
      <c r="M101" s="114"/>
      <c r="N101" s="124">
        <f>1996000+3866964+2674322+641604</f>
        <v>9178890</v>
      </c>
      <c r="O101" s="114"/>
      <c r="P101" s="124"/>
      <c r="Q101" s="114"/>
      <c r="R101" s="124">
        <v>20000000</v>
      </c>
      <c r="S101" s="114"/>
      <c r="T101" s="114"/>
      <c r="U101" s="114"/>
      <c r="V101" s="114"/>
      <c r="W101" s="114"/>
      <c r="X101" s="114"/>
      <c r="Y101" s="114"/>
      <c r="Z101" s="164"/>
      <c r="AA101" s="114"/>
      <c r="AB101" s="114"/>
      <c r="AC101" s="114"/>
      <c r="AD101" s="114"/>
      <c r="AE101" s="114"/>
      <c r="AF101" s="114"/>
      <c r="AG101" s="114"/>
      <c r="AH101" s="114"/>
      <c r="AI101" s="114"/>
      <c r="AJ101" s="114"/>
      <c r="AK101" s="114"/>
      <c r="AL101" s="114"/>
      <c r="AM101" s="114"/>
      <c r="AN101" s="114"/>
      <c r="AO101" s="114"/>
      <c r="AP101" s="114"/>
      <c r="AQ101" s="114"/>
      <c r="AR101" s="114"/>
    </row>
    <row r="102" ht="14.25" spans="1:44">
      <c r="A102" s="114"/>
      <c r="B102" s="114" t="s">
        <v>51</v>
      </c>
      <c r="C102" s="114"/>
      <c r="D102" s="114" t="s">
        <v>2057</v>
      </c>
      <c r="E102" s="114" t="s">
        <v>2058</v>
      </c>
      <c r="F102" s="114">
        <v>2004</v>
      </c>
      <c r="G102" s="152">
        <f t="shared" si="2"/>
        <v>2004</v>
      </c>
      <c r="H102" s="114" t="s">
        <v>2059</v>
      </c>
      <c r="I102" s="123" t="s">
        <v>4293</v>
      </c>
      <c r="J102" s="33">
        <v>475</v>
      </c>
      <c r="K102" s="124"/>
      <c r="L102" s="114" t="s">
        <v>49</v>
      </c>
      <c r="M102" s="114"/>
      <c r="N102" s="124"/>
      <c r="O102" s="114"/>
      <c r="P102" s="173"/>
      <c r="Q102" s="114"/>
      <c r="R102" s="124"/>
      <c r="S102" s="114"/>
      <c r="T102" s="114"/>
      <c r="U102" s="159"/>
      <c r="V102" s="114"/>
      <c r="W102" s="114"/>
      <c r="X102" s="114"/>
      <c r="Y102" s="114"/>
      <c r="Z102" s="164"/>
      <c r="AA102" s="114"/>
      <c r="AB102" s="114"/>
      <c r="AC102" s="114"/>
      <c r="AD102" s="114"/>
      <c r="AE102" s="114"/>
      <c r="AF102" s="114"/>
      <c r="AG102" s="114"/>
      <c r="AH102" s="114"/>
      <c r="AI102" s="114"/>
      <c r="AJ102" s="114"/>
      <c r="AK102" s="114"/>
      <c r="AL102" s="114"/>
      <c r="AM102" s="114"/>
      <c r="AN102" s="114"/>
      <c r="AO102" s="114"/>
      <c r="AP102" s="114"/>
      <c r="AQ102" s="114"/>
      <c r="AR102" s="114"/>
    </row>
    <row r="103" ht="14.25" spans="1:44">
      <c r="A103" s="114" t="s">
        <v>2052</v>
      </c>
      <c r="B103" s="114" t="s">
        <v>1910</v>
      </c>
      <c r="C103" s="114" t="s">
        <v>1911</v>
      </c>
      <c r="D103" s="114" t="s">
        <v>1089</v>
      </c>
      <c r="E103" s="114" t="s">
        <v>2053</v>
      </c>
      <c r="F103" s="114">
        <v>2004</v>
      </c>
      <c r="G103" s="152">
        <f t="shared" si="2"/>
        <v>2004</v>
      </c>
      <c r="H103" s="114" t="s">
        <v>2054</v>
      </c>
      <c r="I103" s="123" t="s">
        <v>4294</v>
      </c>
      <c r="J103" s="33">
        <v>66</v>
      </c>
      <c r="K103" s="124"/>
      <c r="L103" s="114" t="s">
        <v>49</v>
      </c>
      <c r="M103" s="114"/>
      <c r="N103" s="124"/>
      <c r="O103" s="114"/>
      <c r="P103" s="173"/>
      <c r="Q103" s="114"/>
      <c r="R103" s="124"/>
      <c r="S103" s="114"/>
      <c r="T103" s="114"/>
      <c r="U103" s="159"/>
      <c r="V103" s="114"/>
      <c r="W103" s="114"/>
      <c r="X103" s="114"/>
      <c r="Y103" s="114"/>
      <c r="Z103" s="164"/>
      <c r="AA103" s="114"/>
      <c r="AB103" s="114"/>
      <c r="AC103" s="114"/>
      <c r="AD103" s="114"/>
      <c r="AE103" s="114"/>
      <c r="AF103" s="114"/>
      <c r="AG103" s="114"/>
      <c r="AH103" s="114"/>
      <c r="AI103" s="114"/>
      <c r="AJ103" s="114"/>
      <c r="AK103" s="114"/>
      <c r="AL103" s="114"/>
      <c r="AM103" s="114"/>
      <c r="AN103" s="114"/>
      <c r="AO103" s="114"/>
      <c r="AP103" s="114"/>
      <c r="AQ103" s="114"/>
      <c r="AR103" s="114"/>
    </row>
    <row r="104" ht="14.25" spans="1:44">
      <c r="A104" s="114"/>
      <c r="B104" s="114"/>
      <c r="C104" s="114"/>
      <c r="D104" s="114" t="s">
        <v>1166</v>
      </c>
      <c r="E104" s="114" t="s">
        <v>2045</v>
      </c>
      <c r="F104" s="114">
        <v>2004</v>
      </c>
      <c r="G104" s="152">
        <f t="shared" si="2"/>
        <v>2004</v>
      </c>
      <c r="H104" s="114" t="s">
        <v>2046</v>
      </c>
      <c r="I104" s="123" t="s">
        <v>2047</v>
      </c>
      <c r="J104" s="33">
        <v>1764</v>
      </c>
      <c r="K104" s="124"/>
      <c r="L104" s="114" t="s">
        <v>454</v>
      </c>
      <c r="M104" s="114"/>
      <c r="N104" s="124"/>
      <c r="O104" s="114"/>
      <c r="P104" s="173"/>
      <c r="Q104" s="114"/>
      <c r="R104" s="124"/>
      <c r="S104" s="114"/>
      <c r="T104" s="114"/>
      <c r="U104" s="159"/>
      <c r="V104" s="114"/>
      <c r="W104" s="114"/>
      <c r="X104" s="159"/>
      <c r="Y104" s="114"/>
      <c r="Z104" s="164"/>
      <c r="AA104" s="114"/>
      <c r="AB104" s="114"/>
      <c r="AC104" s="114"/>
      <c r="AD104" s="114"/>
      <c r="AE104" s="114"/>
      <c r="AF104" s="114"/>
      <c r="AG104" s="114"/>
      <c r="AH104" s="114"/>
      <c r="AI104" s="114"/>
      <c r="AJ104" s="114"/>
      <c r="AK104" s="114"/>
      <c r="AL104" s="114"/>
      <c r="AM104" s="114"/>
      <c r="AN104" s="114"/>
      <c r="AO104" s="114"/>
      <c r="AP104" s="114"/>
      <c r="AQ104" s="114"/>
      <c r="AR104" s="114"/>
    </row>
    <row r="105" ht="14.25" spans="1:44">
      <c r="A105" s="114"/>
      <c r="B105" s="114"/>
      <c r="C105" s="114"/>
      <c r="D105" s="114" t="s">
        <v>2048</v>
      </c>
      <c r="E105" s="114" t="s">
        <v>2049</v>
      </c>
      <c r="F105" s="153">
        <v>38139</v>
      </c>
      <c r="G105" s="152">
        <f t="shared" si="2"/>
        <v>8139</v>
      </c>
      <c r="H105" s="114" t="s">
        <v>2050</v>
      </c>
      <c r="I105" s="123" t="s">
        <v>2051</v>
      </c>
      <c r="J105" s="33">
        <v>471</v>
      </c>
      <c r="K105" s="124"/>
      <c r="L105" s="114" t="s">
        <v>49</v>
      </c>
      <c r="M105" s="114"/>
      <c r="N105" s="124"/>
      <c r="O105" s="114"/>
      <c r="P105" s="173"/>
      <c r="Q105" s="114"/>
      <c r="R105" s="124"/>
      <c r="S105" s="114"/>
      <c r="T105" s="114"/>
      <c r="U105" s="159"/>
      <c r="V105" s="114"/>
      <c r="W105" s="114"/>
      <c r="X105" s="159"/>
      <c r="Y105" s="114"/>
      <c r="Z105" s="164"/>
      <c r="AA105" s="114"/>
      <c r="AB105" s="114"/>
      <c r="AC105" s="114"/>
      <c r="AD105" s="114"/>
      <c r="AE105" s="114"/>
      <c r="AF105" s="114"/>
      <c r="AG105" s="114"/>
      <c r="AH105" s="114"/>
      <c r="AI105" s="114"/>
      <c r="AJ105" s="114"/>
      <c r="AK105" s="114"/>
      <c r="AL105" s="114"/>
      <c r="AM105" s="114"/>
      <c r="AN105" s="114"/>
      <c r="AO105" s="114"/>
      <c r="AP105" s="114"/>
      <c r="AQ105" s="114"/>
      <c r="AR105" s="114"/>
    </row>
    <row r="106" ht="14.25" spans="1:44">
      <c r="A106" s="114" t="s">
        <v>2061</v>
      </c>
      <c r="B106" s="114" t="s">
        <v>41</v>
      </c>
      <c r="C106" s="114" t="s">
        <v>1231</v>
      </c>
      <c r="D106" s="114" t="s">
        <v>2062</v>
      </c>
      <c r="E106" s="114" t="s">
        <v>2063</v>
      </c>
      <c r="F106" s="153">
        <v>38198</v>
      </c>
      <c r="G106" s="152">
        <f t="shared" si="2"/>
        <v>8198</v>
      </c>
      <c r="H106" s="114" t="s">
        <v>2064</v>
      </c>
      <c r="I106" s="123" t="s">
        <v>2065</v>
      </c>
      <c r="J106" s="33">
        <v>188</v>
      </c>
      <c r="K106" s="124"/>
      <c r="L106" s="114" t="s">
        <v>49</v>
      </c>
      <c r="M106" s="114">
        <v>1</v>
      </c>
      <c r="N106" s="124">
        <f>10000*10</f>
        <v>100000</v>
      </c>
      <c r="O106" s="114"/>
      <c r="P106" s="173"/>
      <c r="Q106" s="114"/>
      <c r="R106" s="124">
        <v>10000</v>
      </c>
      <c r="S106" s="114">
        <v>45</v>
      </c>
      <c r="T106" s="114">
        <v>500</v>
      </c>
      <c r="U106" s="159"/>
      <c r="V106" s="114"/>
      <c r="W106" s="114"/>
      <c r="X106" s="114"/>
      <c r="Y106" s="114"/>
      <c r="Z106" s="164"/>
      <c r="AA106" s="114"/>
      <c r="AB106" s="114"/>
      <c r="AC106" s="114"/>
      <c r="AD106" s="114"/>
      <c r="AE106" s="114"/>
      <c r="AF106" s="114"/>
      <c r="AG106" s="114"/>
      <c r="AH106" s="114"/>
      <c r="AI106" s="114"/>
      <c r="AJ106" s="114"/>
      <c r="AK106" s="114"/>
      <c r="AL106" s="114"/>
      <c r="AM106" s="114"/>
      <c r="AN106" s="114"/>
      <c r="AO106" s="114"/>
      <c r="AP106" s="114"/>
      <c r="AQ106" s="114"/>
      <c r="AR106" s="114"/>
    </row>
    <row r="107" ht="14.25" spans="1:44">
      <c r="A107" s="114" t="s">
        <v>2029</v>
      </c>
      <c r="B107" s="114" t="s">
        <v>51</v>
      </c>
      <c r="C107" s="114" t="s">
        <v>144</v>
      </c>
      <c r="D107" s="114" t="s">
        <v>1756</v>
      </c>
      <c r="E107" s="114" t="s">
        <v>2030</v>
      </c>
      <c r="F107" s="114">
        <v>2005</v>
      </c>
      <c r="G107" s="152">
        <f t="shared" si="2"/>
        <v>2005</v>
      </c>
      <c r="H107" s="114" t="s">
        <v>2031</v>
      </c>
      <c r="I107" s="123" t="s">
        <v>4295</v>
      </c>
      <c r="J107" s="33">
        <v>1487</v>
      </c>
      <c r="K107" s="124"/>
      <c r="L107" s="114" t="s">
        <v>454</v>
      </c>
      <c r="M107" s="114"/>
      <c r="N107" s="124">
        <f>24000000*5</f>
        <v>120000000</v>
      </c>
      <c r="O107" s="114"/>
      <c r="P107" s="124"/>
      <c r="Q107" s="114"/>
      <c r="R107" s="124"/>
      <c r="S107" s="114"/>
      <c r="T107" s="114"/>
      <c r="U107" s="114"/>
      <c r="V107" s="114"/>
      <c r="W107" s="114"/>
      <c r="X107" s="114"/>
      <c r="Y107" s="114"/>
      <c r="Z107" s="164"/>
      <c r="AA107" s="114"/>
      <c r="AB107" s="114"/>
      <c r="AC107" s="114"/>
      <c r="AD107" s="114"/>
      <c r="AE107" s="114"/>
      <c r="AF107" s="114"/>
      <c r="AG107" s="114"/>
      <c r="AH107" s="114"/>
      <c r="AI107" s="114"/>
      <c r="AJ107" s="114"/>
      <c r="AK107" s="114"/>
      <c r="AL107" s="114"/>
      <c r="AM107" s="114"/>
      <c r="AN107" s="114"/>
      <c r="AO107" s="114"/>
      <c r="AP107" s="114"/>
      <c r="AQ107" s="114"/>
      <c r="AR107" s="114"/>
    </row>
    <row r="108" ht="14.25" spans="1:44">
      <c r="A108" s="114" t="s">
        <v>4296</v>
      </c>
      <c r="B108" s="114" t="s">
        <v>1910</v>
      </c>
      <c r="C108" s="114" t="s">
        <v>1911</v>
      </c>
      <c r="D108" s="114" t="s">
        <v>1166</v>
      </c>
      <c r="E108" s="114" t="s">
        <v>1963</v>
      </c>
      <c r="F108" s="114">
        <v>2005</v>
      </c>
      <c r="G108" s="152">
        <f t="shared" si="2"/>
        <v>2005</v>
      </c>
      <c r="H108" s="114" t="s">
        <v>1964</v>
      </c>
      <c r="I108" s="123" t="s">
        <v>4297</v>
      </c>
      <c r="J108" s="33">
        <v>2561</v>
      </c>
      <c r="K108" s="124"/>
      <c r="L108" s="114" t="s">
        <v>454</v>
      </c>
      <c r="M108" s="114"/>
      <c r="N108" s="124"/>
      <c r="O108" s="114"/>
      <c r="P108" s="173"/>
      <c r="Q108" s="114"/>
      <c r="R108" s="124"/>
      <c r="S108" s="114"/>
      <c r="T108" s="114"/>
      <c r="U108" s="159"/>
      <c r="V108" s="114"/>
      <c r="W108" s="114"/>
      <c r="X108" s="114"/>
      <c r="Y108" s="114"/>
      <c r="Z108" s="164"/>
      <c r="AA108" s="114"/>
      <c r="AB108" s="114"/>
      <c r="AC108" s="114"/>
      <c r="AD108" s="114"/>
      <c r="AE108" s="114"/>
      <c r="AF108" s="114"/>
      <c r="AG108" s="114"/>
      <c r="AH108" s="114"/>
      <c r="AI108" s="114"/>
      <c r="AJ108" s="114"/>
      <c r="AK108" s="114"/>
      <c r="AL108" s="114"/>
      <c r="AM108" s="114"/>
      <c r="AN108" s="114"/>
      <c r="AO108" s="114"/>
      <c r="AP108" s="114"/>
      <c r="AQ108" s="114"/>
      <c r="AR108" s="114"/>
    </row>
    <row r="109" ht="14.25" spans="1:44">
      <c r="A109" s="114"/>
      <c r="B109" s="114"/>
      <c r="C109" s="114"/>
      <c r="D109" s="114" t="s">
        <v>2034</v>
      </c>
      <c r="E109" s="114" t="s">
        <v>2035</v>
      </c>
      <c r="F109" s="114">
        <v>2005</v>
      </c>
      <c r="G109" s="152">
        <f t="shared" si="2"/>
        <v>2005</v>
      </c>
      <c r="H109" s="114" t="s">
        <v>2036</v>
      </c>
      <c r="I109" s="123" t="s">
        <v>2037</v>
      </c>
      <c r="J109" s="33">
        <v>6868</v>
      </c>
      <c r="K109" s="124"/>
      <c r="L109" s="114" t="s">
        <v>454</v>
      </c>
      <c r="M109" s="114"/>
      <c r="N109" s="124"/>
      <c r="O109" s="114"/>
      <c r="P109" s="173"/>
      <c r="Q109" s="114"/>
      <c r="R109" s="124"/>
      <c r="S109" s="114"/>
      <c r="T109" s="114"/>
      <c r="U109" s="159"/>
      <c r="V109" s="114"/>
      <c r="W109" s="114"/>
      <c r="X109" s="114"/>
      <c r="Y109" s="114"/>
      <c r="Z109" s="164"/>
      <c r="AA109" s="114"/>
      <c r="AB109" s="114"/>
      <c r="AC109" s="114"/>
      <c r="AD109" s="114"/>
      <c r="AE109" s="114"/>
      <c r="AF109" s="114"/>
      <c r="AG109" s="114"/>
      <c r="AH109" s="114"/>
      <c r="AI109" s="114"/>
      <c r="AJ109" s="114"/>
      <c r="AK109" s="114"/>
      <c r="AL109" s="114"/>
      <c r="AM109" s="114"/>
      <c r="AN109" s="114"/>
      <c r="AO109" s="114"/>
      <c r="AP109" s="114"/>
      <c r="AQ109" s="114"/>
      <c r="AR109" s="114"/>
    </row>
    <row r="110" ht="14.25" spans="1:44">
      <c r="A110" s="114"/>
      <c r="B110" s="114" t="s">
        <v>41</v>
      </c>
      <c r="C110" s="114"/>
      <c r="D110" s="114" t="s">
        <v>1689</v>
      </c>
      <c r="E110" s="114" t="s">
        <v>2038</v>
      </c>
      <c r="F110" s="114">
        <v>2005</v>
      </c>
      <c r="G110" s="152">
        <f t="shared" si="2"/>
        <v>2005</v>
      </c>
      <c r="H110" s="114" t="s">
        <v>2039</v>
      </c>
      <c r="I110" s="123" t="s">
        <v>4298</v>
      </c>
      <c r="J110" s="33">
        <v>3054</v>
      </c>
      <c r="K110" s="124"/>
      <c r="L110" s="114" t="s">
        <v>454</v>
      </c>
      <c r="M110" s="114"/>
      <c r="N110" s="124"/>
      <c r="O110" s="114"/>
      <c r="P110" s="173"/>
      <c r="Q110" s="114"/>
      <c r="R110" s="124"/>
      <c r="S110" s="114"/>
      <c r="T110" s="114"/>
      <c r="U110" s="159"/>
      <c r="V110" s="114"/>
      <c r="W110" s="114"/>
      <c r="X110" s="114"/>
      <c r="Y110" s="114"/>
      <c r="Z110" s="164"/>
      <c r="AA110" s="114"/>
      <c r="AB110" s="114"/>
      <c r="AC110" s="114"/>
      <c r="AD110" s="114"/>
      <c r="AE110" s="114"/>
      <c r="AF110" s="114"/>
      <c r="AG110" s="114"/>
      <c r="AH110" s="114"/>
      <c r="AI110" s="114"/>
      <c r="AJ110" s="114"/>
      <c r="AK110" s="114"/>
      <c r="AL110" s="114"/>
      <c r="AM110" s="114"/>
      <c r="AN110" s="114"/>
      <c r="AO110" s="114"/>
      <c r="AP110" s="114"/>
      <c r="AQ110" s="114"/>
      <c r="AR110" s="114"/>
    </row>
    <row r="111" ht="14.25" spans="1:44">
      <c r="A111" s="114" t="s">
        <v>2024</v>
      </c>
      <c r="B111" s="114" t="s">
        <v>199</v>
      </c>
      <c r="C111" s="114"/>
      <c r="D111" s="114" t="s">
        <v>2025</v>
      </c>
      <c r="E111" s="114" t="s">
        <v>2026</v>
      </c>
      <c r="F111" s="114">
        <v>2005</v>
      </c>
      <c r="G111" s="152">
        <f t="shared" si="2"/>
        <v>2005</v>
      </c>
      <c r="H111" s="114" t="s">
        <v>2027</v>
      </c>
      <c r="I111" s="123" t="s">
        <v>2028</v>
      </c>
      <c r="J111" s="33">
        <v>1682</v>
      </c>
      <c r="K111" s="124"/>
      <c r="L111" s="114" t="s">
        <v>454</v>
      </c>
      <c r="M111" s="114"/>
      <c r="N111" s="124">
        <v>178</v>
      </c>
      <c r="O111" s="114"/>
      <c r="P111" s="173"/>
      <c r="Q111" s="114"/>
      <c r="R111" s="124"/>
      <c r="S111" s="114"/>
      <c r="T111" s="114"/>
      <c r="U111" s="159"/>
      <c r="V111" s="114"/>
      <c r="W111" s="114"/>
      <c r="X111" s="114"/>
      <c r="Y111" s="114"/>
      <c r="Z111" s="164"/>
      <c r="AA111" s="114"/>
      <c r="AB111" s="114"/>
      <c r="AC111" s="114"/>
      <c r="AD111" s="114"/>
      <c r="AE111" s="114"/>
      <c r="AF111" s="114"/>
      <c r="AG111" s="114"/>
      <c r="AH111" s="114"/>
      <c r="AI111" s="114"/>
      <c r="AJ111" s="114"/>
      <c r="AK111" s="114"/>
      <c r="AL111" s="114"/>
      <c r="AM111" s="114"/>
      <c r="AN111" s="114"/>
      <c r="AO111" s="114"/>
      <c r="AP111" s="114"/>
      <c r="AQ111" s="114"/>
      <c r="AR111" s="114"/>
    </row>
    <row r="112" ht="14.25" spans="1:44">
      <c r="A112" s="114"/>
      <c r="B112" s="114" t="s">
        <v>41</v>
      </c>
      <c r="C112" s="114"/>
      <c r="D112" s="171" t="s">
        <v>2041</v>
      </c>
      <c r="E112" s="114" t="s">
        <v>2042</v>
      </c>
      <c r="F112" s="153">
        <v>38528</v>
      </c>
      <c r="G112" s="152">
        <f t="shared" si="2"/>
        <v>8528</v>
      </c>
      <c r="H112" s="114" t="s">
        <v>2043</v>
      </c>
      <c r="I112" s="123" t="s">
        <v>2044</v>
      </c>
      <c r="J112" s="33">
        <v>36578</v>
      </c>
      <c r="K112" s="124"/>
      <c r="L112" s="114" t="s">
        <v>454</v>
      </c>
      <c r="M112" s="114"/>
      <c r="N112" s="124"/>
      <c r="O112" s="114"/>
      <c r="P112" s="124"/>
      <c r="Q112" s="159"/>
      <c r="R112" s="124"/>
      <c r="S112" s="114"/>
      <c r="T112" s="114"/>
      <c r="U112" s="114"/>
      <c r="V112" s="114"/>
      <c r="W112" s="114"/>
      <c r="X112" s="114"/>
      <c r="Y112" s="114"/>
      <c r="Z112" s="164"/>
      <c r="AA112" s="114"/>
      <c r="AB112" s="114"/>
      <c r="AC112" s="114"/>
      <c r="AD112" s="114"/>
      <c r="AE112" s="114"/>
      <c r="AF112" s="114"/>
      <c r="AG112" s="114"/>
      <c r="AH112" s="114"/>
      <c r="AI112" s="114"/>
      <c r="AJ112" s="114"/>
      <c r="AK112" s="114"/>
      <c r="AL112" s="114"/>
      <c r="AM112" s="114"/>
      <c r="AN112" s="114"/>
      <c r="AO112" s="114"/>
      <c r="AP112" s="114"/>
      <c r="AQ112" s="114"/>
      <c r="AR112" s="114"/>
    </row>
    <row r="113" ht="14.25" spans="1:44">
      <c r="A113" s="114" t="s">
        <v>2019</v>
      </c>
      <c r="B113" s="114" t="s">
        <v>126</v>
      </c>
      <c r="C113" s="114" t="s">
        <v>874</v>
      </c>
      <c r="D113" s="114" t="s">
        <v>2020</v>
      </c>
      <c r="E113" s="114" t="s">
        <v>2021</v>
      </c>
      <c r="F113" s="153">
        <v>38565</v>
      </c>
      <c r="G113" s="152">
        <f t="shared" si="2"/>
        <v>8565</v>
      </c>
      <c r="H113" s="114" t="s">
        <v>2022</v>
      </c>
      <c r="I113" s="123" t="s">
        <v>2023</v>
      </c>
      <c r="J113" s="33">
        <v>3386</v>
      </c>
      <c r="K113" s="124"/>
      <c r="L113" s="114" t="s">
        <v>454</v>
      </c>
      <c r="M113" s="114"/>
      <c r="N113" s="124">
        <v>152061</v>
      </c>
      <c r="O113" s="158">
        <v>24124575958774.9</v>
      </c>
      <c r="P113" s="124"/>
      <c r="Q113" s="159"/>
      <c r="R113" s="124"/>
      <c r="S113" s="114"/>
      <c r="T113" s="114"/>
      <c r="U113" s="114"/>
      <c r="V113" s="114"/>
      <c r="W113" s="114"/>
      <c r="X113" s="114"/>
      <c r="Y113" s="114"/>
      <c r="Z113" s="166" t="s">
        <v>34</v>
      </c>
      <c r="AA113" s="114"/>
      <c r="AB113" s="114"/>
      <c r="AC113" s="114"/>
      <c r="AD113" s="114"/>
      <c r="AE113" s="114"/>
      <c r="AF113" s="114"/>
      <c r="AG113" s="114"/>
      <c r="AH113" s="114"/>
      <c r="AI113" s="114"/>
      <c r="AJ113" s="114"/>
      <c r="AK113" s="114"/>
      <c r="AL113" s="114"/>
      <c r="AM113" s="114"/>
      <c r="AN113" s="114"/>
      <c r="AO113" s="114"/>
      <c r="AP113" s="114"/>
      <c r="AQ113" s="114"/>
      <c r="AR113" s="114"/>
    </row>
    <row r="114" ht="14.25" spans="1:44">
      <c r="A114" s="155"/>
      <c r="B114" s="114"/>
      <c r="C114" s="114"/>
      <c r="D114" s="114"/>
      <c r="E114" s="114"/>
      <c r="F114" s="114">
        <v>2006</v>
      </c>
      <c r="G114" s="152">
        <f t="shared" si="2"/>
        <v>2006</v>
      </c>
      <c r="H114" s="114" t="s">
        <v>2014</v>
      </c>
      <c r="I114" s="114"/>
      <c r="J114" s="172">
        <v>1601</v>
      </c>
      <c r="K114" s="124"/>
      <c r="L114" s="114" t="s">
        <v>454</v>
      </c>
      <c r="M114" s="114"/>
      <c r="N114" s="124"/>
      <c r="O114" s="114"/>
      <c r="P114" s="124"/>
      <c r="Q114" s="159"/>
      <c r="R114" s="124"/>
      <c r="S114" s="114"/>
      <c r="T114" s="114"/>
      <c r="U114" s="114"/>
      <c r="V114" s="114"/>
      <c r="W114" s="114"/>
      <c r="X114" s="114"/>
      <c r="Y114" s="114"/>
      <c r="Z114" s="164"/>
      <c r="AA114" s="114"/>
      <c r="AB114" s="114"/>
      <c r="AC114" s="114"/>
      <c r="AD114" s="114"/>
      <c r="AE114" s="114"/>
      <c r="AF114" s="114"/>
      <c r="AG114" s="114"/>
      <c r="AH114" s="114"/>
      <c r="AI114" s="114"/>
      <c r="AJ114" s="114"/>
      <c r="AK114" s="114"/>
      <c r="AL114" s="114"/>
      <c r="AM114" s="114"/>
      <c r="AN114" s="114"/>
      <c r="AO114" s="114"/>
      <c r="AP114" s="114"/>
      <c r="AQ114" s="114"/>
      <c r="AR114" s="114"/>
    </row>
    <row r="115" ht="14.25" spans="1:44">
      <c r="A115" s="114"/>
      <c r="B115" s="114" t="s">
        <v>51</v>
      </c>
      <c r="C115" s="114"/>
      <c r="D115" s="114" t="s">
        <v>1166</v>
      </c>
      <c r="E115" s="114" t="s">
        <v>1996</v>
      </c>
      <c r="F115" s="114">
        <v>2006</v>
      </c>
      <c r="G115" s="152">
        <f t="shared" si="2"/>
        <v>2006</v>
      </c>
      <c r="H115" s="114" t="s">
        <v>1997</v>
      </c>
      <c r="I115" s="123" t="s">
        <v>1998</v>
      </c>
      <c r="J115" s="33">
        <v>571</v>
      </c>
      <c r="K115" s="124"/>
      <c r="L115" s="114" t="s">
        <v>49</v>
      </c>
      <c r="M115" s="114"/>
      <c r="N115" s="124">
        <v>100</v>
      </c>
      <c r="O115" s="114"/>
      <c r="P115" s="124"/>
      <c r="Q115" s="159"/>
      <c r="R115" s="124"/>
      <c r="S115" s="114"/>
      <c r="T115" s="114"/>
      <c r="U115" s="114"/>
      <c r="V115" s="114"/>
      <c r="W115" s="114"/>
      <c r="X115" s="114"/>
      <c r="Y115" s="114"/>
      <c r="Z115" s="164"/>
      <c r="AA115" s="114"/>
      <c r="AB115" s="114"/>
      <c r="AC115" s="114"/>
      <c r="AD115" s="114"/>
      <c r="AE115" s="114"/>
      <c r="AF115" s="114"/>
      <c r="AG115" s="114"/>
      <c r="AH115" s="114"/>
      <c r="AI115" s="114"/>
      <c r="AJ115" s="114"/>
      <c r="AK115" s="114"/>
      <c r="AL115" s="114"/>
      <c r="AM115" s="114"/>
      <c r="AN115" s="114"/>
      <c r="AO115" s="114"/>
      <c r="AP115" s="114"/>
      <c r="AQ115" s="114"/>
      <c r="AR115" s="114"/>
    </row>
    <row r="116" ht="14.25" spans="1:44">
      <c r="A116" s="114"/>
      <c r="B116" s="114"/>
      <c r="C116" s="114"/>
      <c r="D116" s="114" t="s">
        <v>1977</v>
      </c>
      <c r="E116" s="114" t="s">
        <v>1978</v>
      </c>
      <c r="F116" s="114">
        <v>2006</v>
      </c>
      <c r="G116" s="152">
        <f t="shared" si="2"/>
        <v>2006</v>
      </c>
      <c r="H116" s="114" t="s">
        <v>1979</v>
      </c>
      <c r="I116" s="123" t="s">
        <v>1980</v>
      </c>
      <c r="J116" s="33">
        <v>5419</v>
      </c>
      <c r="K116" s="124"/>
      <c r="L116" s="114" t="s">
        <v>454</v>
      </c>
      <c r="M116" s="114"/>
      <c r="N116" s="124"/>
      <c r="O116" s="114"/>
      <c r="P116" s="124"/>
      <c r="Q116" s="114"/>
      <c r="R116" s="124"/>
      <c r="S116" s="114"/>
      <c r="T116" s="114"/>
      <c r="U116" s="114"/>
      <c r="V116" s="114"/>
      <c r="W116" s="114"/>
      <c r="X116" s="114"/>
      <c r="Y116" s="114"/>
      <c r="Z116" s="164"/>
      <c r="AA116" s="114"/>
      <c r="AB116" s="114"/>
      <c r="AC116" s="114"/>
      <c r="AD116" s="114"/>
      <c r="AE116" s="114"/>
      <c r="AF116" s="114"/>
      <c r="AG116" s="114"/>
      <c r="AH116" s="114"/>
      <c r="AI116" s="114"/>
      <c r="AJ116" s="114"/>
      <c r="AK116" s="114"/>
      <c r="AL116" s="114"/>
      <c r="AM116" s="114"/>
      <c r="AN116" s="114"/>
      <c r="AO116" s="114"/>
      <c r="AP116" s="114"/>
      <c r="AQ116" s="114"/>
      <c r="AR116" s="114"/>
    </row>
    <row r="117" ht="14.25" spans="1:44">
      <c r="A117" s="114"/>
      <c r="B117" s="114" t="s">
        <v>41</v>
      </c>
      <c r="C117" s="114"/>
      <c r="D117" s="114" t="s">
        <v>1981</v>
      </c>
      <c r="E117" s="114" t="s">
        <v>1982</v>
      </c>
      <c r="F117" s="114">
        <v>2006</v>
      </c>
      <c r="G117" s="152">
        <f t="shared" si="2"/>
        <v>2006</v>
      </c>
      <c r="H117" s="114" t="s">
        <v>1983</v>
      </c>
      <c r="I117" s="123" t="s">
        <v>1984</v>
      </c>
      <c r="J117" s="33">
        <v>9807</v>
      </c>
      <c r="K117" s="124"/>
      <c r="L117" s="114" t="s">
        <v>454</v>
      </c>
      <c r="M117" s="114"/>
      <c r="N117" s="124"/>
      <c r="O117" s="114"/>
      <c r="P117" s="124"/>
      <c r="Q117" s="114"/>
      <c r="R117" s="124"/>
      <c r="S117" s="114"/>
      <c r="T117" s="114"/>
      <c r="U117" s="114"/>
      <c r="V117" s="114"/>
      <c r="W117" s="114"/>
      <c r="X117" s="114"/>
      <c r="Y117" s="114"/>
      <c r="Z117" s="164"/>
      <c r="AA117" s="114"/>
      <c r="AB117" s="114"/>
      <c r="AC117" s="114"/>
      <c r="AD117" s="114"/>
      <c r="AE117" s="114"/>
      <c r="AF117" s="114"/>
      <c r="AG117" s="114"/>
      <c r="AH117" s="114"/>
      <c r="AI117" s="114"/>
      <c r="AJ117" s="114"/>
      <c r="AK117" s="114"/>
      <c r="AL117" s="114"/>
      <c r="AM117" s="114"/>
      <c r="AN117" s="114"/>
      <c r="AO117" s="114"/>
      <c r="AP117" s="114"/>
      <c r="AQ117" s="114"/>
      <c r="AR117" s="114"/>
    </row>
    <row r="118" ht="14.25" spans="1:44">
      <c r="A118" s="114"/>
      <c r="B118" s="114"/>
      <c r="C118" s="114"/>
      <c r="D118" s="114"/>
      <c r="E118" s="114"/>
      <c r="F118" s="153">
        <v>38750</v>
      </c>
      <c r="G118" s="152">
        <f t="shared" si="2"/>
        <v>8750</v>
      </c>
      <c r="H118" s="114" t="s">
        <v>1968</v>
      </c>
      <c r="I118" s="123" t="s">
        <v>1969</v>
      </c>
      <c r="J118" s="172">
        <v>347</v>
      </c>
      <c r="K118" s="124"/>
      <c r="L118" s="114"/>
      <c r="M118" s="114"/>
      <c r="N118" s="124"/>
      <c r="O118" s="114"/>
      <c r="P118" s="124"/>
      <c r="Q118" s="114"/>
      <c r="R118" s="124"/>
      <c r="S118" s="114"/>
      <c r="T118" s="114"/>
      <c r="U118" s="114"/>
      <c r="V118" s="114"/>
      <c r="W118" s="114"/>
      <c r="X118" s="114"/>
      <c r="Y118" s="114"/>
      <c r="Z118" s="164"/>
      <c r="AA118" s="114"/>
      <c r="AB118" s="114"/>
      <c r="AC118" s="114"/>
      <c r="AD118" s="114"/>
      <c r="AE118" s="114"/>
      <c r="AF118" s="114"/>
      <c r="AG118" s="114"/>
      <c r="AH118" s="114"/>
      <c r="AI118" s="114"/>
      <c r="AJ118" s="114"/>
      <c r="AK118" s="114"/>
      <c r="AL118" s="114"/>
      <c r="AM118" s="114"/>
      <c r="AN118" s="114"/>
      <c r="AO118" s="114"/>
      <c r="AP118" s="114"/>
      <c r="AQ118" s="114"/>
      <c r="AR118" s="114"/>
    </row>
    <row r="119" ht="14.25" spans="1:44">
      <c r="A119" s="114" t="s">
        <v>1985</v>
      </c>
      <c r="B119" s="114" t="s">
        <v>41</v>
      </c>
      <c r="C119" s="114" t="s">
        <v>1986</v>
      </c>
      <c r="D119" s="114" t="s">
        <v>1689</v>
      </c>
      <c r="E119" s="114" t="s">
        <v>1987</v>
      </c>
      <c r="F119" s="153">
        <v>38885</v>
      </c>
      <c r="G119" s="152">
        <f t="shared" si="2"/>
        <v>8885</v>
      </c>
      <c r="H119" s="114" t="s">
        <v>1988</v>
      </c>
      <c r="I119" s="123" t="s">
        <v>1989</v>
      </c>
      <c r="J119" s="33">
        <v>2691</v>
      </c>
      <c r="K119" s="124"/>
      <c r="L119" s="114" t="s">
        <v>454</v>
      </c>
      <c r="M119" s="114"/>
      <c r="N119" s="124">
        <f>15*(6*6+1)+30*(15*9*9+1)+2*(30+1)</f>
        <v>37097</v>
      </c>
      <c r="O119" s="114"/>
      <c r="P119" s="124"/>
      <c r="Q119" s="114"/>
      <c r="R119" s="124"/>
      <c r="S119" s="114"/>
      <c r="T119" s="114"/>
      <c r="U119" s="114"/>
      <c r="V119" s="114"/>
      <c r="W119" s="114"/>
      <c r="X119" s="114"/>
      <c r="Y119" s="114"/>
      <c r="Z119" s="164"/>
      <c r="AA119" s="114"/>
      <c r="AB119" s="114"/>
      <c r="AC119" s="114"/>
      <c r="AD119" s="114"/>
      <c r="AE119" s="114"/>
      <c r="AF119" s="114"/>
      <c r="AG119" s="114"/>
      <c r="AH119" s="114"/>
      <c r="AI119" s="114"/>
      <c r="AJ119" s="114"/>
      <c r="AK119" s="114"/>
      <c r="AL119" s="114"/>
      <c r="AM119" s="114"/>
      <c r="AN119" s="114"/>
      <c r="AO119" s="114"/>
      <c r="AP119" s="114"/>
      <c r="AQ119" s="114"/>
      <c r="AR119" s="114"/>
    </row>
    <row r="120" ht="14.25" spans="1:44">
      <c r="A120" s="114" t="s">
        <v>1990</v>
      </c>
      <c r="B120" s="114" t="s">
        <v>126</v>
      </c>
      <c r="C120" s="114" t="s">
        <v>874</v>
      </c>
      <c r="D120" s="114" t="s">
        <v>1991</v>
      </c>
      <c r="E120" s="114" t="s">
        <v>1992</v>
      </c>
      <c r="F120" s="153">
        <v>38893</v>
      </c>
      <c r="G120" s="152">
        <f t="shared" si="2"/>
        <v>8893</v>
      </c>
      <c r="H120" s="114" t="s">
        <v>1993</v>
      </c>
      <c r="I120" s="123" t="s">
        <v>1994</v>
      </c>
      <c r="J120" s="33">
        <v>3288</v>
      </c>
      <c r="K120" s="124"/>
      <c r="L120" s="114" t="s">
        <v>454</v>
      </c>
      <c r="M120" s="114"/>
      <c r="N120" s="124">
        <v>114662</v>
      </c>
      <c r="O120" s="114"/>
      <c r="P120" s="124"/>
      <c r="Q120" s="114"/>
      <c r="R120" s="124"/>
      <c r="S120" s="114"/>
      <c r="T120" s="114"/>
      <c r="U120" s="114"/>
      <c r="V120" s="114"/>
      <c r="W120" s="114"/>
      <c r="X120" s="114"/>
      <c r="Y120" s="114"/>
      <c r="Z120" s="164"/>
      <c r="AA120" s="114"/>
      <c r="AB120" s="114"/>
      <c r="AC120" s="114"/>
      <c r="AD120" s="114"/>
      <c r="AE120" s="114"/>
      <c r="AF120" s="114"/>
      <c r="AG120" s="114"/>
      <c r="AH120" s="114"/>
      <c r="AI120" s="114"/>
      <c r="AJ120" s="114"/>
      <c r="AK120" s="114"/>
      <c r="AL120" s="114"/>
      <c r="AM120" s="114"/>
      <c r="AN120" s="114"/>
      <c r="AO120" s="114"/>
      <c r="AP120" s="114"/>
      <c r="AQ120" s="114"/>
      <c r="AR120" s="114"/>
    </row>
    <row r="121" ht="14.25" spans="1:44">
      <c r="A121" s="155" t="s">
        <v>2000</v>
      </c>
      <c r="B121" s="114" t="s">
        <v>41</v>
      </c>
      <c r="C121" s="114" t="s">
        <v>1811</v>
      </c>
      <c r="D121" s="114" t="s">
        <v>1267</v>
      </c>
      <c r="E121" s="114" t="s">
        <v>2001</v>
      </c>
      <c r="F121" s="153">
        <v>38916</v>
      </c>
      <c r="G121" s="152">
        <f t="shared" si="2"/>
        <v>8916</v>
      </c>
      <c r="H121" s="114" t="s">
        <v>2002</v>
      </c>
      <c r="I121" s="123" t="s">
        <v>2003</v>
      </c>
      <c r="J121" s="33">
        <v>15697</v>
      </c>
      <c r="K121" s="124"/>
      <c r="L121" s="114" t="s">
        <v>454</v>
      </c>
      <c r="M121" s="114"/>
      <c r="N121" s="124">
        <v>3800000</v>
      </c>
      <c r="O121" s="114"/>
      <c r="P121" s="124"/>
      <c r="Q121" s="114"/>
      <c r="R121" s="124">
        <v>70000</v>
      </c>
      <c r="S121" s="114"/>
      <c r="T121" s="114"/>
      <c r="U121" s="114"/>
      <c r="V121" s="114"/>
      <c r="W121" s="114"/>
      <c r="X121" s="114"/>
      <c r="Y121" s="114"/>
      <c r="Z121" s="164"/>
      <c r="AA121" s="114"/>
      <c r="AB121" s="114"/>
      <c r="AC121" s="114"/>
      <c r="AD121" s="114"/>
      <c r="AE121" s="114"/>
      <c r="AF121" s="114"/>
      <c r="AG121" s="114"/>
      <c r="AH121" s="114"/>
      <c r="AI121" s="114"/>
      <c r="AJ121" s="114"/>
      <c r="AK121" s="114"/>
      <c r="AL121" s="114"/>
      <c r="AM121" s="114"/>
      <c r="AN121" s="114"/>
      <c r="AO121" s="114"/>
      <c r="AP121" s="114"/>
      <c r="AQ121" s="114"/>
      <c r="AR121" s="114"/>
    </row>
    <row r="122" ht="14.25" spans="1:44">
      <c r="A122" s="155" t="s">
        <v>2004</v>
      </c>
      <c r="B122" s="114" t="s">
        <v>41</v>
      </c>
      <c r="C122" s="114" t="s">
        <v>1231</v>
      </c>
      <c r="D122" s="114" t="s">
        <v>2005</v>
      </c>
      <c r="E122" s="114" t="s">
        <v>2006</v>
      </c>
      <c r="F122" s="153">
        <v>38916</v>
      </c>
      <c r="G122" s="152">
        <f t="shared" si="2"/>
        <v>8916</v>
      </c>
      <c r="H122" s="114" t="s">
        <v>2007</v>
      </c>
      <c r="I122" s="123" t="s">
        <v>2008</v>
      </c>
      <c r="J122" s="33">
        <v>16071</v>
      </c>
      <c r="K122" s="124"/>
      <c r="L122" s="114" t="s">
        <v>454</v>
      </c>
      <c r="M122" s="114"/>
      <c r="N122" s="124">
        <f>1600000</f>
        <v>1600000</v>
      </c>
      <c r="O122" s="114"/>
      <c r="P122" s="124"/>
      <c r="Q122" s="177"/>
      <c r="R122" s="124"/>
      <c r="S122" s="114"/>
      <c r="T122" s="114"/>
      <c r="U122" s="114"/>
      <c r="V122" s="114"/>
      <c r="W122" s="114"/>
      <c r="X122" s="114"/>
      <c r="Y122" s="114"/>
      <c r="Z122" s="166" t="s">
        <v>34</v>
      </c>
      <c r="AA122" s="114"/>
      <c r="AB122" s="114"/>
      <c r="AC122" s="114"/>
      <c r="AD122" s="114"/>
      <c r="AE122" s="114"/>
      <c r="AF122" s="114"/>
      <c r="AG122" s="114"/>
      <c r="AH122" s="114"/>
      <c r="AI122" s="114"/>
      <c r="AJ122" s="114"/>
      <c r="AK122" s="114"/>
      <c r="AL122" s="114"/>
      <c r="AM122" s="114"/>
      <c r="AN122" s="114"/>
      <c r="AO122" s="114"/>
      <c r="AP122" s="114"/>
      <c r="AQ122" s="114"/>
      <c r="AR122" s="114"/>
    </row>
    <row r="123" ht="14.25" spans="1:44">
      <c r="A123" s="114"/>
      <c r="B123" s="114" t="s">
        <v>41</v>
      </c>
      <c r="C123" s="114"/>
      <c r="D123" s="114" t="s">
        <v>1947</v>
      </c>
      <c r="E123" s="114" t="s">
        <v>1948</v>
      </c>
      <c r="F123" s="114">
        <v>2007</v>
      </c>
      <c r="G123" s="152">
        <f t="shared" si="2"/>
        <v>2007</v>
      </c>
      <c r="H123" s="114" t="s">
        <v>1949</v>
      </c>
      <c r="I123" s="123" t="s">
        <v>1950</v>
      </c>
      <c r="J123" s="33">
        <v>253</v>
      </c>
      <c r="K123" s="124"/>
      <c r="L123" s="114" t="s">
        <v>49</v>
      </c>
      <c r="M123" s="114"/>
      <c r="N123" s="124"/>
      <c r="O123" s="114"/>
      <c r="P123" s="124"/>
      <c r="Q123" s="114"/>
      <c r="R123" s="124"/>
      <c r="S123" s="114"/>
      <c r="T123" s="114"/>
      <c r="U123" s="114"/>
      <c r="V123" s="114"/>
      <c r="W123" s="114"/>
      <c r="X123" s="114"/>
      <c r="Y123" s="114"/>
      <c r="Z123" s="164"/>
      <c r="AA123" s="114"/>
      <c r="AB123" s="114"/>
      <c r="AC123" s="114"/>
      <c r="AD123" s="114"/>
      <c r="AE123" s="114"/>
      <c r="AF123" s="114"/>
      <c r="AG123" s="114"/>
      <c r="AH123" s="114"/>
      <c r="AI123" s="114"/>
      <c r="AJ123" s="114"/>
      <c r="AK123" s="114"/>
      <c r="AL123" s="114"/>
      <c r="AM123" s="114"/>
      <c r="AN123" s="114"/>
      <c r="AO123" s="114"/>
      <c r="AP123" s="114"/>
      <c r="AQ123" s="114"/>
      <c r="AR123" s="114"/>
    </row>
    <row r="124" ht="14.25" spans="1:44">
      <c r="A124" s="114"/>
      <c r="B124" s="114"/>
      <c r="C124" s="114"/>
      <c r="D124" s="114" t="s">
        <v>1656</v>
      </c>
      <c r="E124" s="114" t="s">
        <v>2016</v>
      </c>
      <c r="F124" s="114">
        <v>2007</v>
      </c>
      <c r="G124" s="152">
        <f t="shared" si="2"/>
        <v>2007</v>
      </c>
      <c r="H124" s="114" t="s">
        <v>2017</v>
      </c>
      <c r="I124" s="123" t="s">
        <v>4299</v>
      </c>
      <c r="J124" s="33">
        <v>5605</v>
      </c>
      <c r="K124" s="124"/>
      <c r="L124" s="114" t="s">
        <v>454</v>
      </c>
      <c r="M124" s="114"/>
      <c r="N124" s="124"/>
      <c r="O124" s="114"/>
      <c r="P124" s="173"/>
      <c r="Q124" s="114"/>
      <c r="R124" s="124"/>
      <c r="S124" s="114"/>
      <c r="T124" s="114"/>
      <c r="U124" s="159"/>
      <c r="V124" s="114"/>
      <c r="W124" s="114"/>
      <c r="X124" s="114"/>
      <c r="Y124" s="114"/>
      <c r="Z124" s="164"/>
      <c r="AA124" s="114"/>
      <c r="AB124" s="114"/>
      <c r="AC124" s="114"/>
      <c r="AD124" s="114"/>
      <c r="AE124" s="114"/>
      <c r="AF124" s="114"/>
      <c r="AG124" s="114"/>
      <c r="AH124" s="114"/>
      <c r="AI124" s="114"/>
      <c r="AJ124" s="114"/>
      <c r="AK124" s="114"/>
      <c r="AL124" s="114"/>
      <c r="AM124" s="114"/>
      <c r="AN124" s="114"/>
      <c r="AO124" s="114"/>
      <c r="AP124" s="114"/>
      <c r="AQ124" s="114"/>
      <c r="AR124" s="114"/>
    </row>
    <row r="125" ht="14.25" spans="1:44">
      <c r="A125" s="114"/>
      <c r="B125" s="114"/>
      <c r="C125" s="114"/>
      <c r="D125" s="114" t="s">
        <v>1898</v>
      </c>
      <c r="E125" s="114" t="s">
        <v>1955</v>
      </c>
      <c r="F125" s="114">
        <v>2007</v>
      </c>
      <c r="G125" s="152">
        <f t="shared" si="2"/>
        <v>2007</v>
      </c>
      <c r="H125" s="114" t="s">
        <v>1956</v>
      </c>
      <c r="I125" s="123" t="s">
        <v>4300</v>
      </c>
      <c r="J125" s="33">
        <v>1695</v>
      </c>
      <c r="K125" s="124"/>
      <c r="L125" s="114" t="s">
        <v>454</v>
      </c>
      <c r="M125" s="114"/>
      <c r="N125" s="124"/>
      <c r="O125" s="114"/>
      <c r="P125" s="173"/>
      <c r="Q125" s="114"/>
      <c r="R125" s="124"/>
      <c r="S125" s="114"/>
      <c r="T125" s="114"/>
      <c r="U125" s="159"/>
      <c r="V125" s="114"/>
      <c r="W125" s="114"/>
      <c r="X125" s="114"/>
      <c r="Y125" s="114"/>
      <c r="Z125" s="164"/>
      <c r="AA125" s="114"/>
      <c r="AB125" s="114"/>
      <c r="AC125" s="114"/>
      <c r="AD125" s="114"/>
      <c r="AE125" s="114"/>
      <c r="AF125" s="114"/>
      <c r="AG125" s="114"/>
      <c r="AH125" s="114"/>
      <c r="AI125" s="114"/>
      <c r="AJ125" s="114"/>
      <c r="AK125" s="114"/>
      <c r="AL125" s="114"/>
      <c r="AM125" s="114"/>
      <c r="AN125" s="114"/>
      <c r="AO125" s="114"/>
      <c r="AP125" s="114"/>
      <c r="AQ125" s="114"/>
      <c r="AR125" s="114"/>
    </row>
    <row r="126" ht="14.25" spans="1:44">
      <c r="A126" s="114" t="s">
        <v>1909</v>
      </c>
      <c r="B126" s="114" t="s">
        <v>1910</v>
      </c>
      <c r="C126" s="114" t="s">
        <v>1911</v>
      </c>
      <c r="D126" s="114" t="s">
        <v>1089</v>
      </c>
      <c r="E126" s="114" t="s">
        <v>1912</v>
      </c>
      <c r="F126" s="114">
        <v>2007</v>
      </c>
      <c r="G126" s="152">
        <f t="shared" si="2"/>
        <v>2007</v>
      </c>
      <c r="H126" s="114" t="s">
        <v>1913</v>
      </c>
      <c r="I126" s="123" t="s">
        <v>4301</v>
      </c>
      <c r="J126" s="33">
        <v>1840</v>
      </c>
      <c r="K126" s="124"/>
      <c r="L126" s="114" t="s">
        <v>454</v>
      </c>
      <c r="M126" s="114"/>
      <c r="N126" s="124"/>
      <c r="O126" s="114"/>
      <c r="P126" s="173"/>
      <c r="Q126" s="114"/>
      <c r="R126" s="124"/>
      <c r="S126" s="114"/>
      <c r="T126" s="114"/>
      <c r="U126" s="159"/>
      <c r="V126" s="114"/>
      <c r="W126" s="114"/>
      <c r="X126" s="114"/>
      <c r="Y126" s="114"/>
      <c r="Z126" s="164"/>
      <c r="AA126" s="114"/>
      <c r="AB126" s="114"/>
      <c r="AC126" s="114"/>
      <c r="AD126" s="114"/>
      <c r="AE126" s="114"/>
      <c r="AF126" s="114"/>
      <c r="AG126" s="114"/>
      <c r="AH126" s="114"/>
      <c r="AI126" s="114"/>
      <c r="AJ126" s="114"/>
      <c r="AK126" s="114"/>
      <c r="AL126" s="114"/>
      <c r="AM126" s="114"/>
      <c r="AN126" s="114"/>
      <c r="AO126" s="114"/>
      <c r="AP126" s="114"/>
      <c r="AQ126" s="114"/>
      <c r="AR126" s="114"/>
    </row>
    <row r="127" ht="14.25" spans="1:44">
      <c r="A127" s="114"/>
      <c r="B127" s="114" t="s">
        <v>434</v>
      </c>
      <c r="C127" s="114"/>
      <c r="D127" s="114" t="s">
        <v>1838</v>
      </c>
      <c r="E127" s="114" t="s">
        <v>1951</v>
      </c>
      <c r="F127" s="114">
        <v>2007</v>
      </c>
      <c r="G127" s="152">
        <f t="shared" si="2"/>
        <v>2007</v>
      </c>
      <c r="H127" s="114" t="s">
        <v>1952</v>
      </c>
      <c r="I127" s="123" t="s">
        <v>1953</v>
      </c>
      <c r="J127" s="33">
        <v>687</v>
      </c>
      <c r="K127" s="124"/>
      <c r="L127" s="114" t="s">
        <v>49</v>
      </c>
      <c r="M127" s="114"/>
      <c r="N127" s="124"/>
      <c r="O127" s="114"/>
      <c r="P127" s="173"/>
      <c r="Q127" s="114"/>
      <c r="R127" s="124"/>
      <c r="S127" s="114"/>
      <c r="T127" s="114"/>
      <c r="U127" s="159"/>
      <c r="V127" s="114"/>
      <c r="W127" s="114"/>
      <c r="X127" s="114"/>
      <c r="Y127" s="114"/>
      <c r="Z127" s="164"/>
      <c r="AA127" s="114"/>
      <c r="AB127" s="114"/>
      <c r="AC127" s="114"/>
      <c r="AD127" s="114"/>
      <c r="AE127" s="114"/>
      <c r="AF127" s="114"/>
      <c r="AG127" s="114"/>
      <c r="AH127" s="114"/>
      <c r="AI127" s="114"/>
      <c r="AJ127" s="114"/>
      <c r="AK127" s="114"/>
      <c r="AL127" s="114"/>
      <c r="AM127" s="114"/>
      <c r="AN127" s="114"/>
      <c r="AO127" s="114"/>
      <c r="AP127" s="114"/>
      <c r="AQ127" s="114"/>
      <c r="AR127" s="114"/>
    </row>
    <row r="128" ht="14.25" spans="1:44">
      <c r="A128" s="155" t="s">
        <v>1870</v>
      </c>
      <c r="B128" s="114" t="s">
        <v>434</v>
      </c>
      <c r="C128" s="114" t="s">
        <v>1837</v>
      </c>
      <c r="D128" s="114" t="s">
        <v>1838</v>
      </c>
      <c r="E128" s="114" t="s">
        <v>1839</v>
      </c>
      <c r="F128" s="114">
        <v>2007</v>
      </c>
      <c r="G128" s="152">
        <f t="shared" si="2"/>
        <v>2007</v>
      </c>
      <c r="H128" s="114" t="s">
        <v>1871</v>
      </c>
      <c r="I128" s="174" t="s">
        <v>4302</v>
      </c>
      <c r="J128" s="33">
        <v>214</v>
      </c>
      <c r="K128" s="124"/>
      <c r="L128" s="114" t="s">
        <v>49</v>
      </c>
      <c r="M128" s="114"/>
      <c r="N128" s="124"/>
      <c r="O128" s="114"/>
      <c r="P128" s="173"/>
      <c r="Q128" s="114" t="s">
        <v>1842</v>
      </c>
      <c r="R128" s="124"/>
      <c r="S128" s="114"/>
      <c r="T128" s="114"/>
      <c r="U128" s="159"/>
      <c r="V128" s="114"/>
      <c r="W128" s="114"/>
      <c r="X128" s="114"/>
      <c r="Y128" s="114"/>
      <c r="Z128" s="164"/>
      <c r="AA128" s="114"/>
      <c r="AB128" s="114"/>
      <c r="AC128" s="114"/>
      <c r="AD128" s="114"/>
      <c r="AE128" s="114"/>
      <c r="AF128" s="114"/>
      <c r="AG128" s="114"/>
      <c r="AH128" s="114"/>
      <c r="AI128" s="114"/>
      <c r="AJ128" s="114"/>
      <c r="AK128" s="114"/>
      <c r="AL128" s="114"/>
      <c r="AM128" s="114"/>
      <c r="AN128" s="114"/>
      <c r="AO128" s="114"/>
      <c r="AP128" s="114"/>
      <c r="AQ128" s="114"/>
      <c r="AR128" s="114"/>
    </row>
    <row r="129" ht="14.25" spans="1:44">
      <c r="A129" s="114"/>
      <c r="B129" s="114" t="s">
        <v>51</v>
      </c>
      <c r="C129" s="114"/>
      <c r="D129" s="114" t="s">
        <v>1479</v>
      </c>
      <c r="E129" s="114" t="s">
        <v>1927</v>
      </c>
      <c r="F129" s="114">
        <v>2007</v>
      </c>
      <c r="G129" s="152">
        <f t="shared" si="2"/>
        <v>2007</v>
      </c>
      <c r="H129" s="114" t="s">
        <v>1928</v>
      </c>
      <c r="I129" s="123" t="s">
        <v>1929</v>
      </c>
      <c r="J129" s="33">
        <v>6097</v>
      </c>
      <c r="K129" s="124"/>
      <c r="L129" s="114" t="s">
        <v>454</v>
      </c>
      <c r="M129" s="114"/>
      <c r="N129" s="124"/>
      <c r="O129" s="114"/>
      <c r="P129" s="173"/>
      <c r="Q129" s="114"/>
      <c r="R129" s="124"/>
      <c r="S129" s="114"/>
      <c r="T129" s="114"/>
      <c r="U129" s="159"/>
      <c r="V129" s="114"/>
      <c r="W129" s="114"/>
      <c r="X129" s="114"/>
      <c r="Y129" s="114"/>
      <c r="Z129" s="164"/>
      <c r="AA129" s="114"/>
      <c r="AB129" s="114"/>
      <c r="AC129" s="114"/>
      <c r="AD129" s="114"/>
      <c r="AE129" s="114"/>
      <c r="AF129" s="114"/>
      <c r="AG129" s="114"/>
      <c r="AH129" s="114"/>
      <c r="AI129" s="114"/>
      <c r="AJ129" s="114"/>
      <c r="AK129" s="114"/>
      <c r="AL129" s="114"/>
      <c r="AM129" s="114"/>
      <c r="AN129" s="114"/>
      <c r="AO129" s="114"/>
      <c r="AP129" s="114"/>
      <c r="AQ129" s="114"/>
      <c r="AR129" s="114"/>
    </row>
    <row r="130" ht="14.25" spans="1:44">
      <c r="A130" s="114" t="s">
        <v>1930</v>
      </c>
      <c r="B130" s="114" t="s">
        <v>51</v>
      </c>
      <c r="C130" s="114"/>
      <c r="D130" s="114" t="s">
        <v>1931</v>
      </c>
      <c r="E130" s="114" t="s">
        <v>1932</v>
      </c>
      <c r="F130" s="114">
        <v>2007</v>
      </c>
      <c r="G130" s="152">
        <f t="shared" si="2"/>
        <v>2007</v>
      </c>
      <c r="H130" s="114" t="s">
        <v>1933</v>
      </c>
      <c r="I130" s="123" t="s">
        <v>1934</v>
      </c>
      <c r="J130" s="33">
        <v>350</v>
      </c>
      <c r="K130" s="124"/>
      <c r="L130" s="114" t="s">
        <v>49</v>
      </c>
      <c r="M130" s="114"/>
      <c r="N130" s="124">
        <f>700+700*(700-1)</f>
        <v>490000</v>
      </c>
      <c r="O130" s="114"/>
      <c r="P130" s="173"/>
      <c r="Q130" s="114"/>
      <c r="R130" s="124">
        <v>792</v>
      </c>
      <c r="S130" s="114"/>
      <c r="T130" s="114"/>
      <c r="U130" s="159"/>
      <c r="V130" s="114"/>
      <c r="W130" s="114"/>
      <c r="X130" s="114"/>
      <c r="Y130" s="114"/>
      <c r="Z130" s="164"/>
      <c r="AA130" s="114"/>
      <c r="AB130" s="114"/>
      <c r="AC130" s="114"/>
      <c r="AD130" s="114"/>
      <c r="AE130" s="114"/>
      <c r="AF130" s="114"/>
      <c r="AG130" s="114"/>
      <c r="AH130" s="114"/>
      <c r="AI130" s="114"/>
      <c r="AJ130" s="114"/>
      <c r="AK130" s="114"/>
      <c r="AL130" s="114"/>
      <c r="AM130" s="114"/>
      <c r="AN130" s="114"/>
      <c r="AO130" s="114"/>
      <c r="AP130" s="114"/>
      <c r="AQ130" s="114"/>
      <c r="AR130" s="114"/>
    </row>
    <row r="131" ht="14.25" spans="1:44">
      <c r="A131" s="155" t="s">
        <v>1939</v>
      </c>
      <c r="B131" s="114"/>
      <c r="C131" s="114"/>
      <c r="D131" s="114"/>
      <c r="E131" s="114"/>
      <c r="F131" s="153">
        <v>39253</v>
      </c>
      <c r="G131" s="152">
        <f t="shared" si="2"/>
        <v>9253</v>
      </c>
      <c r="H131" s="114" t="s">
        <v>1941</v>
      </c>
      <c r="I131" s="123" t="s">
        <v>1942</v>
      </c>
      <c r="J131" s="172">
        <v>2140</v>
      </c>
      <c r="K131" s="124"/>
      <c r="L131" s="114"/>
      <c r="M131" s="114"/>
      <c r="N131" s="124"/>
      <c r="O131" s="114"/>
      <c r="P131" s="124"/>
      <c r="Q131" s="114"/>
      <c r="R131" s="124"/>
      <c r="S131" s="114"/>
      <c r="T131" s="114"/>
      <c r="U131" s="114"/>
      <c r="V131" s="114"/>
      <c r="W131" s="114"/>
      <c r="X131" s="114"/>
      <c r="Y131" s="114"/>
      <c r="Z131" s="164"/>
      <c r="AA131" s="114"/>
      <c r="AB131" s="114"/>
      <c r="AC131" s="114"/>
      <c r="AD131" s="114"/>
      <c r="AE131" s="114"/>
      <c r="AF131" s="114"/>
      <c r="AG131" s="114"/>
      <c r="AH131" s="114"/>
      <c r="AI131" s="114"/>
      <c r="AJ131" s="114"/>
      <c r="AK131" s="114"/>
      <c r="AL131" s="114"/>
      <c r="AM131" s="114"/>
      <c r="AN131" s="114"/>
      <c r="AO131" s="114"/>
      <c r="AP131" s="114"/>
      <c r="AQ131" s="114"/>
      <c r="AR131" s="114"/>
    </row>
    <row r="132" ht="14.25" spans="1:44">
      <c r="A132" s="114"/>
      <c r="B132" s="114" t="s">
        <v>434</v>
      </c>
      <c r="C132" s="114"/>
      <c r="D132" s="114" t="s">
        <v>1943</v>
      </c>
      <c r="E132" s="114" t="s">
        <v>1944</v>
      </c>
      <c r="F132" s="153">
        <v>39306</v>
      </c>
      <c r="G132" s="152">
        <f t="shared" si="2"/>
        <v>9306</v>
      </c>
      <c r="H132" s="114" t="s">
        <v>1945</v>
      </c>
      <c r="I132" s="123" t="s">
        <v>4303</v>
      </c>
      <c r="J132" s="33">
        <v>1117</v>
      </c>
      <c r="K132" s="124"/>
      <c r="L132" s="114" t="s">
        <v>454</v>
      </c>
      <c r="M132" s="114"/>
      <c r="N132" s="124"/>
      <c r="O132" s="114"/>
      <c r="P132" s="173"/>
      <c r="Q132" s="114"/>
      <c r="R132" s="124"/>
      <c r="S132" s="114"/>
      <c r="T132" s="114"/>
      <c r="U132" s="159"/>
      <c r="V132" s="114"/>
      <c r="W132" s="114"/>
      <c r="X132" s="114"/>
      <c r="Y132" s="114"/>
      <c r="Z132" s="164"/>
      <c r="AA132" s="114"/>
      <c r="AB132" s="114"/>
      <c r="AC132" s="114"/>
      <c r="AD132" s="114"/>
      <c r="AE132" s="114"/>
      <c r="AF132" s="114"/>
      <c r="AG132" s="114"/>
      <c r="AH132" s="114"/>
      <c r="AI132" s="114"/>
      <c r="AJ132" s="114"/>
      <c r="AK132" s="114"/>
      <c r="AL132" s="114"/>
      <c r="AM132" s="114"/>
      <c r="AN132" s="114"/>
      <c r="AO132" s="114"/>
      <c r="AP132" s="114"/>
      <c r="AQ132" s="114"/>
      <c r="AR132" s="114"/>
    </row>
    <row r="133" ht="14.25" spans="1:44">
      <c r="A133" s="114" t="s">
        <v>1958</v>
      </c>
      <c r="B133" s="114" t="s">
        <v>41</v>
      </c>
      <c r="C133" s="114" t="s">
        <v>1231</v>
      </c>
      <c r="D133" s="114" t="s">
        <v>1947</v>
      </c>
      <c r="E133" s="114" t="s">
        <v>1959</v>
      </c>
      <c r="F133" s="167">
        <v>39417</v>
      </c>
      <c r="G133" s="152">
        <f t="shared" si="2"/>
        <v>9417</v>
      </c>
      <c r="H133" s="114" t="s">
        <v>1960</v>
      </c>
      <c r="I133" s="123" t="s">
        <v>1961</v>
      </c>
      <c r="J133" s="33">
        <v>311</v>
      </c>
      <c r="K133" s="124"/>
      <c r="L133" s="114" t="s">
        <v>49</v>
      </c>
      <c r="M133" s="114"/>
      <c r="N133" s="124">
        <v>100881</v>
      </c>
      <c r="O133" s="114"/>
      <c r="P133" s="124"/>
      <c r="Q133" s="114"/>
      <c r="R133" s="124"/>
      <c r="S133" s="114"/>
      <c r="T133" s="114"/>
      <c r="U133" s="114"/>
      <c r="V133" s="114"/>
      <c r="W133" s="114"/>
      <c r="X133" s="114"/>
      <c r="Y133" s="114"/>
      <c r="Z133" s="164"/>
      <c r="AA133" s="114"/>
      <c r="AB133" s="114"/>
      <c r="AC133" s="114"/>
      <c r="AD133" s="114"/>
      <c r="AE133" s="114"/>
      <c r="AF133" s="114"/>
      <c r="AG133" s="114"/>
      <c r="AH133" s="114"/>
      <c r="AI133" s="114"/>
      <c r="AJ133" s="114"/>
      <c r="AK133" s="114"/>
      <c r="AL133" s="114"/>
      <c r="AM133" s="114"/>
      <c r="AN133" s="114"/>
      <c r="AO133" s="114"/>
      <c r="AP133" s="114"/>
      <c r="AQ133" s="114"/>
      <c r="AR133" s="114"/>
    </row>
    <row r="134" ht="14.25" spans="1:44">
      <c r="A134" s="114"/>
      <c r="B134" s="114" t="s">
        <v>41</v>
      </c>
      <c r="C134" s="114"/>
      <c r="D134" s="114"/>
      <c r="E134" s="114"/>
      <c r="F134" s="153">
        <v>39771</v>
      </c>
      <c r="G134" s="152">
        <f t="shared" si="2"/>
        <v>9771</v>
      </c>
      <c r="H134" s="114" t="s">
        <v>1917</v>
      </c>
      <c r="I134" s="123" t="s">
        <v>1918</v>
      </c>
      <c r="J134" s="172">
        <v>124</v>
      </c>
      <c r="K134" s="124"/>
      <c r="L134" s="114"/>
      <c r="M134" s="114"/>
      <c r="N134" s="124"/>
      <c r="O134" s="114"/>
      <c r="P134" s="124"/>
      <c r="Q134" s="114"/>
      <c r="R134" s="124"/>
      <c r="S134" s="114"/>
      <c r="T134" s="114"/>
      <c r="U134" s="114"/>
      <c r="V134" s="114"/>
      <c r="W134" s="114"/>
      <c r="X134" s="114"/>
      <c r="Y134" s="114"/>
      <c r="Z134" s="164"/>
      <c r="AA134" s="114"/>
      <c r="AB134" s="114"/>
      <c r="AC134" s="114"/>
      <c r="AD134" s="114"/>
      <c r="AE134" s="114"/>
      <c r="AF134" s="114"/>
      <c r="AG134" s="114"/>
      <c r="AH134" s="114"/>
      <c r="AI134" s="114"/>
      <c r="AJ134" s="114"/>
      <c r="AK134" s="114"/>
      <c r="AL134" s="114"/>
      <c r="AM134" s="114"/>
      <c r="AN134" s="114"/>
      <c r="AO134" s="114"/>
      <c r="AP134" s="114"/>
      <c r="AQ134" s="114"/>
      <c r="AR134" s="114"/>
    </row>
    <row r="135" ht="14.25" spans="1:44">
      <c r="A135" s="114"/>
      <c r="B135" s="114" t="s">
        <v>41</v>
      </c>
      <c r="C135" s="114"/>
      <c r="D135" s="114" t="s">
        <v>1886</v>
      </c>
      <c r="E135" s="114" t="s">
        <v>1887</v>
      </c>
      <c r="F135" s="114">
        <v>2008</v>
      </c>
      <c r="G135" s="152">
        <f t="shared" si="2"/>
        <v>2008</v>
      </c>
      <c r="H135" s="114" t="s">
        <v>1888</v>
      </c>
      <c r="I135" s="123" t="s">
        <v>1889</v>
      </c>
      <c r="J135" s="33">
        <v>3093</v>
      </c>
      <c r="K135" s="124"/>
      <c r="L135" s="114" t="s">
        <v>454</v>
      </c>
      <c r="M135" s="114"/>
      <c r="N135" s="124"/>
      <c r="O135" s="114"/>
      <c r="P135" s="124"/>
      <c r="Q135" s="114"/>
      <c r="R135" s="124"/>
      <c r="S135" s="114"/>
      <c r="T135" s="114"/>
      <c r="U135" s="114"/>
      <c r="V135" s="114"/>
      <c r="W135" s="114"/>
      <c r="X135" s="114"/>
      <c r="Y135" s="114"/>
      <c r="Z135" s="164"/>
      <c r="AA135" s="114"/>
      <c r="AB135" s="114"/>
      <c r="AC135" s="114"/>
      <c r="AD135" s="114"/>
      <c r="AE135" s="114"/>
      <c r="AF135" s="114"/>
      <c r="AG135" s="114"/>
      <c r="AH135" s="114"/>
      <c r="AI135" s="114"/>
      <c r="AJ135" s="114"/>
      <c r="AK135" s="114"/>
      <c r="AL135" s="114"/>
      <c r="AM135" s="114"/>
      <c r="AN135" s="114"/>
      <c r="AO135" s="114"/>
      <c r="AP135" s="114"/>
      <c r="AQ135" s="114"/>
      <c r="AR135" s="114"/>
    </row>
    <row r="136" ht="14.25" spans="1:44">
      <c r="A136" s="159"/>
      <c r="B136" s="114" t="s">
        <v>51</v>
      </c>
      <c r="C136" s="114"/>
      <c r="D136" s="114" t="s">
        <v>1898</v>
      </c>
      <c r="E136" s="114" t="s">
        <v>1899</v>
      </c>
      <c r="F136" s="114">
        <v>2008</v>
      </c>
      <c r="G136" s="152">
        <f t="shared" si="2"/>
        <v>2008</v>
      </c>
      <c r="H136" s="114" t="s">
        <v>1900</v>
      </c>
      <c r="I136" s="123" t="s">
        <v>1901</v>
      </c>
      <c r="J136" s="33">
        <v>5759</v>
      </c>
      <c r="K136" s="124"/>
      <c r="L136" s="114" t="s">
        <v>454</v>
      </c>
      <c r="M136" s="114"/>
      <c r="N136" s="124"/>
      <c r="O136" s="114"/>
      <c r="P136" s="124"/>
      <c r="Q136" s="114"/>
      <c r="R136" s="124"/>
      <c r="S136" s="114"/>
      <c r="T136" s="114"/>
      <c r="U136" s="114"/>
      <c r="V136" s="114"/>
      <c r="W136" s="114"/>
      <c r="X136" s="114"/>
      <c r="Y136" s="114"/>
      <c r="Z136" s="164"/>
      <c r="AA136" s="114"/>
      <c r="AB136" s="114"/>
      <c r="AC136" s="114"/>
      <c r="AD136" s="114"/>
      <c r="AE136" s="114"/>
      <c r="AF136" s="114"/>
      <c r="AG136" s="114"/>
      <c r="AH136" s="114"/>
      <c r="AI136" s="114"/>
      <c r="AJ136" s="114"/>
      <c r="AK136" s="114"/>
      <c r="AL136" s="114"/>
      <c r="AM136" s="114"/>
      <c r="AN136" s="114"/>
      <c r="AO136" s="114"/>
      <c r="AP136" s="114"/>
      <c r="AQ136" s="114"/>
      <c r="AR136" s="114"/>
    </row>
    <row r="137" ht="14.25" spans="1:44">
      <c r="A137" s="114" t="s">
        <v>1903</v>
      </c>
      <c r="B137" s="114" t="s">
        <v>51</v>
      </c>
      <c r="C137" s="114"/>
      <c r="D137" s="114" t="s">
        <v>1905</v>
      </c>
      <c r="E137" s="114" t="s">
        <v>1906</v>
      </c>
      <c r="F137" s="153">
        <v>39644</v>
      </c>
      <c r="G137" s="152">
        <f t="shared" si="2"/>
        <v>9644</v>
      </c>
      <c r="H137" s="114" t="s">
        <v>1907</v>
      </c>
      <c r="I137" s="123" t="s">
        <v>4304</v>
      </c>
      <c r="J137" s="33">
        <v>227</v>
      </c>
      <c r="K137" s="124"/>
      <c r="L137" s="114" t="s">
        <v>49</v>
      </c>
      <c r="M137" s="114"/>
      <c r="N137" s="124">
        <v>3000000</v>
      </c>
      <c r="O137" s="114"/>
      <c r="P137" s="124"/>
      <c r="Q137" s="114"/>
      <c r="R137" s="124"/>
      <c r="S137" s="114"/>
      <c r="T137" s="114"/>
      <c r="U137" s="114"/>
      <c r="V137" s="114"/>
      <c r="W137" s="114"/>
      <c r="X137" s="114"/>
      <c r="Y137" s="114"/>
      <c r="Z137" s="164"/>
      <c r="AA137" s="114"/>
      <c r="AB137" s="114"/>
      <c r="AC137" s="114"/>
      <c r="AD137" s="114"/>
      <c r="AE137" s="114"/>
      <c r="AF137" s="114"/>
      <c r="AG137" s="114"/>
      <c r="AH137" s="114"/>
      <c r="AI137" s="114"/>
      <c r="AJ137" s="114"/>
      <c r="AK137" s="114"/>
      <c r="AL137" s="114"/>
      <c r="AM137" s="114"/>
      <c r="AN137" s="114"/>
      <c r="AO137" s="114"/>
      <c r="AP137" s="114"/>
      <c r="AQ137" s="114"/>
      <c r="AR137" s="114"/>
    </row>
    <row r="138" ht="14.25" spans="1:44">
      <c r="A138" s="114" t="s">
        <v>1919</v>
      </c>
      <c r="B138" s="114" t="s">
        <v>434</v>
      </c>
      <c r="C138" s="114" t="s">
        <v>1837</v>
      </c>
      <c r="D138" s="114" t="s">
        <v>1838</v>
      </c>
      <c r="E138" s="114" t="s">
        <v>1920</v>
      </c>
      <c r="F138" s="169">
        <v>39777</v>
      </c>
      <c r="G138" s="152">
        <f t="shared" si="2"/>
        <v>9777</v>
      </c>
      <c r="H138" s="114" t="s">
        <v>1921</v>
      </c>
      <c r="I138" s="123" t="s">
        <v>4305</v>
      </c>
      <c r="J138" s="33">
        <v>35</v>
      </c>
      <c r="K138" s="124"/>
      <c r="L138" s="114" t="s">
        <v>1923</v>
      </c>
      <c r="M138" s="114"/>
      <c r="N138" s="124"/>
      <c r="O138" s="114"/>
      <c r="P138" s="124"/>
      <c r="Q138" s="114" t="s">
        <v>1842</v>
      </c>
      <c r="R138" s="124"/>
      <c r="S138" s="114"/>
      <c r="T138" s="114"/>
      <c r="U138" s="114"/>
      <c r="V138" s="114"/>
      <c r="W138" s="114"/>
      <c r="X138" s="114"/>
      <c r="Y138" s="114"/>
      <c r="Z138" s="164"/>
      <c r="AA138" s="114"/>
      <c r="AB138" s="114"/>
      <c r="AC138" s="114"/>
      <c r="AD138" s="114"/>
      <c r="AE138" s="114"/>
      <c r="AF138" s="114"/>
      <c r="AG138" s="114"/>
      <c r="AH138" s="114"/>
      <c r="AI138" s="114"/>
      <c r="AJ138" s="114"/>
      <c r="AK138" s="114"/>
      <c r="AL138" s="114"/>
      <c r="AM138" s="114"/>
      <c r="AN138" s="114"/>
      <c r="AO138" s="114"/>
      <c r="AP138" s="114"/>
      <c r="AQ138" s="114"/>
      <c r="AR138" s="114"/>
    </row>
    <row r="139" ht="14.25" spans="1:44">
      <c r="A139" s="114" t="s">
        <v>1924</v>
      </c>
      <c r="B139" s="114" t="s">
        <v>199</v>
      </c>
      <c r="C139" s="114"/>
      <c r="D139" s="114" t="s">
        <v>1267</v>
      </c>
      <c r="E139" s="114" t="s">
        <v>1925</v>
      </c>
      <c r="F139" s="169">
        <v>39792</v>
      </c>
      <c r="G139" s="152">
        <f t="shared" si="2"/>
        <v>9792</v>
      </c>
      <c r="H139" s="114" t="s">
        <v>1924</v>
      </c>
      <c r="I139" s="123" t="s">
        <v>1926</v>
      </c>
      <c r="J139" s="33">
        <v>1487</v>
      </c>
      <c r="K139" s="124"/>
      <c r="L139" s="114" t="s">
        <v>454</v>
      </c>
      <c r="M139" s="114"/>
      <c r="N139" s="124">
        <v>2600000</v>
      </c>
      <c r="O139" s="114"/>
      <c r="P139" s="124"/>
      <c r="Q139" s="114"/>
      <c r="R139" s="124"/>
      <c r="S139" s="114"/>
      <c r="T139" s="114"/>
      <c r="U139" s="114"/>
      <c r="V139" s="114"/>
      <c r="W139" s="114"/>
      <c r="X139" s="114"/>
      <c r="Y139" s="114"/>
      <c r="Z139" s="164"/>
      <c r="AA139" s="114"/>
      <c r="AB139" s="114"/>
      <c r="AC139" s="114"/>
      <c r="AD139" s="114"/>
      <c r="AE139" s="114"/>
      <c r="AF139" s="114"/>
      <c r="AG139" s="114"/>
      <c r="AH139" s="114"/>
      <c r="AI139" s="114"/>
      <c r="AJ139" s="114"/>
      <c r="AK139" s="114"/>
      <c r="AL139" s="114"/>
      <c r="AM139" s="114"/>
      <c r="AN139" s="114"/>
      <c r="AO139" s="114"/>
      <c r="AP139" s="114"/>
      <c r="AQ139" s="114"/>
      <c r="AR139" s="114"/>
    </row>
    <row r="140" ht="14.25" spans="1:44">
      <c r="A140" s="159"/>
      <c r="B140" s="114" t="s">
        <v>51</v>
      </c>
      <c r="C140" s="114"/>
      <c r="D140" s="114" t="s">
        <v>4306</v>
      </c>
      <c r="E140" s="114" t="s">
        <v>1867</v>
      </c>
      <c r="F140" s="114">
        <v>2009</v>
      </c>
      <c r="G140" s="152">
        <f t="shared" si="2"/>
        <v>2009</v>
      </c>
      <c r="H140" s="114" t="s">
        <v>1868</v>
      </c>
      <c r="I140" s="123" t="s">
        <v>4307</v>
      </c>
      <c r="J140" s="33">
        <v>787</v>
      </c>
      <c r="K140" s="124"/>
      <c r="L140" s="114" t="s">
        <v>49</v>
      </c>
      <c r="M140" s="114"/>
      <c r="N140" s="124"/>
      <c r="O140" s="114"/>
      <c r="P140" s="124"/>
      <c r="Q140" s="114"/>
      <c r="R140" s="124"/>
      <c r="S140" s="114"/>
      <c r="T140" s="114"/>
      <c r="U140" s="114"/>
      <c r="V140" s="114"/>
      <c r="W140" s="114"/>
      <c r="X140" s="114"/>
      <c r="Y140" s="114"/>
      <c r="Z140" s="164"/>
      <c r="AA140" s="114"/>
      <c r="AB140" s="114"/>
      <c r="AC140" s="114"/>
      <c r="AD140" s="114"/>
      <c r="AE140" s="114"/>
      <c r="AF140" s="114"/>
      <c r="AG140" s="114"/>
      <c r="AH140" s="114"/>
      <c r="AI140" s="114"/>
      <c r="AJ140" s="114"/>
      <c r="AK140" s="114"/>
      <c r="AL140" s="114"/>
      <c r="AM140" s="114"/>
      <c r="AN140" s="114"/>
      <c r="AO140" s="114"/>
      <c r="AP140" s="114"/>
      <c r="AQ140" s="114"/>
      <c r="AR140" s="114"/>
    </row>
    <row r="141" ht="14.25" spans="1:44">
      <c r="A141" s="159"/>
      <c r="B141" s="114" t="s">
        <v>434</v>
      </c>
      <c r="C141" s="114"/>
      <c r="D141" s="114" t="s">
        <v>1838</v>
      </c>
      <c r="E141" s="114" t="s">
        <v>1863</v>
      </c>
      <c r="F141" s="114">
        <v>2009</v>
      </c>
      <c r="G141" s="152">
        <f t="shared" si="2"/>
        <v>2009</v>
      </c>
      <c r="H141" s="114" t="s">
        <v>1864</v>
      </c>
      <c r="I141" s="114" t="s">
        <v>4308</v>
      </c>
      <c r="J141" s="33">
        <v>8913</v>
      </c>
      <c r="K141" s="124"/>
      <c r="L141" s="114" t="s">
        <v>454</v>
      </c>
      <c r="M141" s="114"/>
      <c r="N141" s="124"/>
      <c r="O141" s="114"/>
      <c r="P141" s="124"/>
      <c r="Q141" s="114"/>
      <c r="R141" s="124"/>
      <c r="S141" s="114"/>
      <c r="T141" s="114"/>
      <c r="U141" s="114"/>
      <c r="V141" s="114"/>
      <c r="W141" s="114"/>
      <c r="X141" s="114"/>
      <c r="Y141" s="114"/>
      <c r="Z141" s="164"/>
      <c r="AA141" s="114"/>
      <c r="AB141" s="114"/>
      <c r="AC141" s="114"/>
      <c r="AD141" s="114"/>
      <c r="AE141" s="114"/>
      <c r="AF141" s="114"/>
      <c r="AG141" s="114"/>
      <c r="AH141" s="114"/>
      <c r="AI141" s="114"/>
      <c r="AJ141" s="114"/>
      <c r="AK141" s="114"/>
      <c r="AL141" s="114"/>
      <c r="AM141" s="114"/>
      <c r="AN141" s="114"/>
      <c r="AO141" s="114"/>
      <c r="AP141" s="114"/>
      <c r="AQ141" s="114"/>
      <c r="AR141" s="114"/>
    </row>
    <row r="142" ht="14.25" spans="1:44">
      <c r="A142" s="114"/>
      <c r="B142" s="114" t="s">
        <v>1873</v>
      </c>
      <c r="C142" s="114"/>
      <c r="D142" s="114" t="s">
        <v>1874</v>
      </c>
      <c r="E142" s="114" t="s">
        <v>1875</v>
      </c>
      <c r="F142" s="114">
        <v>2009</v>
      </c>
      <c r="G142" s="152">
        <f t="shared" si="2"/>
        <v>2009</v>
      </c>
      <c r="H142" s="114" t="s">
        <v>1876</v>
      </c>
      <c r="I142" s="123" t="s">
        <v>4309</v>
      </c>
      <c r="J142" s="33">
        <v>2203</v>
      </c>
      <c r="K142" s="124"/>
      <c r="L142" s="114" t="s">
        <v>454</v>
      </c>
      <c r="M142" s="114"/>
      <c r="N142" s="124"/>
      <c r="O142" s="114"/>
      <c r="P142" s="124"/>
      <c r="Q142" s="114"/>
      <c r="R142" s="124"/>
      <c r="S142" s="114"/>
      <c r="T142" s="114"/>
      <c r="U142" s="114"/>
      <c r="V142" s="114"/>
      <c r="W142" s="114"/>
      <c r="X142" s="114"/>
      <c r="Y142" s="114"/>
      <c r="Z142" s="164"/>
      <c r="AA142" s="114"/>
      <c r="AB142" s="114"/>
      <c r="AC142" s="114"/>
      <c r="AD142" s="114"/>
      <c r="AE142" s="114"/>
      <c r="AF142" s="114"/>
      <c r="AG142" s="114"/>
      <c r="AH142" s="114"/>
      <c r="AI142" s="114"/>
      <c r="AJ142" s="114"/>
      <c r="AK142" s="114"/>
      <c r="AL142" s="114"/>
      <c r="AM142" s="114"/>
      <c r="AN142" s="114"/>
      <c r="AO142" s="114"/>
      <c r="AP142" s="114"/>
      <c r="AQ142" s="114"/>
      <c r="AR142" s="114"/>
    </row>
    <row r="143" ht="14.25" spans="1:44">
      <c r="A143" s="163" t="s">
        <v>2727</v>
      </c>
      <c r="B143" s="114" t="s">
        <v>51</v>
      </c>
      <c r="C143" s="114"/>
      <c r="D143" s="114"/>
      <c r="E143" s="114"/>
      <c r="F143" s="114">
        <v>2009</v>
      </c>
      <c r="G143" s="152">
        <f t="shared" si="2"/>
        <v>2009</v>
      </c>
      <c r="H143" s="114"/>
      <c r="I143" s="114"/>
      <c r="J143" s="33"/>
      <c r="K143" s="124"/>
      <c r="L143" s="114" t="s">
        <v>49</v>
      </c>
      <c r="M143" s="114"/>
      <c r="N143" s="124"/>
      <c r="O143" s="114"/>
      <c r="P143" s="193"/>
      <c r="Q143" s="114"/>
      <c r="R143" s="124"/>
      <c r="S143" s="114"/>
      <c r="T143" s="114"/>
      <c r="U143" s="114"/>
      <c r="V143" s="114"/>
      <c r="W143" s="114"/>
      <c r="X143" s="114"/>
      <c r="Y143" s="114"/>
      <c r="Z143" s="164"/>
      <c r="AA143" s="114"/>
      <c r="AB143" s="114"/>
      <c r="AC143" s="114"/>
      <c r="AD143" s="114"/>
      <c r="AE143" s="114"/>
      <c r="AF143" s="114"/>
      <c r="AG143" s="114"/>
      <c r="AH143" s="114"/>
      <c r="AI143" s="114"/>
      <c r="AJ143" s="114"/>
      <c r="AK143" s="114"/>
      <c r="AL143" s="114"/>
      <c r="AM143" s="114"/>
      <c r="AN143" s="114"/>
      <c r="AO143" s="114"/>
      <c r="AP143" s="114"/>
      <c r="AQ143" s="114"/>
      <c r="AR143" s="114"/>
    </row>
    <row r="144" ht="14.25" spans="1:44">
      <c r="A144" s="114"/>
      <c r="B144" s="114"/>
      <c r="C144" s="114"/>
      <c r="D144" s="114" t="s">
        <v>1392</v>
      </c>
      <c r="E144" s="114" t="s">
        <v>1833</v>
      </c>
      <c r="F144" s="114">
        <v>2009</v>
      </c>
      <c r="G144" s="152">
        <f t="shared" si="2"/>
        <v>2009</v>
      </c>
      <c r="H144" s="114" t="s">
        <v>1834</v>
      </c>
      <c r="I144" s="123" t="s">
        <v>4310</v>
      </c>
      <c r="J144" s="33">
        <v>2964</v>
      </c>
      <c r="K144" s="124"/>
      <c r="L144" s="114" t="s">
        <v>454</v>
      </c>
      <c r="M144" s="114"/>
      <c r="N144" s="124"/>
      <c r="O144" s="114"/>
      <c r="P144" s="124"/>
      <c r="Q144" s="114"/>
      <c r="R144" s="124"/>
      <c r="S144" s="114"/>
      <c r="T144" s="114"/>
      <c r="U144" s="114"/>
      <c r="V144" s="114"/>
      <c r="W144" s="114"/>
      <c r="X144" s="114"/>
      <c r="Y144" s="114"/>
      <c r="Z144" s="164"/>
      <c r="AA144" s="114"/>
      <c r="AB144" s="114"/>
      <c r="AC144" s="114"/>
      <c r="AD144" s="114"/>
      <c r="AE144" s="114"/>
      <c r="AF144" s="114"/>
      <c r="AG144" s="114"/>
      <c r="AH144" s="114"/>
      <c r="AI144" s="114"/>
      <c r="AJ144" s="114"/>
      <c r="AK144" s="114"/>
      <c r="AL144" s="114"/>
      <c r="AM144" s="114"/>
      <c r="AN144" s="114"/>
      <c r="AO144" s="114"/>
      <c r="AP144" s="114"/>
      <c r="AQ144" s="114"/>
      <c r="AR144" s="114"/>
    </row>
    <row r="145" ht="14.25" spans="1:44">
      <c r="A145" s="114"/>
      <c r="B145" s="114"/>
      <c r="C145" s="114"/>
      <c r="D145" s="114" t="s">
        <v>1882</v>
      </c>
      <c r="E145" s="114" t="s">
        <v>1883</v>
      </c>
      <c r="F145" s="114">
        <v>2009</v>
      </c>
      <c r="G145" s="152">
        <f t="shared" si="2"/>
        <v>2009</v>
      </c>
      <c r="H145" s="114" t="s">
        <v>1884</v>
      </c>
      <c r="I145" s="123" t="s">
        <v>4311</v>
      </c>
      <c r="J145" s="33">
        <v>9782</v>
      </c>
      <c r="K145" s="124"/>
      <c r="L145" s="114" t="s">
        <v>454</v>
      </c>
      <c r="M145" s="114"/>
      <c r="N145" s="124"/>
      <c r="O145" s="114"/>
      <c r="P145" s="124"/>
      <c r="Q145" s="114"/>
      <c r="R145" s="124"/>
      <c r="S145" s="114"/>
      <c r="T145" s="114"/>
      <c r="U145" s="114"/>
      <c r="V145" s="114"/>
      <c r="W145" s="114"/>
      <c r="X145" s="114"/>
      <c r="Y145" s="114"/>
      <c r="Z145" s="164"/>
      <c r="AA145" s="114"/>
      <c r="AB145" s="114"/>
      <c r="AC145" s="114"/>
      <c r="AD145" s="114"/>
      <c r="AE145" s="114"/>
      <c r="AF145" s="114"/>
      <c r="AG145" s="114"/>
      <c r="AH145" s="114"/>
      <c r="AI145" s="114"/>
      <c r="AJ145" s="114"/>
      <c r="AK145" s="114"/>
      <c r="AL145" s="114"/>
      <c r="AM145" s="114"/>
      <c r="AN145" s="114"/>
      <c r="AO145" s="114"/>
      <c r="AP145" s="114"/>
      <c r="AQ145" s="114"/>
      <c r="AR145" s="114"/>
    </row>
    <row r="146" ht="14.25" spans="1:44">
      <c r="A146" s="155" t="s">
        <v>1830</v>
      </c>
      <c r="B146" s="114"/>
      <c r="C146" s="114"/>
      <c r="D146" s="114"/>
      <c r="E146" s="114"/>
      <c r="F146" s="114">
        <v>2009</v>
      </c>
      <c r="G146" s="152">
        <f t="shared" si="2"/>
        <v>2009</v>
      </c>
      <c r="H146" s="114" t="s">
        <v>1830</v>
      </c>
      <c r="I146" s="123" t="s">
        <v>4312</v>
      </c>
      <c r="J146" s="172">
        <v>2666</v>
      </c>
      <c r="K146" s="124"/>
      <c r="L146" s="114" t="s">
        <v>454</v>
      </c>
      <c r="M146" s="114"/>
      <c r="N146" s="124"/>
      <c r="O146" s="114"/>
      <c r="P146" s="124"/>
      <c r="Q146" s="114"/>
      <c r="R146" s="124"/>
      <c r="S146" s="114"/>
      <c r="T146" s="114"/>
      <c r="U146" s="114"/>
      <c r="V146" s="114"/>
      <c r="W146" s="114"/>
      <c r="X146" s="114"/>
      <c r="Y146" s="114"/>
      <c r="Z146" s="164"/>
      <c r="AA146" s="114"/>
      <c r="AB146" s="114"/>
      <c r="AC146" s="114"/>
      <c r="AD146" s="114"/>
      <c r="AE146" s="114"/>
      <c r="AF146" s="114"/>
      <c r="AG146" s="114"/>
      <c r="AH146" s="114"/>
      <c r="AI146" s="114"/>
      <c r="AJ146" s="114"/>
      <c r="AK146" s="114"/>
      <c r="AL146" s="114"/>
      <c r="AM146" s="114"/>
      <c r="AN146" s="114"/>
      <c r="AO146" s="114"/>
      <c r="AP146" s="114"/>
      <c r="AQ146" s="114"/>
      <c r="AR146" s="114"/>
    </row>
    <row r="147" ht="14.25" spans="1:44">
      <c r="A147" s="156" t="s">
        <v>1826</v>
      </c>
      <c r="B147" s="114" t="s">
        <v>199</v>
      </c>
      <c r="C147" s="114"/>
      <c r="D147" s="114" t="s">
        <v>1392</v>
      </c>
      <c r="E147" s="114" t="s">
        <v>1827</v>
      </c>
      <c r="F147" s="153">
        <v>39979</v>
      </c>
      <c r="G147" s="152">
        <f t="shared" si="2"/>
        <v>9979</v>
      </c>
      <c r="H147" s="114" t="s">
        <v>1828</v>
      </c>
      <c r="I147" s="123" t="s">
        <v>1829</v>
      </c>
      <c r="J147" s="33">
        <v>789</v>
      </c>
      <c r="K147" s="124"/>
      <c r="L147" s="114" t="s">
        <v>49</v>
      </c>
      <c r="M147" s="114"/>
      <c r="N147" s="124">
        <v>100000000</v>
      </c>
      <c r="O147" s="124">
        <v>1000000000000000</v>
      </c>
      <c r="P147" s="124"/>
      <c r="Q147" s="114"/>
      <c r="R147" s="124"/>
      <c r="S147" s="114"/>
      <c r="T147" s="114"/>
      <c r="U147" s="114"/>
      <c r="V147" s="114"/>
      <c r="W147" s="114"/>
      <c r="X147" s="114"/>
      <c r="Y147" s="114"/>
      <c r="Z147" s="164"/>
      <c r="AA147" s="114"/>
      <c r="AB147" s="114"/>
      <c r="AC147" s="114"/>
      <c r="AD147" s="114"/>
      <c r="AE147" s="114"/>
      <c r="AF147" s="114"/>
      <c r="AG147" s="114"/>
      <c r="AH147" s="114"/>
      <c r="AI147" s="114"/>
      <c r="AJ147" s="114"/>
      <c r="AK147" s="114"/>
      <c r="AL147" s="114"/>
      <c r="AM147" s="114"/>
      <c r="AN147" s="114"/>
      <c r="AO147" s="114"/>
      <c r="AP147" s="114"/>
      <c r="AQ147" s="114"/>
      <c r="AR147" s="114"/>
    </row>
    <row r="148" ht="14.25" spans="1:44">
      <c r="A148" s="114" t="s">
        <v>1836</v>
      </c>
      <c r="B148" s="114" t="s">
        <v>434</v>
      </c>
      <c r="C148" s="114" t="s">
        <v>1837</v>
      </c>
      <c r="D148" s="114" t="s">
        <v>1838</v>
      </c>
      <c r="E148" s="114" t="s">
        <v>1839</v>
      </c>
      <c r="F148" s="169">
        <v>40026</v>
      </c>
      <c r="G148" s="152">
        <f t="shared" si="2"/>
        <v>26</v>
      </c>
      <c r="H148" s="114" t="s">
        <v>1840</v>
      </c>
      <c r="I148" s="123" t="s">
        <v>4313</v>
      </c>
      <c r="J148" s="33">
        <v>158</v>
      </c>
      <c r="K148" s="124"/>
      <c r="L148" s="114" t="s">
        <v>49</v>
      </c>
      <c r="M148" s="114"/>
      <c r="N148" s="124"/>
      <c r="O148" s="114"/>
      <c r="P148" s="124"/>
      <c r="Q148" s="114" t="s">
        <v>1842</v>
      </c>
      <c r="R148" s="124"/>
      <c r="S148" s="114"/>
      <c r="T148" s="114"/>
      <c r="U148" s="114"/>
      <c r="V148" s="114"/>
      <c r="W148" s="114"/>
      <c r="X148" s="114"/>
      <c r="Y148" s="114"/>
      <c r="Z148" s="164"/>
      <c r="AA148" s="114"/>
      <c r="AB148" s="114"/>
      <c r="AC148" s="114"/>
      <c r="AD148" s="114"/>
      <c r="AE148" s="114"/>
      <c r="AF148" s="114"/>
      <c r="AG148" s="114"/>
      <c r="AH148" s="114"/>
      <c r="AI148" s="114"/>
      <c r="AJ148" s="114"/>
      <c r="AK148" s="114"/>
      <c r="AL148" s="114"/>
      <c r="AM148" s="114"/>
      <c r="AN148" s="114"/>
      <c r="AO148" s="114"/>
      <c r="AP148" s="114"/>
      <c r="AQ148" s="114"/>
      <c r="AR148" s="114"/>
    </row>
    <row r="149" ht="14.25" spans="1:44">
      <c r="A149" s="159"/>
      <c r="B149" s="114" t="s">
        <v>51</v>
      </c>
      <c r="C149" s="114" t="s">
        <v>1845</v>
      </c>
      <c r="D149" s="114" t="s">
        <v>815</v>
      </c>
      <c r="E149" s="114" t="s">
        <v>1846</v>
      </c>
      <c r="F149" s="154">
        <v>40026</v>
      </c>
      <c r="G149" s="152">
        <f t="shared" si="2"/>
        <v>26</v>
      </c>
      <c r="H149" s="114" t="s">
        <v>1847</v>
      </c>
      <c r="I149" s="123" t="s">
        <v>4314</v>
      </c>
      <c r="J149" s="33">
        <v>253</v>
      </c>
      <c r="K149" s="124"/>
      <c r="L149" s="114" t="s">
        <v>49</v>
      </c>
      <c r="M149" s="114"/>
      <c r="N149" s="124">
        <f>4438*30</f>
        <v>133140</v>
      </c>
      <c r="O149" s="114"/>
      <c r="P149" s="124"/>
      <c r="Q149" s="114" t="s">
        <v>1849</v>
      </c>
      <c r="R149" s="34">
        <f>10.37*128</f>
        <v>1327.36</v>
      </c>
      <c r="S149" s="114"/>
      <c r="T149" s="114"/>
      <c r="U149" s="114"/>
      <c r="V149" s="114"/>
      <c r="W149" s="114"/>
      <c r="X149" s="114"/>
      <c r="Y149" s="114"/>
      <c r="Z149" s="164"/>
      <c r="AA149" s="114"/>
      <c r="AB149" s="114"/>
      <c r="AC149" s="114"/>
      <c r="AD149" s="114"/>
      <c r="AE149" s="114"/>
      <c r="AF149" s="114"/>
      <c r="AG149" s="114"/>
      <c r="AH149" s="114"/>
      <c r="AI149" s="114"/>
      <c r="AJ149" s="114"/>
      <c r="AK149" s="114"/>
      <c r="AL149" s="114"/>
      <c r="AM149" s="114"/>
      <c r="AN149" s="114"/>
      <c r="AO149" s="114"/>
      <c r="AP149" s="114"/>
      <c r="AQ149" s="114"/>
      <c r="AR149" s="114"/>
    </row>
    <row r="150" ht="14.25" spans="1:44">
      <c r="A150" s="159"/>
      <c r="B150" s="114" t="s">
        <v>51</v>
      </c>
      <c r="C150" s="114" t="s">
        <v>1845</v>
      </c>
      <c r="D150" s="114" t="s">
        <v>815</v>
      </c>
      <c r="E150" s="114" t="s">
        <v>1846</v>
      </c>
      <c r="F150" s="154">
        <v>40026</v>
      </c>
      <c r="G150" s="152">
        <f t="shared" si="2"/>
        <v>26</v>
      </c>
      <c r="H150" s="114" t="s">
        <v>1847</v>
      </c>
      <c r="I150" s="123" t="s">
        <v>4314</v>
      </c>
      <c r="J150" s="33">
        <v>253</v>
      </c>
      <c r="K150" s="124"/>
      <c r="L150" s="114" t="s">
        <v>49</v>
      </c>
      <c r="M150" s="114"/>
      <c r="N150" s="124">
        <f>8094*10</f>
        <v>80940</v>
      </c>
      <c r="O150" s="114"/>
      <c r="P150" s="124"/>
      <c r="Q150" s="114" t="s">
        <v>1849</v>
      </c>
      <c r="R150" s="34">
        <f>50*5.86</f>
        <v>293</v>
      </c>
      <c r="S150" s="114"/>
      <c r="T150" s="114"/>
      <c r="U150" s="114"/>
      <c r="V150" s="114"/>
      <c r="W150" s="114"/>
      <c r="X150" s="114"/>
      <c r="Y150" s="114"/>
      <c r="Z150" s="164"/>
      <c r="AA150" s="114"/>
      <c r="AB150" s="114"/>
      <c r="AC150" s="114"/>
      <c r="AD150" s="114"/>
      <c r="AE150" s="114"/>
      <c r="AF150" s="114"/>
      <c r="AG150" s="114"/>
      <c r="AH150" s="114"/>
      <c r="AI150" s="114"/>
      <c r="AJ150" s="114"/>
      <c r="AK150" s="114"/>
      <c r="AL150" s="114"/>
      <c r="AM150" s="114"/>
      <c r="AN150" s="114"/>
      <c r="AO150" s="114"/>
      <c r="AP150" s="114"/>
      <c r="AQ150" s="114"/>
      <c r="AR150" s="114"/>
    </row>
    <row r="151" ht="14.25" spans="1:44">
      <c r="A151" s="114"/>
      <c r="B151" s="114" t="s">
        <v>434</v>
      </c>
      <c r="C151" s="114" t="s">
        <v>1837</v>
      </c>
      <c r="D151" s="114" t="s">
        <v>1838</v>
      </c>
      <c r="E151" s="114" t="s">
        <v>1851</v>
      </c>
      <c r="F151" s="154">
        <v>40026</v>
      </c>
      <c r="G151" s="152">
        <f t="shared" si="2"/>
        <v>26</v>
      </c>
      <c r="H151" s="114" t="s">
        <v>1852</v>
      </c>
      <c r="I151" s="123" t="s">
        <v>4315</v>
      </c>
      <c r="J151" s="33">
        <v>507</v>
      </c>
      <c r="K151" s="124"/>
      <c r="L151" s="114" t="s">
        <v>49</v>
      </c>
      <c r="M151" s="114"/>
      <c r="N151" s="124"/>
      <c r="O151" s="114"/>
      <c r="P151" s="124"/>
      <c r="Q151" s="114" t="s">
        <v>1842</v>
      </c>
      <c r="R151" s="124"/>
      <c r="S151" s="114"/>
      <c r="T151" s="114"/>
      <c r="U151" s="114"/>
      <c r="V151" s="114"/>
      <c r="W151" s="114"/>
      <c r="X151" s="114"/>
      <c r="Y151" s="114"/>
      <c r="Z151" s="164"/>
      <c r="AA151" s="114"/>
      <c r="AB151" s="114"/>
      <c r="AC151" s="114"/>
      <c r="AD151" s="114"/>
      <c r="AE151" s="114"/>
      <c r="AF151" s="114"/>
      <c r="AG151" s="114"/>
      <c r="AH151" s="114"/>
      <c r="AI151" s="114"/>
      <c r="AJ151" s="114"/>
      <c r="AK151" s="114"/>
      <c r="AL151" s="114"/>
      <c r="AM151" s="114"/>
      <c r="AN151" s="114"/>
      <c r="AO151" s="114"/>
      <c r="AP151" s="114"/>
      <c r="AQ151" s="114"/>
      <c r="AR151" s="114"/>
    </row>
    <row r="152" ht="14.25" spans="1:44">
      <c r="A152" s="114"/>
      <c r="B152" s="114" t="s">
        <v>434</v>
      </c>
      <c r="C152" s="114" t="s">
        <v>1837</v>
      </c>
      <c r="D152" s="114" t="s">
        <v>1838</v>
      </c>
      <c r="E152" s="114" t="s">
        <v>1854</v>
      </c>
      <c r="F152" s="154">
        <v>40026</v>
      </c>
      <c r="G152" s="152">
        <f t="shared" si="2"/>
        <v>26</v>
      </c>
      <c r="H152" s="114" t="s">
        <v>1855</v>
      </c>
      <c r="I152" s="123" t="s">
        <v>4316</v>
      </c>
      <c r="J152" s="33">
        <v>211</v>
      </c>
      <c r="K152" s="124"/>
      <c r="L152" s="114" t="s">
        <v>49</v>
      </c>
      <c r="M152" s="114"/>
      <c r="N152" s="124"/>
      <c r="O152" s="114"/>
      <c r="P152" s="124"/>
      <c r="Q152" s="114" t="s">
        <v>1842</v>
      </c>
      <c r="R152" s="124"/>
      <c r="S152" s="114"/>
      <c r="T152" s="114"/>
      <c r="U152" s="114"/>
      <c r="V152" s="114"/>
      <c r="W152" s="114"/>
      <c r="X152" s="114"/>
      <c r="Y152" s="114"/>
      <c r="Z152" s="164"/>
      <c r="AA152" s="114"/>
      <c r="AB152" s="114"/>
      <c r="AC152" s="114"/>
      <c r="AD152" s="114"/>
      <c r="AE152" s="114"/>
      <c r="AF152" s="114"/>
      <c r="AG152" s="114"/>
      <c r="AH152" s="114"/>
      <c r="AI152" s="114"/>
      <c r="AJ152" s="114"/>
      <c r="AK152" s="114"/>
      <c r="AL152" s="114"/>
      <c r="AM152" s="114"/>
      <c r="AN152" s="114"/>
      <c r="AO152" s="114"/>
      <c r="AP152" s="114"/>
      <c r="AQ152" s="114"/>
      <c r="AR152" s="114"/>
    </row>
    <row r="153" ht="14.25" spans="1:44">
      <c r="A153" s="179"/>
      <c r="B153" s="179" t="s">
        <v>434</v>
      </c>
      <c r="C153" s="179" t="s">
        <v>1837</v>
      </c>
      <c r="D153" s="179" t="s">
        <v>1857</v>
      </c>
      <c r="E153" s="179" t="s">
        <v>1858</v>
      </c>
      <c r="F153" s="180">
        <v>40026</v>
      </c>
      <c r="G153" s="181">
        <f t="shared" si="2"/>
        <v>26</v>
      </c>
      <c r="H153" s="179" t="s">
        <v>1859</v>
      </c>
      <c r="I153" s="194" t="s">
        <v>4317</v>
      </c>
      <c r="J153" s="33">
        <v>111</v>
      </c>
      <c r="K153" s="195"/>
      <c r="L153" s="179" t="s">
        <v>49</v>
      </c>
      <c r="M153" s="179"/>
      <c r="N153" s="195"/>
      <c r="O153" s="179"/>
      <c r="P153" s="195"/>
      <c r="Q153" s="179" t="s">
        <v>1842</v>
      </c>
      <c r="R153" s="195"/>
      <c r="S153" s="179"/>
      <c r="T153" s="179"/>
      <c r="U153" s="179"/>
      <c r="V153" s="179"/>
      <c r="W153" s="179"/>
      <c r="X153" s="179"/>
      <c r="Y153" s="179"/>
      <c r="Z153" s="164"/>
      <c r="AA153" s="179"/>
      <c r="AB153" s="179"/>
      <c r="AC153" s="179"/>
      <c r="AD153" s="179"/>
      <c r="AE153" s="179"/>
      <c r="AF153" s="179"/>
      <c r="AG153" s="179"/>
      <c r="AH153" s="179"/>
      <c r="AI153" s="179"/>
      <c r="AJ153" s="179"/>
      <c r="AK153" s="179"/>
      <c r="AL153" s="179"/>
      <c r="AM153" s="179"/>
      <c r="AN153" s="179"/>
      <c r="AO153" s="179"/>
      <c r="AP153" s="179"/>
      <c r="AQ153" s="179"/>
      <c r="AR153" s="179"/>
    </row>
    <row r="154" ht="14.25" spans="1:44">
      <c r="A154" s="179"/>
      <c r="B154" s="179"/>
      <c r="C154" s="179"/>
      <c r="D154" s="179" t="s">
        <v>1882</v>
      </c>
      <c r="E154" s="179" t="s">
        <v>3772</v>
      </c>
      <c r="F154" s="179">
        <v>2010</v>
      </c>
      <c r="G154" s="181">
        <f t="shared" si="2"/>
        <v>2010</v>
      </c>
      <c r="H154" s="179" t="s">
        <v>3773</v>
      </c>
      <c r="I154" s="194" t="s">
        <v>4318</v>
      </c>
      <c r="J154" s="33">
        <v>2647</v>
      </c>
      <c r="K154" s="195"/>
      <c r="L154" s="179" t="s">
        <v>454</v>
      </c>
      <c r="M154" s="179"/>
      <c r="N154" s="195"/>
      <c r="O154" s="179"/>
      <c r="P154" s="195"/>
      <c r="Q154" s="179"/>
      <c r="R154" s="195"/>
      <c r="S154" s="179"/>
      <c r="T154" s="179"/>
      <c r="U154" s="179"/>
      <c r="V154" s="179"/>
      <c r="W154" s="179"/>
      <c r="X154" s="179"/>
      <c r="Y154" s="179"/>
      <c r="Z154" s="164"/>
      <c r="AA154" s="179"/>
      <c r="AB154" s="179"/>
      <c r="AC154" s="179"/>
      <c r="AD154" s="179"/>
      <c r="AE154" s="179"/>
      <c r="AF154" s="179"/>
      <c r="AG154" s="179"/>
      <c r="AH154" s="179"/>
      <c r="AI154" s="179"/>
      <c r="AJ154" s="179"/>
      <c r="AK154" s="179"/>
      <c r="AL154" s="179"/>
      <c r="AM154" s="179"/>
      <c r="AN154" s="179"/>
      <c r="AO154" s="179"/>
      <c r="AP154" s="179"/>
      <c r="AQ154" s="179"/>
      <c r="AR154" s="179"/>
    </row>
    <row r="155" ht="14.25" spans="1:44">
      <c r="A155" s="182" t="s">
        <v>1779</v>
      </c>
      <c r="B155" s="182" t="s">
        <v>41</v>
      </c>
      <c r="C155" s="182" t="s">
        <v>1780</v>
      </c>
      <c r="D155" s="182" t="s">
        <v>1882</v>
      </c>
      <c r="E155" s="182" t="s">
        <v>1781</v>
      </c>
      <c r="F155" s="182">
        <v>2010</v>
      </c>
      <c r="G155" s="183">
        <f t="shared" si="2"/>
        <v>2010</v>
      </c>
      <c r="H155" s="182" t="s">
        <v>1782</v>
      </c>
      <c r="I155" s="196" t="s">
        <v>4319</v>
      </c>
      <c r="J155" s="33">
        <v>13309</v>
      </c>
      <c r="K155" s="197"/>
      <c r="L155" s="182" t="s">
        <v>454</v>
      </c>
      <c r="M155" s="182"/>
      <c r="N155" s="197">
        <v>7082000</v>
      </c>
      <c r="O155" s="197">
        <v>350000000000000</v>
      </c>
      <c r="P155" s="197">
        <v>14000000</v>
      </c>
      <c r="Q155" s="182" t="s">
        <v>1647</v>
      </c>
      <c r="R155" s="197"/>
      <c r="S155" s="182"/>
      <c r="T155" s="182"/>
      <c r="U155" s="182"/>
      <c r="V155" s="182"/>
      <c r="W155" s="182"/>
      <c r="X155" s="182"/>
      <c r="Y155" s="182"/>
      <c r="Z155" s="164"/>
      <c r="AA155" s="182"/>
      <c r="AB155" s="182"/>
      <c r="AC155" s="182"/>
      <c r="AD155" s="182"/>
      <c r="AE155" s="182"/>
      <c r="AF155" s="182"/>
      <c r="AG155" s="182"/>
      <c r="AH155" s="182"/>
      <c r="AI155" s="182"/>
      <c r="AJ155" s="182"/>
      <c r="AK155" s="182"/>
      <c r="AL155" s="182"/>
      <c r="AM155" s="182"/>
      <c r="AN155" s="182"/>
      <c r="AO155" s="182"/>
      <c r="AP155" s="182"/>
      <c r="AQ155" s="182"/>
      <c r="AR155" s="182"/>
    </row>
    <row r="156" ht="14.25" spans="1:44">
      <c r="A156" s="184"/>
      <c r="B156" s="184"/>
      <c r="C156" s="184"/>
      <c r="D156" s="184" t="s">
        <v>1660</v>
      </c>
      <c r="E156" s="184" t="s">
        <v>1812</v>
      </c>
      <c r="F156" s="184">
        <v>2010</v>
      </c>
      <c r="G156" s="185">
        <f t="shared" si="2"/>
        <v>2010</v>
      </c>
      <c r="H156" s="184" t="s">
        <v>1813</v>
      </c>
      <c r="I156" s="198" t="s">
        <v>4320</v>
      </c>
      <c r="J156" s="33">
        <v>3335</v>
      </c>
      <c r="K156" s="199"/>
      <c r="L156" s="184" t="s">
        <v>454</v>
      </c>
      <c r="M156" s="184"/>
      <c r="N156" s="199"/>
      <c r="O156" s="184"/>
      <c r="P156" s="199"/>
      <c r="Q156" s="184"/>
      <c r="R156" s="199"/>
      <c r="S156" s="184"/>
      <c r="T156" s="184"/>
      <c r="U156" s="184"/>
      <c r="V156" s="184"/>
      <c r="W156" s="184"/>
      <c r="X156" s="184"/>
      <c r="Y156" s="184"/>
      <c r="Z156" s="164"/>
      <c r="AA156" s="184"/>
      <c r="AB156" s="184"/>
      <c r="AC156" s="184"/>
      <c r="AD156" s="184"/>
      <c r="AE156" s="184"/>
      <c r="AF156" s="184"/>
      <c r="AG156" s="184"/>
      <c r="AH156" s="184"/>
      <c r="AI156" s="184"/>
      <c r="AJ156" s="184"/>
      <c r="AK156" s="184"/>
      <c r="AL156" s="184"/>
      <c r="AM156" s="184"/>
      <c r="AN156" s="184"/>
      <c r="AO156" s="184"/>
      <c r="AP156" s="184"/>
      <c r="AQ156" s="184"/>
      <c r="AR156" s="184"/>
    </row>
    <row r="157" ht="14.25" spans="1:44">
      <c r="A157" s="182"/>
      <c r="B157" s="182" t="s">
        <v>41</v>
      </c>
      <c r="C157" s="182"/>
      <c r="D157" s="182" t="s">
        <v>1798</v>
      </c>
      <c r="E157" s="182" t="s">
        <v>1799</v>
      </c>
      <c r="F157" s="182">
        <v>2010</v>
      </c>
      <c r="G157" s="183">
        <f t="shared" si="2"/>
        <v>2010</v>
      </c>
      <c r="H157" s="182" t="s">
        <v>1800</v>
      </c>
      <c r="I157" s="196" t="s">
        <v>4321</v>
      </c>
      <c r="J157" s="33">
        <v>1314</v>
      </c>
      <c r="K157" s="197"/>
      <c r="L157" s="182" t="s">
        <v>454</v>
      </c>
      <c r="M157" s="182"/>
      <c r="N157" s="197"/>
      <c r="O157" s="182"/>
      <c r="P157" s="197"/>
      <c r="Q157" s="182"/>
      <c r="R157" s="197"/>
      <c r="S157" s="182"/>
      <c r="T157" s="182"/>
      <c r="U157" s="182"/>
      <c r="V157" s="182"/>
      <c r="W157" s="182"/>
      <c r="X157" s="182"/>
      <c r="Y157" s="182"/>
      <c r="Z157" s="164"/>
      <c r="AA157" s="182"/>
      <c r="AB157" s="182"/>
      <c r="AC157" s="182"/>
      <c r="AD157" s="182"/>
      <c r="AE157" s="182"/>
      <c r="AF157" s="182"/>
      <c r="AG157" s="182"/>
      <c r="AH157" s="182"/>
      <c r="AI157" s="182"/>
      <c r="AJ157" s="182"/>
      <c r="AK157" s="182"/>
      <c r="AL157" s="182"/>
      <c r="AM157" s="182"/>
      <c r="AN157" s="182"/>
      <c r="AO157" s="182"/>
      <c r="AP157" s="182"/>
      <c r="AQ157" s="182"/>
      <c r="AR157" s="182"/>
    </row>
    <row r="158" ht="14.25" spans="1:44">
      <c r="A158" s="184"/>
      <c r="B158" s="184"/>
      <c r="C158" s="184"/>
      <c r="D158" s="184" t="s">
        <v>1789</v>
      </c>
      <c r="E158" s="184" t="s">
        <v>1790</v>
      </c>
      <c r="F158" s="184">
        <v>2010</v>
      </c>
      <c r="G158" s="185">
        <f t="shared" si="2"/>
        <v>2010</v>
      </c>
      <c r="H158" s="184" t="s">
        <v>1791</v>
      </c>
      <c r="I158" s="198" t="s">
        <v>4322</v>
      </c>
      <c r="J158" s="33">
        <v>6232</v>
      </c>
      <c r="K158" s="199"/>
      <c r="L158" s="184" t="s">
        <v>454</v>
      </c>
      <c r="M158" s="184"/>
      <c r="N158" s="199"/>
      <c r="O158" s="184"/>
      <c r="P158" s="199"/>
      <c r="Q158" s="184"/>
      <c r="R158" s="199"/>
      <c r="S158" s="184"/>
      <c r="T158" s="184"/>
      <c r="U158" s="184"/>
      <c r="V158" s="184"/>
      <c r="W158" s="184"/>
      <c r="X158" s="184"/>
      <c r="Y158" s="184"/>
      <c r="Z158" s="164"/>
      <c r="AA158" s="184"/>
      <c r="AB158" s="184"/>
      <c r="AC158" s="184"/>
      <c r="AD158" s="184"/>
      <c r="AE158" s="184"/>
      <c r="AF158" s="184"/>
      <c r="AG158" s="184"/>
      <c r="AH158" s="184"/>
      <c r="AI158" s="184"/>
      <c r="AJ158" s="184"/>
      <c r="AK158" s="184"/>
      <c r="AL158" s="184"/>
      <c r="AM158" s="184"/>
      <c r="AN158" s="184"/>
      <c r="AO158" s="184"/>
      <c r="AP158" s="184"/>
      <c r="AQ158" s="184"/>
      <c r="AR158" s="184"/>
    </row>
    <row r="159" ht="14.25" spans="1:44">
      <c r="A159" s="182" t="s">
        <v>1771</v>
      </c>
      <c r="B159" s="182" t="s">
        <v>126</v>
      </c>
      <c r="C159" s="182" t="s">
        <v>1772</v>
      </c>
      <c r="D159" s="182" t="s">
        <v>1732</v>
      </c>
      <c r="E159" s="182" t="s">
        <v>1773</v>
      </c>
      <c r="F159" s="182">
        <v>2010</v>
      </c>
      <c r="G159" s="183">
        <f t="shared" si="2"/>
        <v>2010</v>
      </c>
      <c r="H159" s="182" t="s">
        <v>1774</v>
      </c>
      <c r="I159" s="196" t="s">
        <v>4323</v>
      </c>
      <c r="J159" s="33">
        <v>5665</v>
      </c>
      <c r="K159" s="197"/>
      <c r="L159" s="182" t="s">
        <v>454</v>
      </c>
      <c r="M159" s="182"/>
      <c r="N159" s="197">
        <f>100000*400+400*100000</f>
        <v>80000000</v>
      </c>
      <c r="O159" s="197">
        <f t="shared" ref="O159:O160" si="3">P159*3*R159*20</f>
        <v>6.144e+16</v>
      </c>
      <c r="P159" s="197">
        <f t="shared" ref="P159:P160" si="4">2*N159</f>
        <v>160000000</v>
      </c>
      <c r="Q159" s="182" t="s">
        <v>1776</v>
      </c>
      <c r="R159" s="197">
        <v>6400000</v>
      </c>
      <c r="S159" s="182"/>
      <c r="T159" s="182"/>
      <c r="U159" s="182"/>
      <c r="V159" s="182"/>
      <c r="W159" s="182"/>
      <c r="X159" s="182"/>
      <c r="Y159" s="182"/>
      <c r="Z159" s="164"/>
      <c r="AA159" s="182"/>
      <c r="AB159" s="182"/>
      <c r="AC159" s="182"/>
      <c r="AD159" s="182"/>
      <c r="AE159" s="182"/>
      <c r="AF159" s="182"/>
      <c r="AG159" s="182"/>
      <c r="AH159" s="182"/>
      <c r="AI159" s="182"/>
      <c r="AJ159" s="182"/>
      <c r="AK159" s="182"/>
      <c r="AL159" s="182"/>
      <c r="AM159" s="182"/>
      <c r="AN159" s="182"/>
      <c r="AO159" s="182"/>
      <c r="AP159" s="182"/>
      <c r="AQ159" s="182"/>
      <c r="AR159" s="182"/>
    </row>
    <row r="160" ht="14.25" spans="1:44">
      <c r="A160" s="184" t="s">
        <v>1777</v>
      </c>
      <c r="B160" s="184" t="s">
        <v>126</v>
      </c>
      <c r="C160" s="184" t="s">
        <v>1772</v>
      </c>
      <c r="D160" s="184" t="s">
        <v>1732</v>
      </c>
      <c r="E160" s="184" t="s">
        <v>1773</v>
      </c>
      <c r="F160" s="184">
        <v>2010</v>
      </c>
      <c r="G160" s="185">
        <f t="shared" si="2"/>
        <v>2010</v>
      </c>
      <c r="H160" s="184" t="s">
        <v>1774</v>
      </c>
      <c r="I160" s="198" t="s">
        <v>4323</v>
      </c>
      <c r="J160" s="33">
        <v>5665</v>
      </c>
      <c r="K160" s="199"/>
      <c r="L160" s="184" t="s">
        <v>454</v>
      </c>
      <c r="M160" s="184"/>
      <c r="N160" s="199">
        <f>(39+500)*500+500*10000</f>
        <v>5269500</v>
      </c>
      <c r="O160" s="199">
        <f t="shared" si="3"/>
        <v>3414636000000000</v>
      </c>
      <c r="P160" s="199">
        <f t="shared" si="4"/>
        <v>10539000</v>
      </c>
      <c r="Q160" s="186" t="s">
        <v>1778</v>
      </c>
      <c r="R160" s="199">
        <v>5400000</v>
      </c>
      <c r="S160" s="184"/>
      <c r="T160" s="184"/>
      <c r="U160" s="184"/>
      <c r="V160" s="184"/>
      <c r="W160" s="184"/>
      <c r="X160" s="184"/>
      <c r="Y160" s="184"/>
      <c r="Z160" s="164"/>
      <c r="AA160" s="184"/>
      <c r="AB160" s="184"/>
      <c r="AC160" s="184"/>
      <c r="AD160" s="184"/>
      <c r="AE160" s="184"/>
      <c r="AF160" s="184"/>
      <c r="AG160" s="184"/>
      <c r="AH160" s="184"/>
      <c r="AI160" s="184"/>
      <c r="AJ160" s="184"/>
      <c r="AK160" s="184"/>
      <c r="AL160" s="184"/>
      <c r="AM160" s="184"/>
      <c r="AN160" s="184"/>
      <c r="AO160" s="184"/>
      <c r="AP160" s="184"/>
      <c r="AQ160" s="184"/>
      <c r="AR160" s="184"/>
    </row>
    <row r="161" ht="14.25" spans="1:44">
      <c r="A161" s="182"/>
      <c r="B161" s="182" t="s">
        <v>41</v>
      </c>
      <c r="C161" s="182"/>
      <c r="D161" s="182" t="s">
        <v>1815</v>
      </c>
      <c r="E161" s="182" t="s">
        <v>1816</v>
      </c>
      <c r="F161" s="182">
        <v>2010</v>
      </c>
      <c r="G161" s="183">
        <f t="shared" si="2"/>
        <v>2010</v>
      </c>
      <c r="H161" s="182" t="s">
        <v>1817</v>
      </c>
      <c r="I161" s="196" t="s">
        <v>1818</v>
      </c>
      <c r="J161" s="33">
        <v>3062</v>
      </c>
      <c r="K161" s="197"/>
      <c r="L161" s="182" t="s">
        <v>454</v>
      </c>
      <c r="M161" s="182"/>
      <c r="N161" s="197"/>
      <c r="O161" s="182"/>
      <c r="P161" s="197"/>
      <c r="Q161" s="182"/>
      <c r="R161" s="197"/>
      <c r="S161" s="182"/>
      <c r="T161" s="182"/>
      <c r="U161" s="182"/>
      <c r="V161" s="182"/>
      <c r="W161" s="182"/>
      <c r="X161" s="182"/>
      <c r="Y161" s="182"/>
      <c r="Z161" s="164"/>
      <c r="AA161" s="182"/>
      <c r="AB161" s="182"/>
      <c r="AC161" s="182"/>
      <c r="AD161" s="182"/>
      <c r="AE161" s="182"/>
      <c r="AF161" s="182"/>
      <c r="AG161" s="182"/>
      <c r="AH161" s="182"/>
      <c r="AI161" s="182"/>
      <c r="AJ161" s="182"/>
      <c r="AK161" s="182"/>
      <c r="AL161" s="182"/>
      <c r="AM161" s="182"/>
      <c r="AN161" s="182"/>
      <c r="AO161" s="182"/>
      <c r="AP161" s="182"/>
      <c r="AQ161" s="182"/>
      <c r="AR161" s="182"/>
    </row>
    <row r="162" ht="14.25" spans="1:44">
      <c r="A162" s="155" t="s">
        <v>1784</v>
      </c>
      <c r="B162" s="184" t="s">
        <v>41</v>
      </c>
      <c r="C162" s="184" t="s">
        <v>1231</v>
      </c>
      <c r="D162" s="186" t="s">
        <v>1785</v>
      </c>
      <c r="E162" s="184" t="s">
        <v>1786</v>
      </c>
      <c r="F162" s="187">
        <v>40238</v>
      </c>
      <c r="G162" s="185">
        <f t="shared" si="2"/>
        <v>238</v>
      </c>
      <c r="H162" s="184" t="s">
        <v>1787</v>
      </c>
      <c r="I162" s="198" t="s">
        <v>1788</v>
      </c>
      <c r="J162" s="172">
        <v>1264</v>
      </c>
      <c r="K162" s="199"/>
      <c r="L162" s="184" t="s">
        <v>454</v>
      </c>
      <c r="M162" s="184"/>
      <c r="N162" s="199">
        <v>12110000</v>
      </c>
      <c r="O162" s="199">
        <f>N162*2*3*R162*30</f>
        <v>130788000000000</v>
      </c>
      <c r="P162" s="199"/>
      <c r="Q162" s="184" t="s">
        <v>1647</v>
      </c>
      <c r="R162" s="199">
        <v>60000</v>
      </c>
      <c r="S162" s="184"/>
      <c r="T162" s="184"/>
      <c r="U162" s="184"/>
      <c r="V162" s="184"/>
      <c r="W162" s="184"/>
      <c r="X162" s="184"/>
      <c r="Y162" s="184"/>
      <c r="Z162" s="164"/>
      <c r="AA162" s="184"/>
      <c r="AB162" s="184"/>
      <c r="AC162" s="184"/>
      <c r="AD162" s="184"/>
      <c r="AE162" s="184"/>
      <c r="AF162" s="184"/>
      <c r="AG162" s="184"/>
      <c r="AH162" s="184"/>
      <c r="AI162" s="184"/>
      <c r="AJ162" s="184"/>
      <c r="AK162" s="184"/>
      <c r="AL162" s="184"/>
      <c r="AM162" s="184"/>
      <c r="AN162" s="184"/>
      <c r="AO162" s="184"/>
      <c r="AP162" s="184"/>
      <c r="AQ162" s="184"/>
      <c r="AR162" s="184"/>
    </row>
    <row r="163" ht="14.25" spans="1:44">
      <c r="A163" s="182" t="s">
        <v>1793</v>
      </c>
      <c r="B163" s="182" t="s">
        <v>51</v>
      </c>
      <c r="C163" s="182"/>
      <c r="D163" s="182" t="s">
        <v>4324</v>
      </c>
      <c r="E163" s="182" t="s">
        <v>1795</v>
      </c>
      <c r="F163" s="188">
        <v>40330</v>
      </c>
      <c r="G163" s="183">
        <f t="shared" si="2"/>
        <v>330</v>
      </c>
      <c r="H163" s="182" t="s">
        <v>1796</v>
      </c>
      <c r="I163" s="196" t="s">
        <v>4325</v>
      </c>
      <c r="J163" s="33">
        <v>2510</v>
      </c>
      <c r="K163" s="197"/>
      <c r="L163" s="182" t="s">
        <v>454</v>
      </c>
      <c r="M163" s="182"/>
      <c r="N163" s="197"/>
      <c r="O163" s="182"/>
      <c r="P163" s="197"/>
      <c r="Q163" s="182"/>
      <c r="R163" s="197"/>
      <c r="S163" s="182"/>
      <c r="T163" s="182"/>
      <c r="U163" s="182"/>
      <c r="V163" s="182"/>
      <c r="W163" s="182"/>
      <c r="X163" s="182"/>
      <c r="Y163" s="182"/>
      <c r="Z163" s="164"/>
      <c r="AA163" s="182"/>
      <c r="AB163" s="182"/>
      <c r="AC163" s="182"/>
      <c r="AD163" s="182"/>
      <c r="AE163" s="182"/>
      <c r="AF163" s="182"/>
      <c r="AG163" s="182"/>
      <c r="AH163" s="182"/>
      <c r="AI163" s="182"/>
      <c r="AJ163" s="182"/>
      <c r="AK163" s="182"/>
      <c r="AL163" s="182"/>
      <c r="AM163" s="182"/>
      <c r="AN163" s="182"/>
      <c r="AO163" s="182"/>
      <c r="AP163" s="182"/>
      <c r="AQ163" s="182"/>
      <c r="AR163" s="182"/>
    </row>
    <row r="164" ht="14.25" spans="1:44">
      <c r="A164" s="155" t="s">
        <v>1802</v>
      </c>
      <c r="B164" s="184" t="s">
        <v>41</v>
      </c>
      <c r="C164" s="184"/>
      <c r="D164" s="184" t="s">
        <v>1622</v>
      </c>
      <c r="E164" s="184" t="s">
        <v>1803</v>
      </c>
      <c r="F164" s="187">
        <v>40342</v>
      </c>
      <c r="G164" s="185">
        <f t="shared" si="2"/>
        <v>342</v>
      </c>
      <c r="H164" s="184" t="s">
        <v>1804</v>
      </c>
      <c r="I164" s="198" t="s">
        <v>4326</v>
      </c>
      <c r="J164" s="33">
        <v>1516</v>
      </c>
      <c r="K164" s="199"/>
      <c r="L164" s="184" t="s">
        <v>454</v>
      </c>
      <c r="M164" s="184"/>
      <c r="N164" s="199"/>
      <c r="O164" s="184"/>
      <c r="P164" s="199"/>
      <c r="Q164" s="184"/>
      <c r="R164" s="199"/>
      <c r="S164" s="184"/>
      <c r="T164" s="184"/>
      <c r="U164" s="184"/>
      <c r="V164" s="184"/>
      <c r="W164" s="184"/>
      <c r="X164" s="205"/>
      <c r="Y164" s="184"/>
      <c r="Z164" s="164"/>
      <c r="AA164" s="184"/>
      <c r="AB164" s="184"/>
      <c r="AC164" s="184"/>
      <c r="AD164" s="184"/>
      <c r="AE164" s="184"/>
      <c r="AF164" s="184"/>
      <c r="AG164" s="184"/>
      <c r="AH164" s="184"/>
      <c r="AI164" s="184"/>
      <c r="AJ164" s="184"/>
      <c r="AK164" s="184"/>
      <c r="AL164" s="184"/>
      <c r="AM164" s="184"/>
      <c r="AN164" s="184"/>
      <c r="AO164" s="184"/>
      <c r="AP164" s="184"/>
      <c r="AQ164" s="184"/>
      <c r="AR164" s="184"/>
    </row>
    <row r="165" ht="14.25" spans="1:44">
      <c r="A165" s="155" t="s">
        <v>1806</v>
      </c>
      <c r="B165" s="182" t="s">
        <v>41</v>
      </c>
      <c r="C165" s="182" t="s">
        <v>821</v>
      </c>
      <c r="D165" s="182" t="s">
        <v>1267</v>
      </c>
      <c r="E165" s="182" t="s">
        <v>1807</v>
      </c>
      <c r="F165" s="188">
        <v>40344</v>
      </c>
      <c r="G165" s="183">
        <f t="shared" si="2"/>
        <v>344</v>
      </c>
      <c r="H165" s="182" t="s">
        <v>1808</v>
      </c>
      <c r="I165" s="196" t="s">
        <v>1809</v>
      </c>
      <c r="J165" s="33">
        <v>13997</v>
      </c>
      <c r="K165" s="197"/>
      <c r="L165" s="182" t="s">
        <v>454</v>
      </c>
      <c r="M165" s="182"/>
      <c r="N165" s="197">
        <f>(32*32*2+1)*4000+(4000+1)*2000+(2000+1)*58320/9720</f>
        <v>16210006</v>
      </c>
      <c r="O165" s="182"/>
      <c r="P165" s="197"/>
      <c r="Q165" s="182"/>
      <c r="R165" s="197">
        <v>291600</v>
      </c>
      <c r="S165" s="182"/>
      <c r="T165" s="182"/>
      <c r="U165" s="182"/>
      <c r="V165" s="182"/>
      <c r="W165" s="182"/>
      <c r="X165" s="204"/>
      <c r="Y165" s="182"/>
      <c r="Z165" s="164"/>
      <c r="AA165" s="182"/>
      <c r="AB165" s="182"/>
      <c r="AC165" s="182"/>
      <c r="AD165" s="182"/>
      <c r="AE165" s="182"/>
      <c r="AF165" s="182"/>
      <c r="AG165" s="182"/>
      <c r="AH165" s="182"/>
      <c r="AI165" s="182"/>
      <c r="AJ165" s="182"/>
      <c r="AK165" s="182"/>
      <c r="AL165" s="182"/>
      <c r="AM165" s="182"/>
      <c r="AN165" s="182"/>
      <c r="AO165" s="182"/>
      <c r="AP165" s="182"/>
      <c r="AQ165" s="182"/>
      <c r="AR165" s="182"/>
    </row>
    <row r="166" ht="14.25" spans="1:44">
      <c r="A166" s="184" t="s">
        <v>1810</v>
      </c>
      <c r="B166" s="184" t="s">
        <v>41</v>
      </c>
      <c r="C166" s="184" t="s">
        <v>1811</v>
      </c>
      <c r="D166" s="184" t="s">
        <v>1267</v>
      </c>
      <c r="E166" s="184" t="s">
        <v>1807</v>
      </c>
      <c r="F166" s="187">
        <v>40344</v>
      </c>
      <c r="G166" s="185">
        <f t="shared" si="2"/>
        <v>344</v>
      </c>
      <c r="H166" s="184" t="s">
        <v>1808</v>
      </c>
      <c r="I166" s="198" t="s">
        <v>1809</v>
      </c>
      <c r="J166" s="33">
        <v>13997</v>
      </c>
      <c r="K166" s="199"/>
      <c r="L166" s="184" t="s">
        <v>454</v>
      </c>
      <c r="M166" s="184"/>
      <c r="N166" s="199"/>
      <c r="O166" s="184"/>
      <c r="P166" s="199"/>
      <c r="Q166" s="184"/>
      <c r="R166" s="199"/>
      <c r="S166" s="184"/>
      <c r="T166" s="184"/>
      <c r="U166" s="184"/>
      <c r="V166" s="184"/>
      <c r="W166" s="184"/>
      <c r="X166" s="205"/>
      <c r="Y166" s="184"/>
      <c r="Z166" s="164"/>
      <c r="AA166" s="184"/>
      <c r="AB166" s="184"/>
      <c r="AC166" s="184"/>
      <c r="AD166" s="184"/>
      <c r="AE166" s="184"/>
      <c r="AF166" s="184"/>
      <c r="AG166" s="184"/>
      <c r="AH166" s="184"/>
      <c r="AI166" s="184"/>
      <c r="AJ166" s="184"/>
      <c r="AK166" s="184"/>
      <c r="AL166" s="184"/>
      <c r="AM166" s="184"/>
      <c r="AN166" s="184"/>
      <c r="AO166" s="184"/>
      <c r="AP166" s="184"/>
      <c r="AQ166" s="184"/>
      <c r="AR166" s="184"/>
    </row>
    <row r="167" ht="14.25" spans="1:44">
      <c r="A167" s="178"/>
      <c r="B167" s="182" t="s">
        <v>434</v>
      </c>
      <c r="C167" s="182"/>
      <c r="D167" s="182" t="s">
        <v>4327</v>
      </c>
      <c r="E167" s="182" t="s">
        <v>1819</v>
      </c>
      <c r="F167" s="188">
        <v>40447</v>
      </c>
      <c r="G167" s="183">
        <f t="shared" si="2"/>
        <v>447</v>
      </c>
      <c r="H167" s="182" t="s">
        <v>1820</v>
      </c>
      <c r="I167" s="196" t="s">
        <v>1821</v>
      </c>
      <c r="J167" s="33">
        <v>1074</v>
      </c>
      <c r="K167" s="197"/>
      <c r="L167" s="182" t="s">
        <v>454</v>
      </c>
      <c r="M167" s="182"/>
      <c r="N167" s="197"/>
      <c r="O167" s="182"/>
      <c r="P167" s="200"/>
      <c r="Q167" s="182"/>
      <c r="R167" s="197"/>
      <c r="S167" s="182"/>
      <c r="T167" s="182"/>
      <c r="U167" s="182"/>
      <c r="V167" s="182"/>
      <c r="W167" s="182"/>
      <c r="X167" s="204"/>
      <c r="Y167" s="182"/>
      <c r="Z167" s="164"/>
      <c r="AA167" s="182"/>
      <c r="AB167" s="182"/>
      <c r="AC167" s="182"/>
      <c r="AD167" s="182"/>
      <c r="AE167" s="182"/>
      <c r="AF167" s="182"/>
      <c r="AG167" s="182"/>
      <c r="AH167" s="182"/>
      <c r="AI167" s="182"/>
      <c r="AJ167" s="182"/>
      <c r="AK167" s="182"/>
      <c r="AL167" s="182"/>
      <c r="AM167" s="182"/>
      <c r="AN167" s="182"/>
      <c r="AO167" s="182"/>
      <c r="AP167" s="182"/>
      <c r="AQ167" s="182"/>
      <c r="AR167" s="182"/>
    </row>
    <row r="168" ht="14.25" spans="2:44">
      <c r="B168" s="184"/>
      <c r="C168" s="184"/>
      <c r="D168" s="184" t="s">
        <v>4328</v>
      </c>
      <c r="E168" s="184" t="s">
        <v>1726</v>
      </c>
      <c r="F168" s="184">
        <v>2011</v>
      </c>
      <c r="G168" s="185">
        <f t="shared" si="2"/>
        <v>2011</v>
      </c>
      <c r="H168" s="184" t="s">
        <v>1727</v>
      </c>
      <c r="I168" s="198" t="s">
        <v>4329</v>
      </c>
      <c r="J168" s="33">
        <v>2664</v>
      </c>
      <c r="K168" s="199"/>
      <c r="L168" s="184" t="s">
        <v>454</v>
      </c>
      <c r="M168" s="184"/>
      <c r="N168" s="199"/>
      <c r="O168" s="184"/>
      <c r="P168" s="201"/>
      <c r="Q168" s="184"/>
      <c r="R168" s="199"/>
      <c r="S168" s="184"/>
      <c r="T168" s="184"/>
      <c r="U168" s="184"/>
      <c r="V168" s="184"/>
      <c r="W168" s="184"/>
      <c r="X168" s="205"/>
      <c r="Y168" s="184"/>
      <c r="Z168" s="164"/>
      <c r="AA168" s="184"/>
      <c r="AB168" s="184"/>
      <c r="AC168" s="184"/>
      <c r="AD168" s="184"/>
      <c r="AE168" s="184"/>
      <c r="AF168" s="184"/>
      <c r="AG168" s="184"/>
      <c r="AH168" s="184"/>
      <c r="AI168" s="184"/>
      <c r="AJ168" s="184"/>
      <c r="AK168" s="184"/>
      <c r="AL168" s="184"/>
      <c r="AM168" s="184"/>
      <c r="AN168" s="184"/>
      <c r="AO168" s="184"/>
      <c r="AP168" s="184"/>
      <c r="AQ168" s="184"/>
      <c r="AR168" s="184"/>
    </row>
    <row r="169" ht="14.25" spans="1:44">
      <c r="A169" s="189"/>
      <c r="B169" s="182"/>
      <c r="C169" s="182"/>
      <c r="D169" s="182" t="s">
        <v>1656</v>
      </c>
      <c r="E169" s="182" t="s">
        <v>1729</v>
      </c>
      <c r="F169" s="182">
        <v>2011</v>
      </c>
      <c r="G169" s="183">
        <f t="shared" si="2"/>
        <v>2011</v>
      </c>
      <c r="H169" s="182" t="s">
        <v>1730</v>
      </c>
      <c r="I169" s="196" t="s">
        <v>1731</v>
      </c>
      <c r="J169" s="33">
        <v>7215</v>
      </c>
      <c r="K169" s="197"/>
      <c r="L169" s="182" t="s">
        <v>454</v>
      </c>
      <c r="M169" s="182"/>
      <c r="N169" s="197"/>
      <c r="O169" s="182"/>
      <c r="P169" s="202"/>
      <c r="Q169" s="182"/>
      <c r="R169" s="197"/>
      <c r="S169" s="182"/>
      <c r="T169" s="182"/>
      <c r="U169" s="182"/>
      <c r="V169" s="182"/>
      <c r="W169" s="182"/>
      <c r="X169" s="204"/>
      <c r="Y169" s="182"/>
      <c r="Z169" s="164"/>
      <c r="AA169" s="182"/>
      <c r="AB169" s="182"/>
      <c r="AC169" s="182"/>
      <c r="AD169" s="182"/>
      <c r="AE169" s="182"/>
      <c r="AF169" s="182"/>
      <c r="AG169" s="182"/>
      <c r="AH169" s="182"/>
      <c r="AI169" s="182"/>
      <c r="AJ169" s="182"/>
      <c r="AK169" s="182"/>
      <c r="AL169" s="182"/>
      <c r="AM169" s="182"/>
      <c r="AN169" s="182"/>
      <c r="AO169" s="182"/>
      <c r="AP169" s="182"/>
      <c r="AQ169" s="182"/>
      <c r="AR169" s="182"/>
    </row>
    <row r="170" ht="14.25" spans="1:44">
      <c r="A170" s="190"/>
      <c r="B170" s="184" t="s">
        <v>51</v>
      </c>
      <c r="C170" s="184"/>
      <c r="D170" s="184" t="s">
        <v>1822</v>
      </c>
      <c r="E170" s="184" t="s">
        <v>1823</v>
      </c>
      <c r="F170" s="184">
        <v>2011</v>
      </c>
      <c r="G170" s="185">
        <f t="shared" si="2"/>
        <v>2011</v>
      </c>
      <c r="H170" s="184" t="s">
        <v>1824</v>
      </c>
      <c r="I170" s="198" t="s">
        <v>1825</v>
      </c>
      <c r="J170" s="33">
        <v>2274</v>
      </c>
      <c r="K170" s="199"/>
      <c r="L170" s="184" t="s">
        <v>454</v>
      </c>
      <c r="M170" s="184"/>
      <c r="N170" s="199"/>
      <c r="O170" s="184"/>
      <c r="P170" s="201"/>
      <c r="Q170" s="184"/>
      <c r="R170" s="199"/>
      <c r="S170" s="184"/>
      <c r="T170" s="184"/>
      <c r="U170" s="184"/>
      <c r="V170" s="184"/>
      <c r="W170" s="184"/>
      <c r="X170" s="184"/>
      <c r="Y170" s="184"/>
      <c r="Z170" s="164"/>
      <c r="AA170" s="184"/>
      <c r="AB170" s="184"/>
      <c r="AC170" s="184"/>
      <c r="AD170" s="184"/>
      <c r="AE170" s="184"/>
      <c r="AF170" s="184"/>
      <c r="AG170" s="184"/>
      <c r="AH170" s="184"/>
      <c r="AI170" s="184"/>
      <c r="AJ170" s="184"/>
      <c r="AK170" s="184"/>
      <c r="AL170" s="184"/>
      <c r="AM170" s="184"/>
      <c r="AN170" s="184"/>
      <c r="AO170" s="184"/>
      <c r="AP170" s="184"/>
      <c r="AQ170" s="184"/>
      <c r="AR170" s="184"/>
    </row>
    <row r="171" ht="14.25" spans="1:44">
      <c r="A171" s="178"/>
      <c r="B171" s="182" t="s">
        <v>51</v>
      </c>
      <c r="C171" s="182" t="s">
        <v>1737</v>
      </c>
      <c r="D171" s="182" t="s">
        <v>1738</v>
      </c>
      <c r="E171" s="182" t="s">
        <v>1739</v>
      </c>
      <c r="F171" s="182">
        <v>2011</v>
      </c>
      <c r="G171" s="183">
        <f t="shared" si="2"/>
        <v>2011</v>
      </c>
      <c r="H171" s="182" t="s">
        <v>1740</v>
      </c>
      <c r="I171" s="196" t="s">
        <v>4330</v>
      </c>
      <c r="J171" s="33">
        <v>316</v>
      </c>
      <c r="K171" s="197"/>
      <c r="L171" s="182" t="s">
        <v>49</v>
      </c>
      <c r="M171" s="182"/>
      <c r="N171" s="197"/>
      <c r="O171" s="182"/>
      <c r="P171" s="202"/>
      <c r="Q171" s="182"/>
      <c r="R171" s="197"/>
      <c r="S171" s="182"/>
      <c r="T171" s="182"/>
      <c r="U171" s="182"/>
      <c r="V171" s="182" t="s">
        <v>1761</v>
      </c>
      <c r="W171" s="182"/>
      <c r="X171" s="182" t="s">
        <v>4331</v>
      </c>
      <c r="Y171" s="182"/>
      <c r="Z171" s="164"/>
      <c r="AA171" s="182"/>
      <c r="AB171" s="182"/>
      <c r="AC171" s="182"/>
      <c r="AD171" s="182"/>
      <c r="AE171" s="182"/>
      <c r="AF171" s="182"/>
      <c r="AG171" s="182"/>
      <c r="AH171" s="182"/>
      <c r="AI171" s="182"/>
      <c r="AJ171" s="182"/>
      <c r="AK171" s="182"/>
      <c r="AL171" s="182"/>
      <c r="AM171" s="182"/>
      <c r="AN171" s="182"/>
      <c r="AO171" s="182"/>
      <c r="AP171" s="182"/>
      <c r="AQ171" s="182"/>
      <c r="AR171" s="182"/>
    </row>
    <row r="172" ht="14.25" spans="1:44">
      <c r="A172" s="184" t="s">
        <v>1754</v>
      </c>
      <c r="B172" s="184" t="s">
        <v>41</v>
      </c>
      <c r="C172" s="184" t="s">
        <v>1755</v>
      </c>
      <c r="D172" s="184" t="s">
        <v>4332</v>
      </c>
      <c r="E172" s="184" t="s">
        <v>1757</v>
      </c>
      <c r="F172" s="184">
        <v>2011</v>
      </c>
      <c r="G172" s="185">
        <f t="shared" si="2"/>
        <v>2011</v>
      </c>
      <c r="H172" s="184" t="s">
        <v>1758</v>
      </c>
      <c r="I172" s="198" t="s">
        <v>1759</v>
      </c>
      <c r="J172" s="33">
        <v>1061</v>
      </c>
      <c r="K172" s="199"/>
      <c r="L172" s="184" t="s">
        <v>454</v>
      </c>
      <c r="M172" s="184"/>
      <c r="N172" s="199">
        <f>800*2*2+200*30+30+200*30+30</f>
        <v>15260</v>
      </c>
      <c r="O172" s="184"/>
      <c r="P172" s="203"/>
      <c r="Q172" s="184" t="s">
        <v>1760</v>
      </c>
      <c r="R172" s="199">
        <v>4652</v>
      </c>
      <c r="S172" s="184"/>
      <c r="T172" s="184"/>
      <c r="U172" s="184"/>
      <c r="V172" s="184"/>
      <c r="W172" s="184"/>
      <c r="X172" s="184"/>
      <c r="Y172" s="184"/>
      <c r="Z172" s="164"/>
      <c r="AA172" s="184"/>
      <c r="AB172" s="184"/>
      <c r="AC172" s="184"/>
      <c r="AD172" s="184"/>
      <c r="AE172" s="184"/>
      <c r="AF172" s="184"/>
      <c r="AG172" s="184"/>
      <c r="AH172" s="184"/>
      <c r="AI172" s="184"/>
      <c r="AJ172" s="184"/>
      <c r="AK172" s="184"/>
      <c r="AL172" s="184"/>
      <c r="AM172" s="184"/>
      <c r="AN172" s="184"/>
      <c r="AO172" s="184"/>
      <c r="AP172" s="184"/>
      <c r="AQ172" s="184"/>
      <c r="AR172" s="184"/>
    </row>
    <row r="173" ht="14.25" spans="1:44">
      <c r="A173" s="182"/>
      <c r="B173" s="182" t="s">
        <v>51</v>
      </c>
      <c r="C173" s="182"/>
      <c r="D173" s="182" t="s">
        <v>1732</v>
      </c>
      <c r="E173" s="182" t="s">
        <v>1733</v>
      </c>
      <c r="F173" s="182">
        <v>2011</v>
      </c>
      <c r="G173" s="183">
        <f t="shared" si="2"/>
        <v>2011</v>
      </c>
      <c r="H173" s="182" t="s">
        <v>1734</v>
      </c>
      <c r="I173" s="196" t="s">
        <v>1735</v>
      </c>
      <c r="J173" s="33">
        <v>1244</v>
      </c>
      <c r="K173" s="197"/>
      <c r="L173" s="182" t="s">
        <v>454</v>
      </c>
      <c r="M173" s="182"/>
      <c r="N173" s="197"/>
      <c r="O173" s="182"/>
      <c r="P173" s="200"/>
      <c r="Q173" s="182"/>
      <c r="R173" s="197"/>
      <c r="S173" s="182"/>
      <c r="T173" s="182"/>
      <c r="U173" s="182"/>
      <c r="V173" s="182"/>
      <c r="W173" s="182"/>
      <c r="X173" s="182"/>
      <c r="Y173" s="182"/>
      <c r="Z173" s="164"/>
      <c r="AA173" s="182"/>
      <c r="AB173" s="182"/>
      <c r="AC173" s="182"/>
      <c r="AD173" s="182"/>
      <c r="AE173" s="182"/>
      <c r="AF173" s="182"/>
      <c r="AG173" s="182"/>
      <c r="AH173" s="182"/>
      <c r="AI173" s="182"/>
      <c r="AJ173" s="182"/>
      <c r="AK173" s="182"/>
      <c r="AL173" s="182"/>
      <c r="AM173" s="182"/>
      <c r="AN173" s="182"/>
      <c r="AO173" s="182"/>
      <c r="AP173" s="182"/>
      <c r="AQ173" s="182"/>
      <c r="AR173" s="182"/>
    </row>
    <row r="174" ht="14.25" spans="1:44">
      <c r="A174" s="184"/>
      <c r="B174" s="184" t="s">
        <v>51</v>
      </c>
      <c r="C174" s="184"/>
      <c r="D174" s="184" t="s">
        <v>1392</v>
      </c>
      <c r="E174" s="184" t="s">
        <v>1742</v>
      </c>
      <c r="F174" s="184">
        <v>2011</v>
      </c>
      <c r="G174" s="185">
        <f t="shared" si="2"/>
        <v>2011</v>
      </c>
      <c r="H174" s="184" t="s">
        <v>1743</v>
      </c>
      <c r="I174" s="198" t="s">
        <v>4333</v>
      </c>
      <c r="J174" s="33">
        <v>1477</v>
      </c>
      <c r="K174" s="199"/>
      <c r="L174" s="184" t="s">
        <v>454</v>
      </c>
      <c r="M174" s="184"/>
      <c r="N174" s="199"/>
      <c r="O174" s="184"/>
      <c r="P174" s="203"/>
      <c r="Q174" s="184"/>
      <c r="R174" s="199"/>
      <c r="S174" s="184"/>
      <c r="T174" s="184"/>
      <c r="U174" s="184"/>
      <c r="V174" s="184"/>
      <c r="W174" s="184"/>
      <c r="X174" s="184"/>
      <c r="Y174" s="184"/>
      <c r="Z174" s="164"/>
      <c r="AA174" s="184"/>
      <c r="AB174" s="184"/>
      <c r="AC174" s="184"/>
      <c r="AD174" s="184"/>
      <c r="AE174" s="184"/>
      <c r="AF174" s="184"/>
      <c r="AG174" s="184"/>
      <c r="AH174" s="184"/>
      <c r="AI174" s="184"/>
      <c r="AJ174" s="184"/>
      <c r="AK174" s="184"/>
      <c r="AL174" s="184"/>
      <c r="AM174" s="184"/>
      <c r="AN174" s="184"/>
      <c r="AO174" s="184"/>
      <c r="AP174" s="184"/>
      <c r="AQ174" s="184"/>
      <c r="AR174" s="184"/>
    </row>
    <row r="175" ht="14.25" spans="1:44">
      <c r="A175" s="182"/>
      <c r="B175" s="182"/>
      <c r="C175" s="182"/>
      <c r="D175" s="182" t="s">
        <v>1750</v>
      </c>
      <c r="E175" s="182" t="s">
        <v>1751</v>
      </c>
      <c r="F175" s="182">
        <v>2011</v>
      </c>
      <c r="G175" s="183">
        <f t="shared" si="2"/>
        <v>2011</v>
      </c>
      <c r="H175" s="182" t="s">
        <v>1752</v>
      </c>
      <c r="I175" s="196" t="s">
        <v>4334</v>
      </c>
      <c r="J175" s="33">
        <v>8811</v>
      </c>
      <c r="K175" s="197"/>
      <c r="L175" s="182" t="s">
        <v>454</v>
      </c>
      <c r="M175" s="182"/>
      <c r="N175" s="197"/>
      <c r="O175" s="182"/>
      <c r="P175" s="197"/>
      <c r="Q175" s="182"/>
      <c r="R175" s="197"/>
      <c r="S175" s="182"/>
      <c r="T175" s="182"/>
      <c r="U175" s="182"/>
      <c r="V175" s="182"/>
      <c r="W175" s="182"/>
      <c r="X175" s="182"/>
      <c r="Y175" s="182"/>
      <c r="Z175" s="164"/>
      <c r="AA175" s="182"/>
      <c r="AB175" s="182"/>
      <c r="AC175" s="182"/>
      <c r="AD175" s="182"/>
      <c r="AE175" s="182"/>
      <c r="AF175" s="182"/>
      <c r="AG175" s="182"/>
      <c r="AH175" s="182"/>
      <c r="AI175" s="182"/>
      <c r="AJ175" s="182"/>
      <c r="AK175" s="182"/>
      <c r="AL175" s="182"/>
      <c r="AM175" s="182"/>
      <c r="AN175" s="182"/>
      <c r="AO175" s="182"/>
      <c r="AP175" s="182"/>
      <c r="AQ175" s="182"/>
      <c r="AR175" s="182"/>
    </row>
    <row r="176" ht="14.25" spans="1:44">
      <c r="A176" s="184"/>
      <c r="B176" s="184" t="s">
        <v>51</v>
      </c>
      <c r="C176" s="184"/>
      <c r="D176" s="184" t="s">
        <v>1763</v>
      </c>
      <c r="E176" s="184" t="s">
        <v>1764</v>
      </c>
      <c r="F176" s="184">
        <v>2011</v>
      </c>
      <c r="G176" s="185">
        <f t="shared" si="2"/>
        <v>2011</v>
      </c>
      <c r="H176" s="184" t="s">
        <v>1765</v>
      </c>
      <c r="I176" s="198" t="s">
        <v>1766</v>
      </c>
      <c r="J176" s="33">
        <v>7640</v>
      </c>
      <c r="K176" s="199"/>
      <c r="L176" s="184" t="s">
        <v>454</v>
      </c>
      <c r="M176" s="184"/>
      <c r="N176" s="199">
        <f>50*100000</f>
        <v>5000000</v>
      </c>
      <c r="P176" s="199"/>
      <c r="Q176" s="184"/>
      <c r="R176" s="199">
        <v>852000000</v>
      </c>
      <c r="S176" s="184"/>
      <c r="T176" s="184"/>
      <c r="U176" s="184"/>
      <c r="V176" s="184"/>
      <c r="W176" s="184"/>
      <c r="X176" s="184" t="s">
        <v>4335</v>
      </c>
      <c r="Y176" s="184"/>
      <c r="Z176" s="164"/>
      <c r="AA176" s="184"/>
      <c r="AB176" s="184"/>
      <c r="AC176" s="184"/>
      <c r="AD176" s="184"/>
      <c r="AE176" s="184"/>
      <c r="AF176" s="184"/>
      <c r="AG176" s="184"/>
      <c r="AH176" s="184"/>
      <c r="AI176" s="184"/>
      <c r="AJ176" s="184"/>
      <c r="AK176" s="184"/>
      <c r="AL176" s="184"/>
      <c r="AM176" s="184"/>
      <c r="AN176" s="184"/>
      <c r="AO176" s="184"/>
      <c r="AP176" s="184"/>
      <c r="AQ176" s="184"/>
      <c r="AR176" s="184"/>
    </row>
    <row r="177" ht="14.25" spans="1:44">
      <c r="A177" s="182"/>
      <c r="B177" s="182" t="s">
        <v>256</v>
      </c>
      <c r="C177" s="182"/>
      <c r="D177" s="171" t="s">
        <v>1746</v>
      </c>
      <c r="E177" s="182" t="s">
        <v>1747</v>
      </c>
      <c r="F177" s="182">
        <v>2011</v>
      </c>
      <c r="G177" s="183">
        <f t="shared" si="2"/>
        <v>2011</v>
      </c>
      <c r="H177" s="182" t="s">
        <v>1748</v>
      </c>
      <c r="I177" s="196" t="s">
        <v>4336</v>
      </c>
      <c r="J177" s="33">
        <v>86</v>
      </c>
      <c r="K177" s="197"/>
      <c r="L177" s="182" t="s">
        <v>49</v>
      </c>
      <c r="M177" s="182"/>
      <c r="N177" s="197">
        <f>1*25*25+3*25*25+2*25*25+2*25*25+2*25*25+10*25*25+25*25</f>
        <v>13125</v>
      </c>
      <c r="P177" s="197"/>
      <c r="Q177" s="182"/>
      <c r="R177" s="197"/>
      <c r="S177" s="182"/>
      <c r="T177" s="182"/>
      <c r="U177" s="182"/>
      <c r="V177" s="182"/>
      <c r="W177" s="182"/>
      <c r="X177" s="182"/>
      <c r="Y177" s="182"/>
      <c r="Z177" s="164"/>
      <c r="AA177" s="182"/>
      <c r="AB177" s="182"/>
      <c r="AC177" s="182"/>
      <c r="AD177" s="182"/>
      <c r="AE177" s="182"/>
      <c r="AF177" s="182"/>
      <c r="AG177" s="182"/>
      <c r="AH177" s="182"/>
      <c r="AI177" s="182"/>
      <c r="AJ177" s="182"/>
      <c r="AK177" s="182"/>
      <c r="AL177" s="182"/>
      <c r="AM177" s="182"/>
      <c r="AN177" s="182"/>
      <c r="AO177" s="182"/>
      <c r="AP177" s="182"/>
      <c r="AQ177" s="182"/>
      <c r="AR177" s="182"/>
    </row>
    <row r="178" ht="14.25" spans="1:44">
      <c r="A178" s="190"/>
      <c r="B178" s="184"/>
      <c r="C178" s="184"/>
      <c r="D178" s="184" t="s">
        <v>1767</v>
      </c>
      <c r="E178" s="184" t="s">
        <v>1768</v>
      </c>
      <c r="F178" s="187">
        <v>40722</v>
      </c>
      <c r="G178" s="185">
        <f t="shared" si="2"/>
        <v>722</v>
      </c>
      <c r="H178" s="184" t="s">
        <v>1769</v>
      </c>
      <c r="I178" s="198" t="s">
        <v>1770</v>
      </c>
      <c r="J178" s="33">
        <v>2124</v>
      </c>
      <c r="K178" s="199"/>
      <c r="L178" s="184" t="s">
        <v>454</v>
      </c>
      <c r="M178" s="184"/>
      <c r="N178" s="199"/>
      <c r="O178" s="184"/>
      <c r="P178" s="199"/>
      <c r="Q178" s="184"/>
      <c r="R178" s="199"/>
      <c r="S178" s="184"/>
      <c r="T178" s="184"/>
      <c r="U178" s="184"/>
      <c r="V178" s="184"/>
      <c r="W178" s="184"/>
      <c r="X178" s="184"/>
      <c r="Y178" s="184"/>
      <c r="Z178" s="164"/>
      <c r="AA178" s="184"/>
      <c r="AB178" s="184"/>
      <c r="AC178" s="184"/>
      <c r="AD178" s="184"/>
      <c r="AE178" s="184"/>
      <c r="AF178" s="184"/>
      <c r="AG178" s="184"/>
      <c r="AH178" s="184"/>
      <c r="AI178" s="184"/>
      <c r="AJ178" s="184"/>
      <c r="AK178" s="184"/>
      <c r="AL178" s="184"/>
      <c r="AM178" s="184"/>
      <c r="AN178" s="184"/>
      <c r="AO178" s="184"/>
      <c r="AP178" s="184"/>
      <c r="AQ178" s="184"/>
      <c r="AR178" s="184"/>
    </row>
    <row r="179" ht="15" spans="1:44">
      <c r="A179" s="182"/>
      <c r="B179" s="182" t="s">
        <v>51</v>
      </c>
      <c r="C179" s="182"/>
      <c r="D179" s="182" t="s">
        <v>4337</v>
      </c>
      <c r="E179" s="191" t="s">
        <v>4338</v>
      </c>
      <c r="F179" s="182">
        <v>2012</v>
      </c>
      <c r="G179" s="183">
        <f t="shared" si="2"/>
        <v>2012</v>
      </c>
      <c r="H179" s="182" t="s">
        <v>1714</v>
      </c>
      <c r="I179" s="196" t="s">
        <v>1715</v>
      </c>
      <c r="J179" s="33">
        <v>489</v>
      </c>
      <c r="K179" s="197"/>
      <c r="L179" s="182" t="s">
        <v>49</v>
      </c>
      <c r="M179" s="182"/>
      <c r="N179" s="197"/>
      <c r="O179" s="182"/>
      <c r="P179" s="197"/>
      <c r="Q179" s="182"/>
      <c r="R179" s="197"/>
      <c r="S179" s="182"/>
      <c r="T179" s="182"/>
      <c r="U179" s="182"/>
      <c r="V179" s="182"/>
      <c r="W179" s="182"/>
      <c r="X179" s="182"/>
      <c r="Y179" s="182"/>
      <c r="Z179" s="164"/>
      <c r="AA179" s="182"/>
      <c r="AB179" s="182"/>
      <c r="AC179" s="182"/>
      <c r="AD179" s="182"/>
      <c r="AE179" s="182"/>
      <c r="AF179" s="182"/>
      <c r="AG179" s="182"/>
      <c r="AH179" s="182"/>
      <c r="AI179" s="182"/>
      <c r="AJ179" s="182"/>
      <c r="AK179" s="182"/>
      <c r="AL179" s="182"/>
      <c r="AM179" s="182"/>
      <c r="AN179" s="182"/>
      <c r="AO179" s="182"/>
      <c r="AP179" s="182"/>
      <c r="AQ179" s="182"/>
      <c r="AR179" s="182"/>
    </row>
    <row r="180" ht="14.25" spans="1:44">
      <c r="A180" s="184"/>
      <c r="B180" s="184"/>
      <c r="C180" s="184"/>
      <c r="D180" s="184" t="s">
        <v>4339</v>
      </c>
      <c r="E180" s="184" t="s">
        <v>1710</v>
      </c>
      <c r="F180" s="184">
        <v>2012</v>
      </c>
      <c r="G180" s="185">
        <f t="shared" si="2"/>
        <v>2012</v>
      </c>
      <c r="H180" s="184" t="s">
        <v>1711</v>
      </c>
      <c r="I180" s="198" t="s">
        <v>1712</v>
      </c>
      <c r="J180" s="33">
        <v>7138</v>
      </c>
      <c r="K180" s="199"/>
      <c r="L180" s="184" t="s">
        <v>454</v>
      </c>
      <c r="M180" s="184"/>
      <c r="N180" s="199"/>
      <c r="O180" s="184"/>
      <c r="P180" s="199"/>
      <c r="Q180" s="184"/>
      <c r="R180" s="199"/>
      <c r="S180" s="184"/>
      <c r="T180" s="184"/>
      <c r="U180" s="184"/>
      <c r="V180" s="184"/>
      <c r="W180" s="184"/>
      <c r="X180" s="184"/>
      <c r="Y180" s="184"/>
      <c r="Z180" s="164"/>
      <c r="AA180" s="184"/>
      <c r="AB180" s="184"/>
      <c r="AC180" s="184"/>
      <c r="AD180" s="184"/>
      <c r="AE180" s="184"/>
      <c r="AF180" s="184"/>
      <c r="AG180" s="184"/>
      <c r="AH180" s="184"/>
      <c r="AI180" s="184"/>
      <c r="AJ180" s="184"/>
      <c r="AK180" s="184"/>
      <c r="AL180" s="184"/>
      <c r="AM180" s="184"/>
      <c r="AN180" s="184"/>
      <c r="AO180" s="184"/>
      <c r="AP180" s="184"/>
      <c r="AQ180" s="184"/>
      <c r="AR180" s="184"/>
    </row>
    <row r="181" ht="14.25" spans="1:44">
      <c r="A181" s="192" t="s">
        <v>1693</v>
      </c>
      <c r="B181" s="182" t="s">
        <v>41</v>
      </c>
      <c r="C181" s="182" t="s">
        <v>176</v>
      </c>
      <c r="D181" s="182" t="s">
        <v>1267</v>
      </c>
      <c r="E181" s="182" t="s">
        <v>1694</v>
      </c>
      <c r="F181" s="182">
        <v>2012</v>
      </c>
      <c r="G181" s="183">
        <f t="shared" si="2"/>
        <v>2012</v>
      </c>
      <c r="H181" s="182" t="s">
        <v>1695</v>
      </c>
      <c r="I181" s="196" t="s">
        <v>1696</v>
      </c>
      <c r="J181" s="33">
        <v>85134</v>
      </c>
      <c r="K181" s="197"/>
      <c r="L181" s="182" t="s">
        <v>454</v>
      </c>
      <c r="M181" s="182">
        <v>8</v>
      </c>
      <c r="N181" s="197">
        <v>60000000</v>
      </c>
      <c r="O181" s="182">
        <f>470*1000000000000000</f>
        <v>4.7e+17</v>
      </c>
      <c r="P181" s="197"/>
      <c r="Q181" s="182"/>
      <c r="R181" s="197"/>
      <c r="S181" s="182"/>
      <c r="T181" s="182"/>
      <c r="U181" s="182"/>
      <c r="V181" s="182"/>
      <c r="W181" s="182"/>
      <c r="X181" s="182" t="s">
        <v>4340</v>
      </c>
      <c r="Y181" s="182"/>
      <c r="Z181" s="166" t="s">
        <v>34</v>
      </c>
      <c r="AA181" s="182"/>
      <c r="AB181" s="182"/>
      <c r="AC181" s="182"/>
      <c r="AD181" s="182"/>
      <c r="AE181" s="182"/>
      <c r="AF181" s="182"/>
      <c r="AG181" s="182"/>
      <c r="AH181" s="182"/>
      <c r="AI181" s="182"/>
      <c r="AJ181" s="182"/>
      <c r="AK181" s="182"/>
      <c r="AL181" s="182"/>
      <c r="AM181" s="182"/>
      <c r="AN181" s="182"/>
      <c r="AO181" s="182"/>
      <c r="AP181" s="182"/>
      <c r="AQ181" s="182"/>
      <c r="AR181" s="182"/>
    </row>
    <row r="182" ht="14.25" spans="1:44">
      <c r="A182" s="184" t="s">
        <v>1716</v>
      </c>
      <c r="B182" s="184" t="s">
        <v>51</v>
      </c>
      <c r="C182" s="184" t="s">
        <v>1010</v>
      </c>
      <c r="D182" s="184" t="s">
        <v>1392</v>
      </c>
      <c r="E182" s="184" t="s">
        <v>1717</v>
      </c>
      <c r="F182" s="184">
        <v>2012</v>
      </c>
      <c r="G182" s="185">
        <f t="shared" si="2"/>
        <v>2012</v>
      </c>
      <c r="H182" s="184" t="s">
        <v>1718</v>
      </c>
      <c r="I182" s="198" t="s">
        <v>1719</v>
      </c>
      <c r="J182" s="33">
        <v>1459</v>
      </c>
      <c r="K182" s="199"/>
      <c r="L182" s="184" t="s">
        <v>454</v>
      </c>
      <c r="M182" s="184"/>
      <c r="N182" s="199">
        <f>10000*(50+50*3+3*50)+50*2*50+50*2*50+(50+1)*5</f>
        <v>3510255</v>
      </c>
      <c r="O182" s="184"/>
      <c r="P182" s="199"/>
      <c r="Q182" s="184"/>
      <c r="R182" s="199"/>
      <c r="S182" s="184"/>
      <c r="T182" s="184"/>
      <c r="U182" s="184"/>
      <c r="V182" s="184"/>
      <c r="W182" s="184"/>
      <c r="X182" s="184"/>
      <c r="Y182" s="184"/>
      <c r="Z182" s="164"/>
      <c r="AA182" s="184"/>
      <c r="AB182" s="184"/>
      <c r="AC182" s="184"/>
      <c r="AD182" s="184"/>
      <c r="AE182" s="184"/>
      <c r="AF182" s="184"/>
      <c r="AG182" s="184"/>
      <c r="AH182" s="184"/>
      <c r="AI182" s="184"/>
      <c r="AJ182" s="184"/>
      <c r="AK182" s="184"/>
      <c r="AL182" s="184"/>
      <c r="AM182" s="184"/>
      <c r="AN182" s="184"/>
      <c r="AO182" s="184"/>
      <c r="AP182" s="184"/>
      <c r="AQ182" s="184"/>
      <c r="AR182" s="184"/>
    </row>
    <row r="183" ht="14.25" spans="1:44">
      <c r="A183" s="182" t="s">
        <v>1701</v>
      </c>
      <c r="B183" s="182" t="s">
        <v>41</v>
      </c>
      <c r="C183" s="182" t="s">
        <v>1231</v>
      </c>
      <c r="D183" s="182" t="s">
        <v>1628</v>
      </c>
      <c r="E183" s="182" t="s">
        <v>1702</v>
      </c>
      <c r="F183" s="188">
        <v>40952</v>
      </c>
      <c r="G183" s="183">
        <f t="shared" si="2"/>
        <v>952</v>
      </c>
      <c r="H183" s="182" t="s">
        <v>1703</v>
      </c>
      <c r="I183" s="196" t="s">
        <v>1704</v>
      </c>
      <c r="J183" s="33">
        <v>4828</v>
      </c>
      <c r="K183" s="197"/>
      <c r="L183" s="182" t="s">
        <v>454</v>
      </c>
      <c r="M183" s="182">
        <v>3</v>
      </c>
      <c r="N183" s="197">
        <f>35*(20*4*4+40*5*5+(40*3*3+1)*150+(150+1)*10)</f>
        <v>1994300</v>
      </c>
      <c r="O183" s="197">
        <f>35*(26*26*20*(4*4+1)+9*9*40*(5*5+1)+(3*3*40+1)*150+(150+1)*10)*2*3*800*60000</f>
        <v>3726979200000000</v>
      </c>
      <c r="P183" s="197">
        <f>35*(26*26*20*(4*4+1)+9*9*40*(5*5+1)+(3*3*40+1)*150+(150+1)*10)*2</f>
        <v>25881800</v>
      </c>
      <c r="Q183" s="182" t="s">
        <v>1647</v>
      </c>
      <c r="R183" s="197">
        <v>60000</v>
      </c>
      <c r="S183" s="182">
        <f>14*35</f>
        <v>490</v>
      </c>
      <c r="T183" s="182"/>
      <c r="U183" s="182">
        <f t="shared" ref="U183:U184" si="5">21/1000</f>
        <v>0.021</v>
      </c>
      <c r="V183" s="182"/>
      <c r="W183" s="182"/>
      <c r="X183" s="206"/>
      <c r="Y183" s="182"/>
      <c r="Z183" s="164"/>
      <c r="AA183" s="182"/>
      <c r="AB183" s="182"/>
      <c r="AC183" s="182"/>
      <c r="AD183" s="182"/>
      <c r="AE183" s="182"/>
      <c r="AF183" s="182"/>
      <c r="AG183" s="182"/>
      <c r="AH183" s="182"/>
      <c r="AI183" s="182"/>
      <c r="AJ183" s="182"/>
      <c r="AK183" s="182"/>
      <c r="AL183" s="182"/>
      <c r="AM183" s="182"/>
      <c r="AN183" s="182"/>
      <c r="AO183" s="182"/>
      <c r="AP183" s="182"/>
      <c r="AQ183" s="182"/>
      <c r="AR183" s="182"/>
    </row>
    <row r="184" ht="14.25" spans="1:44">
      <c r="A184" s="184" t="s">
        <v>1697</v>
      </c>
      <c r="B184" s="184" t="s">
        <v>41</v>
      </c>
      <c r="C184" s="184" t="s">
        <v>1231</v>
      </c>
      <c r="D184" s="184" t="s">
        <v>1267</v>
      </c>
      <c r="E184" s="184" t="s">
        <v>1698</v>
      </c>
      <c r="F184" s="187">
        <v>41063</v>
      </c>
      <c r="G184" s="185">
        <f t="shared" si="2"/>
        <v>1063</v>
      </c>
      <c r="H184" s="184" t="s">
        <v>1699</v>
      </c>
      <c r="I184" s="198" t="s">
        <v>1700</v>
      </c>
      <c r="J184" s="33">
        <v>6680</v>
      </c>
      <c r="K184" s="199"/>
      <c r="L184" s="184" t="s">
        <v>454</v>
      </c>
      <c r="M184" s="184">
        <v>2</v>
      </c>
      <c r="N184" s="199">
        <f>(28*28+1)*2000+(2000+1)*2000+(2000+1)*10</f>
        <v>5592010</v>
      </c>
      <c r="O184" s="199">
        <f>((28*28+1)*2000+(2000+1)*2000+(2000+1)*10)*2*3*3000*60000</f>
        <v>6039370800000000</v>
      </c>
      <c r="P184" s="199">
        <f>((28*28+1)*2000+(2000+1)*2000+(2000+1)*10)*2</f>
        <v>11184020</v>
      </c>
      <c r="Q184" s="184" t="s">
        <v>1647</v>
      </c>
      <c r="R184" s="199">
        <v>60000</v>
      </c>
      <c r="S184" s="184"/>
      <c r="T184" s="184"/>
      <c r="U184" s="184">
        <f t="shared" si="5"/>
        <v>0.021</v>
      </c>
      <c r="V184" s="184"/>
      <c r="W184" s="184"/>
      <c r="X184" s="207"/>
      <c r="Y184" s="184"/>
      <c r="Z184" s="166" t="s">
        <v>34</v>
      </c>
      <c r="AA184" s="184"/>
      <c r="AB184" s="184"/>
      <c r="AC184" s="184"/>
      <c r="AD184" s="184"/>
      <c r="AE184" s="184"/>
      <c r="AF184" s="184"/>
      <c r="AG184" s="184"/>
      <c r="AH184" s="184"/>
      <c r="AI184" s="184"/>
      <c r="AJ184" s="184"/>
      <c r="AK184" s="184"/>
      <c r="AL184" s="184"/>
      <c r="AM184" s="184"/>
      <c r="AN184" s="184"/>
      <c r="AO184" s="184"/>
      <c r="AP184" s="184"/>
      <c r="AQ184" s="184"/>
      <c r="AR184" s="184"/>
    </row>
    <row r="185" ht="14.25" spans="1:44">
      <c r="A185" s="182" t="s">
        <v>1705</v>
      </c>
      <c r="B185" s="182" t="s">
        <v>126</v>
      </c>
      <c r="C185" s="182" t="s">
        <v>874</v>
      </c>
      <c r="D185" s="182" t="s">
        <v>1267</v>
      </c>
      <c r="E185" s="182" t="s">
        <v>1698</v>
      </c>
      <c r="F185" s="188">
        <v>41063</v>
      </c>
      <c r="G185" s="183">
        <f t="shared" si="2"/>
        <v>1063</v>
      </c>
      <c r="H185" s="182" t="s">
        <v>1699</v>
      </c>
      <c r="I185" s="196" t="s">
        <v>1700</v>
      </c>
      <c r="J185" s="33">
        <v>6680</v>
      </c>
      <c r="K185" s="197"/>
      <c r="L185" s="182" t="s">
        <v>454</v>
      </c>
      <c r="M185" s="182">
        <v>4</v>
      </c>
      <c r="N185" s="197">
        <f>(21+1)*4000+3*(4000+1)*4000+(4000+1)*185</f>
        <v>48840185</v>
      </c>
      <c r="O185" s="182"/>
      <c r="P185" s="197"/>
      <c r="Q185" s="182"/>
      <c r="R185" s="197"/>
      <c r="S185" s="182"/>
      <c r="T185" s="182"/>
      <c r="U185" s="182"/>
      <c r="V185" s="182"/>
      <c r="W185" s="182"/>
      <c r="X185" s="206"/>
      <c r="Y185" s="182"/>
      <c r="Z185" s="164"/>
      <c r="AA185" s="182"/>
      <c r="AB185" s="182"/>
      <c r="AC185" s="182"/>
      <c r="AD185" s="182"/>
      <c r="AE185" s="182"/>
      <c r="AF185" s="182"/>
      <c r="AG185" s="182"/>
      <c r="AH185" s="182"/>
      <c r="AI185" s="182"/>
      <c r="AJ185" s="182"/>
      <c r="AK185" s="182"/>
      <c r="AL185" s="182"/>
      <c r="AM185" s="182"/>
      <c r="AN185" s="182"/>
      <c r="AO185" s="182"/>
      <c r="AP185" s="182"/>
      <c r="AQ185" s="182"/>
      <c r="AR185" s="182"/>
    </row>
    <row r="186" ht="14.25" spans="1:44">
      <c r="A186" s="184" t="s">
        <v>1707</v>
      </c>
      <c r="B186" s="184" t="s">
        <v>41</v>
      </c>
      <c r="C186" s="184" t="s">
        <v>1231</v>
      </c>
      <c r="D186" s="184" t="s">
        <v>1267</v>
      </c>
      <c r="E186" s="184" t="s">
        <v>1698</v>
      </c>
      <c r="F186" s="187">
        <v>41063</v>
      </c>
      <c r="G186" s="185">
        <f t="shared" si="2"/>
        <v>1063</v>
      </c>
      <c r="H186" s="184" t="s">
        <v>1699</v>
      </c>
      <c r="I186" s="198" t="s">
        <v>1700</v>
      </c>
      <c r="J186" s="33">
        <v>6680</v>
      </c>
      <c r="K186" s="199"/>
      <c r="L186" s="184" t="s">
        <v>454</v>
      </c>
      <c r="M186" s="184"/>
      <c r="N186" s="199"/>
      <c r="O186" s="184"/>
      <c r="P186" s="199"/>
      <c r="Q186" s="184"/>
      <c r="R186" s="199"/>
      <c r="S186" s="184"/>
      <c r="T186" s="184"/>
      <c r="U186" s="184"/>
      <c r="V186" s="184"/>
      <c r="W186" s="184"/>
      <c r="X186" s="205"/>
      <c r="Y186" s="184"/>
      <c r="Z186" s="164"/>
      <c r="AA186" s="184"/>
      <c r="AB186" s="184"/>
      <c r="AC186" s="184"/>
      <c r="AD186" s="184"/>
      <c r="AE186" s="184"/>
      <c r="AF186" s="184"/>
      <c r="AG186" s="184"/>
      <c r="AH186" s="184"/>
      <c r="AI186" s="184"/>
      <c r="AJ186" s="184"/>
      <c r="AK186" s="184"/>
      <c r="AL186" s="184"/>
      <c r="AM186" s="184"/>
      <c r="AN186" s="184"/>
      <c r="AO186" s="184"/>
      <c r="AP186" s="184"/>
      <c r="AQ186" s="184"/>
      <c r="AR186" s="184"/>
    </row>
    <row r="187" ht="14.25" spans="1:44">
      <c r="A187" s="182" t="s">
        <v>1708</v>
      </c>
      <c r="B187" s="182" t="s">
        <v>41</v>
      </c>
      <c r="C187" s="182" t="s">
        <v>176</v>
      </c>
      <c r="D187" s="182" t="s">
        <v>1267</v>
      </c>
      <c r="E187" s="182" t="s">
        <v>1698</v>
      </c>
      <c r="F187" s="188">
        <v>41063</v>
      </c>
      <c r="G187" s="183">
        <f t="shared" si="2"/>
        <v>1063</v>
      </c>
      <c r="H187" s="182" t="s">
        <v>1699</v>
      </c>
      <c r="I187" s="196" t="s">
        <v>1700</v>
      </c>
      <c r="J187" s="33">
        <v>6680</v>
      </c>
      <c r="K187" s="197"/>
      <c r="L187" s="182" t="s">
        <v>454</v>
      </c>
      <c r="M187" s="182">
        <v>7</v>
      </c>
      <c r="N187" s="197"/>
      <c r="O187" s="182"/>
      <c r="P187" s="197"/>
      <c r="Q187" s="182"/>
      <c r="R187" s="197"/>
      <c r="S187" s="182"/>
      <c r="T187" s="182"/>
      <c r="U187" s="182"/>
      <c r="V187" s="182"/>
      <c r="W187" s="182"/>
      <c r="X187" s="182"/>
      <c r="Y187" s="182"/>
      <c r="Z187" s="164"/>
      <c r="AA187" s="182"/>
      <c r="AB187" s="182"/>
      <c r="AC187" s="182"/>
      <c r="AD187" s="182"/>
      <c r="AE187" s="182"/>
      <c r="AF187" s="182"/>
      <c r="AG187" s="182"/>
      <c r="AH187" s="182"/>
      <c r="AI187" s="182"/>
      <c r="AJ187" s="182"/>
      <c r="AK187" s="182"/>
      <c r="AL187" s="182"/>
      <c r="AM187" s="182"/>
      <c r="AN187" s="182"/>
      <c r="AO187" s="182"/>
      <c r="AP187" s="182"/>
      <c r="AQ187" s="182"/>
      <c r="AR187" s="182"/>
    </row>
    <row r="188" ht="14.25" spans="1:44">
      <c r="A188" s="184"/>
      <c r="B188" s="184"/>
      <c r="C188" s="184"/>
      <c r="D188" s="184" t="s">
        <v>1721</v>
      </c>
      <c r="E188" s="184" t="s">
        <v>1722</v>
      </c>
      <c r="F188" s="187">
        <v>41245</v>
      </c>
      <c r="G188" s="185">
        <f t="shared" si="2"/>
        <v>1245</v>
      </c>
      <c r="H188" s="184" t="s">
        <v>1723</v>
      </c>
      <c r="I188" s="198" t="s">
        <v>4341</v>
      </c>
      <c r="J188" s="172">
        <v>5671</v>
      </c>
      <c r="K188" s="199"/>
      <c r="L188" s="184" t="s">
        <v>454</v>
      </c>
      <c r="M188" s="184"/>
      <c r="N188" s="199"/>
      <c r="O188" s="184"/>
      <c r="P188" s="199"/>
      <c r="Q188" s="184"/>
      <c r="R188" s="199"/>
      <c r="S188" s="184"/>
      <c r="T188" s="184"/>
      <c r="U188" s="184"/>
      <c r="V188" s="184"/>
      <c r="W188" s="184"/>
      <c r="X188" s="184"/>
      <c r="Y188" s="184"/>
      <c r="Z188" s="208" t="s">
        <v>4342</v>
      </c>
      <c r="AA188" s="184"/>
      <c r="AB188" s="184"/>
      <c r="AC188" s="184"/>
      <c r="AD188" s="184"/>
      <c r="AE188" s="184"/>
      <c r="AF188" s="184"/>
      <c r="AG188" s="184"/>
      <c r="AH188" s="184"/>
      <c r="AI188" s="184"/>
      <c r="AJ188" s="184"/>
      <c r="AK188" s="184"/>
      <c r="AL188" s="184"/>
      <c r="AM188" s="184"/>
      <c r="AN188" s="184"/>
      <c r="AO188" s="184"/>
      <c r="AP188" s="184"/>
      <c r="AQ188" s="184"/>
      <c r="AR188" s="184"/>
    </row>
    <row r="189" ht="14.25" spans="1:44">
      <c r="A189" s="182"/>
      <c r="B189" s="182" t="s">
        <v>41</v>
      </c>
      <c r="C189" s="182" t="s">
        <v>724</v>
      </c>
      <c r="D189" s="182" t="s">
        <v>1664</v>
      </c>
      <c r="E189" s="182" t="s">
        <v>1665</v>
      </c>
      <c r="F189" s="182">
        <v>2013</v>
      </c>
      <c r="G189" s="183">
        <f t="shared" si="2"/>
        <v>2013</v>
      </c>
      <c r="H189" s="182" t="s">
        <v>1666</v>
      </c>
      <c r="I189" s="196" t="s">
        <v>4343</v>
      </c>
      <c r="J189" s="33">
        <v>5593</v>
      </c>
      <c r="K189" s="197"/>
      <c r="L189" s="182" t="s">
        <v>454</v>
      </c>
      <c r="M189" s="182"/>
      <c r="N189" s="197"/>
      <c r="O189" s="204"/>
      <c r="P189" s="197"/>
      <c r="Q189" s="182"/>
      <c r="R189" s="197"/>
      <c r="S189" s="182"/>
      <c r="T189" s="182"/>
      <c r="U189" s="182"/>
      <c r="V189" s="182"/>
      <c r="W189" s="182" t="s">
        <v>1626</v>
      </c>
      <c r="X189" s="182"/>
      <c r="Y189" s="182"/>
      <c r="Z189" s="164"/>
      <c r="AA189" s="182"/>
      <c r="AB189" s="182"/>
      <c r="AC189" s="182"/>
      <c r="AD189" s="182"/>
      <c r="AE189" s="182"/>
      <c r="AF189" s="182"/>
      <c r="AG189" s="182"/>
      <c r="AH189" s="182"/>
      <c r="AI189" s="182"/>
      <c r="AJ189" s="182"/>
      <c r="AK189" s="182"/>
      <c r="AL189" s="182"/>
      <c r="AM189" s="182"/>
      <c r="AN189" s="182"/>
      <c r="AO189" s="182"/>
      <c r="AP189" s="182"/>
      <c r="AQ189" s="182"/>
      <c r="AR189" s="182"/>
    </row>
    <row r="190" ht="14.25" spans="1:44">
      <c r="A190" s="184"/>
      <c r="B190" s="184" t="s">
        <v>41</v>
      </c>
      <c r="C190" s="184"/>
      <c r="D190" s="184" t="s">
        <v>1668</v>
      </c>
      <c r="E190" s="184" t="s">
        <v>1665</v>
      </c>
      <c r="F190" s="184">
        <v>2013</v>
      </c>
      <c r="G190" s="185">
        <f t="shared" si="2"/>
        <v>2013</v>
      </c>
      <c r="H190" s="184" t="s">
        <v>1666</v>
      </c>
      <c r="I190" s="198" t="s">
        <v>4343</v>
      </c>
      <c r="J190" s="33">
        <v>5593</v>
      </c>
      <c r="K190" s="199"/>
      <c r="L190" s="184" t="s">
        <v>454</v>
      </c>
      <c r="M190" s="184"/>
      <c r="N190" s="199"/>
      <c r="O190" s="184"/>
      <c r="P190" s="199"/>
      <c r="Q190" s="205"/>
      <c r="R190" s="199"/>
      <c r="S190" s="184"/>
      <c r="T190" s="184"/>
      <c r="U190" s="184"/>
      <c r="V190" s="184"/>
      <c r="W190" s="184" t="s">
        <v>1626</v>
      </c>
      <c r="X190" s="184"/>
      <c r="Y190" s="184"/>
      <c r="Z190" s="164"/>
      <c r="AA190" s="184"/>
      <c r="AB190" s="184"/>
      <c r="AC190" s="184"/>
      <c r="AD190" s="184"/>
      <c r="AE190" s="184"/>
      <c r="AF190" s="184"/>
      <c r="AG190" s="184"/>
      <c r="AH190" s="184"/>
      <c r="AI190" s="184"/>
      <c r="AJ190" s="184"/>
      <c r="AK190" s="184"/>
      <c r="AL190" s="184"/>
      <c r="AM190" s="184"/>
      <c r="AN190" s="184"/>
      <c r="AO190" s="184"/>
      <c r="AP190" s="184"/>
      <c r="AQ190" s="184"/>
      <c r="AR190" s="184"/>
    </row>
    <row r="191" ht="14.25" spans="1:44">
      <c r="A191" s="182"/>
      <c r="B191" s="182"/>
      <c r="C191" s="182"/>
      <c r="D191" s="182" t="s">
        <v>1392</v>
      </c>
      <c r="E191" s="182" t="s">
        <v>1677</v>
      </c>
      <c r="F191" s="182">
        <v>2013</v>
      </c>
      <c r="G191" s="183">
        <f t="shared" si="2"/>
        <v>2013</v>
      </c>
      <c r="H191" s="182" t="s">
        <v>1678</v>
      </c>
      <c r="I191" s="196" t="s">
        <v>4344</v>
      </c>
      <c r="J191" s="33">
        <v>1664</v>
      </c>
      <c r="K191" s="197"/>
      <c r="L191" s="182" t="s">
        <v>454</v>
      </c>
      <c r="M191" s="182"/>
      <c r="N191" s="197"/>
      <c r="O191" s="182"/>
      <c r="P191" s="197"/>
      <c r="Q191" s="204"/>
      <c r="R191" s="197"/>
      <c r="S191" s="182"/>
      <c r="T191" s="182"/>
      <c r="U191" s="182"/>
      <c r="V191" s="182"/>
      <c r="W191" s="182"/>
      <c r="X191" s="182" t="s">
        <v>4345</v>
      </c>
      <c r="Y191" s="182"/>
      <c r="Z191" s="164"/>
      <c r="AA191" s="182"/>
      <c r="AB191" s="182"/>
      <c r="AC191" s="182"/>
      <c r="AD191" s="182"/>
      <c r="AE191" s="182"/>
      <c r="AF191" s="182"/>
      <c r="AG191" s="182"/>
      <c r="AH191" s="182"/>
      <c r="AI191" s="182"/>
      <c r="AJ191" s="182"/>
      <c r="AK191" s="182"/>
      <c r="AL191" s="182"/>
      <c r="AM191" s="182"/>
      <c r="AN191" s="182"/>
      <c r="AO191" s="182"/>
      <c r="AP191" s="182"/>
      <c r="AQ191" s="182"/>
      <c r="AR191" s="182"/>
    </row>
    <row r="192" ht="14.25" spans="1:44">
      <c r="A192" s="184" t="s">
        <v>1638</v>
      </c>
      <c r="B192" s="184" t="s">
        <v>256</v>
      </c>
      <c r="C192" s="184" t="s">
        <v>690</v>
      </c>
      <c r="D192" s="184" t="s">
        <v>71</v>
      </c>
      <c r="E192" s="184" t="s">
        <v>1639</v>
      </c>
      <c r="F192" s="187">
        <v>41275</v>
      </c>
      <c r="G192" s="185">
        <f t="shared" si="2"/>
        <v>1275</v>
      </c>
      <c r="H192" s="184" t="s">
        <v>1640</v>
      </c>
      <c r="I192" s="198" t="s">
        <v>4346</v>
      </c>
      <c r="J192" s="33">
        <v>6676</v>
      </c>
      <c r="K192" s="199"/>
      <c r="L192" s="184" t="s">
        <v>454</v>
      </c>
      <c r="M192" s="184"/>
      <c r="N192" s="199">
        <f>16*8*8*4+32*4*4*16+10*10*32*256+256*18</f>
        <v>836096</v>
      </c>
      <c r="O192" s="184">
        <f>2.3*1000000000000000</f>
        <v>2300000000000000</v>
      </c>
      <c r="P192" s="199"/>
      <c r="Q192" s="205"/>
      <c r="R192" s="199"/>
      <c r="S192" s="184"/>
      <c r="T192" s="184"/>
      <c r="U192" s="184"/>
      <c r="V192" s="184"/>
      <c r="W192" s="184"/>
      <c r="X192" s="184"/>
      <c r="Y192" s="184"/>
      <c r="Z192" s="166" t="s">
        <v>34</v>
      </c>
      <c r="AA192" s="184"/>
      <c r="AB192" s="184"/>
      <c r="AC192" s="184"/>
      <c r="AD192" s="184"/>
      <c r="AE192" s="184"/>
      <c r="AF192" s="184"/>
      <c r="AG192" s="184"/>
      <c r="AH192" s="184"/>
      <c r="AI192" s="184"/>
      <c r="AJ192" s="184"/>
      <c r="AK192" s="184"/>
      <c r="AL192" s="184"/>
      <c r="AM192" s="184"/>
      <c r="AN192" s="184"/>
      <c r="AO192" s="184"/>
      <c r="AP192" s="184"/>
      <c r="AQ192" s="184"/>
      <c r="AR192" s="184"/>
    </row>
    <row r="193" ht="14.25" spans="1:44">
      <c r="A193" s="182"/>
      <c r="B193" s="182" t="s">
        <v>41</v>
      </c>
      <c r="C193" s="182"/>
      <c r="D193" s="182" t="s">
        <v>1392</v>
      </c>
      <c r="E193" s="182" t="s">
        <v>1652</v>
      </c>
      <c r="F193" s="188">
        <v>41290</v>
      </c>
      <c r="G193" s="183">
        <f t="shared" si="2"/>
        <v>1290</v>
      </c>
      <c r="H193" s="182" t="s">
        <v>1653</v>
      </c>
      <c r="I193" s="196" t="s">
        <v>1654</v>
      </c>
      <c r="J193" s="33">
        <v>1207</v>
      </c>
      <c r="K193" s="197"/>
      <c r="L193" s="182" t="s">
        <v>454</v>
      </c>
      <c r="M193" s="182"/>
      <c r="N193" s="197"/>
      <c r="O193" s="206"/>
      <c r="P193" s="197"/>
      <c r="Q193" s="204"/>
      <c r="R193" s="197"/>
      <c r="S193" s="182"/>
      <c r="T193" s="182"/>
      <c r="U193" s="182"/>
      <c r="V193" s="182"/>
      <c r="W193" s="182"/>
      <c r="X193" s="182"/>
      <c r="Y193" s="182"/>
      <c r="Z193" s="164"/>
      <c r="AA193" s="182"/>
      <c r="AB193" s="182"/>
      <c r="AC193" s="182"/>
      <c r="AD193" s="182"/>
      <c r="AE193" s="182"/>
      <c r="AF193" s="182"/>
      <c r="AG193" s="182"/>
      <c r="AH193" s="182"/>
      <c r="AI193" s="182"/>
      <c r="AJ193" s="182"/>
      <c r="AK193" s="182"/>
      <c r="AL193" s="182"/>
      <c r="AM193" s="182"/>
      <c r="AN193" s="182"/>
      <c r="AO193" s="182"/>
      <c r="AP193" s="182"/>
      <c r="AQ193" s="182"/>
      <c r="AR193" s="182"/>
    </row>
    <row r="194" ht="14.25" spans="1:44">
      <c r="A194" s="184" t="s">
        <v>1655</v>
      </c>
      <c r="B194" s="184" t="s">
        <v>41</v>
      </c>
      <c r="C194" s="184" t="s">
        <v>176</v>
      </c>
      <c r="D194" s="184" t="s">
        <v>1656</v>
      </c>
      <c r="E194" s="184" t="s">
        <v>1657</v>
      </c>
      <c r="F194" s="187">
        <v>41323</v>
      </c>
      <c r="G194" s="185">
        <f t="shared" si="2"/>
        <v>1323</v>
      </c>
      <c r="H194" s="184" t="s">
        <v>1655</v>
      </c>
      <c r="I194" s="198" t="s">
        <v>4347</v>
      </c>
      <c r="J194" s="172">
        <v>2576</v>
      </c>
      <c r="K194" s="199"/>
      <c r="L194" s="184" t="s">
        <v>454</v>
      </c>
      <c r="M194" s="184"/>
      <c r="N194" s="199"/>
      <c r="O194" s="207"/>
      <c r="P194" s="199"/>
      <c r="Q194" s="205"/>
      <c r="R194" s="199"/>
      <c r="S194" s="184"/>
      <c r="T194" s="184"/>
      <c r="U194" s="184"/>
      <c r="V194" s="184"/>
      <c r="W194" s="184"/>
      <c r="X194" s="184"/>
      <c r="Y194" s="184"/>
      <c r="Z194" s="208" t="s">
        <v>4342</v>
      </c>
      <c r="AA194" s="184"/>
      <c r="AB194" s="184"/>
      <c r="AC194" s="184"/>
      <c r="AD194" s="184"/>
      <c r="AE194" s="184"/>
      <c r="AF194" s="184"/>
      <c r="AG194" s="184"/>
      <c r="AH194" s="184"/>
      <c r="AI194" s="184"/>
      <c r="AJ194" s="184"/>
      <c r="AK194" s="184"/>
      <c r="AL194" s="184"/>
      <c r="AM194" s="184"/>
      <c r="AN194" s="184"/>
      <c r="AO194" s="184"/>
      <c r="AP194" s="184"/>
      <c r="AQ194" s="184"/>
      <c r="AR194" s="184"/>
    </row>
    <row r="195" ht="14.25" spans="1:44">
      <c r="A195" s="209" t="s">
        <v>1659</v>
      </c>
      <c r="B195" s="182" t="s">
        <v>126</v>
      </c>
      <c r="C195" s="182" t="s">
        <v>874</v>
      </c>
      <c r="D195" s="182" t="s">
        <v>1660</v>
      </c>
      <c r="E195" s="182" t="s">
        <v>1661</v>
      </c>
      <c r="F195" s="188">
        <v>41355</v>
      </c>
      <c r="G195" s="183">
        <f t="shared" si="2"/>
        <v>1355</v>
      </c>
      <c r="H195" s="182" t="s">
        <v>1662</v>
      </c>
      <c r="I195" s="196" t="s">
        <v>1663</v>
      </c>
      <c r="J195" s="33">
        <v>7791</v>
      </c>
      <c r="K195" s="197"/>
      <c r="L195" s="182" t="s">
        <v>454</v>
      </c>
      <c r="M195" s="182"/>
      <c r="N195" s="197">
        <v>43000000</v>
      </c>
      <c r="O195" s="206"/>
      <c r="P195" s="197"/>
      <c r="Q195" s="204"/>
      <c r="R195" s="197"/>
      <c r="S195" s="204"/>
      <c r="T195" s="182"/>
      <c r="U195" s="182"/>
      <c r="V195" s="182"/>
      <c r="W195" s="182"/>
      <c r="X195" s="182"/>
      <c r="Y195" s="182"/>
      <c r="Z195" s="164"/>
      <c r="AA195" s="182"/>
      <c r="AB195" s="182"/>
      <c r="AC195" s="182"/>
      <c r="AD195" s="182"/>
      <c r="AE195" s="182"/>
      <c r="AF195" s="182"/>
      <c r="AG195" s="182"/>
      <c r="AH195" s="182"/>
      <c r="AI195" s="182"/>
      <c r="AJ195" s="182"/>
      <c r="AK195" s="182"/>
      <c r="AL195" s="182"/>
      <c r="AM195" s="182"/>
      <c r="AN195" s="182"/>
      <c r="AO195" s="182"/>
      <c r="AP195" s="182"/>
      <c r="AQ195" s="182"/>
      <c r="AR195" s="182"/>
    </row>
    <row r="196" ht="14.25" spans="1:44">
      <c r="A196" s="184"/>
      <c r="B196" s="184" t="s">
        <v>51</v>
      </c>
      <c r="C196" s="184"/>
      <c r="D196" s="184" t="s">
        <v>205</v>
      </c>
      <c r="E196" s="184" t="s">
        <v>1669</v>
      </c>
      <c r="F196" s="187">
        <v>41434</v>
      </c>
      <c r="G196" s="185">
        <f t="shared" si="2"/>
        <v>1434</v>
      </c>
      <c r="H196" s="184" t="s">
        <v>1670</v>
      </c>
      <c r="I196" s="198" t="s">
        <v>1671</v>
      </c>
      <c r="J196" s="33">
        <v>3625</v>
      </c>
      <c r="K196" s="199"/>
      <c r="L196" s="184" t="s">
        <v>454</v>
      </c>
      <c r="M196" s="184"/>
      <c r="N196" s="199"/>
      <c r="O196" s="184"/>
      <c r="P196" s="199"/>
      <c r="Q196" s="184"/>
      <c r="R196" s="199"/>
      <c r="S196" s="207"/>
      <c r="T196" s="184"/>
      <c r="U196" s="184"/>
      <c r="V196" s="184"/>
      <c r="W196" s="184"/>
      <c r="X196" s="205"/>
      <c r="Y196" s="184"/>
      <c r="Z196" s="164"/>
      <c r="AA196" s="184"/>
      <c r="AB196" s="184"/>
      <c r="AC196" s="184"/>
      <c r="AD196" s="184"/>
      <c r="AE196" s="184"/>
      <c r="AF196" s="184"/>
      <c r="AG196" s="184"/>
      <c r="AH196" s="184"/>
      <c r="AI196" s="184"/>
      <c r="AJ196" s="184"/>
      <c r="AK196" s="184"/>
      <c r="AL196" s="184"/>
      <c r="AM196" s="184"/>
      <c r="AN196" s="184"/>
      <c r="AO196" s="184"/>
      <c r="AP196" s="184"/>
      <c r="AQ196" s="184"/>
      <c r="AR196" s="184"/>
    </row>
    <row r="197" ht="14.25" spans="1:44">
      <c r="A197" s="182" t="s">
        <v>1672</v>
      </c>
      <c r="B197" s="182" t="s">
        <v>51</v>
      </c>
      <c r="C197" s="182" t="s">
        <v>1440</v>
      </c>
      <c r="D197" s="182" t="s">
        <v>85</v>
      </c>
      <c r="E197" s="182" t="s">
        <v>1634</v>
      </c>
      <c r="F197" s="188">
        <v>41563</v>
      </c>
      <c r="G197" s="183">
        <f t="shared" si="2"/>
        <v>1563</v>
      </c>
      <c r="H197" s="182" t="s">
        <v>1635</v>
      </c>
      <c r="I197" s="196" t="s">
        <v>1636</v>
      </c>
      <c r="J197" s="33">
        <v>28717</v>
      </c>
      <c r="K197" s="197"/>
      <c r="L197" s="182" t="s">
        <v>454</v>
      </c>
      <c r="M197" s="182"/>
      <c r="N197" s="197">
        <f>300*692000</f>
        <v>207600000</v>
      </c>
      <c r="O197" s="182"/>
      <c r="P197" s="197"/>
      <c r="Q197" s="182"/>
      <c r="R197" s="197">
        <f>1000000000</f>
        <v>1000000000</v>
      </c>
      <c r="S197" s="182"/>
      <c r="T197" s="182"/>
      <c r="U197" s="182"/>
      <c r="V197" s="182"/>
      <c r="W197" s="182"/>
      <c r="X197" s="182"/>
      <c r="Y197" s="182"/>
      <c r="Z197" s="164"/>
      <c r="AA197" s="182"/>
      <c r="AB197" s="182"/>
      <c r="AC197" s="182"/>
      <c r="AD197" s="182"/>
      <c r="AE197" s="182"/>
      <c r="AF197" s="182"/>
      <c r="AG197" s="182"/>
      <c r="AH197" s="182"/>
      <c r="AI197" s="182"/>
      <c r="AJ197" s="182"/>
      <c r="AK197" s="182"/>
      <c r="AL197" s="182"/>
      <c r="AM197" s="182"/>
      <c r="AN197" s="182"/>
      <c r="AO197" s="182"/>
      <c r="AP197" s="182"/>
      <c r="AQ197" s="182"/>
      <c r="AR197" s="182"/>
    </row>
    <row r="198" ht="14.25" spans="1:44">
      <c r="A198" s="184" t="s">
        <v>1633</v>
      </c>
      <c r="B198" s="184" t="s">
        <v>51</v>
      </c>
      <c r="C198" s="184" t="s">
        <v>1440</v>
      </c>
      <c r="D198" s="184" t="s">
        <v>85</v>
      </c>
      <c r="E198" s="184" t="s">
        <v>1634</v>
      </c>
      <c r="F198" s="187">
        <v>41563</v>
      </c>
      <c r="G198" s="185">
        <f t="shared" si="2"/>
        <v>1563</v>
      </c>
      <c r="H198" s="184" t="s">
        <v>1635</v>
      </c>
      <c r="I198" s="198" t="s">
        <v>1636</v>
      </c>
      <c r="J198" s="33">
        <v>28717</v>
      </c>
      <c r="K198" s="199"/>
      <c r="L198" s="184" t="s">
        <v>454</v>
      </c>
      <c r="M198" s="184"/>
      <c r="N198" s="199">
        <f>10000*692000</f>
        <v>6920000000</v>
      </c>
      <c r="O198" s="199">
        <v>3.888e+16</v>
      </c>
      <c r="P198" s="199"/>
      <c r="Q198" s="184"/>
      <c r="R198" s="199"/>
      <c r="S198" s="184"/>
      <c r="T198" s="184"/>
      <c r="U198" s="184"/>
      <c r="V198" s="184"/>
      <c r="W198" s="184"/>
      <c r="X198" s="207"/>
      <c r="Y198" s="184"/>
      <c r="Z198" s="164"/>
      <c r="AA198" s="184"/>
      <c r="AB198" s="184"/>
      <c r="AC198" s="184"/>
      <c r="AD198" s="184"/>
      <c r="AE198" s="184"/>
      <c r="AF198" s="184"/>
      <c r="AG198" s="184"/>
      <c r="AH198" s="184"/>
      <c r="AI198" s="184"/>
      <c r="AJ198" s="184"/>
      <c r="AK198" s="184"/>
      <c r="AL198" s="184"/>
      <c r="AM198" s="184"/>
      <c r="AN198" s="184"/>
      <c r="AO198" s="184"/>
      <c r="AP198" s="184"/>
      <c r="AQ198" s="184"/>
      <c r="AR198" s="184"/>
    </row>
    <row r="199" ht="14.25" spans="1:44">
      <c r="A199" s="155" t="s">
        <v>1673</v>
      </c>
      <c r="B199" s="182" t="s">
        <v>41</v>
      </c>
      <c r="C199" s="182" t="s">
        <v>724</v>
      </c>
      <c r="D199" s="182" t="s">
        <v>464</v>
      </c>
      <c r="E199" s="182" t="s">
        <v>1674</v>
      </c>
      <c r="F199" s="188">
        <v>41589</v>
      </c>
      <c r="G199" s="183">
        <f t="shared" si="2"/>
        <v>1589</v>
      </c>
      <c r="H199" s="182" t="s">
        <v>1675</v>
      </c>
      <c r="I199" s="196" t="s">
        <v>1676</v>
      </c>
      <c r="J199" s="33">
        <v>19057</v>
      </c>
      <c r="K199" s="197"/>
      <c r="L199" s="182" t="s">
        <v>454</v>
      </c>
      <c r="M199" s="182"/>
      <c r="N199" s="197">
        <f>11*11*96+5*5*256+3*3*384+3*3*384+3*3*256+7*7*256*4096+4096*4096+4096*200</f>
        <v>69003872</v>
      </c>
      <c r="O199" s="182"/>
      <c r="P199" s="197"/>
      <c r="Q199" s="182"/>
      <c r="R199" s="197"/>
      <c r="S199" s="182"/>
      <c r="T199" s="182"/>
      <c r="U199" s="182"/>
      <c r="V199" s="182"/>
      <c r="W199" s="182"/>
      <c r="X199" s="206"/>
      <c r="Y199" s="182"/>
      <c r="Z199" s="164"/>
      <c r="AA199" s="182"/>
      <c r="AB199" s="182"/>
      <c r="AC199" s="182"/>
      <c r="AD199" s="182"/>
      <c r="AE199" s="182"/>
      <c r="AF199" s="182"/>
      <c r="AG199" s="182"/>
      <c r="AH199" s="182"/>
      <c r="AI199" s="182"/>
      <c r="AJ199" s="182"/>
      <c r="AK199" s="182"/>
      <c r="AL199" s="182"/>
      <c r="AM199" s="182"/>
      <c r="AN199" s="182"/>
      <c r="AO199" s="182"/>
      <c r="AP199" s="182"/>
      <c r="AQ199" s="182"/>
      <c r="AR199" s="182"/>
    </row>
    <row r="200" ht="14.25" spans="1:44">
      <c r="A200" s="184" t="s">
        <v>1621</v>
      </c>
      <c r="B200" s="184" t="s">
        <v>41</v>
      </c>
      <c r="C200" s="184"/>
      <c r="D200" s="184" t="s">
        <v>1622</v>
      </c>
      <c r="E200" s="184" t="s">
        <v>1623</v>
      </c>
      <c r="F200" s="187">
        <v>41590</v>
      </c>
      <c r="G200" s="185">
        <f t="shared" si="2"/>
        <v>1590</v>
      </c>
      <c r="H200" s="184" t="s">
        <v>1624</v>
      </c>
      <c r="I200" s="198" t="s">
        <v>1625</v>
      </c>
      <c r="J200" s="33">
        <v>12991</v>
      </c>
      <c r="K200" s="199"/>
      <c r="L200" s="184" t="s">
        <v>454</v>
      </c>
      <c r="M200" s="184"/>
      <c r="N200" s="199"/>
      <c r="O200" s="184">
        <f>532*1000000000000000</f>
        <v>5.32e+17</v>
      </c>
      <c r="P200" s="199"/>
      <c r="Q200" s="184"/>
      <c r="R200" s="199"/>
      <c r="S200" s="184"/>
      <c r="T200" s="184"/>
      <c r="U200" s="184"/>
      <c r="V200" s="184"/>
      <c r="W200" s="184"/>
      <c r="X200" s="184"/>
      <c r="Y200" s="184"/>
      <c r="Z200" s="166" t="s">
        <v>34</v>
      </c>
      <c r="AA200" s="184"/>
      <c r="AB200" s="184"/>
      <c r="AC200" s="184"/>
      <c r="AD200" s="184"/>
      <c r="AE200" s="184"/>
      <c r="AF200" s="184"/>
      <c r="AG200" s="184"/>
      <c r="AH200" s="184"/>
      <c r="AI200" s="184"/>
      <c r="AJ200" s="184"/>
      <c r="AK200" s="184"/>
      <c r="AL200" s="184"/>
      <c r="AM200" s="184"/>
      <c r="AN200" s="184"/>
      <c r="AO200" s="184"/>
      <c r="AP200" s="184"/>
      <c r="AQ200" s="184"/>
      <c r="AR200" s="184"/>
    </row>
    <row r="201" ht="14.25" spans="1:44">
      <c r="A201" s="182" t="s">
        <v>1680</v>
      </c>
      <c r="B201" s="182" t="s">
        <v>126</v>
      </c>
      <c r="C201" s="182" t="s">
        <v>874</v>
      </c>
      <c r="D201" s="182" t="s">
        <v>1660</v>
      </c>
      <c r="E201" s="182" t="s">
        <v>1681</v>
      </c>
      <c r="F201" s="188">
        <v>41616</v>
      </c>
      <c r="G201" s="183">
        <f t="shared" si="2"/>
        <v>1616</v>
      </c>
      <c r="H201" s="182" t="s">
        <v>1682</v>
      </c>
      <c r="I201" s="196" t="s">
        <v>1683</v>
      </c>
      <c r="J201" s="33">
        <v>1463</v>
      </c>
      <c r="K201" s="197"/>
      <c r="L201" s="182" t="s">
        <v>454</v>
      </c>
      <c r="M201" s="182"/>
      <c r="N201" s="197">
        <v>29900000</v>
      </c>
      <c r="O201" s="182"/>
      <c r="P201" s="197"/>
      <c r="Q201" s="182"/>
      <c r="R201" s="197"/>
      <c r="S201" s="182"/>
      <c r="T201" s="182"/>
      <c r="U201" s="182"/>
      <c r="V201" s="182"/>
      <c r="W201" s="182"/>
      <c r="X201" s="182"/>
      <c r="Y201" s="182"/>
      <c r="Z201" s="164"/>
      <c r="AA201" s="182"/>
      <c r="AB201" s="182"/>
      <c r="AC201" s="182"/>
      <c r="AD201" s="182"/>
      <c r="AE201" s="182"/>
      <c r="AF201" s="182"/>
      <c r="AG201" s="182"/>
      <c r="AH201" s="182"/>
      <c r="AI201" s="182"/>
      <c r="AJ201" s="182"/>
      <c r="AK201" s="182"/>
      <c r="AL201" s="182"/>
      <c r="AM201" s="182"/>
      <c r="AN201" s="182"/>
      <c r="AO201" s="182"/>
      <c r="AP201" s="182"/>
      <c r="AQ201" s="182"/>
      <c r="AR201" s="182"/>
    </row>
    <row r="202" ht="14.25" spans="1:44">
      <c r="A202" s="184" t="s">
        <v>1684</v>
      </c>
      <c r="B202" s="184"/>
      <c r="C202" s="184"/>
      <c r="D202" s="184" t="s">
        <v>1685</v>
      </c>
      <c r="E202" s="184" t="s">
        <v>1686</v>
      </c>
      <c r="F202" s="187">
        <v>41624</v>
      </c>
      <c r="G202" s="185">
        <f t="shared" si="2"/>
        <v>1624</v>
      </c>
      <c r="H202" s="184" t="s">
        <v>1687</v>
      </c>
      <c r="I202" s="198" t="s">
        <v>1688</v>
      </c>
      <c r="J202" s="33">
        <v>5499</v>
      </c>
      <c r="K202" s="199"/>
      <c r="L202" s="184" t="s">
        <v>454</v>
      </c>
      <c r="M202" s="184"/>
      <c r="N202" s="199"/>
      <c r="O202" s="184"/>
      <c r="P202" s="199"/>
      <c r="Q202" s="205"/>
      <c r="R202" s="199"/>
      <c r="S202" s="184"/>
      <c r="T202" s="184"/>
      <c r="U202" s="184"/>
      <c r="V202" s="184"/>
      <c r="W202" s="184"/>
      <c r="X202" s="184"/>
      <c r="Y202" s="184"/>
      <c r="Z202" s="164"/>
      <c r="AA202" s="184"/>
      <c r="AB202" s="184"/>
      <c r="AC202" s="184"/>
      <c r="AD202" s="184"/>
      <c r="AE202" s="184"/>
      <c r="AF202" s="184"/>
      <c r="AG202" s="184"/>
      <c r="AH202" s="184"/>
      <c r="AI202" s="184"/>
      <c r="AJ202" s="184"/>
      <c r="AK202" s="184"/>
      <c r="AL202" s="184"/>
      <c r="AM202" s="184"/>
      <c r="AN202" s="184"/>
      <c r="AO202" s="184"/>
      <c r="AP202" s="184"/>
      <c r="AQ202" s="184"/>
      <c r="AR202" s="184"/>
    </row>
    <row r="203" ht="14.25" spans="1:44">
      <c r="A203" s="182" t="s">
        <v>4348</v>
      </c>
      <c r="B203" s="182" t="s">
        <v>41</v>
      </c>
      <c r="C203" s="182"/>
      <c r="D203" s="182" t="s">
        <v>1643</v>
      </c>
      <c r="E203" s="182" t="s">
        <v>1644</v>
      </c>
      <c r="F203" s="188">
        <v>41628</v>
      </c>
      <c r="G203" s="183">
        <f t="shared" si="2"/>
        <v>1628</v>
      </c>
      <c r="H203" s="182" t="s">
        <v>1645</v>
      </c>
      <c r="I203" s="196" t="s">
        <v>1646</v>
      </c>
      <c r="J203" s="33">
        <v>15572</v>
      </c>
      <c r="K203" s="197"/>
      <c r="L203" s="182" t="s">
        <v>454</v>
      </c>
      <c r="M203" s="182"/>
      <c r="N203" s="197"/>
      <c r="O203" s="212">
        <v>475200000000000</v>
      </c>
      <c r="P203" s="213"/>
      <c r="Q203" s="182"/>
      <c r="R203" s="197"/>
      <c r="S203" s="182"/>
      <c r="T203" s="182"/>
      <c r="U203" s="182"/>
      <c r="V203" s="182"/>
      <c r="W203" s="182"/>
      <c r="X203" s="182"/>
      <c r="Y203" s="182"/>
      <c r="Z203" s="164"/>
      <c r="AA203" s="182"/>
      <c r="AB203" s="182"/>
      <c r="AC203" s="182"/>
      <c r="AD203" s="182"/>
      <c r="AE203" s="182"/>
      <c r="AF203" s="182"/>
      <c r="AG203" s="182"/>
      <c r="AH203" s="182"/>
      <c r="AI203" s="182"/>
      <c r="AJ203" s="182"/>
      <c r="AK203" s="182"/>
      <c r="AL203" s="182"/>
      <c r="AM203" s="182"/>
      <c r="AN203" s="182"/>
      <c r="AO203" s="182"/>
      <c r="AP203" s="182"/>
      <c r="AQ203" s="182"/>
      <c r="AR203" s="182"/>
    </row>
    <row r="204" ht="14.25" spans="1:44">
      <c r="A204" s="186" t="s">
        <v>1607</v>
      </c>
      <c r="B204" s="184"/>
      <c r="C204" s="184"/>
      <c r="D204" s="184" t="s">
        <v>1334</v>
      </c>
      <c r="E204" s="184" t="s">
        <v>1608</v>
      </c>
      <c r="F204" s="184">
        <v>2014</v>
      </c>
      <c r="G204" s="185">
        <f t="shared" si="2"/>
        <v>2014</v>
      </c>
      <c r="H204" s="184" t="s">
        <v>1609</v>
      </c>
      <c r="I204" s="198" t="s">
        <v>1610</v>
      </c>
      <c r="J204" s="33">
        <v>1933</v>
      </c>
      <c r="K204" s="199"/>
      <c r="L204" s="184" t="s">
        <v>454</v>
      </c>
      <c r="M204" s="184"/>
      <c r="N204" s="199"/>
      <c r="O204" s="184"/>
      <c r="P204" s="199"/>
      <c r="Q204" s="184"/>
      <c r="R204" s="199"/>
      <c r="S204" s="184"/>
      <c r="T204" s="184"/>
      <c r="U204" s="184"/>
      <c r="V204" s="184"/>
      <c r="W204" s="184"/>
      <c r="X204" s="184"/>
      <c r="Y204" s="184"/>
      <c r="Z204" s="164"/>
      <c r="AA204" s="184"/>
      <c r="AB204" s="184"/>
      <c r="AC204" s="184"/>
      <c r="AD204" s="184"/>
      <c r="AE204" s="184"/>
      <c r="AF204" s="184"/>
      <c r="AG204" s="184"/>
      <c r="AH204" s="184"/>
      <c r="AI204" s="184"/>
      <c r="AJ204" s="184"/>
      <c r="AK204" s="184"/>
      <c r="AL204" s="184"/>
      <c r="AM204" s="184"/>
      <c r="AN204" s="184"/>
      <c r="AO204" s="184"/>
      <c r="AP204" s="184"/>
      <c r="AQ204" s="184"/>
      <c r="AR204" s="184"/>
    </row>
    <row r="205" ht="14.25" spans="1:44">
      <c r="A205" s="182"/>
      <c r="B205" s="182"/>
      <c r="C205" s="182"/>
      <c r="D205" s="182"/>
      <c r="E205" s="182"/>
      <c r="F205" s="182">
        <v>2014</v>
      </c>
      <c r="G205" s="183">
        <f t="shared" si="2"/>
        <v>2014</v>
      </c>
      <c r="H205" s="182" t="s">
        <v>1561</v>
      </c>
      <c r="I205" s="196" t="s">
        <v>1562</v>
      </c>
      <c r="J205" s="33">
        <v>31873</v>
      </c>
      <c r="K205" s="197"/>
      <c r="L205" s="182" t="s">
        <v>454</v>
      </c>
      <c r="M205" s="182"/>
      <c r="N205" s="197"/>
      <c r="O205" s="182"/>
      <c r="P205" s="197"/>
      <c r="Q205" s="182"/>
      <c r="R205" s="182"/>
      <c r="S205" s="204"/>
      <c r="T205" s="182"/>
      <c r="U205" s="182"/>
      <c r="V205" s="182"/>
      <c r="W205" s="182"/>
      <c r="X205" s="182" t="s">
        <v>4349</v>
      </c>
      <c r="Y205" s="182"/>
      <c r="Z205" s="164"/>
      <c r="AA205" s="182"/>
      <c r="AB205" s="182"/>
      <c r="AC205" s="182"/>
      <c r="AD205" s="182"/>
      <c r="AE205" s="182"/>
      <c r="AF205" s="182"/>
      <c r="AG205" s="182"/>
      <c r="AH205" s="182"/>
      <c r="AI205" s="182"/>
      <c r="AJ205" s="182"/>
      <c r="AK205" s="182"/>
      <c r="AL205" s="182"/>
      <c r="AM205" s="182"/>
      <c r="AN205" s="182"/>
      <c r="AO205" s="182"/>
      <c r="AP205" s="182"/>
      <c r="AQ205" s="182"/>
      <c r="AR205" s="182"/>
    </row>
    <row r="206" ht="23.25" spans="1:44">
      <c r="A206" s="184" t="s">
        <v>2724</v>
      </c>
      <c r="B206" s="184" t="s">
        <v>1910</v>
      </c>
      <c r="C206" s="184"/>
      <c r="D206" s="184"/>
      <c r="E206" s="184"/>
      <c r="F206" s="184">
        <v>2014</v>
      </c>
      <c r="G206" s="185">
        <f t="shared" si="2"/>
        <v>2014</v>
      </c>
      <c r="H206" s="210"/>
      <c r="I206" s="184"/>
      <c r="J206" s="33"/>
      <c r="K206" s="199"/>
      <c r="L206" s="184" t="s">
        <v>49</v>
      </c>
      <c r="M206" s="184"/>
      <c r="N206" s="199"/>
      <c r="O206" s="184"/>
      <c r="P206" s="199"/>
      <c r="Q206" s="184"/>
      <c r="R206" s="184"/>
      <c r="S206" s="205"/>
      <c r="T206" s="184"/>
      <c r="U206" s="184"/>
      <c r="V206" s="184"/>
      <c r="W206" s="184"/>
      <c r="X206" s="184"/>
      <c r="Y206" s="184"/>
      <c r="Z206" s="164"/>
      <c r="AA206" s="184"/>
      <c r="AB206" s="184"/>
      <c r="AC206" s="184"/>
      <c r="AD206" s="184"/>
      <c r="AE206" s="184"/>
      <c r="AF206" s="184"/>
      <c r="AG206" s="184"/>
      <c r="AH206" s="184"/>
      <c r="AI206" s="184"/>
      <c r="AJ206" s="184"/>
      <c r="AK206" s="184"/>
      <c r="AL206" s="184"/>
      <c r="AM206" s="184"/>
      <c r="AN206" s="184"/>
      <c r="AO206" s="184"/>
      <c r="AP206" s="184"/>
      <c r="AQ206" s="184"/>
      <c r="AR206" s="184"/>
    </row>
    <row r="207" ht="14.25" spans="1:44">
      <c r="A207" s="182" t="s">
        <v>1582</v>
      </c>
      <c r="B207" s="182" t="s">
        <v>256</v>
      </c>
      <c r="C207" s="182"/>
      <c r="D207" s="182"/>
      <c r="E207" s="182"/>
      <c r="F207" s="182">
        <v>2014</v>
      </c>
      <c r="G207" s="183">
        <f t="shared" si="2"/>
        <v>2014</v>
      </c>
      <c r="H207" s="182" t="s">
        <v>1585</v>
      </c>
      <c r="I207" s="196" t="s">
        <v>4350</v>
      </c>
      <c r="J207" s="33">
        <v>16</v>
      </c>
      <c r="K207" s="197"/>
      <c r="L207" s="182" t="s">
        <v>142</v>
      </c>
      <c r="M207" s="182"/>
      <c r="N207" s="197"/>
      <c r="O207" s="182"/>
      <c r="P207" s="197"/>
      <c r="Q207" s="182"/>
      <c r="R207" s="182"/>
      <c r="S207" s="204"/>
      <c r="T207" s="182"/>
      <c r="U207" s="182"/>
      <c r="V207" s="182"/>
      <c r="W207" s="182"/>
      <c r="X207" s="182"/>
      <c r="Y207" s="182"/>
      <c r="Z207" s="164"/>
      <c r="AA207" s="182"/>
      <c r="AB207" s="182"/>
      <c r="AC207" s="182"/>
      <c r="AD207" s="182"/>
      <c r="AE207" s="182"/>
      <c r="AF207" s="182"/>
      <c r="AG207" s="182"/>
      <c r="AH207" s="182"/>
      <c r="AI207" s="182"/>
      <c r="AJ207" s="182"/>
      <c r="AK207" s="182"/>
      <c r="AL207" s="182"/>
      <c r="AM207" s="182"/>
      <c r="AN207" s="182"/>
      <c r="AO207" s="182"/>
      <c r="AP207" s="182"/>
      <c r="AQ207" s="182"/>
      <c r="AR207" s="182"/>
    </row>
    <row r="208" ht="14.25" spans="1:44">
      <c r="A208" s="184" t="s">
        <v>1572</v>
      </c>
      <c r="B208" s="184" t="s">
        <v>1303</v>
      </c>
      <c r="C208" s="184" t="s">
        <v>1568</v>
      </c>
      <c r="D208" s="184" t="s">
        <v>1573</v>
      </c>
      <c r="E208" s="184" t="s">
        <v>1574</v>
      </c>
      <c r="F208" s="184">
        <v>2014</v>
      </c>
      <c r="G208" s="185">
        <f t="shared" si="2"/>
        <v>2014</v>
      </c>
      <c r="H208" s="184" t="s">
        <v>1575</v>
      </c>
      <c r="I208" s="198" t="s">
        <v>4351</v>
      </c>
      <c r="J208" s="33">
        <v>5900</v>
      </c>
      <c r="K208" s="199"/>
      <c r="L208" s="184" t="s">
        <v>454</v>
      </c>
      <c r="M208" s="184"/>
      <c r="N208" s="199">
        <f>2*(256*(10*3*5*5+1)+384*(256*3*3+1)+384*(384*3*3+1)+256*(384*3*3+1))+(2*7*7*256+1)*4096+(4096+1)*4096</f>
        <v>126125568</v>
      </c>
      <c r="O208" s="184"/>
      <c r="P208" s="199"/>
      <c r="Q208" s="184"/>
      <c r="R208" s="184"/>
      <c r="S208" s="205"/>
      <c r="T208" s="184"/>
      <c r="U208" s="184"/>
      <c r="V208" s="184"/>
      <c r="W208" s="184"/>
      <c r="X208" s="184"/>
      <c r="Y208" s="184"/>
      <c r="Z208" s="164"/>
      <c r="AA208" s="184"/>
      <c r="AB208" s="184"/>
      <c r="AC208" s="184"/>
      <c r="AD208" s="184"/>
      <c r="AE208" s="184"/>
      <c r="AF208" s="184"/>
      <c r="AG208" s="184"/>
      <c r="AH208" s="184"/>
      <c r="AI208" s="184"/>
      <c r="AJ208" s="184"/>
      <c r="AK208" s="184"/>
      <c r="AL208" s="184"/>
      <c r="AM208" s="184"/>
      <c r="AN208" s="184"/>
      <c r="AO208" s="184"/>
      <c r="AP208" s="184"/>
      <c r="AQ208" s="184"/>
      <c r="AR208" s="184"/>
    </row>
    <row r="209" ht="15" customHeight="1" spans="1:44">
      <c r="A209" s="182" t="s">
        <v>4352</v>
      </c>
      <c r="B209" s="182" t="s">
        <v>51</v>
      </c>
      <c r="C209" s="182" t="s">
        <v>1440</v>
      </c>
      <c r="D209" s="182" t="s">
        <v>1392</v>
      </c>
      <c r="E209" s="182" t="s">
        <v>1542</v>
      </c>
      <c r="F209" s="188">
        <v>41640</v>
      </c>
      <c r="G209" s="183">
        <f t="shared" si="2"/>
        <v>1640</v>
      </c>
      <c r="H209" s="182" t="s">
        <v>1543</v>
      </c>
      <c r="I209" s="196" t="s">
        <v>1544</v>
      </c>
      <c r="J209" s="33">
        <v>22479</v>
      </c>
      <c r="K209" s="197"/>
      <c r="L209" s="182" t="s">
        <v>454</v>
      </c>
      <c r="M209" s="182"/>
      <c r="N209" s="197">
        <f>400000*300</f>
        <v>120000000</v>
      </c>
      <c r="O209" s="182"/>
      <c r="P209" s="197" t="s">
        <v>1546</v>
      </c>
      <c r="Q209" s="182" t="s">
        <v>4353</v>
      </c>
      <c r="R209" s="197" t="s">
        <v>3213</v>
      </c>
      <c r="S209" s="182">
        <f>1.25+((14/32)*25)</f>
        <v>12.1875</v>
      </c>
      <c r="T209" s="182">
        <v>0</v>
      </c>
      <c r="U209" s="182">
        <f>9+26</f>
        <v>35</v>
      </c>
      <c r="V209" s="182"/>
      <c r="W209" s="182"/>
      <c r="X209" s="182" t="s">
        <v>4354</v>
      </c>
      <c r="Y209" s="182"/>
      <c r="Z209" s="164"/>
      <c r="AA209" s="182"/>
      <c r="AB209" s="182"/>
      <c r="AC209" s="182"/>
      <c r="AD209" s="182"/>
      <c r="AE209" s="182"/>
      <c r="AF209" s="182"/>
      <c r="AG209" s="182"/>
      <c r="AH209" s="182"/>
      <c r="AI209" s="182"/>
      <c r="AJ209" s="182"/>
      <c r="AK209" s="182"/>
      <c r="AL209" s="182"/>
      <c r="AM209" s="182"/>
      <c r="AN209" s="182"/>
      <c r="AO209" s="182"/>
      <c r="AP209" s="182"/>
      <c r="AQ209" s="182"/>
      <c r="AR209" s="182"/>
    </row>
    <row r="210" ht="14.25" spans="1:44">
      <c r="A210" s="155" t="s">
        <v>1550</v>
      </c>
      <c r="B210" s="184" t="s">
        <v>51</v>
      </c>
      <c r="C210" s="184" t="s">
        <v>1010</v>
      </c>
      <c r="D210" s="184" t="s">
        <v>1551</v>
      </c>
      <c r="E210" s="184" t="s">
        <v>1552</v>
      </c>
      <c r="F210" s="187">
        <v>41681</v>
      </c>
      <c r="G210" s="185">
        <f t="shared" si="2"/>
        <v>1681</v>
      </c>
      <c r="H210" s="184" t="s">
        <v>1553</v>
      </c>
      <c r="I210" s="198" t="s">
        <v>4355</v>
      </c>
      <c r="J210" s="33">
        <v>445</v>
      </c>
      <c r="K210" s="199"/>
      <c r="L210" s="184" t="s">
        <v>49</v>
      </c>
      <c r="M210" s="184">
        <v>3</v>
      </c>
      <c r="N210" s="199">
        <f>(1000*500+500+1000)+2*(500*500+500+500)+(500*35+500+35)</f>
        <v>1021535</v>
      </c>
      <c r="O210" s="184"/>
      <c r="P210" s="199"/>
      <c r="Q210" s="184"/>
      <c r="R210" s="199"/>
      <c r="S210" s="184"/>
      <c r="T210" s="184"/>
      <c r="U210" s="184"/>
      <c r="V210" s="184"/>
      <c r="W210" s="184"/>
      <c r="X210" s="184" t="s">
        <v>4356</v>
      </c>
      <c r="Y210" s="184"/>
      <c r="Z210" s="164"/>
      <c r="AA210" s="184"/>
      <c r="AB210" s="184"/>
      <c r="AC210" s="184"/>
      <c r="AD210" s="184"/>
      <c r="AE210" s="184"/>
      <c r="AF210" s="184"/>
      <c r="AG210" s="184"/>
      <c r="AH210" s="184"/>
      <c r="AI210" s="184"/>
      <c r="AJ210" s="184"/>
      <c r="AK210" s="184"/>
      <c r="AL210" s="184"/>
      <c r="AM210" s="184"/>
      <c r="AN210" s="184"/>
      <c r="AO210" s="184"/>
      <c r="AP210" s="184"/>
      <c r="AQ210" s="184"/>
      <c r="AR210" s="184"/>
    </row>
    <row r="211" ht="14.25" spans="1:44">
      <c r="A211" s="182" t="s">
        <v>1555</v>
      </c>
      <c r="B211" s="182" t="s">
        <v>256</v>
      </c>
      <c r="C211" s="182" t="s">
        <v>482</v>
      </c>
      <c r="D211" s="182" t="s">
        <v>4357</v>
      </c>
      <c r="E211" s="182" t="s">
        <v>1557</v>
      </c>
      <c r="F211" s="188">
        <v>41703</v>
      </c>
      <c r="G211" s="183">
        <f t="shared" si="2"/>
        <v>1703</v>
      </c>
      <c r="H211" s="182" t="s">
        <v>1558</v>
      </c>
      <c r="I211" s="196" t="s">
        <v>1559</v>
      </c>
      <c r="J211" s="33">
        <v>195</v>
      </c>
      <c r="K211" s="197"/>
      <c r="L211" s="182" t="s">
        <v>49</v>
      </c>
      <c r="M211" s="182"/>
      <c r="N211" s="197" t="e">
        <f>(1+3*3)*8*10+POW(8*10,2)+2*((1+3*3)*16*21+POW(16*21,2))</f>
        <v>#NAME?</v>
      </c>
      <c r="O211" s="182"/>
      <c r="P211" s="197"/>
      <c r="Q211" s="182"/>
      <c r="R211" s="197"/>
      <c r="S211" s="182"/>
      <c r="T211" s="182"/>
      <c r="U211" s="182"/>
      <c r="V211" s="182"/>
      <c r="W211" s="182"/>
      <c r="X211" s="182"/>
      <c r="Y211" s="182"/>
      <c r="Z211" s="164"/>
      <c r="AA211" s="182"/>
      <c r="AB211" s="182"/>
      <c r="AC211" s="182"/>
      <c r="AD211" s="182"/>
      <c r="AE211" s="182"/>
      <c r="AF211" s="182"/>
      <c r="AG211" s="182"/>
      <c r="AH211" s="182"/>
      <c r="AI211" s="182"/>
      <c r="AJ211" s="182"/>
      <c r="AK211" s="182"/>
      <c r="AL211" s="182"/>
      <c r="AM211" s="182"/>
      <c r="AN211" s="182"/>
      <c r="AO211" s="182"/>
      <c r="AP211" s="182"/>
      <c r="AQ211" s="182"/>
      <c r="AR211" s="182"/>
    </row>
    <row r="212" ht="14.25" spans="1:44">
      <c r="A212" s="155" t="s">
        <v>1563</v>
      </c>
      <c r="B212" s="184" t="s">
        <v>51</v>
      </c>
      <c r="C212" s="184"/>
      <c r="D212" s="184" t="s">
        <v>1564</v>
      </c>
      <c r="E212" s="184" t="s">
        <v>1565</v>
      </c>
      <c r="F212" s="187">
        <v>41793</v>
      </c>
      <c r="G212" s="185">
        <f t="shared" si="2"/>
        <v>1793</v>
      </c>
      <c r="H212" s="184" t="s">
        <v>1566</v>
      </c>
      <c r="I212" s="198" t="s">
        <v>1567</v>
      </c>
      <c r="J212" s="33">
        <v>14981</v>
      </c>
      <c r="K212" s="199"/>
      <c r="L212" s="184" t="s">
        <v>454</v>
      </c>
      <c r="M212" s="184"/>
      <c r="N212" s="199"/>
      <c r="O212" s="184"/>
      <c r="P212" s="199"/>
      <c r="Q212" s="184"/>
      <c r="R212" s="199"/>
      <c r="S212" s="184"/>
      <c r="T212" s="184"/>
      <c r="U212" s="184"/>
      <c r="V212" s="184"/>
      <c r="W212" s="184"/>
      <c r="X212" s="184" t="s">
        <v>4358</v>
      </c>
      <c r="Y212" s="184"/>
      <c r="Z212" s="164"/>
      <c r="AA212" s="184"/>
      <c r="AB212" s="184"/>
      <c r="AC212" s="184"/>
      <c r="AD212" s="184"/>
      <c r="AE212" s="184"/>
      <c r="AF212" s="184"/>
      <c r="AG212" s="184"/>
      <c r="AH212" s="184"/>
      <c r="AI212" s="184"/>
      <c r="AJ212" s="184"/>
      <c r="AK212" s="184"/>
      <c r="AL212" s="184"/>
      <c r="AM212" s="184"/>
      <c r="AN212" s="184"/>
      <c r="AO212" s="184"/>
      <c r="AP212" s="184"/>
      <c r="AQ212" s="184"/>
      <c r="AR212" s="184"/>
    </row>
    <row r="213" ht="12.75" spans="1:44">
      <c r="A213" s="211"/>
      <c r="B213" s="182" t="s">
        <v>1303</v>
      </c>
      <c r="C213" s="182" t="s">
        <v>1568</v>
      </c>
      <c r="D213" s="182" t="s">
        <v>950</v>
      </c>
      <c r="E213" s="182" t="s">
        <v>1569</v>
      </c>
      <c r="F213" s="188">
        <v>41799</v>
      </c>
      <c r="G213" s="183">
        <f t="shared" si="2"/>
        <v>1799</v>
      </c>
      <c r="H213" s="182" t="s">
        <v>1570</v>
      </c>
      <c r="I213" s="196" t="s">
        <v>1571</v>
      </c>
      <c r="J213" s="214">
        <v>6217</v>
      </c>
      <c r="K213" s="197"/>
      <c r="L213" s="182" t="s">
        <v>454</v>
      </c>
      <c r="M213" s="182"/>
      <c r="N213" s="197"/>
      <c r="O213" s="197"/>
      <c r="P213" s="197"/>
      <c r="Q213" s="182"/>
      <c r="R213" s="197"/>
      <c r="S213" s="182"/>
      <c r="T213" s="182"/>
      <c r="U213" s="182"/>
      <c r="V213" s="182"/>
      <c r="W213" s="182"/>
      <c r="X213" s="182"/>
      <c r="Y213" s="182"/>
      <c r="Z213" s="218" t="s">
        <v>4342</v>
      </c>
      <c r="AA213" s="182"/>
      <c r="AB213" s="182"/>
      <c r="AC213" s="182"/>
      <c r="AD213" s="182"/>
      <c r="AE213" s="182"/>
      <c r="AF213" s="182"/>
      <c r="AG213" s="182"/>
      <c r="AH213" s="182"/>
      <c r="AI213" s="182"/>
      <c r="AJ213" s="182"/>
      <c r="AK213" s="182"/>
      <c r="AL213" s="182"/>
      <c r="AM213" s="182"/>
      <c r="AN213" s="182"/>
      <c r="AO213" s="182"/>
      <c r="AP213" s="182"/>
      <c r="AQ213" s="182"/>
      <c r="AR213" s="182"/>
    </row>
    <row r="214" ht="14.25" spans="1:44">
      <c r="A214" s="155" t="s">
        <v>1531</v>
      </c>
      <c r="B214" s="184" t="s">
        <v>77</v>
      </c>
      <c r="C214" s="184" t="s">
        <v>964</v>
      </c>
      <c r="D214" s="184" t="s">
        <v>1532</v>
      </c>
      <c r="E214" s="198" t="s">
        <v>1533</v>
      </c>
      <c r="F214" s="187">
        <v>41800</v>
      </c>
      <c r="G214" s="185">
        <f t="shared" si="2"/>
        <v>1800</v>
      </c>
      <c r="H214" s="184" t="s">
        <v>1534</v>
      </c>
      <c r="I214" s="198" t="s">
        <v>1535</v>
      </c>
      <c r="J214" s="33">
        <v>36870</v>
      </c>
      <c r="K214" s="199"/>
      <c r="L214" s="184" t="s">
        <v>454</v>
      </c>
      <c r="M214" s="184"/>
      <c r="N214" s="199"/>
      <c r="O214" s="199">
        <v>5.184e+17</v>
      </c>
      <c r="P214" s="199"/>
      <c r="Q214" s="184"/>
      <c r="R214" s="199"/>
      <c r="S214" s="184"/>
      <c r="T214" s="184"/>
      <c r="U214" s="184"/>
      <c r="V214" s="184"/>
      <c r="W214" s="184"/>
      <c r="X214" s="184"/>
      <c r="Y214" s="184"/>
      <c r="Z214" s="164"/>
      <c r="AA214" s="184"/>
      <c r="AB214" s="184"/>
      <c r="AC214" s="184"/>
      <c r="AD214" s="184"/>
      <c r="AE214" s="184"/>
      <c r="AF214" s="184"/>
      <c r="AG214" s="184"/>
      <c r="AH214" s="184"/>
      <c r="AI214" s="184"/>
      <c r="AJ214" s="184"/>
      <c r="AK214" s="184"/>
      <c r="AL214" s="184"/>
      <c r="AM214" s="184"/>
      <c r="AN214" s="184"/>
      <c r="AO214" s="184"/>
      <c r="AP214" s="184"/>
      <c r="AQ214" s="184"/>
      <c r="AR214" s="184"/>
    </row>
    <row r="215" ht="14.25" spans="1:44">
      <c r="A215" s="182"/>
      <c r="B215" s="182" t="s">
        <v>41</v>
      </c>
      <c r="C215" s="182" t="s">
        <v>1577</v>
      </c>
      <c r="D215" s="182" t="s">
        <v>1578</v>
      </c>
      <c r="E215" s="182" t="s">
        <v>1579</v>
      </c>
      <c r="F215" s="188">
        <v>41813</v>
      </c>
      <c r="G215" s="183">
        <f t="shared" si="2"/>
        <v>1813</v>
      </c>
      <c r="H215" s="182" t="s">
        <v>1580</v>
      </c>
      <c r="I215" s="196" t="s">
        <v>1581</v>
      </c>
      <c r="J215" s="33">
        <v>5742</v>
      </c>
      <c r="K215" s="197"/>
      <c r="L215" s="182" t="s">
        <v>454</v>
      </c>
      <c r="M215" s="182"/>
      <c r="N215" s="197"/>
      <c r="O215" s="182"/>
      <c r="P215" s="197"/>
      <c r="Q215" s="182"/>
      <c r="R215" s="197"/>
      <c r="S215" s="182"/>
      <c r="T215" s="182"/>
      <c r="U215" s="182"/>
      <c r="V215" s="182"/>
      <c r="W215" s="182"/>
      <c r="X215" s="182"/>
      <c r="Y215" s="182"/>
      <c r="Z215" s="164"/>
      <c r="AA215" s="182"/>
      <c r="AB215" s="182"/>
      <c r="AC215" s="182"/>
      <c r="AD215" s="182"/>
      <c r="AE215" s="182"/>
      <c r="AF215" s="182"/>
      <c r="AG215" s="182"/>
      <c r="AH215" s="182"/>
      <c r="AI215" s="182"/>
      <c r="AJ215" s="182"/>
      <c r="AK215" s="182"/>
      <c r="AL215" s="182"/>
      <c r="AM215" s="182"/>
      <c r="AN215" s="182"/>
      <c r="AO215" s="182"/>
      <c r="AP215" s="182"/>
      <c r="AQ215" s="182"/>
      <c r="AR215" s="182"/>
    </row>
    <row r="216" ht="14.25" spans="1:44">
      <c r="A216" s="184"/>
      <c r="B216" s="184"/>
      <c r="C216" s="184"/>
      <c r="D216" s="184" t="s">
        <v>435</v>
      </c>
      <c r="E216" s="184" t="s">
        <v>1587</v>
      </c>
      <c r="F216" s="187">
        <v>41875</v>
      </c>
      <c r="G216" s="185">
        <f t="shared" si="2"/>
        <v>1875</v>
      </c>
      <c r="H216" s="184" t="s">
        <v>1588</v>
      </c>
      <c r="I216" s="198" t="s">
        <v>4359</v>
      </c>
      <c r="J216" s="33">
        <v>586</v>
      </c>
      <c r="K216" s="199"/>
      <c r="L216" s="184" t="s">
        <v>49</v>
      </c>
      <c r="M216" s="184"/>
      <c r="N216" s="199"/>
      <c r="O216" s="184"/>
      <c r="P216" s="199"/>
      <c r="Q216" s="184"/>
      <c r="R216" s="199"/>
      <c r="S216" s="184"/>
      <c r="T216" s="184"/>
      <c r="U216" s="184"/>
      <c r="V216" s="184"/>
      <c r="W216" s="184"/>
      <c r="X216" s="184"/>
      <c r="Y216" s="184"/>
      <c r="Z216" s="164"/>
      <c r="AA216" s="184"/>
      <c r="AB216" s="184"/>
      <c r="AC216" s="184"/>
      <c r="AD216" s="184"/>
      <c r="AE216" s="184"/>
      <c r="AF216" s="184"/>
      <c r="AG216" s="184"/>
      <c r="AH216" s="184"/>
      <c r="AI216" s="184"/>
      <c r="AJ216" s="184"/>
      <c r="AK216" s="184"/>
      <c r="AL216" s="184"/>
      <c r="AM216" s="184"/>
      <c r="AN216" s="184"/>
      <c r="AO216" s="184"/>
      <c r="AP216" s="184"/>
      <c r="AQ216" s="184"/>
      <c r="AR216" s="184"/>
    </row>
    <row r="217" ht="14.25" spans="1:44">
      <c r="A217" s="155" t="s">
        <v>1525</v>
      </c>
      <c r="B217" s="182" t="s">
        <v>51</v>
      </c>
      <c r="C217" s="182" t="s">
        <v>144</v>
      </c>
      <c r="D217" s="182" t="s">
        <v>1532</v>
      </c>
      <c r="E217" s="182" t="s">
        <v>1527</v>
      </c>
      <c r="F217" s="188">
        <v>41883</v>
      </c>
      <c r="G217" s="183">
        <f t="shared" si="2"/>
        <v>1883</v>
      </c>
      <c r="H217" s="182" t="s">
        <v>1528</v>
      </c>
      <c r="I217" s="196" t="s">
        <v>1529</v>
      </c>
      <c r="J217" s="33">
        <v>19156</v>
      </c>
      <c r="K217" s="197"/>
      <c r="L217" s="182" t="s">
        <v>454</v>
      </c>
      <c r="M217" s="182"/>
      <c r="N217" s="197"/>
      <c r="O217" s="197">
        <v>1.5552e+18</v>
      </c>
      <c r="P217" s="197"/>
      <c r="Q217" s="182"/>
      <c r="R217" s="197"/>
      <c r="S217" s="182"/>
      <c r="T217" s="182"/>
      <c r="U217" s="182"/>
      <c r="V217" s="182"/>
      <c r="W217" s="182"/>
      <c r="X217" s="182"/>
      <c r="Y217" s="182"/>
      <c r="Z217" s="166" t="s">
        <v>34</v>
      </c>
      <c r="AA217" s="182"/>
      <c r="AB217" s="182"/>
      <c r="AC217" s="182"/>
      <c r="AD217" s="182"/>
      <c r="AE217" s="182"/>
      <c r="AF217" s="182"/>
      <c r="AG217" s="182"/>
      <c r="AH217" s="182"/>
      <c r="AI217" s="182"/>
      <c r="AJ217" s="182"/>
      <c r="AK217" s="182"/>
      <c r="AL217" s="182"/>
      <c r="AM217" s="182"/>
      <c r="AN217" s="182"/>
      <c r="AO217" s="182"/>
      <c r="AP217" s="182"/>
      <c r="AQ217" s="182"/>
      <c r="AR217" s="182"/>
    </row>
    <row r="218" ht="14.25" spans="1:44">
      <c r="A218" s="184" t="s">
        <v>1513</v>
      </c>
      <c r="B218" s="184" t="s">
        <v>41</v>
      </c>
      <c r="C218" s="207"/>
      <c r="D218" s="184" t="s">
        <v>950</v>
      </c>
      <c r="E218" s="184" t="s">
        <v>1514</v>
      </c>
      <c r="F218" s="187">
        <v>41886</v>
      </c>
      <c r="G218" s="185">
        <f t="shared" si="2"/>
        <v>1886</v>
      </c>
      <c r="H218" s="184" t="s">
        <v>1515</v>
      </c>
      <c r="I218" s="198" t="s">
        <v>1516</v>
      </c>
      <c r="J218" s="33">
        <v>61262</v>
      </c>
      <c r="K218" s="199"/>
      <c r="L218" s="184" t="s">
        <v>454</v>
      </c>
      <c r="M218" s="184">
        <v>16</v>
      </c>
      <c r="N218" s="199">
        <v>138000000</v>
      </c>
      <c r="O218" s="215">
        <f>8524*1000000000000000</f>
        <v>8.524e+18</v>
      </c>
      <c r="P218" s="199">
        <v>15300000000</v>
      </c>
      <c r="Q218" s="184"/>
      <c r="R218" s="199"/>
      <c r="S218" s="184"/>
      <c r="T218" s="184"/>
      <c r="U218" s="184"/>
      <c r="V218" s="184"/>
      <c r="W218" s="184"/>
      <c r="X218" s="184"/>
      <c r="Y218" s="184"/>
      <c r="Z218" s="166" t="s">
        <v>34</v>
      </c>
      <c r="AA218" s="184"/>
      <c r="AB218" s="184"/>
      <c r="AC218" s="184"/>
      <c r="AD218" s="184"/>
      <c r="AE218" s="184"/>
      <c r="AF218" s="184"/>
      <c r="AG218" s="184"/>
      <c r="AH218" s="184"/>
      <c r="AI218" s="184"/>
      <c r="AJ218" s="184"/>
      <c r="AK218" s="184"/>
      <c r="AL218" s="184"/>
      <c r="AM218" s="184"/>
      <c r="AN218" s="184"/>
      <c r="AO218" s="184"/>
      <c r="AP218" s="184"/>
      <c r="AQ218" s="184"/>
      <c r="AR218" s="184"/>
    </row>
    <row r="219" ht="14.25" spans="1:44">
      <c r="A219" s="182" t="s">
        <v>1590</v>
      </c>
      <c r="B219" s="182" t="s">
        <v>41</v>
      </c>
      <c r="C219" s="182"/>
      <c r="D219" s="182" t="s">
        <v>950</v>
      </c>
      <c r="E219" s="182" t="s">
        <v>1591</v>
      </c>
      <c r="F219" s="188">
        <v>41886</v>
      </c>
      <c r="G219" s="183">
        <f t="shared" si="2"/>
        <v>1886</v>
      </c>
      <c r="H219" s="182" t="s">
        <v>1515</v>
      </c>
      <c r="I219" s="196" t="s">
        <v>1516</v>
      </c>
      <c r="J219" s="33">
        <v>61262</v>
      </c>
      <c r="K219" s="197"/>
      <c r="L219" s="182" t="s">
        <v>454</v>
      </c>
      <c r="M219" s="182">
        <v>19</v>
      </c>
      <c r="N219" s="197">
        <v>144000000</v>
      </c>
      <c r="O219" s="182"/>
      <c r="P219" s="197">
        <v>19600000000</v>
      </c>
      <c r="Q219" s="182"/>
      <c r="R219" s="197"/>
      <c r="S219" s="182"/>
      <c r="T219" s="182"/>
      <c r="U219" s="182"/>
      <c r="V219" s="182"/>
      <c r="W219" s="182"/>
      <c r="X219" s="182"/>
      <c r="Y219" s="182"/>
      <c r="Z219" s="164"/>
      <c r="AA219" s="182"/>
      <c r="AB219" s="182"/>
      <c r="AC219" s="182"/>
      <c r="AD219" s="182"/>
      <c r="AE219" s="182"/>
      <c r="AF219" s="182"/>
      <c r="AG219" s="182"/>
      <c r="AH219" s="182"/>
      <c r="AI219" s="182"/>
      <c r="AJ219" s="182"/>
      <c r="AK219" s="182"/>
      <c r="AL219" s="182"/>
      <c r="AM219" s="182"/>
      <c r="AN219" s="182"/>
      <c r="AO219" s="182"/>
      <c r="AP219" s="182"/>
      <c r="AQ219" s="182"/>
      <c r="AR219" s="182"/>
    </row>
    <row r="220" ht="14.25" spans="1:44">
      <c r="A220" s="184" t="s">
        <v>4360</v>
      </c>
      <c r="B220" s="184" t="s">
        <v>51</v>
      </c>
      <c r="C220" s="184" t="s">
        <v>144</v>
      </c>
      <c r="D220" s="184" t="s">
        <v>85</v>
      </c>
      <c r="E220" s="184" t="s">
        <v>1519</v>
      </c>
      <c r="F220" s="187">
        <v>41892</v>
      </c>
      <c r="G220" s="185">
        <f t="shared" si="2"/>
        <v>1892</v>
      </c>
      <c r="H220" s="184" t="s">
        <v>1520</v>
      </c>
      <c r="I220" s="198" t="s">
        <v>1521</v>
      </c>
      <c r="J220" s="33">
        <v>15748</v>
      </c>
      <c r="K220" s="199"/>
      <c r="L220" s="184" t="s">
        <v>454</v>
      </c>
      <c r="M220" s="184"/>
      <c r="N220" s="199">
        <f>384000000</f>
        <v>384000000</v>
      </c>
      <c r="O220" s="184">
        <f>7300*1000000000000000</f>
        <v>7.3e+18</v>
      </c>
      <c r="P220" s="199"/>
      <c r="Q220" s="215" t="s">
        <v>1522</v>
      </c>
      <c r="R220" s="199"/>
      <c r="S220" s="184"/>
      <c r="T220" s="184"/>
      <c r="U220" s="184"/>
      <c r="V220" s="184"/>
      <c r="W220" s="184"/>
      <c r="X220" s="184"/>
      <c r="Y220" s="184"/>
      <c r="Z220" s="166" t="s">
        <v>34</v>
      </c>
      <c r="AA220" s="184"/>
      <c r="AB220" s="184"/>
      <c r="AC220" s="184"/>
      <c r="AD220" s="184"/>
      <c r="AE220" s="184"/>
      <c r="AF220" s="184"/>
      <c r="AG220" s="184"/>
      <c r="AH220" s="184"/>
      <c r="AI220" s="184"/>
      <c r="AJ220" s="184"/>
      <c r="AK220" s="184"/>
      <c r="AL220" s="184"/>
      <c r="AM220" s="184"/>
      <c r="AN220" s="184"/>
      <c r="AO220" s="184"/>
      <c r="AP220" s="184"/>
      <c r="AQ220" s="184"/>
      <c r="AR220" s="184"/>
    </row>
    <row r="221" ht="14.25" spans="1:44">
      <c r="A221" s="114" t="s">
        <v>1592</v>
      </c>
      <c r="B221" s="114" t="s">
        <v>41</v>
      </c>
      <c r="C221" s="114" t="s">
        <v>1593</v>
      </c>
      <c r="D221" s="114" t="s">
        <v>1594</v>
      </c>
      <c r="E221" s="114" t="s">
        <v>1595</v>
      </c>
      <c r="F221" s="153">
        <v>41950</v>
      </c>
      <c r="G221" s="152">
        <f t="shared" si="2"/>
        <v>1950</v>
      </c>
      <c r="H221" s="114" t="s">
        <v>1596</v>
      </c>
      <c r="I221" s="123" t="s">
        <v>1597</v>
      </c>
      <c r="J221" s="33">
        <v>5220</v>
      </c>
      <c r="K221" s="124"/>
      <c r="L221" s="114" t="s">
        <v>454</v>
      </c>
      <c r="M221" s="114"/>
      <c r="N221" s="124">
        <f>61000000+2*2*4*(1000*4096+1000^2+1000)</f>
        <v>142552000</v>
      </c>
      <c r="O221" s="114"/>
      <c r="P221" s="124"/>
      <c r="Q221" s="114" t="s">
        <v>1598</v>
      </c>
      <c r="R221" s="124">
        <v>40000</v>
      </c>
      <c r="S221" s="114"/>
      <c r="T221" s="114"/>
      <c r="U221" s="114"/>
      <c r="V221" s="114" t="s">
        <v>1599</v>
      </c>
      <c r="W221" s="114"/>
      <c r="X221" s="114" t="s">
        <v>4361</v>
      </c>
      <c r="Y221" s="114"/>
      <c r="Z221" s="164"/>
      <c r="AA221" s="114"/>
      <c r="AB221" s="114"/>
      <c r="AC221" s="114"/>
      <c r="AD221" s="114"/>
      <c r="AE221" s="114"/>
      <c r="AF221" s="114"/>
      <c r="AG221" s="114"/>
      <c r="AH221" s="114"/>
      <c r="AI221" s="114"/>
      <c r="AJ221" s="114"/>
      <c r="AK221" s="114"/>
      <c r="AL221" s="114"/>
      <c r="AM221" s="114"/>
      <c r="AN221" s="114"/>
      <c r="AO221" s="114"/>
      <c r="AP221" s="114"/>
      <c r="AQ221" s="114"/>
      <c r="AR221" s="114"/>
    </row>
    <row r="222" ht="14.25" spans="1:44">
      <c r="A222" s="155"/>
      <c r="B222" s="114" t="s">
        <v>41</v>
      </c>
      <c r="C222" s="114" t="s">
        <v>1139</v>
      </c>
      <c r="D222" s="114" t="s">
        <v>1600</v>
      </c>
      <c r="E222" s="114" t="s">
        <v>1601</v>
      </c>
      <c r="F222" s="153">
        <v>41957</v>
      </c>
      <c r="G222" s="152">
        <f t="shared" si="2"/>
        <v>1957</v>
      </c>
      <c r="H222" s="114" t="s">
        <v>1602</v>
      </c>
      <c r="I222" s="123" t="s">
        <v>1603</v>
      </c>
      <c r="J222" s="33">
        <v>24709</v>
      </c>
      <c r="K222" s="124"/>
      <c r="L222" s="114" t="s">
        <v>454</v>
      </c>
      <c r="M222" s="114"/>
      <c r="N222" s="124"/>
      <c r="O222" s="114"/>
      <c r="P222" s="124"/>
      <c r="Q222" s="114"/>
      <c r="R222" s="124"/>
      <c r="S222" s="114"/>
      <c r="T222" s="114"/>
      <c r="U222" s="114"/>
      <c r="V222" s="114"/>
      <c r="W222" s="114"/>
      <c r="X222" s="114"/>
      <c r="Y222" s="114"/>
      <c r="Z222" s="164"/>
      <c r="AA222" s="114"/>
      <c r="AB222" s="114"/>
      <c r="AC222" s="114"/>
      <c r="AD222" s="114"/>
      <c r="AE222" s="114"/>
      <c r="AF222" s="114"/>
      <c r="AG222" s="114"/>
      <c r="AH222" s="114"/>
      <c r="AI222" s="114"/>
      <c r="AJ222" s="114"/>
      <c r="AK222" s="114"/>
      <c r="AL222" s="114"/>
      <c r="AM222" s="114"/>
      <c r="AN222" s="114"/>
      <c r="AO222" s="114"/>
      <c r="AP222" s="114"/>
      <c r="AQ222" s="114"/>
      <c r="AR222" s="114"/>
    </row>
    <row r="223" ht="14.25" spans="1:44">
      <c r="A223" s="114"/>
      <c r="B223" s="114" t="s">
        <v>41</v>
      </c>
      <c r="C223" s="114"/>
      <c r="D223" s="114" t="s">
        <v>1375</v>
      </c>
      <c r="E223" s="114" t="s">
        <v>1604</v>
      </c>
      <c r="F223" s="153">
        <v>41971</v>
      </c>
      <c r="G223" s="152">
        <f t="shared" si="2"/>
        <v>1971</v>
      </c>
      <c r="H223" s="114" t="s">
        <v>1605</v>
      </c>
      <c r="I223" s="123" t="s">
        <v>1606</v>
      </c>
      <c r="J223" s="33">
        <v>4009</v>
      </c>
      <c r="K223" s="124"/>
      <c r="L223" s="114" t="s">
        <v>454</v>
      </c>
      <c r="M223" s="114"/>
      <c r="N223" s="124"/>
      <c r="O223" s="114"/>
      <c r="P223" s="124"/>
      <c r="Q223" s="159"/>
      <c r="R223" s="124"/>
      <c r="S223" s="114"/>
      <c r="T223" s="114"/>
      <c r="U223" s="114"/>
      <c r="V223" s="114"/>
      <c r="W223" s="114"/>
      <c r="X223" s="114"/>
      <c r="Y223" s="114"/>
      <c r="Z223" s="164"/>
      <c r="AA223" s="114"/>
      <c r="AB223" s="114"/>
      <c r="AC223" s="114"/>
      <c r="AD223" s="114"/>
      <c r="AE223" s="114"/>
      <c r="AF223" s="114"/>
      <c r="AG223" s="114"/>
      <c r="AH223" s="114"/>
      <c r="AI223" s="114"/>
      <c r="AJ223" s="114"/>
      <c r="AK223" s="114"/>
      <c r="AL223" s="114"/>
      <c r="AM223" s="114"/>
      <c r="AN223" s="114"/>
      <c r="AO223" s="114"/>
      <c r="AP223" s="114"/>
      <c r="AQ223" s="114"/>
      <c r="AR223" s="114"/>
    </row>
    <row r="224" ht="14.25" spans="1:44">
      <c r="A224" s="155" t="s">
        <v>1536</v>
      </c>
      <c r="B224" s="114" t="s">
        <v>41</v>
      </c>
      <c r="C224" s="114" t="s">
        <v>176</v>
      </c>
      <c r="D224" s="114" t="s">
        <v>4362</v>
      </c>
      <c r="E224" s="114" t="s">
        <v>1538</v>
      </c>
      <c r="F224" s="153">
        <v>41995</v>
      </c>
      <c r="G224" s="152">
        <f t="shared" si="2"/>
        <v>1995</v>
      </c>
      <c r="H224" s="114" t="s">
        <v>1539</v>
      </c>
      <c r="I224" s="123" t="s">
        <v>1540</v>
      </c>
      <c r="J224" s="33">
        <v>81103</v>
      </c>
      <c r="K224" s="124"/>
      <c r="L224" s="114" t="s">
        <v>454</v>
      </c>
      <c r="M224" s="114"/>
      <c r="N224" s="124"/>
      <c r="O224" s="124">
        <v>6.048e+16</v>
      </c>
      <c r="P224" s="124"/>
      <c r="Q224" s="114"/>
      <c r="R224" s="124"/>
      <c r="S224" s="114"/>
      <c r="T224" s="114"/>
      <c r="U224" s="114"/>
      <c r="V224" s="114"/>
      <c r="W224" s="114"/>
      <c r="X224" s="114"/>
      <c r="Y224" s="114"/>
      <c r="Z224" s="164"/>
      <c r="AA224" s="114"/>
      <c r="AB224" s="114"/>
      <c r="AC224" s="114"/>
      <c r="AD224" s="114"/>
      <c r="AE224" s="114"/>
      <c r="AF224" s="114"/>
      <c r="AG224" s="114"/>
      <c r="AH224" s="114"/>
      <c r="AI224" s="114"/>
      <c r="AJ224" s="114"/>
      <c r="AK224" s="114"/>
      <c r="AL224" s="114"/>
      <c r="AM224" s="114"/>
      <c r="AN224" s="114"/>
      <c r="AO224" s="114"/>
      <c r="AP224" s="114"/>
      <c r="AQ224" s="114"/>
      <c r="AR224" s="114"/>
    </row>
    <row r="225" ht="14.25" spans="1:44">
      <c r="A225" s="211" t="s">
        <v>1611</v>
      </c>
      <c r="B225" s="114" t="s">
        <v>41</v>
      </c>
      <c r="C225" s="114" t="s">
        <v>1139</v>
      </c>
      <c r="D225" s="114" t="s">
        <v>1612</v>
      </c>
      <c r="E225" s="114" t="s">
        <v>1152</v>
      </c>
      <c r="F225" s="153">
        <v>41995</v>
      </c>
      <c r="G225" s="152">
        <f t="shared" si="2"/>
        <v>1995</v>
      </c>
      <c r="H225" s="22" t="s">
        <v>1613</v>
      </c>
      <c r="I225" s="123" t="s">
        <v>1614</v>
      </c>
      <c r="J225" s="172">
        <v>3699</v>
      </c>
      <c r="K225" s="124"/>
      <c r="L225" s="114" t="s">
        <v>454</v>
      </c>
      <c r="M225" s="114"/>
      <c r="N225" s="124"/>
      <c r="O225" s="124"/>
      <c r="P225" s="124"/>
      <c r="Q225" s="114"/>
      <c r="R225" s="124"/>
      <c r="S225" s="114"/>
      <c r="T225" s="114"/>
      <c r="U225" s="114"/>
      <c r="V225" s="114"/>
      <c r="W225" s="114"/>
      <c r="X225" s="114"/>
      <c r="Y225" s="114"/>
      <c r="Z225" s="219" t="s">
        <v>4342</v>
      </c>
      <c r="AA225" s="114"/>
      <c r="AB225" s="114"/>
      <c r="AC225" s="114"/>
      <c r="AD225" s="114"/>
      <c r="AE225" s="114"/>
      <c r="AF225" s="114"/>
      <c r="AG225" s="114"/>
      <c r="AH225" s="114"/>
      <c r="AI225" s="114"/>
      <c r="AJ225" s="114"/>
      <c r="AK225" s="114"/>
      <c r="AL225" s="114"/>
      <c r="AM225" s="114"/>
      <c r="AN225" s="114"/>
      <c r="AO225" s="114"/>
      <c r="AP225" s="114"/>
      <c r="AQ225" s="114"/>
      <c r="AR225" s="114"/>
    </row>
    <row r="226" ht="14.25" spans="1:44">
      <c r="A226" s="211"/>
      <c r="B226" s="114" t="s">
        <v>41</v>
      </c>
      <c r="C226" s="114" t="s">
        <v>176</v>
      </c>
      <c r="D226" s="114"/>
      <c r="E226" s="114" t="s">
        <v>1346</v>
      </c>
      <c r="F226" s="153">
        <v>42013</v>
      </c>
      <c r="G226" s="152">
        <v>2015</v>
      </c>
      <c r="H226" s="114" t="s">
        <v>1418</v>
      </c>
      <c r="I226" s="123" t="s">
        <v>4363</v>
      </c>
      <c r="J226" s="172">
        <v>6937</v>
      </c>
      <c r="K226" s="124"/>
      <c r="L226" s="114" t="s">
        <v>454</v>
      </c>
      <c r="M226" s="114"/>
      <c r="N226" s="124"/>
      <c r="O226" s="124"/>
      <c r="P226" s="124"/>
      <c r="Q226" s="114"/>
      <c r="R226" s="124"/>
      <c r="S226" s="114"/>
      <c r="T226" s="114"/>
      <c r="U226" s="114"/>
      <c r="V226" s="114"/>
      <c r="W226" s="114"/>
      <c r="X226" s="114"/>
      <c r="Y226" s="114"/>
      <c r="Z226" s="219" t="s">
        <v>4342</v>
      </c>
      <c r="AA226" s="114"/>
      <c r="AB226" s="114"/>
      <c r="AC226" s="114"/>
      <c r="AD226" s="114"/>
      <c r="AE226" s="114"/>
      <c r="AF226" s="114"/>
      <c r="AG226" s="114"/>
      <c r="AH226" s="114"/>
      <c r="AI226" s="114"/>
      <c r="AJ226" s="114"/>
      <c r="AK226" s="114"/>
      <c r="AL226" s="114"/>
      <c r="AM226" s="114"/>
      <c r="AN226" s="114"/>
      <c r="AO226" s="114"/>
      <c r="AP226" s="114"/>
      <c r="AQ226" s="114"/>
      <c r="AR226" s="114"/>
    </row>
    <row r="227" ht="14.25" spans="1:44">
      <c r="A227" s="114"/>
      <c r="B227" s="114" t="s">
        <v>41</v>
      </c>
      <c r="C227" s="114" t="s">
        <v>1139</v>
      </c>
      <c r="D227" s="114" t="s">
        <v>1431</v>
      </c>
      <c r="E227" s="114" t="s">
        <v>1432</v>
      </c>
      <c r="F227" s="153">
        <v>42046</v>
      </c>
      <c r="G227" s="152">
        <v>2015</v>
      </c>
      <c r="H227" s="22" t="s">
        <v>1433</v>
      </c>
      <c r="I227" s="123" t="s">
        <v>1434</v>
      </c>
      <c r="J227" s="172">
        <v>2661</v>
      </c>
      <c r="K227" s="124"/>
      <c r="L227" s="114" t="s">
        <v>454</v>
      </c>
      <c r="M227" s="114"/>
      <c r="N227" s="124"/>
      <c r="O227" s="114"/>
      <c r="P227" s="124"/>
      <c r="Q227" s="114"/>
      <c r="R227" s="124"/>
      <c r="S227" s="114"/>
      <c r="T227" s="114"/>
      <c r="U227" s="114"/>
      <c r="V227" s="114"/>
      <c r="W227" s="114"/>
      <c r="X227" s="114"/>
      <c r="Y227" s="114"/>
      <c r="Z227" s="219" t="s">
        <v>4342</v>
      </c>
      <c r="AA227" s="114"/>
      <c r="AB227" s="114"/>
      <c r="AC227" s="114"/>
      <c r="AD227" s="114"/>
      <c r="AE227" s="114"/>
      <c r="AF227" s="114"/>
      <c r="AG227" s="114"/>
      <c r="AH227" s="114"/>
      <c r="AI227" s="114"/>
      <c r="AJ227" s="114"/>
      <c r="AK227" s="114"/>
      <c r="AL227" s="114"/>
      <c r="AM227" s="114"/>
      <c r="AN227" s="114"/>
      <c r="AO227" s="114"/>
      <c r="AP227" s="114"/>
      <c r="AQ227" s="114"/>
      <c r="AR227" s="114"/>
    </row>
    <row r="228" ht="14.25" spans="1:44">
      <c r="A228" s="114" t="s">
        <v>1435</v>
      </c>
      <c r="B228" s="114" t="s">
        <v>256</v>
      </c>
      <c r="C228" s="114" t="s">
        <v>482</v>
      </c>
      <c r="D228" s="114" t="s">
        <v>85</v>
      </c>
      <c r="E228" s="114" t="s">
        <v>1436</v>
      </c>
      <c r="F228" s="153">
        <v>42060</v>
      </c>
      <c r="G228" s="152">
        <f t="shared" ref="G228:G236" si="6">IF(INT(RIGHT(F228,4))&lt;1,"",INT(RIGHT(F228,4)))</f>
        <v>2060</v>
      </c>
      <c r="H228" s="114" t="s">
        <v>1437</v>
      </c>
      <c r="I228" s="123" t="s">
        <v>1438</v>
      </c>
      <c r="J228" s="33">
        <v>15674</v>
      </c>
      <c r="K228" s="124"/>
      <c r="L228" s="114" t="s">
        <v>454</v>
      </c>
      <c r="M228" s="114"/>
      <c r="N228" s="124">
        <f>32*8*8+64*4*4+64*3*3+64*7*7*512+512*18</f>
        <v>1618496</v>
      </c>
      <c r="O228" s="114"/>
      <c r="P228" s="124"/>
      <c r="Q228" s="114"/>
      <c r="R228" s="124"/>
      <c r="S228" s="114"/>
      <c r="T228" s="114"/>
      <c r="U228" s="114"/>
      <c r="V228" s="114"/>
      <c r="W228" s="114"/>
      <c r="X228" s="114"/>
      <c r="Y228" s="114"/>
      <c r="Z228" s="164"/>
      <c r="AA228" s="114"/>
      <c r="AB228" s="114"/>
      <c r="AC228" s="114"/>
      <c r="AD228" s="114"/>
      <c r="AE228" s="114"/>
      <c r="AF228" s="114"/>
      <c r="AG228" s="114"/>
      <c r="AH228" s="114"/>
      <c r="AI228" s="114"/>
      <c r="AJ228" s="114"/>
      <c r="AK228" s="114"/>
      <c r="AL228" s="114"/>
      <c r="AM228" s="114"/>
      <c r="AN228" s="114"/>
      <c r="AO228" s="114"/>
      <c r="AP228" s="114"/>
      <c r="AQ228" s="114"/>
      <c r="AR228" s="114"/>
    </row>
    <row r="229" ht="14.25" spans="1:44">
      <c r="A229" s="114" t="s">
        <v>1439</v>
      </c>
      <c r="B229" s="114" t="s">
        <v>51</v>
      </c>
      <c r="C229" s="114" t="s">
        <v>1440</v>
      </c>
      <c r="D229" s="114" t="s">
        <v>1392</v>
      </c>
      <c r="E229" s="114" t="s">
        <v>1442</v>
      </c>
      <c r="F229" s="153">
        <v>42063</v>
      </c>
      <c r="G229" s="152">
        <f t="shared" si="6"/>
        <v>2063</v>
      </c>
      <c r="H229" s="114" t="s">
        <v>1443</v>
      </c>
      <c r="I229" s="123" t="s">
        <v>1444</v>
      </c>
      <c r="J229" s="33">
        <v>2616</v>
      </c>
      <c r="K229" s="124"/>
      <c r="L229" s="114" t="s">
        <v>454</v>
      </c>
      <c r="M229" s="114"/>
      <c r="N229" s="124">
        <v>205190</v>
      </c>
      <c r="O229" s="159"/>
      <c r="P229" s="124"/>
      <c r="Q229" s="114"/>
      <c r="R229" s="124"/>
      <c r="S229" s="114"/>
      <c r="T229" s="114"/>
      <c r="U229" s="114"/>
      <c r="V229" s="114"/>
      <c r="W229" s="114"/>
      <c r="X229" s="114" t="s">
        <v>4364</v>
      </c>
      <c r="Y229" s="114"/>
      <c r="Z229" s="164"/>
      <c r="AA229" s="114"/>
      <c r="AB229" s="114"/>
      <c r="AC229" s="114"/>
      <c r="AD229" s="114"/>
      <c r="AE229" s="114"/>
      <c r="AF229" s="114"/>
      <c r="AG229" s="114"/>
      <c r="AH229" s="114"/>
      <c r="AI229" s="114"/>
      <c r="AJ229" s="114"/>
      <c r="AK229" s="114"/>
      <c r="AL229" s="114"/>
      <c r="AM229" s="114"/>
      <c r="AN229" s="114"/>
      <c r="AO229" s="114"/>
      <c r="AP229" s="114"/>
      <c r="AQ229" s="114"/>
      <c r="AR229" s="114"/>
    </row>
    <row r="230" ht="14.25" spans="1:44">
      <c r="A230" s="155" t="s">
        <v>1446</v>
      </c>
      <c r="B230" s="114" t="s">
        <v>41</v>
      </c>
      <c r="C230" s="114" t="s">
        <v>724</v>
      </c>
      <c r="D230" s="114" t="s">
        <v>205</v>
      </c>
      <c r="E230" s="114" t="s">
        <v>1447</v>
      </c>
      <c r="F230" s="153">
        <v>42124</v>
      </c>
      <c r="G230" s="152">
        <f t="shared" si="6"/>
        <v>2124</v>
      </c>
      <c r="H230" s="114" t="s">
        <v>1446</v>
      </c>
      <c r="I230" s="123" t="s">
        <v>1448</v>
      </c>
      <c r="J230" s="33">
        <v>15834</v>
      </c>
      <c r="K230" s="124"/>
      <c r="L230" s="114" t="s">
        <v>454</v>
      </c>
      <c r="M230" s="114"/>
      <c r="N230" s="124"/>
      <c r="O230" s="114"/>
      <c r="P230" s="124"/>
      <c r="Q230" s="114"/>
      <c r="R230" s="124"/>
      <c r="S230" s="114"/>
      <c r="T230" s="114"/>
      <c r="U230" s="114"/>
      <c r="V230" s="114"/>
      <c r="W230" s="114"/>
      <c r="X230" s="114" t="s">
        <v>4365</v>
      </c>
      <c r="Y230" s="114"/>
      <c r="Z230" s="164"/>
      <c r="AA230" s="114"/>
      <c r="AB230" s="114"/>
      <c r="AC230" s="114"/>
      <c r="AD230" s="114"/>
      <c r="AE230" s="114"/>
      <c r="AF230" s="114"/>
      <c r="AG230" s="114"/>
      <c r="AH230" s="114"/>
      <c r="AI230" s="114"/>
      <c r="AJ230" s="114"/>
      <c r="AK230" s="114"/>
      <c r="AL230" s="114"/>
      <c r="AM230" s="114"/>
      <c r="AN230" s="114"/>
      <c r="AO230" s="114"/>
      <c r="AP230" s="114"/>
      <c r="AQ230" s="114"/>
      <c r="AR230" s="114"/>
    </row>
    <row r="231" ht="14.25" spans="1:44">
      <c r="A231" s="155" t="s">
        <v>1462</v>
      </c>
      <c r="B231" s="114" t="s">
        <v>41</v>
      </c>
      <c r="C231" s="114" t="s">
        <v>724</v>
      </c>
      <c r="D231" s="114" t="s">
        <v>205</v>
      </c>
      <c r="E231" s="114" t="s">
        <v>1463</v>
      </c>
      <c r="F231" s="153">
        <v>42159</v>
      </c>
      <c r="G231" s="152">
        <f t="shared" si="6"/>
        <v>2159</v>
      </c>
      <c r="H231" s="114" t="s">
        <v>1464</v>
      </c>
      <c r="I231" s="123" t="s">
        <v>1465</v>
      </c>
      <c r="J231" s="33">
        <v>22961</v>
      </c>
      <c r="K231" s="124"/>
      <c r="L231" s="114" t="s">
        <v>454</v>
      </c>
      <c r="M231" s="114"/>
      <c r="N231" s="124"/>
      <c r="O231" s="114"/>
      <c r="P231" s="124"/>
      <c r="Q231" s="114"/>
      <c r="R231" s="124"/>
      <c r="S231" s="114"/>
      <c r="T231" s="114"/>
      <c r="U231" s="114"/>
      <c r="V231" s="114"/>
      <c r="W231" s="114"/>
      <c r="X231" s="114"/>
      <c r="Y231" s="114"/>
      <c r="Z231" s="164"/>
      <c r="AA231" s="114"/>
      <c r="AB231" s="114"/>
      <c r="AC231" s="114"/>
      <c r="AD231" s="114"/>
      <c r="AE231" s="114"/>
      <c r="AF231" s="114"/>
      <c r="AG231" s="114"/>
      <c r="AH231" s="114"/>
      <c r="AI231" s="114"/>
      <c r="AJ231" s="114"/>
      <c r="AK231" s="114"/>
      <c r="AL231" s="114"/>
      <c r="AM231" s="114"/>
      <c r="AN231" s="114"/>
      <c r="AO231" s="114"/>
      <c r="AP231" s="114"/>
      <c r="AQ231" s="114"/>
      <c r="AR231" s="114"/>
    </row>
    <row r="232" ht="14.25" spans="1:44">
      <c r="A232" s="114" t="s">
        <v>1425</v>
      </c>
      <c r="B232" s="114" t="s">
        <v>41</v>
      </c>
      <c r="C232" s="114" t="s">
        <v>176</v>
      </c>
      <c r="D232" s="114" t="s">
        <v>1426</v>
      </c>
      <c r="E232" s="114" t="s">
        <v>1427</v>
      </c>
      <c r="F232" s="153">
        <v>42162</v>
      </c>
      <c r="G232" s="152">
        <f t="shared" si="6"/>
        <v>2162</v>
      </c>
      <c r="H232" s="114" t="s">
        <v>1428</v>
      </c>
      <c r="I232" s="123" t="s">
        <v>4366</v>
      </c>
      <c r="J232" s="33">
        <v>32758</v>
      </c>
      <c r="K232" s="124"/>
      <c r="L232" s="114" t="s">
        <v>454</v>
      </c>
      <c r="M232" s="114">
        <v>22</v>
      </c>
      <c r="N232" s="124">
        <f>(2.7+112+159+380+364+437+463+580+840+1072+1388+1000)*1000</f>
        <v>6797700</v>
      </c>
      <c r="O232" s="158">
        <v>1.557140125176e+18</v>
      </c>
      <c r="P232" s="124"/>
      <c r="Q232" s="114"/>
      <c r="R232" s="124"/>
      <c r="S232" s="114"/>
      <c r="T232" s="114"/>
      <c r="U232" s="114"/>
      <c r="V232" s="114"/>
      <c r="W232" s="114"/>
      <c r="X232" s="114"/>
      <c r="Y232" s="114"/>
      <c r="Z232" s="166" t="s">
        <v>34</v>
      </c>
      <c r="AA232" s="114"/>
      <c r="AB232" s="114"/>
      <c r="AC232" s="114"/>
      <c r="AD232" s="114"/>
      <c r="AE232" s="114"/>
      <c r="AF232" s="114"/>
      <c r="AG232" s="114"/>
      <c r="AH232" s="114"/>
      <c r="AI232" s="114"/>
      <c r="AJ232" s="114"/>
      <c r="AK232" s="114"/>
      <c r="AL232" s="114"/>
      <c r="AM232" s="114"/>
      <c r="AN232" s="114"/>
      <c r="AO232" s="114"/>
      <c r="AP232" s="114"/>
      <c r="AQ232" s="114"/>
      <c r="AR232" s="114"/>
    </row>
    <row r="233" ht="14.25" spans="1:44">
      <c r="A233" s="155" t="s">
        <v>1466</v>
      </c>
      <c r="B233" s="114" t="s">
        <v>41</v>
      </c>
      <c r="C233" s="114" t="s">
        <v>724</v>
      </c>
      <c r="D233" s="114" t="s">
        <v>898</v>
      </c>
      <c r="E233" s="114" t="s">
        <v>1467</v>
      </c>
      <c r="F233" s="153">
        <v>42163</v>
      </c>
      <c r="G233" s="152">
        <f t="shared" si="6"/>
        <v>2163</v>
      </c>
      <c r="H233" s="114" t="s">
        <v>1468</v>
      </c>
      <c r="I233" s="123" t="s">
        <v>1469</v>
      </c>
      <c r="J233" s="33">
        <v>17522</v>
      </c>
      <c r="K233" s="124"/>
      <c r="L233" s="114" t="s">
        <v>454</v>
      </c>
      <c r="M233" s="114"/>
      <c r="N233" s="124">
        <f>7*7*64*3+3*3*192*64+1*1*128*192+3*3*256*128+1*1*256*256+3*3*512*256+4*(1*1*256*512+3*3*512*256)+1*1*512*512+3*3*1024*512+2*(1*1*512*1024+3*3*1024*512)+4*(3*3*1024*1024)+1024*4096+4096*30</f>
        <v>64459968</v>
      </c>
      <c r="O233" s="114"/>
      <c r="P233" s="124"/>
      <c r="Q233" s="114"/>
      <c r="R233" s="124"/>
      <c r="S233" s="114"/>
      <c r="T233" s="114"/>
      <c r="U233" s="114"/>
      <c r="V233" s="159"/>
      <c r="W233" s="159"/>
      <c r="X233" s="159"/>
      <c r="Y233" s="159"/>
      <c r="Z233" s="164"/>
      <c r="AA233" s="159"/>
      <c r="AB233" s="159"/>
      <c r="AC233" s="159"/>
      <c r="AD233" s="159"/>
      <c r="AE233" s="159"/>
      <c r="AF233" s="159"/>
      <c r="AG233" s="159"/>
      <c r="AH233" s="159"/>
      <c r="AI233" s="159"/>
      <c r="AJ233" s="159"/>
      <c r="AK233" s="159"/>
      <c r="AL233" s="159"/>
      <c r="AM233" s="159"/>
      <c r="AN233" s="159"/>
      <c r="AO233" s="159"/>
      <c r="AP233" s="159"/>
      <c r="AQ233" s="159"/>
      <c r="AR233" s="159"/>
    </row>
    <row r="234" ht="14.25" spans="1:44">
      <c r="A234" s="114" t="s">
        <v>1470</v>
      </c>
      <c r="B234" s="114"/>
      <c r="C234" s="114"/>
      <c r="D234" s="114" t="s">
        <v>85</v>
      </c>
      <c r="E234" s="114" t="s">
        <v>1471</v>
      </c>
      <c r="F234" s="153">
        <v>42170</v>
      </c>
      <c r="G234" s="152">
        <f t="shared" si="6"/>
        <v>2170</v>
      </c>
      <c r="H234" s="114" t="s">
        <v>1472</v>
      </c>
      <c r="I234" s="123" t="s">
        <v>1473</v>
      </c>
      <c r="J234" s="33">
        <v>29217</v>
      </c>
      <c r="K234" s="124"/>
      <c r="L234" s="114" t="s">
        <v>454</v>
      </c>
      <c r="M234" s="114"/>
      <c r="N234" s="124"/>
      <c r="O234" s="114"/>
      <c r="P234" s="124"/>
      <c r="Q234" s="114"/>
      <c r="R234" s="124"/>
      <c r="S234" s="114"/>
      <c r="T234" s="114"/>
      <c r="U234" s="114"/>
      <c r="V234" s="114"/>
      <c r="W234" s="114"/>
      <c r="X234" s="114"/>
      <c r="Y234" s="114"/>
      <c r="Z234" s="164"/>
      <c r="AA234" s="114"/>
      <c r="AB234" s="114"/>
      <c r="AC234" s="114"/>
      <c r="AD234" s="114"/>
      <c r="AE234" s="114"/>
      <c r="AF234" s="114"/>
      <c r="AG234" s="114"/>
      <c r="AH234" s="114"/>
      <c r="AI234" s="114"/>
      <c r="AJ234" s="114"/>
      <c r="AK234" s="114"/>
      <c r="AL234" s="114"/>
      <c r="AM234" s="114"/>
      <c r="AN234" s="114"/>
      <c r="AO234" s="114"/>
      <c r="AP234" s="114"/>
      <c r="AQ234" s="114"/>
      <c r="AR234" s="114"/>
    </row>
    <row r="235" ht="14.25" spans="1:44">
      <c r="A235" s="114"/>
      <c r="B235" s="114" t="s">
        <v>51</v>
      </c>
      <c r="C235" s="114" t="s">
        <v>144</v>
      </c>
      <c r="D235" s="114" t="s">
        <v>1479</v>
      </c>
      <c r="E235" s="114" t="s">
        <v>1480</v>
      </c>
      <c r="F235" s="153">
        <v>42247</v>
      </c>
      <c r="G235" s="152">
        <f t="shared" si="6"/>
        <v>2247</v>
      </c>
      <c r="H235" s="114" t="s">
        <v>1481</v>
      </c>
      <c r="I235" s="123" t="s">
        <v>1482</v>
      </c>
      <c r="J235" s="33">
        <v>4058</v>
      </c>
      <c r="K235" s="124"/>
      <c r="L235" s="114" t="s">
        <v>454</v>
      </c>
      <c r="M235" s="114"/>
      <c r="N235" s="124"/>
      <c r="O235" s="159"/>
      <c r="P235" s="124"/>
      <c r="Q235" s="114"/>
      <c r="R235" s="124"/>
      <c r="S235" s="114"/>
      <c r="T235" s="114"/>
      <c r="U235" s="114"/>
      <c r="V235" s="114"/>
      <c r="W235" s="114"/>
      <c r="X235" s="159"/>
      <c r="Y235" s="114"/>
      <c r="Z235" s="164"/>
      <c r="AA235" s="114"/>
      <c r="AB235" s="114"/>
      <c r="AC235" s="114"/>
      <c r="AD235" s="114"/>
      <c r="AE235" s="114"/>
      <c r="AF235" s="114"/>
      <c r="AG235" s="114"/>
      <c r="AH235" s="114"/>
      <c r="AI235" s="114"/>
      <c r="AJ235" s="114"/>
      <c r="AK235" s="114"/>
      <c r="AL235" s="114"/>
      <c r="AM235" s="114"/>
      <c r="AN235" s="114"/>
      <c r="AO235" s="114"/>
      <c r="AP235" s="114"/>
      <c r="AQ235" s="114"/>
      <c r="AR235" s="114"/>
    </row>
    <row r="236" ht="14.25" spans="1:44">
      <c r="A236" s="114" t="s">
        <v>1407</v>
      </c>
      <c r="B236" s="114" t="s">
        <v>256</v>
      </c>
      <c r="C236" s="114" t="s">
        <v>1077</v>
      </c>
      <c r="D236" s="114" t="s">
        <v>1334</v>
      </c>
      <c r="E236" s="114" t="s">
        <v>1484</v>
      </c>
      <c r="F236" s="153">
        <v>42256</v>
      </c>
      <c r="G236" s="152">
        <f t="shared" si="6"/>
        <v>2256</v>
      </c>
      <c r="H236" s="114" t="s">
        <v>1485</v>
      </c>
      <c r="I236" s="123" t="s">
        <v>1486</v>
      </c>
      <c r="J236" s="33">
        <v>6348</v>
      </c>
      <c r="K236" s="124"/>
      <c r="L236" s="114" t="s">
        <v>454</v>
      </c>
      <c r="M236" s="114"/>
      <c r="N236" s="124">
        <f>(192*5*5*48+11*192*3*3*192+1*1*192)+(192*5*5*49+12*192*3*3*192+1*1*192+21*21*256+256)</f>
        <v>8209984</v>
      </c>
      <c r="O236" s="124">
        <v>3.8e+20</v>
      </c>
      <c r="P236" s="124"/>
      <c r="Q236" s="114"/>
      <c r="R236" s="124"/>
      <c r="S236" s="114"/>
      <c r="T236" s="114"/>
      <c r="U236" s="114"/>
      <c r="V236" s="114"/>
      <c r="W236" s="114"/>
      <c r="X236" s="114"/>
      <c r="Y236" s="114"/>
      <c r="Z236" s="164"/>
      <c r="AA236" s="114"/>
      <c r="AB236" s="114"/>
      <c r="AC236" s="114"/>
      <c r="AD236" s="114"/>
      <c r="AE236" s="114"/>
      <c r="AF236" s="114"/>
      <c r="AG236" s="114"/>
      <c r="AH236" s="114"/>
      <c r="AI236" s="114"/>
      <c r="AJ236" s="114"/>
      <c r="AK236" s="114"/>
      <c r="AL236" s="114"/>
      <c r="AM236" s="114"/>
      <c r="AN236" s="114"/>
      <c r="AO236" s="114"/>
      <c r="AP236" s="114"/>
      <c r="AQ236" s="114"/>
      <c r="AR236" s="114"/>
    </row>
    <row r="237" ht="14.25" spans="1:44">
      <c r="A237" s="159"/>
      <c r="B237" s="159"/>
      <c r="C237" s="159"/>
      <c r="D237" s="156" t="s">
        <v>1334</v>
      </c>
      <c r="E237" s="114" t="s">
        <v>1256</v>
      </c>
      <c r="F237" s="153">
        <v>42278</v>
      </c>
      <c r="G237" s="152">
        <v>2015</v>
      </c>
      <c r="H237" s="114" t="s">
        <v>1257</v>
      </c>
      <c r="I237" s="123" t="s">
        <v>1408</v>
      </c>
      <c r="J237" s="172">
        <v>5184</v>
      </c>
      <c r="K237" s="124"/>
      <c r="L237" s="114" t="s">
        <v>142</v>
      </c>
      <c r="M237" s="159"/>
      <c r="N237" s="173"/>
      <c r="O237" s="159"/>
      <c r="P237" s="173"/>
      <c r="Q237" s="159"/>
      <c r="R237" s="159"/>
      <c r="S237" s="159"/>
      <c r="T237" s="159"/>
      <c r="U237" s="159"/>
      <c r="V237" s="114"/>
      <c r="W237" s="114"/>
      <c r="X237" s="114"/>
      <c r="Y237" s="114"/>
      <c r="Z237" s="164"/>
      <c r="AA237" s="114"/>
      <c r="AB237" s="114"/>
      <c r="AC237" s="114"/>
      <c r="AD237" s="114"/>
      <c r="AE237" s="114"/>
      <c r="AF237" s="114"/>
      <c r="AG237" s="114"/>
      <c r="AH237" s="114"/>
      <c r="AI237" s="114"/>
      <c r="AJ237" s="114"/>
      <c r="AK237" s="114"/>
      <c r="AL237" s="114"/>
      <c r="AM237" s="114"/>
      <c r="AN237" s="114"/>
      <c r="AO237" s="114"/>
      <c r="AP237" s="114"/>
      <c r="AQ237" s="114"/>
      <c r="AR237" s="114"/>
    </row>
    <row r="238" ht="14.25" spans="1:44">
      <c r="A238" s="159"/>
      <c r="B238" s="159"/>
      <c r="C238" s="159"/>
      <c r="D238" s="156" t="s">
        <v>1334</v>
      </c>
      <c r="E238" s="114" t="s">
        <v>1487</v>
      </c>
      <c r="F238" s="153">
        <v>42328</v>
      </c>
      <c r="G238" s="152">
        <f t="shared" ref="G238:G272" si="7">IF(INT(RIGHT(F238,4))&lt;1,"",INT(RIGHT(F238,4)))</f>
        <v>2328</v>
      </c>
      <c r="H238" s="114" t="s">
        <v>1488</v>
      </c>
      <c r="I238" s="123" t="s">
        <v>1489</v>
      </c>
      <c r="J238" s="33">
        <v>1995</v>
      </c>
      <c r="K238" s="124"/>
      <c r="L238" s="114" t="s">
        <v>454</v>
      </c>
      <c r="M238" s="159"/>
      <c r="N238" s="173"/>
      <c r="O238" s="159"/>
      <c r="P238" s="173"/>
      <c r="Q238" s="159"/>
      <c r="R238" s="159"/>
      <c r="S238" s="159"/>
      <c r="T238" s="159"/>
      <c r="U238" s="159"/>
      <c r="V238" s="114"/>
      <c r="W238" s="114"/>
      <c r="X238" s="114"/>
      <c r="Y238" s="114"/>
      <c r="Z238" s="164"/>
      <c r="AA238" s="114"/>
      <c r="AB238" s="114"/>
      <c r="AC238" s="114"/>
      <c r="AD238" s="114"/>
      <c r="AE238" s="114"/>
      <c r="AF238" s="114"/>
      <c r="AG238" s="114"/>
      <c r="AH238" s="114"/>
      <c r="AI238" s="114"/>
      <c r="AJ238" s="114"/>
      <c r="AK238" s="114"/>
      <c r="AL238" s="114"/>
      <c r="AM238" s="114"/>
      <c r="AN238" s="114"/>
      <c r="AO238" s="114"/>
      <c r="AP238" s="114"/>
      <c r="AQ238" s="114"/>
      <c r="AR238" s="114"/>
    </row>
    <row r="239" ht="14.25" spans="1:44">
      <c r="A239" s="159"/>
      <c r="B239" s="156" t="s">
        <v>41</v>
      </c>
      <c r="C239" s="156" t="s">
        <v>1139</v>
      </c>
      <c r="D239" s="156" t="s">
        <v>1490</v>
      </c>
      <c r="E239" s="114" t="s">
        <v>1491</v>
      </c>
      <c r="F239" s="153">
        <v>42331</v>
      </c>
      <c r="G239" s="152">
        <f t="shared" si="7"/>
        <v>2331</v>
      </c>
      <c r="H239" s="114" t="s">
        <v>1492</v>
      </c>
      <c r="I239" s="123" t="s">
        <v>1493</v>
      </c>
      <c r="J239" s="172">
        <v>5844</v>
      </c>
      <c r="K239" s="124"/>
      <c r="L239" s="114" t="s">
        <v>454</v>
      </c>
      <c r="M239" s="159"/>
      <c r="N239" s="173"/>
      <c r="O239" s="159"/>
      <c r="P239" s="173"/>
      <c r="Q239" s="159"/>
      <c r="R239" s="159"/>
      <c r="S239" s="159"/>
      <c r="T239" s="159"/>
      <c r="U239" s="159"/>
      <c r="V239" s="114"/>
      <c r="W239" s="114"/>
      <c r="X239" s="114"/>
      <c r="Y239" s="114"/>
      <c r="Z239" s="164"/>
      <c r="AA239" s="114"/>
      <c r="AB239" s="114"/>
      <c r="AC239" s="114"/>
      <c r="AD239" s="114"/>
      <c r="AE239" s="114"/>
      <c r="AF239" s="114"/>
      <c r="AG239" s="114"/>
      <c r="AH239" s="114"/>
      <c r="AI239" s="114"/>
      <c r="AJ239" s="114"/>
      <c r="AK239" s="114"/>
      <c r="AL239" s="114"/>
      <c r="AM239" s="114"/>
      <c r="AN239" s="114"/>
      <c r="AO239" s="114"/>
      <c r="AP239" s="114"/>
      <c r="AQ239" s="114"/>
      <c r="AR239" s="114"/>
    </row>
    <row r="240" ht="14.25" spans="1:44">
      <c r="A240" s="114"/>
      <c r="B240" s="114" t="s">
        <v>434</v>
      </c>
      <c r="C240" s="114"/>
      <c r="D240" s="114" t="s">
        <v>1494</v>
      </c>
      <c r="E240" s="114" t="s">
        <v>1495</v>
      </c>
      <c r="F240" s="167">
        <v>42339</v>
      </c>
      <c r="G240" s="152">
        <f t="shared" si="7"/>
        <v>2339</v>
      </c>
      <c r="H240" s="114" t="s">
        <v>1496</v>
      </c>
      <c r="I240" s="123" t="s">
        <v>1497</v>
      </c>
      <c r="J240" s="33">
        <v>1092</v>
      </c>
      <c r="K240" s="124"/>
      <c r="L240" s="114" t="s">
        <v>454</v>
      </c>
      <c r="M240" s="114"/>
      <c r="N240" s="124"/>
      <c r="O240" s="159"/>
      <c r="P240" s="124"/>
      <c r="Q240" s="114"/>
      <c r="R240" s="124"/>
      <c r="S240" s="114"/>
      <c r="T240" s="114"/>
      <c r="U240" s="114"/>
      <c r="V240" s="114"/>
      <c r="W240" s="114"/>
      <c r="X240" s="114" t="s">
        <v>4367</v>
      </c>
      <c r="Y240" s="114"/>
      <c r="Z240" s="164"/>
      <c r="AA240" s="114"/>
      <c r="AB240" s="114"/>
      <c r="AC240" s="114"/>
      <c r="AD240" s="114"/>
      <c r="AE240" s="114"/>
      <c r="AF240" s="114"/>
      <c r="AG240" s="114"/>
      <c r="AH240" s="114"/>
      <c r="AI240" s="114"/>
      <c r="AJ240" s="114"/>
      <c r="AK240" s="114"/>
      <c r="AL240" s="114"/>
      <c r="AM240" s="114"/>
      <c r="AN240" s="114"/>
      <c r="AO240" s="114"/>
      <c r="AP240" s="114"/>
      <c r="AQ240" s="114"/>
      <c r="AR240" s="114"/>
    </row>
    <row r="241" ht="14.25" spans="1:44">
      <c r="A241" s="155" t="s">
        <v>1498</v>
      </c>
      <c r="B241" s="114" t="s">
        <v>41</v>
      </c>
      <c r="C241" s="114" t="s">
        <v>176</v>
      </c>
      <c r="D241" s="114" t="s">
        <v>1499</v>
      </c>
      <c r="E241" s="114" t="s">
        <v>1500</v>
      </c>
      <c r="F241" s="153">
        <v>42340</v>
      </c>
      <c r="G241" s="152">
        <f t="shared" si="7"/>
        <v>2340</v>
      </c>
      <c r="H241" s="114" t="s">
        <v>1501</v>
      </c>
      <c r="I241" s="123" t="s">
        <v>1502</v>
      </c>
      <c r="J241" s="33">
        <v>14745</v>
      </c>
      <c r="K241" s="124"/>
      <c r="L241" s="114" t="s">
        <v>454</v>
      </c>
      <c r="M241" s="114"/>
      <c r="N241" s="124">
        <v>23626728</v>
      </c>
      <c r="O241" s="114"/>
      <c r="P241" s="124">
        <f>57415000000*2</f>
        <v>114830000000</v>
      </c>
      <c r="Q241" s="114"/>
      <c r="R241" s="124"/>
      <c r="S241" s="114"/>
      <c r="T241" s="114"/>
      <c r="U241" s="114"/>
      <c r="V241" s="114"/>
      <c r="W241" s="114"/>
      <c r="X241" s="114" t="s">
        <v>4367</v>
      </c>
      <c r="Y241" s="114"/>
      <c r="Z241" s="164"/>
      <c r="AA241" s="114"/>
      <c r="AB241" s="114"/>
      <c r="AC241" s="114"/>
      <c r="AD241" s="114"/>
      <c r="AE241" s="114"/>
      <c r="AF241" s="114"/>
      <c r="AG241" s="114"/>
      <c r="AH241" s="114"/>
      <c r="AI241" s="114"/>
      <c r="AJ241" s="114"/>
      <c r="AK241" s="114"/>
      <c r="AL241" s="114"/>
      <c r="AM241" s="114"/>
      <c r="AN241" s="114"/>
      <c r="AO241" s="114"/>
      <c r="AP241" s="114"/>
      <c r="AQ241" s="114"/>
      <c r="AR241" s="114"/>
    </row>
    <row r="242" ht="14.25" spans="1:44">
      <c r="A242" s="114" t="s">
        <v>1410</v>
      </c>
      <c r="B242" s="114" t="s">
        <v>126</v>
      </c>
      <c r="C242" s="114"/>
      <c r="D242" s="114" t="s">
        <v>1411</v>
      </c>
      <c r="E242" s="114" t="s">
        <v>1412</v>
      </c>
      <c r="F242" s="153">
        <v>42346</v>
      </c>
      <c r="G242" s="152">
        <f t="shared" si="7"/>
        <v>2346</v>
      </c>
      <c r="H242" s="114" t="s">
        <v>1413</v>
      </c>
      <c r="I242" s="123" t="s">
        <v>1414</v>
      </c>
      <c r="J242" s="33">
        <v>2214</v>
      </c>
      <c r="K242" s="124"/>
      <c r="L242" s="114" t="s">
        <v>454</v>
      </c>
      <c r="M242" s="114">
        <v>11</v>
      </c>
      <c r="N242" s="124">
        <f>38000000</f>
        <v>38000000</v>
      </c>
      <c r="O242" s="114">
        <f>26000*1000000000000000</f>
        <v>2.6e+19</v>
      </c>
      <c r="P242" s="216">
        <f>1.8*10^9</f>
        <v>1800000000</v>
      </c>
      <c r="Q242" s="114" t="s">
        <v>4368</v>
      </c>
      <c r="R242" s="124"/>
      <c r="S242" s="114"/>
      <c r="T242" s="114"/>
      <c r="U242" s="114"/>
      <c r="V242" s="114"/>
      <c r="W242" s="114"/>
      <c r="X242" s="114" t="s">
        <v>4369</v>
      </c>
      <c r="Y242" s="114"/>
      <c r="Z242" s="166" t="s">
        <v>34</v>
      </c>
      <c r="AA242" s="114"/>
      <c r="AB242" s="114"/>
      <c r="AC242" s="114"/>
      <c r="AD242" s="114"/>
      <c r="AE242" s="114"/>
      <c r="AF242" s="114"/>
      <c r="AG242" s="114"/>
      <c r="AH242" s="114"/>
      <c r="AI242" s="114"/>
      <c r="AJ242" s="114"/>
      <c r="AK242" s="114"/>
      <c r="AL242" s="114"/>
      <c r="AM242" s="114"/>
      <c r="AN242" s="114"/>
      <c r="AO242" s="114"/>
      <c r="AP242" s="114"/>
      <c r="AQ242" s="114"/>
      <c r="AR242" s="114"/>
    </row>
    <row r="243" ht="14.25" spans="1:44">
      <c r="A243" s="114" t="s">
        <v>1421</v>
      </c>
      <c r="B243" s="114" t="s">
        <v>41</v>
      </c>
      <c r="C243" s="114" t="s">
        <v>176</v>
      </c>
      <c r="D243" s="114" t="s">
        <v>393</v>
      </c>
      <c r="E243" s="114" t="s">
        <v>1346</v>
      </c>
      <c r="F243" s="153">
        <v>42348</v>
      </c>
      <c r="G243" s="152">
        <f t="shared" si="7"/>
        <v>2348</v>
      </c>
      <c r="H243" s="114" t="s">
        <v>1422</v>
      </c>
      <c r="I243" s="123" t="s">
        <v>1423</v>
      </c>
      <c r="J243" s="33">
        <v>85753</v>
      </c>
      <c r="K243" s="124"/>
      <c r="L243" s="114" t="s">
        <v>454</v>
      </c>
      <c r="M243" s="114">
        <v>152</v>
      </c>
      <c r="N243" s="124">
        <v>60000000</v>
      </c>
      <c r="O243" s="124">
        <v>1.21e+19</v>
      </c>
      <c r="P243" s="124">
        <f>2*11300000000</f>
        <v>22600000000</v>
      </c>
      <c r="Q243" s="114" t="s">
        <v>583</v>
      </c>
      <c r="R243" s="124">
        <v>1200000</v>
      </c>
      <c r="S243" s="124"/>
      <c r="T243" s="114"/>
      <c r="U243" s="114">
        <v>138</v>
      </c>
      <c r="V243" s="114"/>
      <c r="W243" s="114"/>
      <c r="X243" s="114"/>
      <c r="Y243" s="114"/>
      <c r="Z243" s="166" t="s">
        <v>34</v>
      </c>
      <c r="AA243" s="114"/>
      <c r="AB243" s="114"/>
      <c r="AC243" s="114"/>
      <c r="AD243" s="114"/>
      <c r="AE243" s="114"/>
      <c r="AF243" s="114"/>
      <c r="AG243" s="114"/>
      <c r="AH243" s="114"/>
      <c r="AI243" s="114"/>
      <c r="AJ243" s="114"/>
      <c r="AK243" s="114"/>
      <c r="AL243" s="114"/>
      <c r="AM243" s="114"/>
      <c r="AN243" s="114"/>
      <c r="AO243" s="114"/>
      <c r="AP243" s="114"/>
      <c r="AQ243" s="114"/>
      <c r="AR243" s="114"/>
    </row>
    <row r="244" ht="14.25" spans="1:44">
      <c r="A244" s="155" t="s">
        <v>1503</v>
      </c>
      <c r="B244" s="114" t="s">
        <v>41</v>
      </c>
      <c r="C244" s="114" t="s">
        <v>176</v>
      </c>
      <c r="D244" s="114" t="s">
        <v>393</v>
      </c>
      <c r="E244" s="114" t="s">
        <v>1346</v>
      </c>
      <c r="F244" s="153">
        <v>42348</v>
      </c>
      <c r="G244" s="152">
        <f t="shared" si="7"/>
        <v>2348</v>
      </c>
      <c r="H244" s="114" t="s">
        <v>1422</v>
      </c>
      <c r="I244" s="123" t="s">
        <v>1423</v>
      </c>
      <c r="J244" s="33">
        <v>85753</v>
      </c>
      <c r="K244" s="124"/>
      <c r="L244" s="114" t="s">
        <v>454</v>
      </c>
      <c r="M244" s="114">
        <v>110</v>
      </c>
      <c r="N244" s="124">
        <v>1700000</v>
      </c>
      <c r="O244" s="114"/>
      <c r="P244" s="124"/>
      <c r="Q244" s="114"/>
      <c r="R244" s="124"/>
      <c r="S244" s="114"/>
      <c r="T244" s="114"/>
      <c r="U244" s="114"/>
      <c r="V244" s="114"/>
      <c r="W244" s="156" t="s">
        <v>667</v>
      </c>
      <c r="X244" s="217">
        <v>0.471698113207547</v>
      </c>
      <c r="Y244" s="159"/>
      <c r="Z244" s="164"/>
      <c r="AA244" s="159"/>
      <c r="AB244" s="159"/>
      <c r="AC244" s="159"/>
      <c r="AD244" s="114"/>
      <c r="AE244" s="114"/>
      <c r="AF244" s="114"/>
      <c r="AG244" s="114"/>
      <c r="AH244" s="114"/>
      <c r="AI244" s="114"/>
      <c r="AJ244" s="114"/>
      <c r="AK244" s="114"/>
      <c r="AL244" s="114"/>
      <c r="AM244" s="114"/>
      <c r="AN244" s="114"/>
      <c r="AO244" s="114"/>
      <c r="AP244" s="114"/>
      <c r="AQ244" s="114"/>
      <c r="AR244" s="114"/>
    </row>
    <row r="245" ht="14.25" spans="1:44">
      <c r="A245" s="114" t="s">
        <v>1504</v>
      </c>
      <c r="B245" s="114" t="s">
        <v>77</v>
      </c>
      <c r="C245" s="114" t="s">
        <v>964</v>
      </c>
      <c r="D245" s="114" t="s">
        <v>1505</v>
      </c>
      <c r="E245" s="114" t="s">
        <v>1506</v>
      </c>
      <c r="F245" s="153">
        <v>42349</v>
      </c>
      <c r="G245" s="152">
        <f t="shared" si="7"/>
        <v>2349</v>
      </c>
      <c r="H245" s="114" t="s">
        <v>1507</v>
      </c>
      <c r="I245" s="123" t="s">
        <v>1508</v>
      </c>
      <c r="J245" s="33">
        <v>2008</v>
      </c>
      <c r="K245" s="124"/>
      <c r="L245" s="114" t="s">
        <v>454</v>
      </c>
      <c r="M245" s="114"/>
      <c r="N245" s="124"/>
      <c r="O245" s="114"/>
      <c r="P245" s="124"/>
      <c r="Q245" s="114"/>
      <c r="R245" s="124"/>
      <c r="S245" s="114"/>
      <c r="T245" s="114"/>
      <c r="U245" s="114"/>
      <c r="V245" s="114"/>
      <c r="W245" s="114"/>
      <c r="X245" s="114"/>
      <c r="Y245" s="114"/>
      <c r="Z245" s="164"/>
      <c r="AA245" s="114"/>
      <c r="AB245" s="114"/>
      <c r="AC245" s="114"/>
      <c r="AD245" s="114"/>
      <c r="AE245" s="114"/>
      <c r="AF245" s="114"/>
      <c r="AG245" s="114"/>
      <c r="AH245" s="114"/>
      <c r="AI245" s="114"/>
      <c r="AJ245" s="114"/>
      <c r="AK245" s="114"/>
      <c r="AL245" s="114"/>
      <c r="AM245" s="114"/>
      <c r="AN245" s="114"/>
      <c r="AO245" s="114"/>
      <c r="AP245" s="114"/>
      <c r="AQ245" s="114"/>
      <c r="AR245" s="114"/>
    </row>
    <row r="246" ht="14.25" spans="1:44">
      <c r="A246" s="114" t="s">
        <v>1509</v>
      </c>
      <c r="B246" s="114" t="s">
        <v>256</v>
      </c>
      <c r="C246" s="114" t="s">
        <v>482</v>
      </c>
      <c r="D246" s="114" t="s">
        <v>1334</v>
      </c>
      <c r="E246" s="114" t="s">
        <v>1510</v>
      </c>
      <c r="F246" s="153">
        <v>42353</v>
      </c>
      <c r="G246" s="152">
        <f t="shared" si="7"/>
        <v>2353</v>
      </c>
      <c r="H246" s="114" t="s">
        <v>1511</v>
      </c>
      <c r="I246" s="123" t="s">
        <v>1512</v>
      </c>
      <c r="J246" s="33">
        <v>104</v>
      </c>
      <c r="K246" s="124"/>
      <c r="L246" s="156" t="s">
        <v>142</v>
      </c>
      <c r="M246" s="159"/>
      <c r="N246" s="173"/>
      <c r="P246" s="173"/>
      <c r="Q246" s="159"/>
      <c r="R246" s="159"/>
      <c r="S246" s="159"/>
      <c r="T246" s="159"/>
      <c r="U246" s="156"/>
      <c r="V246" s="114"/>
      <c r="W246" s="114"/>
      <c r="X246" s="114"/>
      <c r="Y246" s="114"/>
      <c r="Z246" s="164"/>
      <c r="AA246" s="114"/>
      <c r="AB246" s="114"/>
      <c r="AC246" s="114"/>
      <c r="AD246" s="114"/>
      <c r="AE246" s="114"/>
      <c r="AF246" s="114"/>
      <c r="AG246" s="114"/>
      <c r="AH246" s="114"/>
      <c r="AI246" s="114"/>
      <c r="AJ246" s="114"/>
      <c r="AK246" s="114"/>
      <c r="AL246" s="114"/>
      <c r="AM246" s="114"/>
      <c r="AN246" s="114"/>
      <c r="AO246" s="114"/>
      <c r="AP246" s="114"/>
      <c r="AQ246" s="114"/>
      <c r="AR246" s="114"/>
    </row>
    <row r="247" ht="14.25" spans="1:44">
      <c r="A247" s="155" t="s">
        <v>1255</v>
      </c>
      <c r="B247" s="114" t="s">
        <v>256</v>
      </c>
      <c r="C247" s="114" t="s">
        <v>1077</v>
      </c>
      <c r="D247" s="114" t="s">
        <v>71</v>
      </c>
      <c r="E247" s="114" t="s">
        <v>1256</v>
      </c>
      <c r="F247" s="153">
        <v>42396</v>
      </c>
      <c r="G247" s="152">
        <f t="shared" si="7"/>
        <v>2396</v>
      </c>
      <c r="H247" s="114" t="s">
        <v>1257</v>
      </c>
      <c r="I247" s="123" t="s">
        <v>1258</v>
      </c>
      <c r="J247" s="33">
        <v>10781</v>
      </c>
      <c r="K247" s="124"/>
      <c r="L247" s="114" t="s">
        <v>454</v>
      </c>
      <c r="M247" s="114"/>
      <c r="O247" s="160">
        <v>1.9e+21</v>
      </c>
      <c r="P247" s="124"/>
      <c r="Q247" s="114"/>
      <c r="R247" s="124">
        <v>29400000</v>
      </c>
      <c r="S247" s="114"/>
      <c r="T247" s="114"/>
      <c r="U247" s="114"/>
      <c r="V247" s="114"/>
      <c r="W247" s="114"/>
      <c r="X247" s="114"/>
      <c r="Y247" s="114"/>
      <c r="Z247" s="164"/>
      <c r="AA247" s="114"/>
      <c r="AB247" s="114"/>
      <c r="AC247" s="114"/>
      <c r="AD247" s="114"/>
      <c r="AE247" s="114"/>
      <c r="AF247" s="114"/>
      <c r="AG247" s="114"/>
      <c r="AH247" s="114"/>
      <c r="AI247" s="114"/>
      <c r="AJ247" s="114"/>
      <c r="AK247" s="114"/>
      <c r="AL247" s="114"/>
      <c r="AM247" s="114"/>
      <c r="AN247" s="114"/>
      <c r="AO247" s="114"/>
      <c r="AP247" s="114"/>
      <c r="AQ247" s="114"/>
      <c r="AR247" s="114"/>
    </row>
    <row r="248" ht="14.25" spans="1:44">
      <c r="A248" s="114"/>
      <c r="B248" s="114" t="s">
        <v>41</v>
      </c>
      <c r="C248" s="114" t="s">
        <v>1279</v>
      </c>
      <c r="D248" s="114" t="s">
        <v>1280</v>
      </c>
      <c r="E248" s="114" t="s">
        <v>1281</v>
      </c>
      <c r="F248" s="153">
        <v>42399</v>
      </c>
      <c r="G248" s="152">
        <f t="shared" si="7"/>
        <v>2399</v>
      </c>
      <c r="H248" s="22" t="s">
        <v>1282</v>
      </c>
      <c r="I248" s="123" t="s">
        <v>1283</v>
      </c>
      <c r="J248" s="172">
        <v>2417</v>
      </c>
      <c r="K248" s="124"/>
      <c r="L248" s="114" t="s">
        <v>454</v>
      </c>
      <c r="M248" s="159"/>
      <c r="N248" s="173"/>
      <c r="O248" s="159"/>
      <c r="P248" s="173"/>
      <c r="Q248" s="159"/>
      <c r="R248" s="159"/>
      <c r="S248" s="159"/>
      <c r="T248" s="159"/>
      <c r="U248" s="159"/>
      <c r="V248" s="114"/>
      <c r="W248" s="114"/>
      <c r="X248" s="114"/>
      <c r="Y248" s="114"/>
      <c r="Z248" s="219" t="s">
        <v>4342</v>
      </c>
      <c r="AA248" s="114"/>
      <c r="AB248" s="114"/>
      <c r="AC248" s="114"/>
      <c r="AD248" s="114"/>
      <c r="AE248" s="114"/>
      <c r="AF248" s="114"/>
      <c r="AG248" s="114"/>
      <c r="AH248" s="114"/>
      <c r="AI248" s="114"/>
      <c r="AJ248" s="114"/>
      <c r="AK248" s="114"/>
      <c r="AL248" s="114"/>
      <c r="AM248" s="114"/>
      <c r="AN248" s="114"/>
      <c r="AO248" s="114"/>
      <c r="AP248" s="114"/>
      <c r="AQ248" s="114"/>
      <c r="AR248" s="114"/>
    </row>
    <row r="249" ht="14.25" spans="1:44">
      <c r="A249" s="114" t="s">
        <v>1284</v>
      </c>
      <c r="B249" s="114" t="s">
        <v>256</v>
      </c>
      <c r="C249" s="114" t="s">
        <v>482</v>
      </c>
      <c r="D249" s="114" t="s">
        <v>1285</v>
      </c>
      <c r="E249" s="114" t="s">
        <v>1286</v>
      </c>
      <c r="F249" s="153">
        <v>42404</v>
      </c>
      <c r="G249" s="152">
        <f t="shared" si="7"/>
        <v>2404</v>
      </c>
      <c r="H249" s="114" t="s">
        <v>1287</v>
      </c>
      <c r="I249" s="123" t="s">
        <v>1288</v>
      </c>
      <c r="J249" s="33">
        <v>5284</v>
      </c>
      <c r="K249" s="124"/>
      <c r="L249" s="156" t="s">
        <v>142</v>
      </c>
      <c r="M249" s="159"/>
      <c r="N249" s="173"/>
      <c r="O249" s="159"/>
      <c r="P249" s="173"/>
      <c r="Q249" s="159"/>
      <c r="R249" s="159"/>
      <c r="S249" s="159"/>
      <c r="T249" s="159"/>
      <c r="U249" s="159"/>
      <c r="V249" s="114"/>
      <c r="W249" s="114"/>
      <c r="X249" s="114"/>
      <c r="Y249" s="114"/>
      <c r="Z249" s="164"/>
      <c r="AA249" s="114"/>
      <c r="AB249" s="114"/>
      <c r="AC249" s="114"/>
      <c r="AD249" s="114"/>
      <c r="AE249" s="114"/>
      <c r="AF249" s="114"/>
      <c r="AG249" s="114"/>
      <c r="AH249" s="114"/>
      <c r="AI249" s="114"/>
      <c r="AJ249" s="114"/>
      <c r="AK249" s="114"/>
      <c r="AL249" s="114"/>
      <c r="AM249" s="114"/>
      <c r="AN249" s="114"/>
      <c r="AO249" s="114"/>
      <c r="AP249" s="114"/>
      <c r="AQ249" s="114"/>
      <c r="AR249" s="114"/>
    </row>
    <row r="250" ht="14.25" spans="1:44">
      <c r="A250" s="114" t="s">
        <v>1289</v>
      </c>
      <c r="B250" s="114" t="s">
        <v>41</v>
      </c>
      <c r="C250" s="114" t="s">
        <v>176</v>
      </c>
      <c r="D250" s="114" t="s">
        <v>85</v>
      </c>
      <c r="E250" s="114" t="s">
        <v>1290</v>
      </c>
      <c r="F250" s="153">
        <v>42423</v>
      </c>
      <c r="G250" s="152">
        <f t="shared" si="7"/>
        <v>2423</v>
      </c>
      <c r="H250" s="114" t="s">
        <v>1291</v>
      </c>
      <c r="I250" s="123" t="s">
        <v>1292</v>
      </c>
      <c r="J250" s="33">
        <v>8213</v>
      </c>
      <c r="K250" s="124"/>
      <c r="L250" s="114" t="s">
        <v>454</v>
      </c>
      <c r="M250" s="114"/>
      <c r="N250" s="124">
        <v>43000000</v>
      </c>
      <c r="P250" s="124">
        <f>12300000000*2</f>
        <v>24600000000</v>
      </c>
      <c r="Q250" s="159"/>
      <c r="R250" s="124"/>
      <c r="S250" s="114"/>
      <c r="T250" s="114"/>
      <c r="U250" s="114"/>
      <c r="V250" s="114"/>
      <c r="W250" s="114"/>
      <c r="X250" s="114"/>
      <c r="Y250" s="114"/>
      <c r="Z250" s="164"/>
      <c r="AA250" s="114"/>
      <c r="AB250" s="114"/>
      <c r="AC250" s="114"/>
      <c r="AD250" s="114"/>
      <c r="AE250" s="114"/>
      <c r="AF250" s="114"/>
      <c r="AG250" s="114"/>
      <c r="AH250" s="114"/>
      <c r="AI250" s="114"/>
      <c r="AJ250" s="114"/>
      <c r="AK250" s="114"/>
      <c r="AL250" s="114"/>
      <c r="AM250" s="114"/>
      <c r="AN250" s="114"/>
      <c r="AO250" s="114"/>
      <c r="AP250" s="114"/>
      <c r="AQ250" s="114"/>
      <c r="AR250" s="114"/>
    </row>
    <row r="251" ht="14.25" spans="1:44">
      <c r="A251" s="114" t="s">
        <v>1293</v>
      </c>
      <c r="B251" s="114" t="s">
        <v>41</v>
      </c>
      <c r="C251" s="114" t="s">
        <v>176</v>
      </c>
      <c r="D251" s="114" t="s">
        <v>85</v>
      </c>
      <c r="E251" s="114" t="s">
        <v>1290</v>
      </c>
      <c r="F251" s="153">
        <v>42423</v>
      </c>
      <c r="G251" s="152">
        <f t="shared" si="7"/>
        <v>2423</v>
      </c>
      <c r="H251" s="114" t="s">
        <v>1291</v>
      </c>
      <c r="I251" s="123" t="s">
        <v>1292</v>
      </c>
      <c r="J251" s="33">
        <v>8213</v>
      </c>
      <c r="K251" s="124"/>
      <c r="L251" s="114" t="s">
        <v>454</v>
      </c>
      <c r="M251" s="114"/>
      <c r="N251" s="124">
        <v>56000000</v>
      </c>
      <c r="P251" s="124">
        <f>1319000000*2</f>
        <v>2638000000</v>
      </c>
      <c r="Q251" s="159"/>
      <c r="R251" s="124"/>
      <c r="S251" s="114"/>
      <c r="T251" s="114"/>
      <c r="U251" s="114"/>
      <c r="V251" s="114"/>
      <c r="W251" s="114"/>
      <c r="X251" s="114"/>
      <c r="Y251" s="114"/>
      <c r="Z251" s="164"/>
      <c r="AA251" s="114"/>
      <c r="AB251" s="114"/>
      <c r="AC251" s="114"/>
      <c r="AD251" s="114"/>
      <c r="AE251" s="114"/>
      <c r="AF251" s="114"/>
      <c r="AG251" s="114"/>
      <c r="AH251" s="114"/>
      <c r="AI251" s="114"/>
      <c r="AJ251" s="114"/>
      <c r="AK251" s="114"/>
      <c r="AL251" s="114"/>
      <c r="AM251" s="114"/>
      <c r="AN251" s="114"/>
      <c r="AO251" s="114"/>
      <c r="AP251" s="114"/>
      <c r="AQ251" s="114"/>
      <c r="AR251" s="114"/>
    </row>
    <row r="252" ht="14.25" spans="1:44">
      <c r="A252" s="155" t="s">
        <v>1294</v>
      </c>
      <c r="B252" s="114" t="s">
        <v>41</v>
      </c>
      <c r="C252" s="114" t="s">
        <v>176</v>
      </c>
      <c r="D252" s="114" t="s">
        <v>1295</v>
      </c>
      <c r="E252" s="114" t="s">
        <v>1296</v>
      </c>
      <c r="F252" s="153">
        <v>42424</v>
      </c>
      <c r="G252" s="152">
        <f t="shared" si="7"/>
        <v>2424</v>
      </c>
      <c r="H252" s="114" t="s">
        <v>1297</v>
      </c>
      <c r="I252" s="123" t="s">
        <v>1298</v>
      </c>
      <c r="J252" s="33">
        <v>4396</v>
      </c>
      <c r="K252" s="124"/>
      <c r="L252" s="114" t="s">
        <v>454</v>
      </c>
      <c r="M252" s="114"/>
      <c r="N252" s="124">
        <f>N186/50</f>
        <v>0</v>
      </c>
      <c r="O252" s="114"/>
      <c r="P252" s="124"/>
      <c r="Q252" s="159"/>
      <c r="R252" s="124"/>
      <c r="S252" s="114"/>
      <c r="T252" s="114"/>
      <c r="U252" s="114"/>
      <c r="V252" s="114"/>
      <c r="W252" s="114"/>
      <c r="X252" s="114" t="s">
        <v>4365</v>
      </c>
      <c r="Y252" s="114"/>
      <c r="Z252" s="164"/>
      <c r="AA252" s="114"/>
      <c r="AB252" s="114"/>
      <c r="AC252" s="114"/>
      <c r="AD252" s="114"/>
      <c r="AE252" s="114"/>
      <c r="AF252" s="114"/>
      <c r="AG252" s="114"/>
      <c r="AH252" s="114"/>
      <c r="AI252" s="114"/>
      <c r="AJ252" s="114"/>
      <c r="AK252" s="114"/>
      <c r="AL252" s="114"/>
      <c r="AM252" s="114"/>
      <c r="AN252" s="114"/>
      <c r="AO252" s="114"/>
      <c r="AP252" s="114"/>
      <c r="AQ252" s="114"/>
      <c r="AR252" s="114"/>
    </row>
    <row r="253" ht="14.25" spans="1:44">
      <c r="A253" s="114"/>
      <c r="B253" s="114" t="s">
        <v>434</v>
      </c>
      <c r="C253" s="114"/>
      <c r="D253" s="114" t="s">
        <v>85</v>
      </c>
      <c r="E253" s="114" t="s">
        <v>1314</v>
      </c>
      <c r="F253" s="153">
        <v>42545</v>
      </c>
      <c r="G253" s="152">
        <f t="shared" si="7"/>
        <v>2545</v>
      </c>
      <c r="H253" s="114" t="s">
        <v>1315</v>
      </c>
      <c r="I253" s="123" t="s">
        <v>1316</v>
      </c>
      <c r="J253" s="33">
        <v>1613</v>
      </c>
      <c r="K253" s="124"/>
      <c r="L253" s="114" t="s">
        <v>454</v>
      </c>
      <c r="M253" s="114"/>
      <c r="N253" s="124"/>
      <c r="O253" s="114"/>
      <c r="P253" s="32"/>
      <c r="Q253" s="114"/>
      <c r="R253" s="124"/>
      <c r="S253" s="114"/>
      <c r="T253" s="114"/>
      <c r="U253" s="114"/>
      <c r="V253" s="114"/>
      <c r="W253" s="114"/>
      <c r="X253" s="114"/>
      <c r="Y253" s="114"/>
      <c r="Z253" s="164"/>
      <c r="AA253" s="114"/>
      <c r="AB253" s="114"/>
      <c r="AC253" s="114"/>
      <c r="AD253" s="114"/>
      <c r="AE253" s="114"/>
      <c r="AF253" s="114"/>
      <c r="AG253" s="114"/>
      <c r="AH253" s="114"/>
      <c r="AI253" s="114"/>
      <c r="AJ253" s="114"/>
      <c r="AK253" s="114"/>
      <c r="AL253" s="114"/>
      <c r="AM253" s="114"/>
      <c r="AN253" s="114"/>
      <c r="AO253" s="114"/>
      <c r="AP253" s="114"/>
      <c r="AQ253" s="114"/>
      <c r="AR253" s="114"/>
    </row>
    <row r="254" ht="14.25" spans="1:44">
      <c r="A254" s="114"/>
      <c r="B254" s="114" t="s">
        <v>51</v>
      </c>
      <c r="C254" s="114"/>
      <c r="D254" s="114" t="s">
        <v>1206</v>
      </c>
      <c r="E254" s="114" t="s">
        <v>1317</v>
      </c>
      <c r="F254" s="153">
        <v>42557</v>
      </c>
      <c r="G254" s="152">
        <f t="shared" si="7"/>
        <v>2557</v>
      </c>
      <c r="H254" s="114" t="s">
        <v>1318</v>
      </c>
      <c r="I254" s="123" t="s">
        <v>1319</v>
      </c>
      <c r="J254" s="33">
        <v>3090</v>
      </c>
      <c r="K254" s="124"/>
      <c r="L254" s="114" t="s">
        <v>454</v>
      </c>
      <c r="M254" s="114"/>
      <c r="N254" s="124"/>
      <c r="O254" s="114"/>
      <c r="P254" s="34"/>
      <c r="Q254" s="114"/>
      <c r="R254" s="124"/>
      <c r="S254" s="114"/>
      <c r="T254" s="114"/>
      <c r="U254" s="114"/>
      <c r="V254" s="114"/>
      <c r="W254" s="114"/>
      <c r="X254" s="114"/>
      <c r="Y254" s="114"/>
      <c r="Z254" s="164"/>
      <c r="AA254" s="114"/>
      <c r="AB254" s="114"/>
      <c r="AC254" s="114"/>
      <c r="AD254" s="114"/>
      <c r="AE254" s="114"/>
      <c r="AF254" s="114"/>
      <c r="AG254" s="114"/>
      <c r="AH254" s="114"/>
      <c r="AI254" s="114"/>
      <c r="AJ254" s="114"/>
      <c r="AK254" s="114"/>
      <c r="AL254" s="114"/>
      <c r="AM254" s="114"/>
      <c r="AN254" s="114"/>
      <c r="AO254" s="114"/>
      <c r="AP254" s="114"/>
      <c r="AQ254" s="114"/>
      <c r="AR254" s="114"/>
    </row>
    <row r="255" ht="14.25" spans="1:44">
      <c r="A255" s="114"/>
      <c r="B255" s="114" t="s">
        <v>51</v>
      </c>
      <c r="C255" s="114"/>
      <c r="D255" s="114" t="s">
        <v>1206</v>
      </c>
      <c r="E255" s="114" t="s">
        <v>1321</v>
      </c>
      <c r="F255" s="153">
        <v>42566</v>
      </c>
      <c r="G255" s="152">
        <f t="shared" si="7"/>
        <v>2566</v>
      </c>
      <c r="H255" s="114" t="s">
        <v>1322</v>
      </c>
      <c r="I255" s="123" t="s">
        <v>1323</v>
      </c>
      <c r="J255" s="33">
        <v>6354</v>
      </c>
      <c r="K255" s="124"/>
      <c r="L255" s="114" t="s">
        <v>454</v>
      </c>
      <c r="M255" s="114"/>
      <c r="N255" s="124"/>
      <c r="O255" s="114"/>
      <c r="P255" s="32"/>
      <c r="Q255" s="114"/>
      <c r="R255" s="124"/>
      <c r="S255" s="114"/>
      <c r="T255" s="114"/>
      <c r="U255" s="114"/>
      <c r="V255" s="114"/>
      <c r="W255" s="114"/>
      <c r="X255" s="114"/>
      <c r="Y255" s="114"/>
      <c r="Z255" s="164"/>
      <c r="AA255" s="114"/>
      <c r="AB255" s="114"/>
      <c r="AC255" s="114"/>
      <c r="AD255" s="114"/>
      <c r="AE255" s="114"/>
      <c r="AF255" s="114"/>
      <c r="AG255" s="114"/>
      <c r="AH255" s="114"/>
      <c r="AI255" s="114"/>
      <c r="AJ255" s="114"/>
      <c r="AK255" s="114"/>
      <c r="AL255" s="114"/>
      <c r="AM255" s="114"/>
      <c r="AN255" s="114"/>
      <c r="AO255" s="114"/>
      <c r="AP255" s="114"/>
      <c r="AQ255" s="114"/>
      <c r="AR255" s="114"/>
    </row>
    <row r="256" ht="14.25" spans="1:44">
      <c r="A256" s="155" t="s">
        <v>1324</v>
      </c>
      <c r="B256" s="114" t="s">
        <v>41</v>
      </c>
      <c r="C256" s="114" t="s">
        <v>176</v>
      </c>
      <c r="D256" s="114" t="s">
        <v>1325</v>
      </c>
      <c r="E256" s="114" t="s">
        <v>1326</v>
      </c>
      <c r="F256" s="153">
        <v>42607</v>
      </c>
      <c r="G256" s="152">
        <f t="shared" si="7"/>
        <v>2607</v>
      </c>
      <c r="H256" s="114" t="s">
        <v>1327</v>
      </c>
      <c r="I256" s="123" t="s">
        <v>1328</v>
      </c>
      <c r="J256" s="33">
        <v>17786</v>
      </c>
      <c r="K256" s="124"/>
      <c r="L256" s="114" t="s">
        <v>454</v>
      </c>
      <c r="M256" s="114"/>
      <c r="N256" s="124">
        <v>34000000</v>
      </c>
      <c r="O256" s="114"/>
      <c r="P256" s="193"/>
      <c r="Q256" s="114"/>
      <c r="R256" s="124"/>
      <c r="S256" s="114"/>
      <c r="T256" s="114"/>
      <c r="U256" s="114"/>
      <c r="V256" s="114"/>
      <c r="W256" s="114"/>
      <c r="X256" s="114"/>
      <c r="Y256" s="114"/>
      <c r="Z256" s="164"/>
      <c r="AA256" s="114"/>
      <c r="AB256" s="114"/>
      <c r="AC256" s="114"/>
      <c r="AD256" s="114"/>
      <c r="AE256" s="114"/>
      <c r="AF256" s="114"/>
      <c r="AG256" s="114"/>
      <c r="AH256" s="114"/>
      <c r="AI256" s="114"/>
      <c r="AJ256" s="114"/>
      <c r="AK256" s="114"/>
      <c r="AL256" s="114"/>
      <c r="AM256" s="114"/>
      <c r="AN256" s="114"/>
      <c r="AO256" s="114"/>
      <c r="AP256" s="114"/>
      <c r="AQ256" s="114"/>
      <c r="AR256" s="114"/>
    </row>
    <row r="257" ht="14.25" spans="1:44">
      <c r="A257" s="155"/>
      <c r="B257" s="114" t="s">
        <v>126</v>
      </c>
      <c r="C257" s="114"/>
      <c r="D257" s="114" t="s">
        <v>1334</v>
      </c>
      <c r="E257" s="114" t="s">
        <v>1335</v>
      </c>
      <c r="F257" s="153">
        <v>42625</v>
      </c>
      <c r="G257" s="152">
        <f t="shared" si="7"/>
        <v>2625</v>
      </c>
      <c r="H257" s="114" t="s">
        <v>1336</v>
      </c>
      <c r="I257" s="123" t="s">
        <v>1337</v>
      </c>
      <c r="J257" s="33">
        <v>3118</v>
      </c>
      <c r="K257" s="124"/>
      <c r="L257" s="114" t="s">
        <v>454</v>
      </c>
      <c r="M257" s="114"/>
      <c r="N257" s="124"/>
      <c r="O257" s="114"/>
      <c r="P257" s="193"/>
      <c r="Q257" s="114"/>
      <c r="R257" s="124"/>
      <c r="S257" s="114"/>
      <c r="T257" s="114"/>
      <c r="U257" s="114"/>
      <c r="V257" s="114"/>
      <c r="W257" s="114"/>
      <c r="X257" s="114"/>
      <c r="Y257" s="114"/>
      <c r="Z257" s="164"/>
      <c r="AA257" s="114"/>
      <c r="AB257" s="114"/>
      <c r="AC257" s="114"/>
      <c r="AD257" s="114"/>
      <c r="AE257" s="114"/>
      <c r="AF257" s="114"/>
      <c r="AG257" s="114"/>
      <c r="AH257" s="114"/>
      <c r="AI257" s="114"/>
      <c r="AJ257" s="114"/>
      <c r="AK257" s="114"/>
      <c r="AL257" s="114"/>
      <c r="AM257" s="114"/>
      <c r="AN257" s="114"/>
      <c r="AO257" s="114"/>
      <c r="AP257" s="114"/>
      <c r="AQ257" s="114"/>
      <c r="AR257" s="114"/>
    </row>
    <row r="258" ht="14.25" spans="1:44">
      <c r="A258" s="114"/>
      <c r="B258" s="114" t="s">
        <v>434</v>
      </c>
      <c r="C258" s="114"/>
      <c r="D258" s="114" t="s">
        <v>85</v>
      </c>
      <c r="E258" s="114" t="s">
        <v>1338</v>
      </c>
      <c r="F258" s="153">
        <v>42628</v>
      </c>
      <c r="G258" s="152">
        <f t="shared" si="7"/>
        <v>2628</v>
      </c>
      <c r="H258" s="114" t="s">
        <v>1339</v>
      </c>
      <c r="I258" s="123" t="s">
        <v>4370</v>
      </c>
      <c r="J258" s="33">
        <v>1554</v>
      </c>
      <c r="K258" s="124"/>
      <c r="L258" s="114" t="s">
        <v>454</v>
      </c>
      <c r="M258" s="114"/>
      <c r="N258" s="124"/>
      <c r="O258" s="114"/>
      <c r="P258" s="124"/>
      <c r="Q258" s="114"/>
      <c r="R258" s="124"/>
      <c r="S258" s="114"/>
      <c r="T258" s="114"/>
      <c r="U258" s="114"/>
      <c r="V258" s="114"/>
      <c r="W258" s="114"/>
      <c r="X258" s="114"/>
      <c r="Y258" s="114"/>
      <c r="Z258" s="164"/>
      <c r="AA258" s="114"/>
      <c r="AB258" s="114"/>
      <c r="AC258" s="114"/>
      <c r="AD258" s="114"/>
      <c r="AE258" s="114"/>
      <c r="AF258" s="114"/>
      <c r="AG258" s="114"/>
      <c r="AH258" s="114"/>
      <c r="AI258" s="114"/>
      <c r="AJ258" s="114"/>
      <c r="AK258" s="114"/>
      <c r="AL258" s="114"/>
      <c r="AM258" s="114"/>
      <c r="AN258" s="114"/>
      <c r="AO258" s="114"/>
      <c r="AP258" s="114"/>
      <c r="AQ258" s="114"/>
      <c r="AR258" s="114"/>
    </row>
    <row r="259" ht="14.25" spans="1:44">
      <c r="A259" s="114" t="s">
        <v>1245</v>
      </c>
      <c r="B259" s="114" t="s">
        <v>51</v>
      </c>
      <c r="C259" s="114" t="s">
        <v>144</v>
      </c>
      <c r="D259" s="114" t="s">
        <v>85</v>
      </c>
      <c r="E259" s="114" t="s">
        <v>1246</v>
      </c>
      <c r="F259" s="153">
        <v>42639</v>
      </c>
      <c r="G259" s="152">
        <f t="shared" si="7"/>
        <v>2639</v>
      </c>
      <c r="H259" s="114" t="s">
        <v>1247</v>
      </c>
      <c r="I259" s="123" t="s">
        <v>1248</v>
      </c>
      <c r="J259" s="33">
        <v>4499</v>
      </c>
      <c r="K259" s="124"/>
      <c r="L259" s="114" t="s">
        <v>454</v>
      </c>
      <c r="M259" s="114"/>
      <c r="N259" s="124">
        <f>278000000</f>
        <v>278000000</v>
      </c>
      <c r="O259" s="114">
        <f>6.9E+21</f>
        <v>6.9e+21</v>
      </c>
      <c r="P259" s="124"/>
      <c r="Q259" s="114"/>
      <c r="R259" s="124"/>
      <c r="S259" s="114"/>
      <c r="T259" s="114"/>
      <c r="U259" s="114"/>
      <c r="V259" s="114"/>
      <c r="W259" s="114"/>
      <c r="X259" s="114"/>
      <c r="Y259" s="114"/>
      <c r="Z259" s="164"/>
      <c r="AA259" s="114"/>
      <c r="AB259" s="114"/>
      <c r="AC259" s="114"/>
      <c r="AD259" s="114"/>
      <c r="AE259" s="114"/>
      <c r="AF259" s="114"/>
      <c r="AG259" s="114"/>
      <c r="AH259" s="114"/>
      <c r="AI259" s="114"/>
      <c r="AJ259" s="114"/>
      <c r="AK259" s="114"/>
      <c r="AL259" s="114"/>
      <c r="AM259" s="114"/>
      <c r="AN259" s="114"/>
      <c r="AO259" s="114"/>
      <c r="AP259" s="114"/>
      <c r="AQ259" s="114"/>
      <c r="AR259" s="114"/>
    </row>
    <row r="260" ht="14.25" spans="1:44">
      <c r="A260" s="114" t="s">
        <v>1260</v>
      </c>
      <c r="B260" s="114" t="s">
        <v>41</v>
      </c>
      <c r="C260" s="114" t="s">
        <v>176</v>
      </c>
      <c r="D260" s="114" t="s">
        <v>85</v>
      </c>
      <c r="E260" s="114" t="s">
        <v>1261</v>
      </c>
      <c r="F260" s="153">
        <v>42650</v>
      </c>
      <c r="G260" s="152">
        <f t="shared" si="7"/>
        <v>2650</v>
      </c>
      <c r="H260" s="114" t="s">
        <v>1262</v>
      </c>
      <c r="I260" s="123" t="s">
        <v>1263</v>
      </c>
      <c r="J260" s="33">
        <v>5844</v>
      </c>
      <c r="K260" s="124"/>
      <c r="L260" s="114" t="s">
        <v>454</v>
      </c>
      <c r="M260" s="114"/>
      <c r="N260" s="124">
        <v>22855952</v>
      </c>
      <c r="O260" s="225">
        <f>60*3*24*60*60*8.5*0.33*1000000000000</f>
        <v>4.362336e+19</v>
      </c>
      <c r="P260" s="124">
        <f>8400000000*2</f>
        <v>16800000000</v>
      </c>
      <c r="Q260" s="114" t="s">
        <v>184</v>
      </c>
      <c r="R260" s="124"/>
      <c r="S260" s="114"/>
      <c r="T260" s="114"/>
      <c r="U260" s="114"/>
      <c r="V260" s="114"/>
      <c r="W260" s="114"/>
      <c r="X260" s="114"/>
      <c r="Y260" s="114"/>
      <c r="Z260" s="166" t="s">
        <v>34</v>
      </c>
      <c r="AA260" s="114"/>
      <c r="AB260" s="114"/>
      <c r="AC260" s="114"/>
      <c r="AD260" s="114"/>
      <c r="AE260" s="114"/>
      <c r="AF260" s="114"/>
      <c r="AG260" s="114"/>
      <c r="AH260" s="114"/>
      <c r="AI260" s="114"/>
      <c r="AJ260" s="114"/>
      <c r="AK260" s="114"/>
      <c r="AL260" s="114"/>
      <c r="AM260" s="114"/>
      <c r="AN260" s="114"/>
      <c r="AO260" s="114"/>
      <c r="AP260" s="114"/>
      <c r="AQ260" s="114"/>
      <c r="AR260" s="114"/>
    </row>
    <row r="261" ht="14.25" spans="1:44">
      <c r="A261" s="114"/>
      <c r="D261" s="114" t="s">
        <v>1334</v>
      </c>
      <c r="E261" s="114" t="s">
        <v>1363</v>
      </c>
      <c r="F261" s="153">
        <v>42655</v>
      </c>
      <c r="G261" s="152">
        <f t="shared" si="7"/>
        <v>2655</v>
      </c>
      <c r="H261" s="114" t="s">
        <v>1364</v>
      </c>
      <c r="I261" s="123" t="s">
        <v>1365</v>
      </c>
      <c r="J261" s="33">
        <v>1240</v>
      </c>
      <c r="K261" s="124"/>
      <c r="L261" s="114" t="s">
        <v>454</v>
      </c>
      <c r="M261" s="114"/>
      <c r="N261" s="124"/>
      <c r="O261" s="114"/>
      <c r="P261" s="124"/>
      <c r="Q261" s="114"/>
      <c r="R261" s="124"/>
      <c r="S261" s="114"/>
      <c r="T261" s="114"/>
      <c r="U261" s="114"/>
      <c r="V261" s="114"/>
      <c r="W261" s="114"/>
      <c r="X261" s="114" t="s">
        <v>4358</v>
      </c>
      <c r="Y261" s="114"/>
      <c r="Z261" s="164"/>
      <c r="AA261" s="114"/>
      <c r="AB261" s="114"/>
      <c r="AC261" s="114"/>
      <c r="AD261" s="114"/>
      <c r="AE261" s="114"/>
      <c r="AF261" s="114"/>
      <c r="AG261" s="114"/>
      <c r="AH261" s="114"/>
      <c r="AI261" s="114"/>
      <c r="AJ261" s="114"/>
      <c r="AK261" s="114"/>
      <c r="AL261" s="114"/>
      <c r="AM261" s="114"/>
      <c r="AN261" s="114"/>
      <c r="AO261" s="114"/>
      <c r="AP261" s="114"/>
      <c r="AQ261" s="114"/>
      <c r="AR261" s="114"/>
    </row>
    <row r="262" ht="14.25" spans="1:44">
      <c r="A262" s="114" t="s">
        <v>1250</v>
      </c>
      <c r="B262" s="114" t="s">
        <v>41</v>
      </c>
      <c r="C262" s="159"/>
      <c r="D262" s="114" t="s">
        <v>262</v>
      </c>
      <c r="E262" s="114" t="s">
        <v>1251</v>
      </c>
      <c r="F262" s="153">
        <v>42679</v>
      </c>
      <c r="G262" s="152">
        <f t="shared" si="7"/>
        <v>2679</v>
      </c>
      <c r="H262" s="114" t="s">
        <v>1252</v>
      </c>
      <c r="I262" s="123" t="s">
        <v>1253</v>
      </c>
      <c r="J262" s="33">
        <v>2965</v>
      </c>
      <c r="K262" s="124"/>
      <c r="L262" s="114" t="s">
        <v>454</v>
      </c>
      <c r="M262" s="114">
        <v>39</v>
      </c>
      <c r="N262" s="124">
        <v>37400000</v>
      </c>
      <c r="O262" s="114">
        <f>22*100000000000000000000</f>
        <v>2.2e+21</v>
      </c>
      <c r="P262" s="124"/>
      <c r="Q262" s="114"/>
      <c r="R262" s="124"/>
      <c r="S262" s="114"/>
      <c r="T262" s="114"/>
      <c r="U262" s="114"/>
      <c r="V262" s="114"/>
      <c r="W262" s="114"/>
      <c r="X262" s="114" t="s">
        <v>4371</v>
      </c>
      <c r="Y262" s="114"/>
      <c r="Z262" s="166" t="s">
        <v>34</v>
      </c>
      <c r="AA262" s="114"/>
      <c r="AB262" s="114"/>
      <c r="AC262" s="114"/>
      <c r="AD262" s="114"/>
      <c r="AE262" s="114"/>
      <c r="AF262" s="114"/>
      <c r="AG262" s="114"/>
      <c r="AH262" s="114"/>
      <c r="AI262" s="114"/>
      <c r="AJ262" s="114"/>
      <c r="AK262" s="114"/>
      <c r="AL262" s="114"/>
      <c r="AM262" s="114"/>
      <c r="AN262" s="114"/>
      <c r="AO262" s="114"/>
      <c r="AP262" s="114"/>
      <c r="AQ262" s="114"/>
      <c r="AR262" s="114"/>
    </row>
    <row r="263" ht="14.25" spans="1:44">
      <c r="A263" s="114" t="s">
        <v>1369</v>
      </c>
      <c r="B263" s="114" t="s">
        <v>41</v>
      </c>
      <c r="C263" s="114" t="s">
        <v>176</v>
      </c>
      <c r="D263" s="114" t="s">
        <v>1370</v>
      </c>
      <c r="E263" s="114" t="s">
        <v>1371</v>
      </c>
      <c r="F263" s="153">
        <v>42690</v>
      </c>
      <c r="G263" s="152">
        <f t="shared" si="7"/>
        <v>2690</v>
      </c>
      <c r="H263" s="114" t="s">
        <v>1372</v>
      </c>
      <c r="I263" s="123" t="s">
        <v>1373</v>
      </c>
      <c r="J263" s="33">
        <v>4800</v>
      </c>
      <c r="K263" s="124"/>
      <c r="L263" s="114" t="s">
        <v>454</v>
      </c>
      <c r="M263" s="114"/>
      <c r="N263" s="124">
        <v>25000000</v>
      </c>
      <c r="P263" s="124">
        <f>4200000000*2</f>
        <v>8400000000</v>
      </c>
      <c r="Q263" s="114"/>
      <c r="R263" s="124"/>
      <c r="S263" s="114"/>
      <c r="T263" s="114"/>
      <c r="U263" s="114"/>
      <c r="V263" s="114"/>
      <c r="W263" s="114"/>
      <c r="X263" s="114" t="s">
        <v>4358</v>
      </c>
      <c r="Y263" s="114"/>
      <c r="Z263" s="164"/>
      <c r="AA263" s="114"/>
      <c r="AB263" s="114"/>
      <c r="AC263" s="114"/>
      <c r="AD263" s="114"/>
      <c r="AE263" s="114"/>
      <c r="AF263" s="114"/>
      <c r="AG263" s="114"/>
      <c r="AH263" s="114"/>
      <c r="AI263" s="114"/>
      <c r="AJ263" s="114"/>
      <c r="AK263" s="114"/>
      <c r="AL263" s="114"/>
      <c r="AM263" s="114"/>
      <c r="AN263" s="114"/>
      <c r="AO263" s="114"/>
      <c r="AP263" s="114"/>
      <c r="AQ263" s="114"/>
      <c r="AR263" s="114"/>
    </row>
    <row r="264" ht="14.25" spans="1:44">
      <c r="A264" s="114" t="s">
        <v>1374</v>
      </c>
      <c r="B264" s="114" t="s">
        <v>41</v>
      </c>
      <c r="C264" s="114" t="s">
        <v>176</v>
      </c>
      <c r="D264" s="114" t="s">
        <v>1375</v>
      </c>
      <c r="E264" s="114" t="s">
        <v>1376</v>
      </c>
      <c r="F264" s="153">
        <v>42691</v>
      </c>
      <c r="G264" s="152">
        <f t="shared" si="7"/>
        <v>2691</v>
      </c>
      <c r="H264" s="114" t="s">
        <v>1377</v>
      </c>
      <c r="I264" s="123" t="s">
        <v>1378</v>
      </c>
      <c r="J264" s="33">
        <v>188</v>
      </c>
      <c r="K264" s="124"/>
      <c r="L264" s="114" t="s">
        <v>49</v>
      </c>
      <c r="M264" s="114"/>
      <c r="N264" s="124">
        <v>92000000</v>
      </c>
      <c r="O264" s="114"/>
      <c r="P264" s="124"/>
      <c r="Q264" s="114"/>
      <c r="R264" s="124"/>
      <c r="S264" s="114"/>
      <c r="T264" s="114"/>
      <c r="U264" s="114"/>
      <c r="V264" s="114"/>
      <c r="W264" s="114"/>
      <c r="X264" s="159"/>
      <c r="Y264" s="114"/>
      <c r="Z264" s="164"/>
      <c r="AA264" s="114"/>
      <c r="AB264" s="114"/>
      <c r="AC264" s="114"/>
      <c r="AD264" s="114"/>
      <c r="AE264" s="114"/>
      <c r="AF264" s="114"/>
      <c r="AG264" s="114"/>
      <c r="AH264" s="114"/>
      <c r="AI264" s="114"/>
      <c r="AJ264" s="114"/>
      <c r="AK264" s="114"/>
      <c r="AL264" s="114"/>
      <c r="AM264" s="114"/>
      <c r="AN264" s="114"/>
      <c r="AO264" s="114"/>
      <c r="AP264" s="114"/>
      <c r="AQ264" s="114"/>
      <c r="AR264" s="114"/>
    </row>
    <row r="265" ht="14.25" spans="1:44">
      <c r="A265" s="114" t="s">
        <v>1379</v>
      </c>
      <c r="B265" s="114" t="s">
        <v>41</v>
      </c>
      <c r="C265" s="114" t="s">
        <v>724</v>
      </c>
      <c r="D265" s="114" t="s">
        <v>1380</v>
      </c>
      <c r="E265" s="114" t="s">
        <v>1381</v>
      </c>
      <c r="F265" s="153">
        <v>42694</v>
      </c>
      <c r="G265" s="152">
        <f t="shared" si="7"/>
        <v>2694</v>
      </c>
      <c r="H265" s="22" t="s">
        <v>1382</v>
      </c>
      <c r="I265" s="123" t="s">
        <v>1383</v>
      </c>
      <c r="J265" s="172">
        <v>2059</v>
      </c>
      <c r="K265" s="124"/>
      <c r="L265" s="114" t="s">
        <v>454</v>
      </c>
      <c r="M265" s="114"/>
      <c r="N265" s="124"/>
      <c r="O265" s="114"/>
      <c r="P265" s="124"/>
      <c r="Q265" s="159"/>
      <c r="R265" s="124"/>
      <c r="S265" s="114"/>
      <c r="T265" s="114"/>
      <c r="U265" s="114"/>
      <c r="V265" s="114"/>
      <c r="W265" s="114"/>
      <c r="X265" s="159"/>
      <c r="Y265" s="114"/>
      <c r="Z265" s="219" t="s">
        <v>4342</v>
      </c>
      <c r="AA265" s="114"/>
      <c r="AB265" s="114"/>
      <c r="AC265" s="114"/>
      <c r="AD265" s="114"/>
      <c r="AE265" s="114"/>
      <c r="AF265" s="114"/>
      <c r="AG265" s="114"/>
      <c r="AH265" s="114"/>
      <c r="AI265" s="114"/>
      <c r="AJ265" s="114"/>
      <c r="AK265" s="114"/>
      <c r="AL265" s="114"/>
      <c r="AM265" s="114"/>
      <c r="AN265" s="114"/>
      <c r="AO265" s="114"/>
      <c r="AP265" s="114"/>
      <c r="AQ265" s="114"/>
      <c r="AR265" s="114"/>
    </row>
    <row r="266" ht="14.25" spans="1:44">
      <c r="A266" s="114"/>
      <c r="B266" s="114"/>
      <c r="C266" s="220"/>
      <c r="D266" s="114" t="s">
        <v>464</v>
      </c>
      <c r="E266" s="114" t="s">
        <v>1384</v>
      </c>
      <c r="F266" s="153">
        <v>42695</v>
      </c>
      <c r="G266" s="152">
        <f t="shared" si="7"/>
        <v>2695</v>
      </c>
      <c r="H266" s="114" t="s">
        <v>1385</v>
      </c>
      <c r="I266" s="123" t="s">
        <v>1386</v>
      </c>
      <c r="J266" s="33">
        <v>9859</v>
      </c>
      <c r="K266" s="124"/>
      <c r="L266" s="114" t="s">
        <v>454</v>
      </c>
      <c r="M266" s="114"/>
      <c r="N266" s="124"/>
      <c r="O266" s="114"/>
      <c r="P266" s="124"/>
      <c r="Q266" s="159"/>
      <c r="R266" s="124"/>
      <c r="S266" s="114"/>
      <c r="T266" s="114"/>
      <c r="U266" s="114"/>
      <c r="V266" s="114"/>
      <c r="W266" s="114"/>
      <c r="X266" s="159"/>
      <c r="Y266" s="114"/>
      <c r="Z266" s="164"/>
      <c r="AA266" s="114"/>
      <c r="AB266" s="114"/>
      <c r="AC266" s="114"/>
      <c r="AD266" s="114"/>
      <c r="AE266" s="114"/>
      <c r="AF266" s="114"/>
      <c r="AG266" s="114"/>
      <c r="AH266" s="114"/>
      <c r="AI266" s="114"/>
      <c r="AJ266" s="114"/>
      <c r="AK266" s="114"/>
      <c r="AL266" s="114"/>
      <c r="AM266" s="114"/>
      <c r="AN266" s="114"/>
      <c r="AO266" s="114"/>
      <c r="AP266" s="114"/>
      <c r="AQ266" s="114"/>
      <c r="AR266" s="114"/>
    </row>
    <row r="267" ht="14.25" spans="1:44">
      <c r="A267" s="114"/>
      <c r="B267" s="114"/>
      <c r="C267" s="114"/>
      <c r="D267" s="114" t="s">
        <v>71</v>
      </c>
      <c r="E267" s="114" t="s">
        <v>1387</v>
      </c>
      <c r="F267" s="153">
        <v>42706</v>
      </c>
      <c r="G267" s="152">
        <f t="shared" si="7"/>
        <v>2706</v>
      </c>
      <c r="H267" s="114" t="s">
        <v>1388</v>
      </c>
      <c r="I267" s="123" t="s">
        <v>1389</v>
      </c>
      <c r="J267" s="33">
        <v>2156</v>
      </c>
      <c r="K267" s="124"/>
      <c r="L267" s="114" t="s">
        <v>454</v>
      </c>
      <c r="M267" s="114"/>
      <c r="N267" s="124"/>
      <c r="O267" s="114"/>
      <c r="P267" s="124"/>
      <c r="Q267" s="159"/>
      <c r="R267" s="124"/>
      <c r="S267" s="114"/>
      <c r="T267" s="114"/>
      <c r="U267" s="114"/>
      <c r="V267" s="114"/>
      <c r="W267" s="114"/>
      <c r="X267" s="114"/>
      <c r="Y267" s="114"/>
      <c r="Z267" s="164"/>
      <c r="AA267" s="114"/>
      <c r="AB267" s="114"/>
      <c r="AC267" s="114"/>
      <c r="AD267" s="114"/>
      <c r="AE267" s="114"/>
      <c r="AF267" s="114"/>
      <c r="AG267" s="114"/>
      <c r="AH267" s="114"/>
      <c r="AI267" s="114"/>
      <c r="AJ267" s="114"/>
      <c r="AK267" s="114"/>
      <c r="AL267" s="114"/>
      <c r="AM267" s="114"/>
      <c r="AN267" s="114"/>
      <c r="AO267" s="114"/>
      <c r="AP267" s="114"/>
      <c r="AQ267" s="114"/>
      <c r="AR267" s="114"/>
    </row>
    <row r="268" ht="14.25" spans="1:44">
      <c r="A268" s="155" t="s">
        <v>1390</v>
      </c>
      <c r="B268" s="114" t="s">
        <v>199</v>
      </c>
      <c r="C268" s="114" t="s">
        <v>1391</v>
      </c>
      <c r="D268" s="114" t="s">
        <v>1392</v>
      </c>
      <c r="E268" s="114" t="s">
        <v>1393</v>
      </c>
      <c r="F268" s="153">
        <v>42706</v>
      </c>
      <c r="G268" s="152">
        <f t="shared" si="7"/>
        <v>2706</v>
      </c>
      <c r="H268" s="114" t="s">
        <v>1394</v>
      </c>
      <c r="I268" s="123" t="s">
        <v>1395</v>
      </c>
      <c r="J268" s="33">
        <v>5040</v>
      </c>
      <c r="K268" s="124"/>
      <c r="L268" s="114" t="s">
        <v>454</v>
      </c>
      <c r="M268" s="114"/>
      <c r="N268" s="124"/>
      <c r="O268" s="114"/>
      <c r="P268" s="124"/>
      <c r="Q268" s="114"/>
      <c r="R268" s="124"/>
      <c r="S268" s="114"/>
      <c r="T268" s="114"/>
      <c r="U268" s="114"/>
      <c r="V268" s="114"/>
      <c r="W268" s="114"/>
      <c r="X268" s="114"/>
      <c r="Y268" s="114"/>
      <c r="Z268" s="164"/>
      <c r="AA268" s="114"/>
      <c r="AB268" s="114"/>
      <c r="AC268" s="114"/>
      <c r="AD268" s="114"/>
      <c r="AE268" s="114"/>
      <c r="AF268" s="114"/>
      <c r="AG268" s="114"/>
      <c r="AH268" s="114"/>
      <c r="AI268" s="114"/>
      <c r="AJ268" s="114"/>
      <c r="AK268" s="114"/>
      <c r="AL268" s="114"/>
      <c r="AM268" s="114"/>
      <c r="AN268" s="114"/>
      <c r="AO268" s="114"/>
      <c r="AP268" s="114"/>
      <c r="AQ268" s="114"/>
      <c r="AR268" s="114"/>
    </row>
    <row r="269" ht="14.25" spans="1:44">
      <c r="A269" s="114"/>
      <c r="B269" s="114" t="s">
        <v>41</v>
      </c>
      <c r="C269" s="114" t="s">
        <v>176</v>
      </c>
      <c r="D269" s="114" t="s">
        <v>34</v>
      </c>
      <c r="E269" s="114" t="s">
        <v>1396</v>
      </c>
      <c r="F269" s="153">
        <v>42709</v>
      </c>
      <c r="G269" s="152">
        <f t="shared" si="7"/>
        <v>2709</v>
      </c>
      <c r="H269" s="114" t="s">
        <v>1397</v>
      </c>
      <c r="I269" s="123" t="s">
        <v>1398</v>
      </c>
      <c r="J269" s="172">
        <v>6055</v>
      </c>
      <c r="K269" s="124"/>
      <c r="L269" s="114" t="s">
        <v>454</v>
      </c>
      <c r="M269" s="114"/>
      <c r="N269" s="124"/>
      <c r="O269" s="114"/>
      <c r="P269" s="124"/>
      <c r="Q269" s="159"/>
      <c r="R269" s="124"/>
      <c r="S269" s="114"/>
      <c r="T269" s="114"/>
      <c r="U269" s="114"/>
      <c r="V269" s="114"/>
      <c r="W269" s="114"/>
      <c r="X269" s="114"/>
      <c r="Y269" s="114"/>
      <c r="Z269" s="219" t="s">
        <v>4342</v>
      </c>
      <c r="AA269" s="114"/>
      <c r="AB269" s="114"/>
      <c r="AC269" s="114"/>
      <c r="AD269" s="114"/>
      <c r="AE269" s="114"/>
      <c r="AF269" s="114"/>
      <c r="AG269" s="114"/>
      <c r="AH269" s="114"/>
      <c r="AI269" s="114"/>
      <c r="AJ269" s="114"/>
      <c r="AK269" s="114"/>
      <c r="AL269" s="114"/>
      <c r="AM269" s="114"/>
      <c r="AN269" s="114"/>
      <c r="AO269" s="114"/>
      <c r="AP269" s="114"/>
      <c r="AQ269" s="114"/>
      <c r="AR269" s="114"/>
    </row>
    <row r="270" ht="14.25" spans="1:44">
      <c r="A270" s="114"/>
      <c r="B270" s="114" t="s">
        <v>41</v>
      </c>
      <c r="C270" s="114"/>
      <c r="D270" s="114" t="s">
        <v>1399</v>
      </c>
      <c r="E270" s="114" t="s">
        <v>1400</v>
      </c>
      <c r="F270" s="153">
        <v>42717</v>
      </c>
      <c r="G270" s="152">
        <f t="shared" si="7"/>
        <v>2717</v>
      </c>
      <c r="H270" s="114" t="s">
        <v>1401</v>
      </c>
      <c r="I270" s="123" t="s">
        <v>1402</v>
      </c>
      <c r="J270" s="33">
        <v>3540</v>
      </c>
      <c r="K270" s="124"/>
      <c r="L270" s="114" t="s">
        <v>454</v>
      </c>
      <c r="M270" s="114"/>
      <c r="N270" s="124"/>
      <c r="O270" s="114"/>
      <c r="P270" s="124"/>
      <c r="Q270" s="159"/>
      <c r="R270" s="124"/>
      <c r="S270" s="114"/>
      <c r="T270" s="114"/>
      <c r="U270" s="114"/>
      <c r="V270" s="114"/>
      <c r="W270" s="114"/>
      <c r="X270" s="114"/>
      <c r="Y270" s="114"/>
      <c r="Z270" s="164"/>
      <c r="AA270" s="114"/>
      <c r="AB270" s="114"/>
      <c r="AC270" s="114"/>
      <c r="AD270" s="114"/>
      <c r="AE270" s="114"/>
      <c r="AF270" s="114"/>
      <c r="AG270" s="114"/>
      <c r="AH270" s="114"/>
      <c r="AI270" s="114"/>
      <c r="AJ270" s="114"/>
      <c r="AK270" s="114"/>
      <c r="AL270" s="114"/>
      <c r="AM270" s="114"/>
      <c r="AN270" s="114"/>
      <c r="AO270" s="114"/>
      <c r="AP270" s="114"/>
      <c r="AQ270" s="114"/>
      <c r="AR270" s="114"/>
    </row>
    <row r="271" ht="14.25" spans="1:44">
      <c r="A271" s="155" t="s">
        <v>1403</v>
      </c>
      <c r="B271" s="114" t="s">
        <v>41</v>
      </c>
      <c r="C271" s="114" t="s">
        <v>724</v>
      </c>
      <c r="D271" s="114"/>
      <c r="E271" s="114" t="s">
        <v>988</v>
      </c>
      <c r="F271" s="153">
        <v>42729</v>
      </c>
      <c r="G271" s="152">
        <f t="shared" si="7"/>
        <v>2729</v>
      </c>
      <c r="H271" s="114" t="s">
        <v>1405</v>
      </c>
      <c r="I271" s="123" t="s">
        <v>1406</v>
      </c>
      <c r="J271" s="33">
        <v>9368</v>
      </c>
      <c r="K271" s="124"/>
      <c r="L271" s="114" t="s">
        <v>454</v>
      </c>
      <c r="M271" s="114"/>
      <c r="N271" s="124">
        <v>51000000</v>
      </c>
      <c r="O271" s="189"/>
      <c r="P271" s="124"/>
      <c r="Q271" s="114"/>
      <c r="R271" s="124"/>
      <c r="S271" s="114"/>
      <c r="T271" s="114"/>
      <c r="U271" s="114"/>
      <c r="V271" s="114"/>
      <c r="W271" s="114"/>
      <c r="X271" s="114"/>
      <c r="Y271" s="114"/>
      <c r="Z271" s="164"/>
      <c r="AA271" s="114"/>
      <c r="AB271" s="114"/>
      <c r="AC271" s="114"/>
      <c r="AD271" s="114"/>
      <c r="AE271" s="114"/>
      <c r="AF271" s="114"/>
      <c r="AG271" s="114"/>
      <c r="AH271" s="114"/>
      <c r="AI271" s="114"/>
      <c r="AJ271" s="114"/>
      <c r="AK271" s="114"/>
      <c r="AL271" s="114"/>
      <c r="AM271" s="114"/>
      <c r="AN271" s="114"/>
      <c r="AO271" s="114"/>
      <c r="AP271" s="114"/>
      <c r="AQ271" s="114"/>
      <c r="AR271" s="114"/>
    </row>
    <row r="272" ht="14.25" spans="1:44">
      <c r="A272" s="114" t="s">
        <v>1088</v>
      </c>
      <c r="B272" s="114" t="s">
        <v>256</v>
      </c>
      <c r="C272" s="114" t="s">
        <v>858</v>
      </c>
      <c r="D272" s="114" t="s">
        <v>4372</v>
      </c>
      <c r="E272" s="114" t="s">
        <v>1090</v>
      </c>
      <c r="F272" s="153">
        <v>42736</v>
      </c>
      <c r="G272" s="152">
        <f t="shared" si="7"/>
        <v>2736</v>
      </c>
      <c r="H272" s="114" t="s">
        <v>1091</v>
      </c>
      <c r="I272" s="123" t="s">
        <v>1092</v>
      </c>
      <c r="J272" s="33">
        <v>64</v>
      </c>
      <c r="K272" s="124"/>
      <c r="L272" s="114" t="s">
        <v>142</v>
      </c>
      <c r="M272" s="114"/>
      <c r="N272" s="124"/>
      <c r="O272" s="124">
        <v>1.1475e+21</v>
      </c>
      <c r="P272" s="124"/>
      <c r="Q272" s="114"/>
      <c r="R272" s="124"/>
      <c r="S272" s="114">
        <f>3000000</f>
        <v>3000000</v>
      </c>
      <c r="T272" s="114"/>
      <c r="U272" s="114"/>
      <c r="V272" s="114"/>
      <c r="W272" s="114"/>
      <c r="X272" s="220"/>
      <c r="Y272" s="114"/>
      <c r="Z272" s="164"/>
      <c r="AA272" s="114"/>
      <c r="AB272" s="114"/>
      <c r="AC272" s="114"/>
      <c r="AD272" s="114"/>
      <c r="AE272" s="114"/>
      <c r="AF272" s="114"/>
      <c r="AG272" s="114"/>
      <c r="AH272" s="114"/>
      <c r="AI272" s="114"/>
      <c r="AJ272" s="114"/>
      <c r="AK272" s="114"/>
      <c r="AL272" s="114"/>
      <c r="AM272" s="114"/>
      <c r="AN272" s="114"/>
      <c r="AO272" s="114"/>
      <c r="AP272" s="114"/>
      <c r="AQ272" s="114"/>
      <c r="AR272" s="114"/>
    </row>
    <row r="273" ht="14.25" spans="1:44">
      <c r="A273" s="114" t="s">
        <v>1082</v>
      </c>
      <c r="B273" s="114" t="s">
        <v>256</v>
      </c>
      <c r="C273" s="114" t="s">
        <v>1077</v>
      </c>
      <c r="D273" s="114" t="s">
        <v>71</v>
      </c>
      <c r="E273" s="114" t="s">
        <v>1078</v>
      </c>
      <c r="F273" s="153">
        <v>42736</v>
      </c>
      <c r="G273" s="152">
        <v>2017</v>
      </c>
      <c r="H273" s="114" t="s">
        <v>1079</v>
      </c>
      <c r="I273" s="123" t="s">
        <v>4373</v>
      </c>
      <c r="J273" s="33">
        <v>5809</v>
      </c>
      <c r="K273" s="124"/>
      <c r="L273" s="114" t="s">
        <v>454</v>
      </c>
      <c r="M273" s="114"/>
      <c r="N273" s="124"/>
      <c r="O273" s="124">
        <v>1.5e+23</v>
      </c>
      <c r="P273" s="124"/>
      <c r="Q273" s="114"/>
      <c r="R273" s="124"/>
      <c r="S273" s="114"/>
      <c r="T273" s="114"/>
      <c r="U273" s="114"/>
      <c r="V273" s="114"/>
      <c r="W273" s="114"/>
      <c r="X273" s="220"/>
      <c r="Y273" s="114"/>
      <c r="Z273" s="164"/>
      <c r="AA273" s="114"/>
      <c r="AB273" s="114"/>
      <c r="AC273" s="114"/>
      <c r="AD273" s="114"/>
      <c r="AE273" s="114"/>
      <c r="AF273" s="114"/>
      <c r="AG273" s="114"/>
      <c r="AH273" s="114"/>
      <c r="AI273" s="114"/>
      <c r="AJ273" s="114"/>
      <c r="AK273" s="114"/>
      <c r="AL273" s="114"/>
      <c r="AM273" s="114"/>
      <c r="AN273" s="114"/>
      <c r="AO273" s="114"/>
      <c r="AP273" s="114"/>
      <c r="AQ273" s="114"/>
      <c r="AR273" s="114"/>
    </row>
    <row r="274" ht="14.25" spans="1:44">
      <c r="A274" s="114" t="s">
        <v>1124</v>
      </c>
      <c r="B274" s="114" t="s">
        <v>256</v>
      </c>
      <c r="C274" s="114" t="s">
        <v>858</v>
      </c>
      <c r="D274" s="114" t="s">
        <v>1125</v>
      </c>
      <c r="E274" s="114"/>
      <c r="F274" s="153">
        <v>42741</v>
      </c>
      <c r="G274" s="152">
        <f t="shared" ref="G274:G447" si="8">IF(INT(RIGHT(F274,4))&lt;1,"",INT(RIGHT(F274,4)))</f>
        <v>2741</v>
      </c>
      <c r="H274" s="114" t="s">
        <v>1127</v>
      </c>
      <c r="I274" s="123" t="s">
        <v>1128</v>
      </c>
      <c r="J274" s="33">
        <v>618</v>
      </c>
      <c r="K274" s="124"/>
      <c r="L274" s="114" t="s">
        <v>49</v>
      </c>
      <c r="M274" s="114"/>
      <c r="N274" s="124">
        <f>1000*500+6*500*500+500*1000</f>
        <v>2500000</v>
      </c>
      <c r="O274" s="124">
        <v>150000000000000</v>
      </c>
      <c r="P274" s="124"/>
      <c r="Q274" s="114"/>
      <c r="R274" s="124"/>
      <c r="S274" s="114"/>
      <c r="T274" s="114"/>
      <c r="U274" s="114"/>
      <c r="V274" s="114"/>
      <c r="W274" s="114"/>
      <c r="X274" s="114"/>
      <c r="Y274" s="114"/>
      <c r="Z274" s="164"/>
      <c r="AA274" s="114"/>
      <c r="AB274" s="114"/>
      <c r="AC274" s="114"/>
      <c r="AD274" s="114"/>
      <c r="AE274" s="114"/>
      <c r="AF274" s="114"/>
      <c r="AG274" s="114"/>
      <c r="AH274" s="114"/>
      <c r="AI274" s="114"/>
      <c r="AJ274" s="114"/>
      <c r="AK274" s="114"/>
      <c r="AL274" s="114"/>
      <c r="AM274" s="114"/>
      <c r="AN274" s="114"/>
      <c r="AO274" s="114"/>
      <c r="AP274" s="114"/>
      <c r="AQ274" s="114"/>
      <c r="AR274" s="114"/>
    </row>
    <row r="275" ht="14.25" spans="1:44">
      <c r="A275" s="114" t="s">
        <v>1104</v>
      </c>
      <c r="B275" s="114" t="s">
        <v>51</v>
      </c>
      <c r="C275" s="114" t="s">
        <v>1105</v>
      </c>
      <c r="D275" s="114" t="s">
        <v>1106</v>
      </c>
      <c r="E275" s="114" t="s">
        <v>1107</v>
      </c>
      <c r="F275" s="153">
        <v>42758</v>
      </c>
      <c r="G275" s="152">
        <f t="shared" si="8"/>
        <v>2758</v>
      </c>
      <c r="H275" s="114" t="s">
        <v>1108</v>
      </c>
      <c r="I275" s="123" t="s">
        <v>1109</v>
      </c>
      <c r="J275" s="33">
        <v>687</v>
      </c>
      <c r="K275" s="124"/>
      <c r="L275" s="114" t="s">
        <v>49</v>
      </c>
      <c r="M275" s="114"/>
      <c r="N275" s="124">
        <v>8700000000</v>
      </c>
      <c r="O275" s="114">
        <f>12*24*3600*64*4290000000000*0.33</f>
        <v>9.393905664e+19</v>
      </c>
      <c r="P275" s="173"/>
      <c r="Q275" s="114"/>
      <c r="R275" s="124"/>
      <c r="S275" s="114"/>
      <c r="T275" s="114"/>
      <c r="U275" s="114"/>
      <c r="V275" s="114"/>
      <c r="W275" s="114"/>
      <c r="X275" s="220"/>
      <c r="Y275" s="114"/>
      <c r="Z275" s="164"/>
      <c r="AA275" s="114"/>
      <c r="AB275" s="114"/>
      <c r="AC275" s="114"/>
      <c r="AD275" s="114"/>
      <c r="AE275" s="114"/>
      <c r="AF275" s="114"/>
      <c r="AG275" s="114"/>
      <c r="AH275" s="114"/>
      <c r="AI275" s="114"/>
      <c r="AJ275" s="114"/>
      <c r="AK275" s="114"/>
      <c r="AL275" s="114"/>
      <c r="AM275" s="114"/>
      <c r="AN275" s="114"/>
      <c r="AO275" s="114"/>
      <c r="AP275" s="114"/>
      <c r="AQ275" s="114"/>
      <c r="AR275" s="114"/>
    </row>
    <row r="276" ht="14.25" spans="1:44">
      <c r="A276" s="155" t="s">
        <v>1138</v>
      </c>
      <c r="B276" s="114" t="s">
        <v>41</v>
      </c>
      <c r="C276" s="114" t="s">
        <v>1139</v>
      </c>
      <c r="D276" s="114" t="s">
        <v>400</v>
      </c>
      <c r="E276" s="114" t="s">
        <v>1140</v>
      </c>
      <c r="F276" s="153">
        <v>42824</v>
      </c>
      <c r="G276" s="152">
        <f t="shared" si="8"/>
        <v>2824</v>
      </c>
      <c r="H276" s="114" t="s">
        <v>1138</v>
      </c>
      <c r="I276" s="123" t="s">
        <v>1141</v>
      </c>
      <c r="J276" s="33">
        <v>14951</v>
      </c>
      <c r="K276" s="124"/>
      <c r="L276" s="114" t="s">
        <v>454</v>
      </c>
      <c r="M276" s="114"/>
      <c r="N276" s="124"/>
      <c r="O276" s="114"/>
      <c r="P276" s="160"/>
      <c r="Q276" s="114" t="s">
        <v>1142</v>
      </c>
      <c r="R276" s="124"/>
      <c r="S276" s="114">
        <f>44*8</f>
        <v>352</v>
      </c>
      <c r="T276" s="114">
        <v>195</v>
      </c>
      <c r="U276" s="114"/>
      <c r="V276" s="114"/>
      <c r="W276" s="114"/>
      <c r="X276" s="114"/>
      <c r="Y276" s="114"/>
      <c r="Z276" s="164"/>
      <c r="AA276" s="114"/>
      <c r="AB276" s="114"/>
      <c r="AC276" s="114"/>
      <c r="AD276" s="114"/>
      <c r="AE276" s="114"/>
      <c r="AF276" s="114"/>
      <c r="AG276" s="114"/>
      <c r="AH276" s="114"/>
      <c r="AI276" s="114"/>
      <c r="AJ276" s="114"/>
      <c r="AK276" s="114"/>
      <c r="AL276" s="114"/>
      <c r="AM276" s="114"/>
      <c r="AN276" s="114"/>
      <c r="AO276" s="114"/>
      <c r="AP276" s="114"/>
      <c r="AQ276" s="114"/>
      <c r="AR276" s="114"/>
    </row>
    <row r="277" ht="14.25" spans="1:44">
      <c r="A277" s="211"/>
      <c r="B277" s="114" t="s">
        <v>41</v>
      </c>
      <c r="C277" s="114" t="s">
        <v>964</v>
      </c>
      <c r="D277" s="114" t="s">
        <v>1143</v>
      </c>
      <c r="E277" s="114" t="s">
        <v>1144</v>
      </c>
      <c r="F277" s="153">
        <v>42825</v>
      </c>
      <c r="G277" s="152">
        <f t="shared" si="8"/>
        <v>2825</v>
      </c>
      <c r="H277" s="22" t="s">
        <v>1145</v>
      </c>
      <c r="I277" s="123" t="s">
        <v>1146</v>
      </c>
      <c r="J277" s="172">
        <v>6042</v>
      </c>
      <c r="K277" s="124"/>
      <c r="L277" s="114" t="s">
        <v>454</v>
      </c>
      <c r="M277" s="114"/>
      <c r="N277" s="124"/>
      <c r="O277" s="114"/>
      <c r="P277" s="160"/>
      <c r="Q277" s="114"/>
      <c r="R277" s="124"/>
      <c r="S277" s="114"/>
      <c r="T277" s="114"/>
      <c r="U277" s="114"/>
      <c r="V277" s="114"/>
      <c r="W277" s="114"/>
      <c r="X277" s="114"/>
      <c r="Y277" s="114"/>
      <c r="Z277" s="219" t="s">
        <v>4342</v>
      </c>
      <c r="AA277" s="114"/>
      <c r="AB277" s="114"/>
      <c r="AC277" s="114"/>
      <c r="AD277" s="114"/>
      <c r="AE277" s="114"/>
      <c r="AF277" s="114"/>
      <c r="AG277" s="114"/>
      <c r="AH277" s="114"/>
      <c r="AI277" s="114"/>
      <c r="AJ277" s="114"/>
      <c r="AK277" s="114"/>
      <c r="AL277" s="114"/>
      <c r="AM277" s="114"/>
      <c r="AN277" s="114"/>
      <c r="AO277" s="114"/>
      <c r="AP277" s="114"/>
      <c r="AQ277" s="114"/>
      <c r="AR277" s="114"/>
    </row>
    <row r="278" ht="14.25" spans="1:44">
      <c r="A278" s="155" t="s">
        <v>1147</v>
      </c>
      <c r="B278" s="114" t="s">
        <v>41</v>
      </c>
      <c r="C278" s="114"/>
      <c r="D278" s="114" t="s">
        <v>1024</v>
      </c>
      <c r="E278" s="114" t="s">
        <v>1148</v>
      </c>
      <c r="F278" s="153">
        <v>42842</v>
      </c>
      <c r="G278" s="152">
        <f t="shared" si="8"/>
        <v>2842</v>
      </c>
      <c r="H278" s="114" t="s">
        <v>1149</v>
      </c>
      <c r="I278" s="123" t="s">
        <v>1150</v>
      </c>
      <c r="J278" s="33">
        <v>9188</v>
      </c>
      <c r="K278" s="124"/>
      <c r="L278" s="114" t="s">
        <v>454</v>
      </c>
      <c r="M278" s="114"/>
      <c r="N278" s="124">
        <v>4200000</v>
      </c>
      <c r="O278" s="114"/>
      <c r="P278" s="124">
        <f>0.57*1000000000*2</f>
        <v>1140000000</v>
      </c>
      <c r="Q278" s="114"/>
      <c r="R278" s="124"/>
      <c r="S278" s="220"/>
      <c r="T278" s="114"/>
      <c r="U278" s="114"/>
      <c r="V278" s="114"/>
      <c r="W278" s="156" t="s">
        <v>667</v>
      </c>
      <c r="X278" s="217">
        <v>0.796506924284966</v>
      </c>
      <c r="Y278" s="159"/>
      <c r="Z278" s="164"/>
      <c r="AA278" s="159"/>
      <c r="AB278" s="159"/>
      <c r="AC278" s="159"/>
      <c r="AD278" s="114"/>
      <c r="AE278" s="114"/>
      <c r="AF278" s="114"/>
      <c r="AG278" s="114"/>
      <c r="AH278" s="114"/>
      <c r="AI278" s="114"/>
      <c r="AJ278" s="114"/>
      <c r="AK278" s="114"/>
      <c r="AL278" s="114"/>
      <c r="AM278" s="114"/>
      <c r="AN278" s="114"/>
      <c r="AO278" s="114"/>
      <c r="AP278" s="114"/>
      <c r="AQ278" s="114"/>
      <c r="AR278" s="114"/>
    </row>
    <row r="279" ht="14.25" spans="1:44">
      <c r="A279" s="114" t="s">
        <v>1164</v>
      </c>
      <c r="B279" s="114"/>
      <c r="C279" s="114" t="s">
        <v>1165</v>
      </c>
      <c r="D279" s="114" t="s">
        <v>1166</v>
      </c>
      <c r="E279" s="114" t="s">
        <v>1167</v>
      </c>
      <c r="F279" s="153">
        <v>42893</v>
      </c>
      <c r="G279" s="152">
        <f t="shared" si="8"/>
        <v>2893</v>
      </c>
      <c r="H279" s="22" t="s">
        <v>1168</v>
      </c>
      <c r="I279" s="123" t="s">
        <v>1169</v>
      </c>
      <c r="J279" s="172">
        <v>4021</v>
      </c>
      <c r="K279" s="124"/>
      <c r="L279" s="114" t="s">
        <v>454</v>
      </c>
      <c r="M279" s="114"/>
      <c r="N279" s="124"/>
      <c r="O279" s="114"/>
      <c r="P279" s="124"/>
      <c r="Q279" s="114"/>
      <c r="R279" s="124"/>
      <c r="S279" s="114"/>
      <c r="T279" s="114"/>
      <c r="U279" s="114"/>
      <c r="V279" s="114"/>
      <c r="W279" s="114"/>
      <c r="X279" s="220"/>
      <c r="Y279" s="114"/>
      <c r="Z279" s="219" t="s">
        <v>4342</v>
      </c>
      <c r="AA279" s="114"/>
      <c r="AB279" s="114"/>
      <c r="AC279" s="114"/>
      <c r="AD279" s="114"/>
      <c r="AE279" s="114"/>
      <c r="AF279" s="114"/>
      <c r="AG279" s="114"/>
      <c r="AH279" s="114"/>
      <c r="AI279" s="114"/>
      <c r="AJ279" s="114"/>
      <c r="AK279" s="114"/>
      <c r="AL279" s="114"/>
      <c r="AM279" s="114"/>
      <c r="AN279" s="114"/>
      <c r="AO279" s="114"/>
      <c r="AP279" s="114"/>
      <c r="AQ279" s="114"/>
      <c r="AR279" s="114"/>
    </row>
    <row r="280" ht="14.25" spans="1:44">
      <c r="A280" s="114" t="s">
        <v>1119</v>
      </c>
      <c r="B280" s="114" t="s">
        <v>51</v>
      </c>
      <c r="C280" s="114" t="s">
        <v>144</v>
      </c>
      <c r="D280" s="114" t="s">
        <v>1120</v>
      </c>
      <c r="E280" s="114" t="s">
        <v>1121</v>
      </c>
      <c r="F280" s="153">
        <v>42898</v>
      </c>
      <c r="G280" s="152">
        <f t="shared" si="8"/>
        <v>2898</v>
      </c>
      <c r="H280" s="114" t="s">
        <v>1122</v>
      </c>
      <c r="I280" s="123" t="s">
        <v>1123</v>
      </c>
      <c r="J280" s="33">
        <v>25230</v>
      </c>
      <c r="K280" s="124"/>
      <c r="L280" s="114" t="s">
        <v>454</v>
      </c>
      <c r="M280" s="114"/>
      <c r="N280" s="124">
        <v>213000000</v>
      </c>
      <c r="O280" s="114">
        <f>8*(3.5*24*60*60)*(9.3*10^12)*0.33</f>
        <v>7.4245248e+18</v>
      </c>
      <c r="P280" s="124">
        <v>54000000000</v>
      </c>
      <c r="Q280" s="114"/>
      <c r="R280" s="124"/>
      <c r="S280" s="114">
        <f>3.5*24*8</f>
        <v>672</v>
      </c>
      <c r="T280" s="114"/>
      <c r="U280" s="114"/>
      <c r="V280" s="114"/>
      <c r="W280" s="114"/>
      <c r="X280" s="220"/>
      <c r="Y280" s="114"/>
      <c r="Z280" s="164"/>
      <c r="AA280" s="114"/>
      <c r="AB280" s="114"/>
      <c r="AC280" s="114"/>
      <c r="AD280" s="114"/>
      <c r="AE280" s="114"/>
      <c r="AF280" s="114"/>
      <c r="AG280" s="114"/>
      <c r="AH280" s="114"/>
      <c r="AI280" s="114"/>
      <c r="AJ280" s="114"/>
      <c r="AK280" s="114"/>
      <c r="AL280" s="114"/>
      <c r="AM280" s="114"/>
      <c r="AN280" s="114"/>
      <c r="AO280" s="114"/>
      <c r="AP280" s="114"/>
      <c r="AQ280" s="114"/>
      <c r="AR280" s="114"/>
    </row>
    <row r="281" ht="14.25" spans="1:44">
      <c r="A281" s="114" t="s">
        <v>1174</v>
      </c>
      <c r="B281" s="114" t="s">
        <v>256</v>
      </c>
      <c r="C281" s="114" t="s">
        <v>1175</v>
      </c>
      <c r="D281" s="114" t="s">
        <v>1176</v>
      </c>
      <c r="E281" s="114" t="s">
        <v>1177</v>
      </c>
      <c r="F281" s="153">
        <v>42899</v>
      </c>
      <c r="G281" s="152">
        <f t="shared" si="8"/>
        <v>2899</v>
      </c>
      <c r="H281" s="114" t="s">
        <v>1178</v>
      </c>
      <c r="I281" s="123" t="s">
        <v>1179</v>
      </c>
      <c r="J281" s="33">
        <v>168</v>
      </c>
      <c r="K281" s="124"/>
      <c r="L281" s="114" t="s">
        <v>49</v>
      </c>
      <c r="M281" s="114"/>
      <c r="N281" s="124"/>
      <c r="O281" s="114"/>
      <c r="P281" s="124"/>
      <c r="Q281" s="114"/>
      <c r="R281" s="124"/>
      <c r="S281" s="114"/>
      <c r="T281" s="114"/>
      <c r="U281" s="114"/>
      <c r="V281" s="114"/>
      <c r="W281" s="114"/>
      <c r="X281" s="114"/>
      <c r="Y281" s="114"/>
      <c r="Z281" s="164"/>
      <c r="AA281" s="114"/>
      <c r="AB281" s="114"/>
      <c r="AC281" s="114"/>
      <c r="AD281" s="114"/>
      <c r="AE281" s="114"/>
      <c r="AF281" s="114"/>
      <c r="AG281" s="114"/>
      <c r="AH281" s="114"/>
      <c r="AI281" s="114"/>
      <c r="AJ281" s="114"/>
      <c r="AK281" s="114"/>
      <c r="AL281" s="114"/>
      <c r="AM281" s="114"/>
      <c r="AN281" s="114"/>
      <c r="AO281" s="114"/>
      <c r="AP281" s="114"/>
      <c r="AQ281" s="114"/>
      <c r="AR281" s="114"/>
    </row>
    <row r="282" ht="14.25" spans="1:44">
      <c r="A282" s="114"/>
      <c r="B282" s="114" t="s">
        <v>41</v>
      </c>
      <c r="C282" s="114" t="s">
        <v>964</v>
      </c>
      <c r="D282" s="114" t="s">
        <v>1184</v>
      </c>
      <c r="E282" s="114" t="s">
        <v>1185</v>
      </c>
      <c r="F282" s="153">
        <v>42912</v>
      </c>
      <c r="G282" s="152">
        <f t="shared" si="8"/>
        <v>2912</v>
      </c>
      <c r="H282" s="22" t="s">
        <v>1186</v>
      </c>
      <c r="I282" s="123" t="s">
        <v>1187</v>
      </c>
      <c r="J282" s="172">
        <v>4170</v>
      </c>
      <c r="K282" s="124"/>
      <c r="L282" s="114" t="s">
        <v>454</v>
      </c>
      <c r="M282" s="114"/>
      <c r="N282" s="124"/>
      <c r="O282" s="114"/>
      <c r="P282" s="124"/>
      <c r="Q282" s="114"/>
      <c r="R282" s="124"/>
      <c r="S282" s="114"/>
      <c r="T282" s="114"/>
      <c r="U282" s="114"/>
      <c r="V282" s="114"/>
      <c r="W282" s="114"/>
      <c r="X282" s="114"/>
      <c r="Y282" s="114"/>
      <c r="Z282" s="219" t="s">
        <v>4342</v>
      </c>
      <c r="AA282" s="114"/>
      <c r="AB282" s="114"/>
      <c r="AC282" s="114"/>
      <c r="AD282" s="114"/>
      <c r="AE282" s="114"/>
      <c r="AF282" s="114"/>
      <c r="AG282" s="114"/>
      <c r="AH282" s="114"/>
      <c r="AI282" s="114"/>
      <c r="AJ282" s="114"/>
      <c r="AK282" s="114"/>
      <c r="AL282" s="114"/>
      <c r="AM282" s="114"/>
      <c r="AN282" s="114"/>
      <c r="AO282" s="114"/>
      <c r="AP282" s="114"/>
      <c r="AQ282" s="114"/>
      <c r="AR282" s="114"/>
    </row>
    <row r="283" ht="14.25" spans="1:44">
      <c r="A283" s="114" t="s">
        <v>1188</v>
      </c>
      <c r="B283" s="114" t="s">
        <v>256</v>
      </c>
      <c r="C283" s="114" t="s">
        <v>482</v>
      </c>
      <c r="D283" s="114" t="s">
        <v>71</v>
      </c>
      <c r="E283" s="114" t="s">
        <v>1189</v>
      </c>
      <c r="F283" s="153">
        <v>42916</v>
      </c>
      <c r="G283" s="152">
        <f t="shared" si="8"/>
        <v>2916</v>
      </c>
      <c r="H283" s="114" t="s">
        <v>1190</v>
      </c>
      <c r="I283" s="123" t="s">
        <v>1191</v>
      </c>
      <c r="J283" s="33">
        <v>480</v>
      </c>
      <c r="K283" s="124"/>
      <c r="L283" s="156" t="s">
        <v>142</v>
      </c>
      <c r="M283" s="159"/>
      <c r="N283" s="173"/>
      <c r="O283" s="159"/>
      <c r="P283" s="173"/>
      <c r="Q283" s="159"/>
      <c r="R283" s="159"/>
      <c r="S283" s="159"/>
      <c r="T283" s="159"/>
      <c r="U283" s="159"/>
      <c r="V283" s="114"/>
      <c r="W283" s="114"/>
      <c r="X283" s="114"/>
      <c r="Y283" s="114"/>
      <c r="Z283" s="164"/>
      <c r="AA283" s="114"/>
      <c r="AB283" s="114"/>
      <c r="AC283" s="114"/>
      <c r="AD283" s="114"/>
      <c r="AE283" s="114"/>
      <c r="AF283" s="114"/>
      <c r="AG283" s="114"/>
      <c r="AH283" s="114"/>
      <c r="AI283" s="114"/>
      <c r="AJ283" s="114"/>
      <c r="AK283" s="114"/>
      <c r="AL283" s="114"/>
      <c r="AM283" s="114"/>
      <c r="AN283" s="114"/>
      <c r="AO283" s="114"/>
      <c r="AP283" s="114"/>
      <c r="AQ283" s="114"/>
      <c r="AR283" s="114"/>
    </row>
    <row r="284" ht="14.25" spans="1:44">
      <c r="A284" s="155" t="s">
        <v>1192</v>
      </c>
      <c r="B284" s="114" t="s">
        <v>41</v>
      </c>
      <c r="C284" s="159"/>
      <c r="D284" s="114" t="s">
        <v>1193</v>
      </c>
      <c r="E284" s="114" t="s">
        <v>1194</v>
      </c>
      <c r="F284" s="153">
        <v>42919</v>
      </c>
      <c r="G284" s="152">
        <f t="shared" si="8"/>
        <v>2919</v>
      </c>
      <c r="H284" s="114" t="s">
        <v>1195</v>
      </c>
      <c r="I284" s="123" t="s">
        <v>1196</v>
      </c>
      <c r="J284" s="33">
        <v>2775</v>
      </c>
      <c r="K284" s="124"/>
      <c r="L284" s="114" t="s">
        <v>454</v>
      </c>
      <c r="M284" s="114"/>
      <c r="N284" s="124">
        <v>2430000</v>
      </c>
      <c r="O284" s="114"/>
      <c r="P284" s="124">
        <f>140000000</f>
        <v>140000000</v>
      </c>
      <c r="Q284" s="114"/>
      <c r="R284" s="124"/>
      <c r="S284" s="114"/>
      <c r="T284" s="114"/>
      <c r="U284" s="114"/>
      <c r="V284" s="114"/>
      <c r="W284" s="114"/>
      <c r="X284" s="114"/>
      <c r="Y284" s="114"/>
      <c r="Z284" s="164"/>
      <c r="AA284" s="114"/>
      <c r="AB284" s="114"/>
      <c r="AC284" s="114"/>
      <c r="AD284" s="114"/>
      <c r="AE284" s="114"/>
      <c r="AF284" s="114"/>
      <c r="AG284" s="114"/>
      <c r="AH284" s="114"/>
      <c r="AI284" s="114"/>
      <c r="AJ284" s="114"/>
      <c r="AK284" s="114"/>
      <c r="AL284" s="114"/>
      <c r="AM284" s="114"/>
      <c r="AN284" s="114"/>
      <c r="AO284" s="114"/>
      <c r="AP284" s="114"/>
      <c r="AQ284" s="114"/>
      <c r="AR284" s="114"/>
    </row>
    <row r="285" ht="14.25" spans="1:44">
      <c r="A285" s="114" t="s">
        <v>1197</v>
      </c>
      <c r="B285" s="114" t="s">
        <v>41</v>
      </c>
      <c r="C285" s="114" t="s">
        <v>176</v>
      </c>
      <c r="D285" s="114" t="s">
        <v>262</v>
      </c>
      <c r="E285" s="114" t="s">
        <v>1198</v>
      </c>
      <c r="F285" s="153">
        <v>42937</v>
      </c>
      <c r="G285" s="152">
        <f t="shared" si="8"/>
        <v>2937</v>
      </c>
      <c r="H285" s="114" t="s">
        <v>1199</v>
      </c>
      <c r="I285" s="123" t="s">
        <v>1200</v>
      </c>
      <c r="J285" s="33">
        <v>3099</v>
      </c>
      <c r="K285" s="124"/>
      <c r="L285" s="114" t="s">
        <v>454</v>
      </c>
      <c r="M285" s="114"/>
      <c r="N285" s="124">
        <v>89000000</v>
      </c>
      <c r="O285" s="114"/>
      <c r="P285" s="124"/>
      <c r="Q285" s="114"/>
      <c r="R285" s="124"/>
      <c r="S285" s="114"/>
      <c r="T285" s="114"/>
      <c r="U285" s="114"/>
      <c r="V285" s="114"/>
      <c r="W285" s="114"/>
      <c r="X285" s="114"/>
      <c r="Y285" s="114"/>
      <c r="Z285" s="164"/>
      <c r="AA285" s="114"/>
      <c r="AB285" s="114"/>
      <c r="AC285" s="114"/>
      <c r="AD285" s="114"/>
      <c r="AE285" s="114"/>
      <c r="AF285" s="114"/>
      <c r="AG285" s="114"/>
      <c r="AH285" s="114"/>
      <c r="AI285" s="114"/>
      <c r="AJ285" s="114"/>
      <c r="AK285" s="114"/>
      <c r="AL285" s="114"/>
      <c r="AM285" s="114"/>
      <c r="AN285" s="114"/>
      <c r="AO285" s="114"/>
      <c r="AP285" s="114"/>
      <c r="AQ285" s="114"/>
      <c r="AR285" s="114"/>
    </row>
    <row r="286" ht="14.25" spans="1:44">
      <c r="A286" s="114"/>
      <c r="B286" s="114" t="s">
        <v>41</v>
      </c>
      <c r="C286" s="114" t="s">
        <v>1139</v>
      </c>
      <c r="D286" s="114" t="s">
        <v>1201</v>
      </c>
      <c r="E286" s="114" t="s">
        <v>1202</v>
      </c>
      <c r="F286" s="153">
        <v>42937</v>
      </c>
      <c r="G286" s="152">
        <f t="shared" si="8"/>
        <v>2937</v>
      </c>
      <c r="H286" s="114" t="s">
        <v>1203</v>
      </c>
      <c r="I286" s="123" t="s">
        <v>1204</v>
      </c>
      <c r="J286" s="172">
        <v>6070</v>
      </c>
      <c r="K286" s="124"/>
      <c r="L286" s="114" t="s">
        <v>454</v>
      </c>
      <c r="M286" s="114"/>
      <c r="N286" s="124"/>
      <c r="O286" s="114"/>
      <c r="P286" s="124"/>
      <c r="Q286" s="114"/>
      <c r="R286" s="124"/>
      <c r="S286" s="159"/>
      <c r="T286" s="114"/>
      <c r="U286" s="114"/>
      <c r="V286" s="114"/>
      <c r="W286" s="114"/>
      <c r="X286" s="114"/>
      <c r="Y286" s="114"/>
      <c r="Z286" s="219" t="s">
        <v>4342</v>
      </c>
      <c r="AA286" s="114"/>
      <c r="AB286" s="114"/>
      <c r="AC286" s="114"/>
      <c r="AD286" s="114"/>
      <c r="AE286" s="114"/>
      <c r="AF286" s="114"/>
      <c r="AG286" s="114"/>
      <c r="AH286" s="114"/>
      <c r="AI286" s="114"/>
      <c r="AJ286" s="114"/>
      <c r="AK286" s="114"/>
      <c r="AL286" s="114"/>
      <c r="AM286" s="114"/>
      <c r="AN286" s="114"/>
      <c r="AO286" s="114"/>
      <c r="AP286" s="114"/>
      <c r="AQ286" s="114"/>
      <c r="AR286" s="114"/>
    </row>
    <row r="287" ht="14.25" spans="1:44">
      <c r="A287" s="114" t="s">
        <v>1098</v>
      </c>
      <c r="B287" s="114" t="s">
        <v>41</v>
      </c>
      <c r="C287" s="114"/>
      <c r="D287" s="114" t="s">
        <v>1099</v>
      </c>
      <c r="E287" s="221" t="s">
        <v>1100</v>
      </c>
      <c r="F287" s="153">
        <v>42951</v>
      </c>
      <c r="G287" s="152">
        <f t="shared" si="8"/>
        <v>2951</v>
      </c>
      <c r="H287" s="222" t="s">
        <v>1101</v>
      </c>
      <c r="I287" s="123" t="s">
        <v>4374</v>
      </c>
      <c r="J287" s="33">
        <v>1142</v>
      </c>
      <c r="K287" s="114"/>
      <c r="L287" s="114" t="s">
        <v>454</v>
      </c>
      <c r="M287" s="114"/>
      <c r="N287" s="124"/>
      <c r="O287" s="114">
        <f>4.79*10^20</f>
        <v>4.79e+20</v>
      </c>
      <c r="P287" s="124"/>
      <c r="Q287" s="124" t="s">
        <v>969</v>
      </c>
      <c r="R287" s="124">
        <f>300*10^6</f>
        <v>300000000</v>
      </c>
      <c r="S287" s="114"/>
      <c r="T287" s="114"/>
      <c r="U287" s="114"/>
      <c r="V287" s="114"/>
      <c r="W287" s="114"/>
      <c r="X287" s="114" t="s">
        <v>4354</v>
      </c>
      <c r="Y287" s="114"/>
      <c r="Z287" s="164"/>
      <c r="AA287" s="114"/>
      <c r="AB287" s="114"/>
      <c r="AC287" s="114"/>
      <c r="AD287" s="114"/>
      <c r="AE287" s="114"/>
      <c r="AF287" s="114"/>
      <c r="AG287" s="114"/>
      <c r="AH287" s="114"/>
      <c r="AI287" s="114"/>
      <c r="AJ287" s="114"/>
      <c r="AK287" s="114"/>
      <c r="AL287" s="114"/>
      <c r="AM287" s="114"/>
      <c r="AN287" s="114"/>
      <c r="AO287" s="114"/>
      <c r="AP287" s="114"/>
      <c r="AQ287" s="114"/>
      <c r="AR287" s="114"/>
    </row>
    <row r="288" ht="14.25" spans="1:44">
      <c r="A288" s="114" t="s">
        <v>1205</v>
      </c>
      <c r="B288" s="114" t="s">
        <v>41</v>
      </c>
      <c r="C288" s="114" t="s">
        <v>724</v>
      </c>
      <c r="D288" s="114" t="s">
        <v>1206</v>
      </c>
      <c r="E288" s="114" t="s">
        <v>1207</v>
      </c>
      <c r="F288" s="153">
        <v>42954</v>
      </c>
      <c r="G288" s="152">
        <f t="shared" si="8"/>
        <v>2954</v>
      </c>
      <c r="H288" s="114" t="s">
        <v>1208</v>
      </c>
      <c r="I288" s="123" t="s">
        <v>1209</v>
      </c>
      <c r="J288" s="33">
        <v>8416</v>
      </c>
      <c r="K288" s="124"/>
      <c r="L288" s="114" t="s">
        <v>454</v>
      </c>
      <c r="M288" s="114"/>
      <c r="N288" s="124">
        <v>34000000</v>
      </c>
      <c r="O288" s="114"/>
      <c r="P288" s="124">
        <v>97000000000</v>
      </c>
      <c r="Q288" s="114"/>
      <c r="R288" s="124"/>
      <c r="S288" s="159"/>
      <c r="T288" s="114"/>
      <c r="U288" s="114"/>
      <c r="V288" s="114"/>
      <c r="W288" s="114"/>
      <c r="X288" s="114"/>
      <c r="Y288" s="114"/>
      <c r="Z288" s="164"/>
      <c r="AA288" s="114"/>
      <c r="AB288" s="114"/>
      <c r="AC288" s="114"/>
      <c r="AD288" s="114"/>
      <c r="AE288" s="114"/>
      <c r="AF288" s="114"/>
      <c r="AG288" s="114"/>
      <c r="AH288" s="114"/>
      <c r="AI288" s="114"/>
      <c r="AJ288" s="114"/>
      <c r="AK288" s="114"/>
      <c r="AL288" s="114"/>
      <c r="AM288" s="114"/>
      <c r="AN288" s="114"/>
      <c r="AO288" s="114"/>
      <c r="AP288" s="114"/>
      <c r="AQ288" s="114"/>
      <c r="AR288" s="114"/>
    </row>
    <row r="289" ht="14.25" spans="1:44">
      <c r="A289" s="114" t="s">
        <v>1205</v>
      </c>
      <c r="B289" s="114" t="s">
        <v>41</v>
      </c>
      <c r="C289" s="114" t="s">
        <v>724</v>
      </c>
      <c r="D289" s="114" t="s">
        <v>1206</v>
      </c>
      <c r="E289" s="114" t="s">
        <v>1207</v>
      </c>
      <c r="F289" s="153">
        <v>42954</v>
      </c>
      <c r="G289" s="152">
        <f t="shared" si="8"/>
        <v>2954</v>
      </c>
      <c r="H289" s="114" t="s">
        <v>1208</v>
      </c>
      <c r="I289" s="123" t="s">
        <v>1209</v>
      </c>
      <c r="J289" s="33">
        <v>8416</v>
      </c>
      <c r="K289" s="124"/>
      <c r="L289" s="114" t="s">
        <v>454</v>
      </c>
      <c r="M289" s="114"/>
      <c r="N289" s="124">
        <v>53000000</v>
      </c>
      <c r="O289" s="114"/>
      <c r="P289" s="124">
        <v>127000000000</v>
      </c>
      <c r="Q289" s="114"/>
      <c r="R289" s="124"/>
      <c r="S289" s="159"/>
      <c r="T289" s="114"/>
      <c r="U289" s="114"/>
      <c r="V289" s="114"/>
      <c r="W289" s="114"/>
      <c r="X289" s="114"/>
      <c r="Y289" s="114"/>
      <c r="Z289" s="164"/>
      <c r="AA289" s="114"/>
      <c r="AB289" s="114"/>
      <c r="AC289" s="114"/>
      <c r="AD289" s="114"/>
      <c r="AE289" s="114"/>
      <c r="AF289" s="114"/>
      <c r="AG289" s="114"/>
      <c r="AH289" s="114"/>
      <c r="AI289" s="114"/>
      <c r="AJ289" s="114"/>
      <c r="AK289" s="114"/>
      <c r="AL289" s="114"/>
      <c r="AM289" s="114"/>
      <c r="AN289" s="114"/>
      <c r="AO289" s="114"/>
      <c r="AP289" s="114"/>
      <c r="AQ289" s="114"/>
      <c r="AR289" s="114"/>
    </row>
    <row r="290" ht="14.25" spans="1:44">
      <c r="A290" s="223" t="s">
        <v>1094</v>
      </c>
      <c r="B290" s="114" t="s">
        <v>256</v>
      </c>
      <c r="C290" s="114" t="s">
        <v>1095</v>
      </c>
      <c r="D290" s="114" t="s">
        <v>34</v>
      </c>
      <c r="E290" s="114"/>
      <c r="F290" s="153">
        <v>42958</v>
      </c>
      <c r="G290" s="152">
        <f t="shared" si="8"/>
        <v>2958</v>
      </c>
      <c r="H290" s="114"/>
      <c r="I290" s="114"/>
      <c r="J290" s="33" t="s">
        <v>3213</v>
      </c>
      <c r="K290" s="124"/>
      <c r="L290" s="114" t="s">
        <v>49</v>
      </c>
      <c r="M290" s="114"/>
      <c r="N290" s="124"/>
      <c r="O290" s="158">
        <v>6.046095222592e+20</v>
      </c>
      <c r="P290" s="124"/>
      <c r="Q290" s="114"/>
      <c r="R290" s="124"/>
      <c r="S290" s="159"/>
      <c r="T290" s="114"/>
      <c r="U290" s="114"/>
      <c r="V290" s="114"/>
      <c r="W290" s="114"/>
      <c r="X290" s="114"/>
      <c r="Y290" s="114"/>
      <c r="Z290" s="166" t="s">
        <v>34</v>
      </c>
      <c r="AA290" s="114"/>
      <c r="AB290" s="114"/>
      <c r="AC290" s="114"/>
      <c r="AD290" s="114"/>
      <c r="AE290" s="114"/>
      <c r="AF290" s="114"/>
      <c r="AG290" s="114"/>
      <c r="AH290" s="114"/>
      <c r="AI290" s="114"/>
      <c r="AJ290" s="114"/>
      <c r="AK290" s="114"/>
      <c r="AL290" s="114"/>
      <c r="AM290" s="114"/>
      <c r="AN290" s="114"/>
      <c r="AO290" s="114"/>
      <c r="AP290" s="114"/>
      <c r="AQ290" s="114"/>
      <c r="AR290" s="114"/>
    </row>
    <row r="291" ht="14.25" spans="1:44">
      <c r="A291" s="114" t="s">
        <v>1215</v>
      </c>
      <c r="B291" s="114" t="s">
        <v>434</v>
      </c>
      <c r="C291" s="114" t="s">
        <v>1216</v>
      </c>
      <c r="D291" s="114" t="s">
        <v>1217</v>
      </c>
      <c r="E291" s="114" t="s">
        <v>1218</v>
      </c>
      <c r="F291" s="153">
        <v>42963</v>
      </c>
      <c r="G291" s="152">
        <f t="shared" si="8"/>
        <v>2963</v>
      </c>
      <c r="H291" s="114" t="s">
        <v>1219</v>
      </c>
      <c r="I291" s="123" t="s">
        <v>1220</v>
      </c>
      <c r="J291" s="33">
        <v>2425</v>
      </c>
      <c r="K291" s="124"/>
      <c r="L291" s="114" t="s">
        <v>454</v>
      </c>
      <c r="M291" s="114"/>
      <c r="N291" s="124"/>
      <c r="O291" s="114"/>
      <c r="P291" s="124"/>
      <c r="Q291" s="114"/>
      <c r="R291" s="124"/>
      <c r="S291" s="159"/>
      <c r="T291" s="114"/>
      <c r="U291" s="114"/>
      <c r="V291" s="114"/>
      <c r="W291" s="114"/>
      <c r="X291" s="114"/>
      <c r="Y291" s="114"/>
      <c r="Z291" s="164"/>
      <c r="AA291" s="114"/>
      <c r="AB291" s="114"/>
      <c r="AC291" s="114"/>
      <c r="AD291" s="114"/>
      <c r="AE291" s="114"/>
      <c r="AF291" s="114"/>
      <c r="AG291" s="114"/>
      <c r="AH291" s="114"/>
      <c r="AI291" s="114"/>
      <c r="AJ291" s="114"/>
      <c r="AK291" s="114"/>
      <c r="AL291" s="114"/>
      <c r="AM291" s="114"/>
      <c r="AN291" s="114"/>
      <c r="AO291" s="114"/>
      <c r="AP291" s="114"/>
      <c r="AQ291" s="114"/>
      <c r="AR291" s="114"/>
    </row>
    <row r="292" ht="14.25" spans="1:44">
      <c r="A292" s="155" t="s">
        <v>1221</v>
      </c>
      <c r="B292" s="114" t="s">
        <v>41</v>
      </c>
      <c r="C292" s="114" t="s">
        <v>176</v>
      </c>
      <c r="D292" s="114" t="s">
        <v>1222</v>
      </c>
      <c r="E292" s="114" t="s">
        <v>1223</v>
      </c>
      <c r="F292" s="153">
        <v>42983</v>
      </c>
      <c r="G292" s="152">
        <f t="shared" si="8"/>
        <v>2983</v>
      </c>
      <c r="H292" s="114" t="s">
        <v>1224</v>
      </c>
      <c r="I292" s="123" t="s">
        <v>1225</v>
      </c>
      <c r="J292" s="33">
        <v>7943</v>
      </c>
      <c r="K292" s="124"/>
      <c r="L292" s="114" t="s">
        <v>454</v>
      </c>
      <c r="M292" s="114"/>
      <c r="N292" s="124">
        <v>28100000</v>
      </c>
      <c r="O292" s="114"/>
      <c r="P292" s="124">
        <f>3.87*1000000000</f>
        <v>3870000000</v>
      </c>
      <c r="Q292" s="114" t="s">
        <v>184</v>
      </c>
      <c r="R292" s="124"/>
      <c r="S292" s="220"/>
      <c r="T292" s="114"/>
      <c r="U292" s="114"/>
      <c r="V292" s="114"/>
      <c r="W292" s="114"/>
      <c r="X292" s="114"/>
      <c r="Y292" s="114"/>
      <c r="Z292" s="164"/>
      <c r="AA292" s="114"/>
      <c r="AB292" s="114"/>
      <c r="AC292" s="114"/>
      <c r="AD292" s="114"/>
      <c r="AE292" s="114"/>
      <c r="AF292" s="114"/>
      <c r="AG292" s="114"/>
      <c r="AH292" s="114"/>
      <c r="AI292" s="114"/>
      <c r="AJ292" s="114"/>
      <c r="AK292" s="114"/>
      <c r="AL292" s="114"/>
      <c r="AM292" s="114"/>
      <c r="AN292" s="114"/>
      <c r="AO292" s="114"/>
      <c r="AP292" s="114"/>
      <c r="AQ292" s="114"/>
      <c r="AR292" s="114"/>
    </row>
    <row r="293" ht="14.25" spans="1:44">
      <c r="A293" s="114" t="s">
        <v>1076</v>
      </c>
      <c r="B293" s="114" t="s">
        <v>256</v>
      </c>
      <c r="C293" s="114" t="s">
        <v>1077</v>
      </c>
      <c r="D293" s="114" t="s">
        <v>71</v>
      </c>
      <c r="E293" s="114" t="s">
        <v>1078</v>
      </c>
      <c r="F293" s="153">
        <v>43027</v>
      </c>
      <c r="G293" s="152">
        <f t="shared" si="8"/>
        <v>3027</v>
      </c>
      <c r="H293" s="114" t="s">
        <v>1079</v>
      </c>
      <c r="I293" s="123" t="s">
        <v>4373</v>
      </c>
      <c r="J293" s="33">
        <v>5809</v>
      </c>
      <c r="K293" s="124"/>
      <c r="L293" s="114" t="s">
        <v>454</v>
      </c>
      <c r="M293" s="114"/>
      <c r="N293" s="124">
        <f>(256*3*3*17)+39*256*3*3*256*2+2*256+19*19*2*362+256+19*19*256+256</f>
        <v>46400244</v>
      </c>
      <c r="O293" s="158">
        <v>3.41e+23</v>
      </c>
      <c r="P293" s="124"/>
      <c r="Q293" s="114"/>
      <c r="R293" s="124"/>
      <c r="S293" s="114"/>
      <c r="T293" s="114"/>
      <c r="U293" s="114"/>
      <c r="V293" s="114"/>
      <c r="W293" s="114"/>
      <c r="X293" s="159"/>
      <c r="Y293" s="124">
        <v>35000000</v>
      </c>
      <c r="Z293" s="166" t="s">
        <v>34</v>
      </c>
      <c r="AA293" s="114"/>
      <c r="AB293" s="114"/>
      <c r="AC293" s="114"/>
      <c r="AD293" s="114"/>
      <c r="AE293" s="114"/>
      <c r="AF293" s="114"/>
      <c r="AG293" s="114"/>
      <c r="AH293" s="114"/>
      <c r="AI293" s="114"/>
      <c r="AJ293" s="114"/>
      <c r="AK293" s="114"/>
      <c r="AL293" s="114"/>
      <c r="AM293" s="114"/>
      <c r="AN293" s="114"/>
      <c r="AO293" s="114"/>
      <c r="AP293" s="114"/>
      <c r="AQ293" s="114"/>
      <c r="AR293" s="114"/>
    </row>
    <row r="294" ht="14.25" spans="1:44">
      <c r="A294" s="114" t="s">
        <v>1230</v>
      </c>
      <c r="B294" s="114" t="s">
        <v>41</v>
      </c>
      <c r="C294" s="114" t="s">
        <v>1231</v>
      </c>
      <c r="D294" s="114" t="s">
        <v>262</v>
      </c>
      <c r="E294" s="114" t="s">
        <v>1232</v>
      </c>
      <c r="F294" s="169">
        <v>43034</v>
      </c>
      <c r="G294" s="152">
        <f t="shared" si="8"/>
        <v>3034</v>
      </c>
      <c r="H294" s="114" t="s">
        <v>1233</v>
      </c>
      <c r="I294" s="123" t="s">
        <v>1234</v>
      </c>
      <c r="J294" s="33">
        <v>2739</v>
      </c>
      <c r="K294" s="124"/>
      <c r="L294" s="114" t="s">
        <v>454</v>
      </c>
      <c r="M294" s="114"/>
      <c r="N294" s="124">
        <v>8200000</v>
      </c>
      <c r="O294" s="114"/>
      <c r="P294" s="124"/>
      <c r="Q294" s="114"/>
      <c r="R294" s="124"/>
      <c r="S294" s="114"/>
      <c r="T294" s="114"/>
      <c r="U294" s="114"/>
      <c r="V294" s="114"/>
      <c r="W294" s="114"/>
      <c r="X294" s="114"/>
      <c r="Y294" s="114"/>
      <c r="Z294" s="164"/>
      <c r="AA294" s="114"/>
      <c r="AB294" s="114"/>
      <c r="AC294" s="114"/>
      <c r="AD294" s="114"/>
      <c r="AE294" s="114"/>
      <c r="AF294" s="114"/>
      <c r="AG294" s="114"/>
      <c r="AH294" s="114"/>
      <c r="AI294" s="114"/>
      <c r="AJ294" s="114"/>
      <c r="AK294" s="114"/>
      <c r="AL294" s="114"/>
      <c r="AM294" s="114"/>
      <c r="AN294" s="114"/>
      <c r="AO294" s="114"/>
      <c r="AP294" s="114"/>
      <c r="AQ294" s="114"/>
      <c r="AR294" s="114"/>
    </row>
    <row r="295" ht="14.25" spans="1:44">
      <c r="A295" s="114" t="s">
        <v>1235</v>
      </c>
      <c r="B295" s="114" t="s">
        <v>41</v>
      </c>
      <c r="C295" s="114" t="s">
        <v>1231</v>
      </c>
      <c r="D295" s="114" t="s">
        <v>262</v>
      </c>
      <c r="E295" s="114" t="s">
        <v>1232</v>
      </c>
      <c r="F295" s="169">
        <v>43034</v>
      </c>
      <c r="G295" s="152">
        <f t="shared" si="8"/>
        <v>3034</v>
      </c>
      <c r="H295" s="114" t="s">
        <v>1233</v>
      </c>
      <c r="I295" s="123" t="s">
        <v>1234</v>
      </c>
      <c r="J295" s="33">
        <v>2739</v>
      </c>
      <c r="K295" s="124"/>
      <c r="L295" s="114" t="s">
        <v>454</v>
      </c>
      <c r="M295" s="114"/>
      <c r="N295" s="124">
        <v>11360000</v>
      </c>
      <c r="O295" s="114"/>
      <c r="P295" s="124"/>
      <c r="Q295" s="114"/>
      <c r="R295" s="124"/>
      <c r="S295" s="114"/>
      <c r="T295" s="114"/>
      <c r="U295" s="114"/>
      <c r="V295" s="114"/>
      <c r="W295" s="114"/>
      <c r="X295" s="114"/>
      <c r="Y295" s="114"/>
      <c r="Z295" s="164"/>
      <c r="AA295" s="114"/>
      <c r="AB295" s="114"/>
      <c r="AC295" s="114"/>
      <c r="AD295" s="114"/>
      <c r="AE295" s="114"/>
      <c r="AF295" s="114"/>
      <c r="AG295" s="114"/>
      <c r="AH295" s="114"/>
      <c r="AI295" s="114"/>
      <c r="AJ295" s="114"/>
      <c r="AK295" s="114"/>
      <c r="AL295" s="114"/>
      <c r="AM295" s="114"/>
      <c r="AN295" s="114"/>
      <c r="AO295" s="114"/>
      <c r="AP295" s="114"/>
      <c r="AQ295" s="114"/>
      <c r="AR295" s="114"/>
    </row>
    <row r="296" ht="14.25" spans="1:44">
      <c r="A296" s="114"/>
      <c r="B296" s="114" t="s">
        <v>41</v>
      </c>
      <c r="C296" s="114" t="s">
        <v>694</v>
      </c>
      <c r="D296" s="114" t="s">
        <v>1226</v>
      </c>
      <c r="E296" s="114" t="s">
        <v>1227</v>
      </c>
      <c r="F296" s="153">
        <v>43030</v>
      </c>
      <c r="G296" s="152">
        <f t="shared" si="8"/>
        <v>3030</v>
      </c>
      <c r="H296" s="22" t="s">
        <v>1228</v>
      </c>
      <c r="I296" s="123" t="s">
        <v>4375</v>
      </c>
      <c r="J296" s="172">
        <v>1399</v>
      </c>
      <c r="K296" s="124"/>
      <c r="L296" s="114" t="s">
        <v>454</v>
      </c>
      <c r="M296" s="114"/>
      <c r="N296" s="124"/>
      <c r="O296" s="158"/>
      <c r="P296" s="124"/>
      <c r="Q296" s="114"/>
      <c r="R296" s="124"/>
      <c r="S296" s="159"/>
      <c r="T296" s="114"/>
      <c r="U296" s="114"/>
      <c r="V296" s="114"/>
      <c r="W296" s="114"/>
      <c r="X296" s="220"/>
      <c r="Y296" s="114"/>
      <c r="Z296" s="219" t="s">
        <v>4342</v>
      </c>
      <c r="AA296" s="114"/>
      <c r="AB296" s="114"/>
      <c r="AC296" s="114"/>
      <c r="AD296" s="114"/>
      <c r="AE296" s="114"/>
      <c r="AF296" s="114"/>
      <c r="AG296" s="114"/>
      <c r="AH296" s="114"/>
      <c r="AI296" s="114"/>
      <c r="AJ296" s="114"/>
      <c r="AK296" s="114"/>
      <c r="AL296" s="114"/>
      <c r="AM296" s="114"/>
      <c r="AN296" s="114"/>
      <c r="AO296" s="114"/>
      <c r="AP296" s="114"/>
      <c r="AQ296" s="114"/>
      <c r="AR296" s="114"/>
    </row>
    <row r="297" ht="14.25" spans="1:44">
      <c r="A297" s="114"/>
      <c r="B297" s="114" t="s">
        <v>41</v>
      </c>
      <c r="C297" s="114" t="s">
        <v>964</v>
      </c>
      <c r="D297" s="114" t="s">
        <v>1236</v>
      </c>
      <c r="E297" s="114" t="s">
        <v>1237</v>
      </c>
      <c r="F297" s="169">
        <v>43035</v>
      </c>
      <c r="G297" s="152">
        <f t="shared" si="8"/>
        <v>3035</v>
      </c>
      <c r="H297" s="22" t="s">
        <v>1238</v>
      </c>
      <c r="I297" s="123" t="s">
        <v>1239</v>
      </c>
      <c r="J297" s="172">
        <v>3908</v>
      </c>
      <c r="K297" s="124"/>
      <c r="L297" s="114" t="s">
        <v>454</v>
      </c>
      <c r="M297" s="114"/>
      <c r="N297" s="124"/>
      <c r="O297" s="114"/>
      <c r="P297" s="124"/>
      <c r="Q297" s="114"/>
      <c r="R297" s="124"/>
      <c r="S297" s="114"/>
      <c r="T297" s="114"/>
      <c r="U297" s="114"/>
      <c r="V297" s="114"/>
      <c r="W297" s="114"/>
      <c r="X297" s="114"/>
      <c r="Y297" s="114"/>
      <c r="Z297" s="219" t="s">
        <v>4342</v>
      </c>
      <c r="AA297" s="114"/>
      <c r="AB297" s="114"/>
      <c r="AC297" s="114"/>
      <c r="AD297" s="114"/>
      <c r="AE297" s="114"/>
      <c r="AF297" s="114"/>
      <c r="AG297" s="114"/>
      <c r="AH297" s="114"/>
      <c r="AI297" s="114"/>
      <c r="AJ297" s="114"/>
      <c r="AK297" s="114"/>
      <c r="AL297" s="114"/>
      <c r="AM297" s="114"/>
      <c r="AN297" s="114"/>
      <c r="AO297" s="114"/>
      <c r="AP297" s="114"/>
      <c r="AQ297" s="114"/>
      <c r="AR297" s="114"/>
    </row>
    <row r="298" ht="14.25" spans="1:44">
      <c r="A298" s="114"/>
      <c r="B298" s="114" t="s">
        <v>41</v>
      </c>
      <c r="C298" s="114" t="s">
        <v>694</v>
      </c>
      <c r="D298" s="114" t="s">
        <v>1240</v>
      </c>
      <c r="E298" s="114" t="s">
        <v>1241</v>
      </c>
      <c r="F298" s="169">
        <v>43060</v>
      </c>
      <c r="G298" s="152">
        <f t="shared" si="8"/>
        <v>3060</v>
      </c>
      <c r="H298" s="22" t="s">
        <v>1242</v>
      </c>
      <c r="I298" s="123" t="s">
        <v>1243</v>
      </c>
      <c r="J298" s="172">
        <v>1986</v>
      </c>
      <c r="K298" s="124"/>
      <c r="L298" s="114" t="s">
        <v>454</v>
      </c>
      <c r="M298" s="114"/>
      <c r="N298" s="124"/>
      <c r="O298" s="114"/>
      <c r="P298" s="124"/>
      <c r="Q298" s="114"/>
      <c r="R298" s="124"/>
      <c r="S298" s="114"/>
      <c r="T298" s="114"/>
      <c r="U298" s="114"/>
      <c r="V298" s="114"/>
      <c r="W298" s="114"/>
      <c r="X298" s="114"/>
      <c r="Y298" s="114"/>
      <c r="Z298" s="219" t="s">
        <v>4342</v>
      </c>
      <c r="AA298" s="114"/>
      <c r="AB298" s="114"/>
      <c r="AC298" s="114"/>
      <c r="AD298" s="114"/>
      <c r="AE298" s="114"/>
      <c r="AF298" s="114"/>
      <c r="AG298" s="114"/>
      <c r="AH298" s="114"/>
      <c r="AI298" s="114"/>
      <c r="AJ298" s="114"/>
      <c r="AK298" s="114"/>
      <c r="AL298" s="114"/>
      <c r="AM298" s="114"/>
      <c r="AN298" s="114"/>
      <c r="AO298" s="114"/>
      <c r="AP298" s="114"/>
      <c r="AQ298" s="114"/>
      <c r="AR298" s="114"/>
    </row>
    <row r="299" ht="14.25" spans="1:44">
      <c r="A299" s="114" t="s">
        <v>1244</v>
      </c>
      <c r="B299" s="114" t="s">
        <v>41</v>
      </c>
      <c r="C299" s="114" t="s">
        <v>176</v>
      </c>
      <c r="D299" s="114" t="s">
        <v>1114</v>
      </c>
      <c r="E299" s="114" t="s">
        <v>1115</v>
      </c>
      <c r="F299" s="153">
        <v>43071</v>
      </c>
      <c r="G299" s="152">
        <f t="shared" si="8"/>
        <v>3071</v>
      </c>
      <c r="H299" s="114" t="s">
        <v>1116</v>
      </c>
      <c r="I299" s="123" t="s">
        <v>1117</v>
      </c>
      <c r="J299" s="33">
        <v>1154</v>
      </c>
      <c r="K299" s="124"/>
      <c r="L299" s="114" t="s">
        <v>454</v>
      </c>
      <c r="M299" s="114"/>
      <c r="N299" s="124">
        <v>86000000</v>
      </c>
      <c r="O299" s="114"/>
      <c r="P299" s="124"/>
      <c r="Q299" s="114"/>
      <c r="R299" s="124"/>
      <c r="S299" s="159"/>
      <c r="T299" s="114"/>
      <c r="U299" s="114"/>
      <c r="V299" s="114"/>
      <c r="W299" s="114"/>
      <c r="X299" s="114"/>
      <c r="Y299" s="114"/>
      <c r="Z299" s="164"/>
      <c r="AA299" s="114"/>
      <c r="AB299" s="114"/>
      <c r="AC299" s="114"/>
      <c r="AD299" s="114"/>
      <c r="AE299" s="114"/>
      <c r="AF299" s="114"/>
      <c r="AG299" s="114"/>
      <c r="AH299" s="114"/>
      <c r="AI299" s="114"/>
      <c r="AJ299" s="114"/>
      <c r="AK299" s="114"/>
      <c r="AL299" s="114"/>
      <c r="AM299" s="114"/>
      <c r="AN299" s="114"/>
      <c r="AO299" s="114"/>
      <c r="AP299" s="114"/>
      <c r="AQ299" s="114"/>
      <c r="AR299" s="114"/>
    </row>
    <row r="300" ht="14.25" spans="1:44">
      <c r="A300" s="114" t="s">
        <v>1083</v>
      </c>
      <c r="B300" s="114" t="s">
        <v>256</v>
      </c>
      <c r="C300" s="114"/>
      <c r="D300" s="114" t="s">
        <v>71</v>
      </c>
      <c r="E300" s="114" t="s">
        <v>1084</v>
      </c>
      <c r="F300" s="153">
        <v>43074</v>
      </c>
      <c r="G300" s="152">
        <f t="shared" si="8"/>
        <v>3074</v>
      </c>
      <c r="H300" s="114" t="s">
        <v>1085</v>
      </c>
      <c r="I300" s="123" t="s">
        <v>1086</v>
      </c>
      <c r="J300" s="33">
        <v>1076</v>
      </c>
      <c r="K300" s="124"/>
      <c r="L300" s="114" t="s">
        <v>454</v>
      </c>
      <c r="M300" s="114"/>
      <c r="N300" s="124"/>
      <c r="O300" s="158">
        <v>3.66792730046829e+22</v>
      </c>
      <c r="P300" s="124"/>
      <c r="Q300" s="114"/>
      <c r="R300" s="124"/>
      <c r="S300" s="159"/>
      <c r="T300" s="114"/>
      <c r="U300" s="114"/>
      <c r="V300" s="114"/>
      <c r="W300" s="114"/>
      <c r="X300" s="220"/>
      <c r="Y300" s="114"/>
      <c r="Z300" s="166" t="s">
        <v>34</v>
      </c>
      <c r="AA300" s="114"/>
      <c r="AB300" s="114"/>
      <c r="AC300" s="114"/>
      <c r="AD300" s="114"/>
      <c r="AE300" s="114"/>
      <c r="AF300" s="114"/>
      <c r="AG300" s="114"/>
      <c r="AH300" s="114"/>
      <c r="AI300" s="114"/>
      <c r="AJ300" s="114"/>
      <c r="AK300" s="114"/>
      <c r="AL300" s="114"/>
      <c r="AM300" s="114"/>
      <c r="AN300" s="114"/>
      <c r="AO300" s="114"/>
      <c r="AP300" s="114"/>
      <c r="AQ300" s="114"/>
      <c r="AR300" s="114"/>
    </row>
    <row r="301" ht="14.25" spans="1:44">
      <c r="A301" s="114"/>
      <c r="B301" s="114" t="s">
        <v>41</v>
      </c>
      <c r="C301" s="114" t="s">
        <v>1004</v>
      </c>
      <c r="D301" s="114" t="s">
        <v>1005</v>
      </c>
      <c r="E301" s="114" t="s">
        <v>1006</v>
      </c>
      <c r="F301" s="153">
        <v>43109</v>
      </c>
      <c r="G301" s="152">
        <f t="shared" si="8"/>
        <v>3109</v>
      </c>
      <c r="H301" s="114" t="s">
        <v>1007</v>
      </c>
      <c r="I301" s="123" t="s">
        <v>1008</v>
      </c>
      <c r="J301" s="172">
        <v>1236</v>
      </c>
      <c r="K301" s="124"/>
      <c r="L301" s="114" t="s">
        <v>454</v>
      </c>
      <c r="M301" s="114"/>
      <c r="N301" s="124"/>
      <c r="O301" s="114"/>
      <c r="P301" s="124"/>
      <c r="Q301" s="159"/>
      <c r="R301" s="124"/>
      <c r="S301" s="114"/>
      <c r="T301" s="114"/>
      <c r="U301" s="114"/>
      <c r="V301" s="114"/>
      <c r="W301" s="114"/>
      <c r="X301" s="114"/>
      <c r="Y301" s="114"/>
      <c r="Z301" s="219" t="s">
        <v>4342</v>
      </c>
      <c r="AA301" s="114"/>
      <c r="AB301" s="114"/>
      <c r="AC301" s="114"/>
      <c r="AD301" s="114"/>
      <c r="AE301" s="114"/>
      <c r="AF301" s="114"/>
      <c r="AG301" s="114"/>
      <c r="AH301" s="114"/>
      <c r="AI301" s="114"/>
      <c r="AJ301" s="114"/>
      <c r="AK301" s="114"/>
      <c r="AL301" s="114"/>
      <c r="AM301" s="114"/>
      <c r="AN301" s="114"/>
      <c r="AO301" s="114"/>
      <c r="AP301" s="114"/>
      <c r="AQ301" s="114"/>
      <c r="AR301" s="114"/>
    </row>
    <row r="302" ht="14.25" spans="1:44">
      <c r="A302" s="114" t="s">
        <v>1009</v>
      </c>
      <c r="B302" s="114" t="s">
        <v>51</v>
      </c>
      <c r="C302" s="114" t="s">
        <v>1010</v>
      </c>
      <c r="D302" s="114" t="s">
        <v>1011</v>
      </c>
      <c r="E302" s="114" t="s">
        <v>1012</v>
      </c>
      <c r="F302" s="153">
        <v>43118</v>
      </c>
      <c r="G302" s="152">
        <f t="shared" si="8"/>
        <v>3118</v>
      </c>
      <c r="H302" s="114" t="s">
        <v>1013</v>
      </c>
      <c r="I302" s="123" t="s">
        <v>1014</v>
      </c>
      <c r="J302" s="33">
        <v>1940</v>
      </c>
      <c r="K302" s="124"/>
      <c r="L302" s="114" t="s">
        <v>454</v>
      </c>
      <c r="M302" s="114"/>
      <c r="N302" s="124"/>
      <c r="O302" s="114"/>
      <c r="P302" s="124"/>
      <c r="Q302" s="159"/>
      <c r="R302" s="124"/>
      <c r="S302" s="114"/>
      <c r="T302" s="114"/>
      <c r="U302" s="114"/>
      <c r="V302" s="114"/>
      <c r="W302" s="114"/>
      <c r="X302" s="114"/>
      <c r="Y302" s="114"/>
      <c r="Z302" s="164"/>
      <c r="AA302" s="114"/>
      <c r="AB302" s="114"/>
      <c r="AC302" s="114"/>
      <c r="AD302" s="114"/>
      <c r="AE302" s="114"/>
      <c r="AF302" s="114"/>
      <c r="AG302" s="114"/>
      <c r="AH302" s="114"/>
      <c r="AI302" s="114"/>
      <c r="AJ302" s="114"/>
      <c r="AK302" s="114"/>
      <c r="AL302" s="114"/>
      <c r="AM302" s="114"/>
      <c r="AN302" s="114"/>
      <c r="AO302" s="114"/>
      <c r="AP302" s="114"/>
      <c r="AQ302" s="114"/>
      <c r="AR302" s="114"/>
    </row>
    <row r="303" ht="14.25" spans="1:44">
      <c r="A303" s="155" t="s">
        <v>1016</v>
      </c>
      <c r="B303" s="114" t="s">
        <v>51</v>
      </c>
      <c r="C303" s="159"/>
      <c r="D303" s="114" t="s">
        <v>864</v>
      </c>
      <c r="E303" s="114" t="s">
        <v>1018</v>
      </c>
      <c r="F303" s="153">
        <v>43132</v>
      </c>
      <c r="G303" s="152">
        <f t="shared" si="8"/>
        <v>3132</v>
      </c>
      <c r="H303" s="114" t="s">
        <v>1019</v>
      </c>
      <c r="I303" s="123" t="s">
        <v>4376</v>
      </c>
      <c r="J303" s="33">
        <v>7477</v>
      </c>
      <c r="K303" s="124"/>
      <c r="L303" s="114" t="s">
        <v>454</v>
      </c>
      <c r="M303" s="114"/>
      <c r="N303" s="124">
        <v>94000000</v>
      </c>
      <c r="O303" s="114"/>
      <c r="P303" s="124">
        <v>26000000000</v>
      </c>
      <c r="Q303" s="114"/>
      <c r="R303" s="124"/>
      <c r="S303" s="220"/>
      <c r="T303" s="114"/>
      <c r="U303" s="114"/>
      <c r="V303" s="114"/>
      <c r="W303" s="114"/>
      <c r="X303" s="114"/>
      <c r="Y303" s="114"/>
      <c r="Z303" s="164"/>
      <c r="AA303" s="114"/>
      <c r="AB303" s="114"/>
      <c r="AC303" s="114"/>
      <c r="AD303" s="114"/>
      <c r="AE303" s="114"/>
      <c r="AF303" s="114"/>
      <c r="AG303" s="114"/>
      <c r="AH303" s="114"/>
      <c r="AI303" s="114"/>
      <c r="AJ303" s="114"/>
      <c r="AK303" s="114"/>
      <c r="AL303" s="114"/>
      <c r="AM303" s="114"/>
      <c r="AN303" s="114"/>
      <c r="AO303" s="114"/>
      <c r="AP303" s="114"/>
      <c r="AQ303" s="114"/>
      <c r="AR303" s="114"/>
    </row>
    <row r="304" ht="14.25" spans="1:44">
      <c r="A304" s="114" t="s">
        <v>4377</v>
      </c>
      <c r="B304" s="114" t="s">
        <v>41</v>
      </c>
      <c r="C304" s="114" t="s">
        <v>176</v>
      </c>
      <c r="D304" s="114" t="s">
        <v>262</v>
      </c>
      <c r="E304" s="114" t="s">
        <v>1022</v>
      </c>
      <c r="F304" s="153">
        <v>43136</v>
      </c>
      <c r="G304" s="152">
        <f t="shared" si="8"/>
        <v>3136</v>
      </c>
      <c r="H304" s="114" t="s">
        <v>973</v>
      </c>
      <c r="I304" s="123" t="s">
        <v>974</v>
      </c>
      <c r="J304" s="33">
        <v>1425</v>
      </c>
      <c r="K304" s="124"/>
      <c r="L304" s="114" t="s">
        <v>454</v>
      </c>
      <c r="M304" s="159"/>
      <c r="N304" s="124">
        <v>87000000</v>
      </c>
      <c r="O304" s="114"/>
      <c r="P304" s="124"/>
      <c r="Q304" s="114"/>
      <c r="R304" s="124"/>
      <c r="S304" s="220"/>
      <c r="T304" s="114"/>
      <c r="U304" s="114"/>
      <c r="V304" s="114"/>
      <c r="W304" s="114"/>
      <c r="X304" s="114"/>
      <c r="Y304" s="114"/>
      <c r="Z304" s="164"/>
      <c r="AA304" s="114"/>
      <c r="AB304" s="114"/>
      <c r="AC304" s="114"/>
      <c r="AD304" s="114"/>
      <c r="AE304" s="114"/>
      <c r="AF304" s="114"/>
      <c r="AG304" s="114"/>
      <c r="AH304" s="114"/>
      <c r="AI304" s="114"/>
      <c r="AJ304" s="114"/>
      <c r="AK304" s="114"/>
      <c r="AL304" s="114"/>
      <c r="AM304" s="114"/>
      <c r="AN304" s="114"/>
      <c r="AO304" s="114"/>
      <c r="AP304" s="114"/>
      <c r="AQ304" s="114"/>
      <c r="AR304" s="114"/>
    </row>
    <row r="305" ht="14.25" spans="1:44">
      <c r="A305" s="114" t="s">
        <v>982</v>
      </c>
      <c r="B305" s="114" t="s">
        <v>256</v>
      </c>
      <c r="C305" s="114" t="s">
        <v>690</v>
      </c>
      <c r="D305" s="114" t="s">
        <v>71</v>
      </c>
      <c r="E305" s="224" t="s">
        <v>983</v>
      </c>
      <c r="F305" s="153">
        <v>43136</v>
      </c>
      <c r="G305" s="152">
        <f t="shared" si="8"/>
        <v>3136</v>
      </c>
      <c r="H305" s="114" t="s">
        <v>984</v>
      </c>
      <c r="I305" s="123" t="s">
        <v>985</v>
      </c>
      <c r="J305" s="33">
        <v>675</v>
      </c>
      <c r="K305" s="124"/>
      <c r="L305" s="114" t="s">
        <v>49</v>
      </c>
      <c r="M305" s="159"/>
      <c r="N305" s="124">
        <v>1600000</v>
      </c>
      <c r="O305" s="124">
        <v>1.68e+20</v>
      </c>
      <c r="P305" s="124"/>
      <c r="Q305" s="114"/>
      <c r="R305" s="124"/>
      <c r="S305" s="220"/>
      <c r="T305" s="114"/>
      <c r="U305" s="114"/>
      <c r="V305" s="114"/>
      <c r="W305" s="114"/>
      <c r="X305" s="114"/>
      <c r="Y305" s="114"/>
      <c r="Z305" s="164"/>
      <c r="AA305" s="114"/>
      <c r="AB305" s="114"/>
      <c r="AC305" s="114"/>
      <c r="AD305" s="114"/>
      <c r="AE305" s="114"/>
      <c r="AF305" s="114"/>
      <c r="AG305" s="114"/>
      <c r="AH305" s="114"/>
      <c r="AI305" s="114"/>
      <c r="AJ305" s="114"/>
      <c r="AK305" s="114"/>
      <c r="AL305" s="114"/>
      <c r="AM305" s="114"/>
      <c r="AN305" s="114"/>
      <c r="AO305" s="114"/>
      <c r="AP305" s="114"/>
      <c r="AQ305" s="114"/>
      <c r="AR305" s="114"/>
    </row>
    <row r="306" ht="14.25" spans="1:44">
      <c r="A306" s="114" t="s">
        <v>1037</v>
      </c>
      <c r="B306" s="114" t="s">
        <v>51</v>
      </c>
      <c r="C306" s="114" t="s">
        <v>144</v>
      </c>
      <c r="D306" s="114" t="s">
        <v>393</v>
      </c>
      <c r="E306" s="114" t="s">
        <v>1038</v>
      </c>
      <c r="F306" s="153">
        <v>43160</v>
      </c>
      <c r="G306" s="152">
        <f t="shared" si="8"/>
        <v>3160</v>
      </c>
      <c r="H306" s="114" t="s">
        <v>1039</v>
      </c>
      <c r="I306" s="123" t="s">
        <v>1040</v>
      </c>
      <c r="J306" s="33">
        <v>364</v>
      </c>
      <c r="K306" s="124"/>
      <c r="L306" s="114" t="s">
        <v>49</v>
      </c>
      <c r="M306" s="114"/>
      <c r="N306" s="124"/>
      <c r="P306" s="124"/>
      <c r="Q306" s="220"/>
      <c r="R306" s="124"/>
      <c r="S306" s="114"/>
      <c r="T306" s="114"/>
      <c r="U306" s="114"/>
      <c r="V306" s="114"/>
      <c r="W306" s="114"/>
      <c r="X306" s="114"/>
      <c r="Y306" s="114"/>
      <c r="Z306" s="164"/>
      <c r="AA306" s="114"/>
      <c r="AB306" s="114"/>
      <c r="AC306" s="114"/>
      <c r="AD306" s="114"/>
      <c r="AE306" s="114"/>
      <c r="AF306" s="114"/>
      <c r="AG306" s="114"/>
      <c r="AH306" s="114"/>
      <c r="AI306" s="114"/>
      <c r="AJ306" s="114"/>
      <c r="AK306" s="114"/>
      <c r="AL306" s="114"/>
      <c r="AM306" s="114"/>
      <c r="AN306" s="114"/>
      <c r="AO306" s="114"/>
      <c r="AP306" s="114"/>
      <c r="AQ306" s="114"/>
      <c r="AR306" s="114"/>
    </row>
    <row r="307" ht="14.25" spans="1:44">
      <c r="A307" s="114" t="s">
        <v>1041</v>
      </c>
      <c r="B307" s="114" t="s">
        <v>77</v>
      </c>
      <c r="C307" s="114" t="s">
        <v>579</v>
      </c>
      <c r="D307" s="114"/>
      <c r="E307" s="114"/>
      <c r="F307" s="153">
        <v>43180</v>
      </c>
      <c r="G307" s="152">
        <f t="shared" si="8"/>
        <v>3180</v>
      </c>
      <c r="H307" s="114" t="s">
        <v>1043</v>
      </c>
      <c r="I307" s="123" t="s">
        <v>1044</v>
      </c>
      <c r="J307" s="33">
        <v>1157</v>
      </c>
      <c r="K307" s="124"/>
      <c r="L307" s="114" t="s">
        <v>454</v>
      </c>
      <c r="M307" s="114"/>
      <c r="N307" s="124">
        <v>86000000</v>
      </c>
      <c r="O307" s="189"/>
      <c r="P307" s="124"/>
      <c r="Q307" s="114"/>
      <c r="R307" s="124"/>
      <c r="S307" s="114"/>
      <c r="T307" s="114"/>
      <c r="U307" s="114"/>
      <c r="V307" s="114"/>
      <c r="W307" s="114"/>
      <c r="X307" s="114"/>
      <c r="Y307" s="114"/>
      <c r="Z307" s="164"/>
      <c r="AA307" s="114"/>
      <c r="AB307" s="114"/>
      <c r="AC307" s="114"/>
      <c r="AD307" s="114"/>
      <c r="AE307" s="114"/>
      <c r="AF307" s="114"/>
      <c r="AG307" s="114"/>
      <c r="AH307" s="114"/>
      <c r="AI307" s="114"/>
      <c r="AJ307" s="114"/>
      <c r="AK307" s="114"/>
      <c r="AL307" s="114"/>
      <c r="AM307" s="114"/>
      <c r="AN307" s="114"/>
      <c r="AO307" s="114"/>
      <c r="AP307" s="114"/>
      <c r="AQ307" s="114"/>
      <c r="AR307" s="114"/>
    </row>
    <row r="308" ht="14.25" spans="1:44">
      <c r="A308" s="114" t="s">
        <v>987</v>
      </c>
      <c r="B308" s="114" t="s">
        <v>41</v>
      </c>
      <c r="C308" s="114" t="s">
        <v>724</v>
      </c>
      <c r="D308" s="114" t="s">
        <v>898</v>
      </c>
      <c r="E308" s="114" t="s">
        <v>988</v>
      </c>
      <c r="F308" s="153">
        <v>43198</v>
      </c>
      <c r="G308" s="152">
        <f t="shared" si="8"/>
        <v>3198</v>
      </c>
      <c r="H308" s="114" t="s">
        <v>989</v>
      </c>
      <c r="I308" s="123" t="s">
        <v>990</v>
      </c>
      <c r="J308" s="33">
        <v>7710</v>
      </c>
      <c r="K308" s="124"/>
      <c r="L308" s="114" t="s">
        <v>454</v>
      </c>
      <c r="M308" s="114"/>
      <c r="N308" s="124">
        <f>32*3*3*3+64*3*3*32+32*1*1*64+64*3*3*32+128*3*3*64+2*(64*1*1*128+128*3*3*64)+256*3*3*128+8*(128*1*1*256+256*3*3*128)+512*3*3*256+8*(256*1*1*512+512*3*3*256)+1024*3*3*512+4*(512*1*1*1024+1024*3*3*512)+8*8*1024*1000</f>
        <v>106085216</v>
      </c>
      <c r="O308" s="124">
        <f>P308*3.5*160*R308</f>
        <v>5.093919992e+19</v>
      </c>
      <c r="P308" s="124">
        <v>71000000000</v>
      </c>
      <c r="Q308" s="114" t="s">
        <v>184</v>
      </c>
      <c r="R308" s="124">
        <v>1281167</v>
      </c>
      <c r="S308" s="114"/>
      <c r="T308" s="114"/>
      <c r="U308" s="114"/>
      <c r="V308" s="114"/>
      <c r="W308" s="114"/>
      <c r="X308" s="114"/>
      <c r="Y308" s="114"/>
      <c r="Z308" s="164"/>
      <c r="AA308" s="114"/>
      <c r="AB308" s="114"/>
      <c r="AC308" s="114"/>
      <c r="AD308" s="114"/>
      <c r="AE308" s="114"/>
      <c r="AF308" s="114"/>
      <c r="AG308" s="114"/>
      <c r="AH308" s="114"/>
      <c r="AI308" s="114"/>
      <c r="AJ308" s="114"/>
      <c r="AK308" s="114"/>
      <c r="AL308" s="114"/>
      <c r="AM308" s="114"/>
      <c r="AN308" s="114"/>
      <c r="AO308" s="114"/>
      <c r="AP308" s="114"/>
      <c r="AQ308" s="114"/>
      <c r="AR308" s="114"/>
    </row>
    <row r="309" ht="14.25" spans="1:44">
      <c r="A309" s="114" t="s">
        <v>1045</v>
      </c>
      <c r="B309" s="114" t="s">
        <v>41</v>
      </c>
      <c r="C309" s="114" t="s">
        <v>176</v>
      </c>
      <c r="D309" s="114" t="s">
        <v>435</v>
      </c>
      <c r="E309" s="114" t="s">
        <v>1046</v>
      </c>
      <c r="F309" s="153">
        <v>43222</v>
      </c>
      <c r="G309" s="152">
        <f t="shared" si="8"/>
        <v>3222</v>
      </c>
      <c r="H309" s="114" t="s">
        <v>1047</v>
      </c>
      <c r="I309" s="123" t="s">
        <v>4378</v>
      </c>
      <c r="J309" s="33">
        <v>619</v>
      </c>
      <c r="K309" s="124"/>
      <c r="L309" s="114" t="s">
        <v>49</v>
      </c>
      <c r="M309" s="114"/>
      <c r="N309" s="124">
        <f>829000000</f>
        <v>829000000</v>
      </c>
      <c r="P309" s="124">
        <f>15.6*1000000000*2</f>
        <v>31200000000</v>
      </c>
      <c r="Q309" s="114"/>
      <c r="R309" s="124"/>
      <c r="S309" s="159"/>
      <c r="T309" s="114"/>
      <c r="U309" s="114"/>
      <c r="V309" s="114"/>
      <c r="W309" s="114"/>
      <c r="X309" s="114"/>
      <c r="Y309" s="114"/>
      <c r="Z309" s="164"/>
      <c r="AA309" s="114"/>
      <c r="AB309" s="114"/>
      <c r="AC309" s="114"/>
      <c r="AD309" s="114"/>
      <c r="AE309" s="114"/>
      <c r="AF309" s="114"/>
      <c r="AG309" s="114"/>
      <c r="AH309" s="114"/>
      <c r="AI309" s="114"/>
      <c r="AJ309" s="114"/>
      <c r="AK309" s="114"/>
      <c r="AL309" s="114"/>
      <c r="AM309" s="114"/>
      <c r="AN309" s="114"/>
      <c r="AO309" s="114"/>
      <c r="AP309" s="114"/>
      <c r="AQ309" s="114"/>
      <c r="AR309" s="114"/>
    </row>
    <row r="310" ht="14.25" spans="1:44">
      <c r="A310" s="114" t="s">
        <v>997</v>
      </c>
      <c r="B310" s="114" t="s">
        <v>51</v>
      </c>
      <c r="C310" s="114"/>
      <c r="D310" s="114" t="s">
        <v>34</v>
      </c>
      <c r="E310" s="114" t="s">
        <v>998</v>
      </c>
      <c r="F310" s="153">
        <v>43252</v>
      </c>
      <c r="G310" s="152">
        <f t="shared" si="8"/>
        <v>3252</v>
      </c>
      <c r="H310" s="114" t="s">
        <v>999</v>
      </c>
      <c r="I310" s="123" t="s">
        <v>1000</v>
      </c>
      <c r="J310" s="33">
        <v>2261</v>
      </c>
      <c r="K310" s="124"/>
      <c r="L310" s="114" t="s">
        <v>454</v>
      </c>
      <c r="M310" s="114"/>
      <c r="N310" s="124">
        <v>117000000</v>
      </c>
      <c r="O310" s="124">
        <f>30000000000/512*3*100*R310</f>
        <v>1.0986328125e+19</v>
      </c>
      <c r="P310" s="124">
        <v>30000000000</v>
      </c>
      <c r="Q310" s="114" t="s">
        <v>1001</v>
      </c>
      <c r="R310" s="124">
        <f>5000000000/8</f>
        <v>625000000</v>
      </c>
      <c r="S310" s="159"/>
      <c r="T310" s="114"/>
      <c r="U310" s="114"/>
      <c r="V310" s="114"/>
      <c r="W310" s="114"/>
      <c r="X310" s="114"/>
      <c r="Y310" s="114"/>
      <c r="Z310" s="164"/>
      <c r="AA310" s="114"/>
      <c r="AB310" s="114"/>
      <c r="AC310" s="114"/>
      <c r="AD310" s="114"/>
      <c r="AE310" s="114"/>
      <c r="AF310" s="114"/>
      <c r="AG310" s="114"/>
      <c r="AH310" s="114"/>
      <c r="AI310" s="114"/>
      <c r="AJ310" s="114"/>
      <c r="AK310" s="114"/>
      <c r="AL310" s="114"/>
      <c r="AM310" s="114"/>
      <c r="AN310" s="114"/>
      <c r="AO310" s="114"/>
      <c r="AP310" s="114"/>
      <c r="AQ310" s="114"/>
      <c r="AR310" s="114"/>
    </row>
    <row r="311" ht="14.25" spans="1:26">
      <c r="A311" s="114" t="s">
        <v>1049</v>
      </c>
      <c r="B311" s="114" t="s">
        <v>41</v>
      </c>
      <c r="C311" s="114"/>
      <c r="D311" s="114" t="s">
        <v>1024</v>
      </c>
      <c r="E311" s="114" t="s">
        <v>1050</v>
      </c>
      <c r="F311" s="153">
        <v>43269</v>
      </c>
      <c r="G311" s="152">
        <f t="shared" si="8"/>
        <v>3269</v>
      </c>
      <c r="H311" s="114" t="s">
        <v>1051</v>
      </c>
      <c r="I311" s="123" t="s">
        <v>1052</v>
      </c>
      <c r="J311" s="33">
        <v>5710</v>
      </c>
      <c r="K311" s="124"/>
      <c r="L311" s="114" t="s">
        <v>454</v>
      </c>
      <c r="M311" s="114"/>
      <c r="N311" s="124">
        <v>3400000</v>
      </c>
      <c r="P311" s="124">
        <f>0.3*1000000000*2</f>
        <v>600000000</v>
      </c>
      <c r="Q311" s="114"/>
      <c r="R311" s="124"/>
      <c r="S311" s="114"/>
      <c r="T311" s="114"/>
      <c r="U311" s="114"/>
      <c r="Z311" s="164"/>
    </row>
    <row r="312" ht="14.25" spans="1:44">
      <c r="A312" s="114" t="s">
        <v>1053</v>
      </c>
      <c r="B312" s="114" t="s">
        <v>41</v>
      </c>
      <c r="C312" s="114"/>
      <c r="D312" s="114" t="s">
        <v>1054</v>
      </c>
      <c r="E312" s="114" t="s">
        <v>1055</v>
      </c>
      <c r="F312" s="153">
        <v>43281</v>
      </c>
      <c r="G312" s="152">
        <f t="shared" si="8"/>
        <v>3281</v>
      </c>
      <c r="H312" s="114" t="s">
        <v>1056</v>
      </c>
      <c r="I312" s="123" t="s">
        <v>1057</v>
      </c>
      <c r="J312" s="33">
        <v>1406</v>
      </c>
      <c r="K312" s="124"/>
      <c r="L312" s="114" t="s">
        <v>454</v>
      </c>
      <c r="M312" s="114"/>
      <c r="N312" s="124">
        <v>2280000</v>
      </c>
      <c r="P312" s="124">
        <f>0.15*1000000000*2</f>
        <v>300000000</v>
      </c>
      <c r="Q312" s="114"/>
      <c r="R312" s="124"/>
      <c r="S312" s="220"/>
      <c r="T312" s="114"/>
      <c r="U312" s="114"/>
      <c r="V312" s="114"/>
      <c r="W312" s="114"/>
      <c r="X312" s="114"/>
      <c r="Y312" s="114"/>
      <c r="Z312" s="164"/>
      <c r="AA312" s="114"/>
      <c r="AB312" s="114"/>
      <c r="AC312" s="114"/>
      <c r="AD312" s="114"/>
      <c r="AE312" s="114"/>
      <c r="AF312" s="114"/>
      <c r="AG312" s="114"/>
      <c r="AH312" s="114"/>
      <c r="AI312" s="114"/>
      <c r="AJ312" s="114"/>
      <c r="AK312" s="114"/>
      <c r="AL312" s="114"/>
      <c r="AM312" s="114"/>
      <c r="AN312" s="114"/>
      <c r="AO312" s="114"/>
      <c r="AP312" s="114"/>
      <c r="AQ312" s="114"/>
      <c r="AR312" s="114"/>
    </row>
    <row r="313" ht="14.25" spans="1:44">
      <c r="A313" s="114" t="s">
        <v>992</v>
      </c>
      <c r="B313" s="114" t="s">
        <v>256</v>
      </c>
      <c r="C313" s="114" t="s">
        <v>785</v>
      </c>
      <c r="D313" s="114" t="s">
        <v>71</v>
      </c>
      <c r="E313" s="114" t="s">
        <v>993</v>
      </c>
      <c r="F313" s="153">
        <v>43284</v>
      </c>
      <c r="G313" s="152">
        <f t="shared" si="8"/>
        <v>3284</v>
      </c>
      <c r="H313" s="114" t="s">
        <v>994</v>
      </c>
      <c r="I313" s="123" t="s">
        <v>995</v>
      </c>
      <c r="J313" s="33">
        <v>434</v>
      </c>
      <c r="K313" s="124"/>
      <c r="L313" s="114" t="s">
        <v>49</v>
      </c>
      <c r="M313" s="114"/>
      <c r="N313" s="124">
        <f>122000000</f>
        <v>122000000</v>
      </c>
      <c r="O313" s="124">
        <v>3.49e+19</v>
      </c>
      <c r="P313" s="124"/>
      <c r="Q313" s="114"/>
      <c r="R313" s="124"/>
      <c r="S313" s="220"/>
      <c r="T313" s="114"/>
      <c r="U313" s="114"/>
      <c r="V313" s="114"/>
      <c r="W313" s="114"/>
      <c r="X313" s="114"/>
      <c r="Y313" s="114"/>
      <c r="Z313" s="164"/>
      <c r="AA313" s="114"/>
      <c r="AB313" s="114"/>
      <c r="AC313" s="114"/>
      <c r="AD313" s="114"/>
      <c r="AE313" s="114"/>
      <c r="AF313" s="114"/>
      <c r="AG313" s="114"/>
      <c r="AH313" s="114"/>
      <c r="AI313" s="114"/>
      <c r="AJ313" s="114"/>
      <c r="AK313" s="114"/>
      <c r="AL313" s="114"/>
      <c r="AM313" s="114"/>
      <c r="AN313" s="114"/>
      <c r="AO313" s="114"/>
      <c r="AP313" s="114"/>
      <c r="AQ313" s="114"/>
      <c r="AR313" s="114"/>
    </row>
    <row r="314" ht="14.25" spans="1:44">
      <c r="A314" s="114" t="s">
        <v>963</v>
      </c>
      <c r="B314" s="114" t="s">
        <v>77</v>
      </c>
      <c r="C314" s="114" t="s">
        <v>964</v>
      </c>
      <c r="D314" s="114" t="s">
        <v>965</v>
      </c>
      <c r="E314" s="114" t="s">
        <v>966</v>
      </c>
      <c r="F314" s="153">
        <v>43371</v>
      </c>
      <c r="G314" s="152">
        <f t="shared" si="8"/>
        <v>3371</v>
      </c>
      <c r="H314" s="114" t="s">
        <v>967</v>
      </c>
      <c r="I314" s="123" t="s">
        <v>968</v>
      </c>
      <c r="J314" s="33">
        <v>1979</v>
      </c>
      <c r="K314" s="124"/>
      <c r="L314" s="114" t="s">
        <v>454</v>
      </c>
      <c r="M314" s="114"/>
      <c r="N314" s="124">
        <v>112694781</v>
      </c>
      <c r="O314" s="114">
        <v>3e+21</v>
      </c>
      <c r="P314" s="124"/>
      <c r="Q314" s="114"/>
      <c r="R314" s="124"/>
      <c r="S314" s="114"/>
      <c r="T314" s="114"/>
      <c r="U314" s="114"/>
      <c r="V314" s="114"/>
      <c r="W314" s="114"/>
      <c r="X314" s="114"/>
      <c r="Y314" s="114"/>
      <c r="Z314" s="164"/>
      <c r="AA314" s="114"/>
      <c r="AB314" s="114"/>
      <c r="AC314" s="114"/>
      <c r="AD314" s="114"/>
      <c r="AE314" s="114"/>
      <c r="AF314" s="114"/>
      <c r="AG314" s="114"/>
      <c r="AH314" s="114"/>
      <c r="AI314" s="114"/>
      <c r="AJ314" s="114"/>
      <c r="AK314" s="114"/>
      <c r="AL314" s="114"/>
      <c r="AM314" s="114"/>
      <c r="AN314" s="114"/>
      <c r="AO314" s="114"/>
      <c r="AP314" s="114"/>
      <c r="AQ314" s="114"/>
      <c r="AR314" s="114"/>
    </row>
    <row r="315" ht="14.25" spans="1:44">
      <c r="A315" s="155" t="s">
        <v>1067</v>
      </c>
      <c r="B315" s="114" t="s">
        <v>256</v>
      </c>
      <c r="C315" s="114"/>
      <c r="D315" s="114"/>
      <c r="E315" s="114"/>
      <c r="F315" s="153">
        <v>43384</v>
      </c>
      <c r="G315" s="152">
        <f t="shared" si="8"/>
        <v>3384</v>
      </c>
      <c r="H315" s="114" t="s">
        <v>1069</v>
      </c>
      <c r="I315" s="123" t="s">
        <v>1070</v>
      </c>
      <c r="J315" s="33">
        <v>13</v>
      </c>
      <c r="K315" s="124"/>
      <c r="L315" s="114"/>
      <c r="M315" s="114"/>
      <c r="N315" s="124">
        <v>22000000</v>
      </c>
      <c r="O315" s="124"/>
      <c r="P315" s="124"/>
      <c r="Q315" s="114"/>
      <c r="R315" s="124"/>
      <c r="S315" s="114"/>
      <c r="T315" s="114"/>
      <c r="U315" s="114"/>
      <c r="V315" s="114"/>
      <c r="W315" s="114"/>
      <c r="X315" s="114"/>
      <c r="Y315" s="114"/>
      <c r="Z315" s="164"/>
      <c r="AA315" s="114"/>
      <c r="AB315" s="114"/>
      <c r="AC315" s="114"/>
      <c r="AD315" s="114"/>
      <c r="AE315" s="114"/>
      <c r="AF315" s="114"/>
      <c r="AG315" s="114"/>
      <c r="AH315" s="114"/>
      <c r="AI315" s="114"/>
      <c r="AJ315" s="114"/>
      <c r="AK315" s="114"/>
      <c r="AL315" s="114"/>
      <c r="AM315" s="114"/>
      <c r="AN315" s="114"/>
      <c r="AO315" s="114"/>
      <c r="AP315" s="114"/>
      <c r="AQ315" s="114"/>
      <c r="AR315" s="114"/>
    </row>
    <row r="316" ht="14.25" spans="1:44">
      <c r="A316" s="114" t="s">
        <v>976</v>
      </c>
      <c r="B316" s="114" t="s">
        <v>51</v>
      </c>
      <c r="C316" s="114" t="s">
        <v>977</v>
      </c>
      <c r="D316" s="114" t="s">
        <v>299</v>
      </c>
      <c r="E316" s="114" t="s">
        <v>978</v>
      </c>
      <c r="F316" s="153">
        <v>43384</v>
      </c>
      <c r="G316" s="152">
        <f t="shared" si="8"/>
        <v>3384</v>
      </c>
      <c r="H316" s="114" t="s">
        <v>979</v>
      </c>
      <c r="I316" s="123" t="s">
        <v>980</v>
      </c>
      <c r="J316" s="33">
        <v>23776</v>
      </c>
      <c r="K316" s="124"/>
      <c r="L316" s="114" t="s">
        <v>454</v>
      </c>
      <c r="M316" s="114"/>
      <c r="N316" s="124">
        <v>340000000</v>
      </c>
      <c r="O316" s="124">
        <v>2.85e+20</v>
      </c>
      <c r="P316" s="124">
        <v>79000000000</v>
      </c>
      <c r="Q316" s="114"/>
      <c r="R316" s="124"/>
      <c r="S316" s="114"/>
      <c r="T316" s="114"/>
      <c r="U316" s="114"/>
      <c r="V316" s="114"/>
      <c r="W316" s="114"/>
      <c r="X316" s="114"/>
      <c r="Y316" s="114"/>
      <c r="Z316" s="164"/>
      <c r="AA316" s="114"/>
      <c r="AB316" s="114"/>
      <c r="AC316" s="114"/>
      <c r="AD316" s="114"/>
      <c r="AE316" s="114"/>
      <c r="AF316" s="114"/>
      <c r="AG316" s="114"/>
      <c r="AH316" s="114"/>
      <c r="AI316" s="114"/>
      <c r="AJ316" s="114"/>
      <c r="AK316" s="114"/>
      <c r="AL316" s="114"/>
      <c r="AM316" s="114"/>
      <c r="AN316" s="114"/>
      <c r="AO316" s="114"/>
      <c r="AP316" s="114"/>
      <c r="AQ316" s="114"/>
      <c r="AR316" s="114"/>
    </row>
    <row r="317" ht="14.25" spans="1:44">
      <c r="A317" s="114" t="s">
        <v>1071</v>
      </c>
      <c r="B317" s="114" t="s">
        <v>41</v>
      </c>
      <c r="C317" s="114" t="s">
        <v>176</v>
      </c>
      <c r="D317" s="114" t="s">
        <v>85</v>
      </c>
      <c r="E317" s="114" t="s">
        <v>1072</v>
      </c>
      <c r="F317" s="153">
        <v>43420</v>
      </c>
      <c r="G317" s="152">
        <f t="shared" si="8"/>
        <v>3420</v>
      </c>
      <c r="H317" s="114" t="s">
        <v>1073</v>
      </c>
      <c r="I317" s="123" t="s">
        <v>1074</v>
      </c>
      <c r="J317" s="33">
        <v>486</v>
      </c>
      <c r="K317" s="124"/>
      <c r="M317" s="114"/>
      <c r="N317" s="124">
        <v>557000000</v>
      </c>
      <c r="O317" s="114"/>
      <c r="P317" s="124"/>
      <c r="Q317" s="114"/>
      <c r="R317" s="124"/>
      <c r="S317" s="114"/>
      <c r="T317" s="114"/>
      <c r="U317" s="114"/>
      <c r="V317" s="114"/>
      <c r="W317" s="114"/>
      <c r="X317" s="114"/>
      <c r="Y317" s="114"/>
      <c r="Z317" s="164"/>
      <c r="AA317" s="114"/>
      <c r="AB317" s="114"/>
      <c r="AC317" s="114"/>
      <c r="AD317" s="114"/>
      <c r="AE317" s="114"/>
      <c r="AF317" s="114"/>
      <c r="AG317" s="114"/>
      <c r="AH317" s="114"/>
      <c r="AI317" s="114"/>
      <c r="AJ317" s="114"/>
      <c r="AK317" s="114"/>
      <c r="AL317" s="114"/>
      <c r="AM317" s="114"/>
      <c r="AN317" s="114"/>
      <c r="AO317" s="114"/>
      <c r="AP317" s="114"/>
      <c r="AQ317" s="114"/>
      <c r="AR317" s="114"/>
    </row>
    <row r="318" ht="14.25" spans="1:44">
      <c r="A318" s="114" t="s">
        <v>1075</v>
      </c>
      <c r="B318" s="114" t="s">
        <v>51</v>
      </c>
      <c r="C318" s="114" t="s">
        <v>144</v>
      </c>
      <c r="D318" s="114" t="s">
        <v>85</v>
      </c>
      <c r="E318" s="114" t="s">
        <v>1072</v>
      </c>
      <c r="F318" s="153">
        <v>43420</v>
      </c>
      <c r="G318" s="152">
        <f t="shared" si="8"/>
        <v>3420</v>
      </c>
      <c r="H318" s="114" t="s">
        <v>1073</v>
      </c>
      <c r="I318" s="123" t="s">
        <v>1074</v>
      </c>
      <c r="J318" s="33">
        <v>486</v>
      </c>
      <c r="K318" s="124"/>
      <c r="L318" s="189"/>
      <c r="M318" s="114"/>
      <c r="N318" s="124">
        <v>6000000000</v>
      </c>
      <c r="O318" s="114"/>
      <c r="P318" s="32"/>
      <c r="Q318" s="114"/>
      <c r="R318" s="124"/>
      <c r="S318" s="114"/>
      <c r="T318" s="114"/>
      <c r="U318" s="114"/>
      <c r="V318" s="114"/>
      <c r="W318" s="114"/>
      <c r="X318" s="114"/>
      <c r="Y318" s="114"/>
      <c r="Z318" s="164"/>
      <c r="AA318" s="114"/>
      <c r="AB318" s="114"/>
      <c r="AC318" s="114"/>
      <c r="AD318" s="114"/>
      <c r="AE318" s="114"/>
      <c r="AF318" s="114"/>
      <c r="AG318" s="114"/>
      <c r="AH318" s="114"/>
      <c r="AI318" s="114"/>
      <c r="AJ318" s="114"/>
      <c r="AK318" s="114"/>
      <c r="AL318" s="114"/>
      <c r="AM318" s="114"/>
      <c r="AN318" s="114"/>
      <c r="AO318" s="114"/>
      <c r="AP318" s="114"/>
      <c r="AQ318" s="114"/>
      <c r="AR318" s="114"/>
    </row>
    <row r="319" ht="14.25" spans="1:44">
      <c r="A319" s="114" t="s">
        <v>862</v>
      </c>
      <c r="B319" s="114" t="s">
        <v>51</v>
      </c>
      <c r="C319" s="114" t="s">
        <v>863</v>
      </c>
      <c r="D319" s="114" t="s">
        <v>864</v>
      </c>
      <c r="E319" s="114" t="s">
        <v>865</v>
      </c>
      <c r="F319" s="153">
        <v>43466</v>
      </c>
      <c r="G319" s="152">
        <f t="shared" si="8"/>
        <v>3466</v>
      </c>
      <c r="H319" s="114" t="s">
        <v>866</v>
      </c>
      <c r="I319" s="123" t="s">
        <v>867</v>
      </c>
      <c r="J319" s="33">
        <v>196</v>
      </c>
      <c r="K319" s="124"/>
      <c r="L319" s="114" t="s">
        <v>49</v>
      </c>
      <c r="M319" s="114"/>
      <c r="N319" s="124">
        <v>465000000</v>
      </c>
      <c r="O319" s="114"/>
      <c r="P319" s="124"/>
      <c r="Q319" s="114"/>
      <c r="R319" s="124"/>
      <c r="S319" s="114"/>
      <c r="T319" s="114"/>
      <c r="U319" s="114"/>
      <c r="V319" s="114"/>
      <c r="W319" s="114"/>
      <c r="X319" s="114"/>
      <c r="Y319" s="114"/>
      <c r="Z319" s="164"/>
      <c r="AA319" s="114"/>
      <c r="AB319" s="114"/>
      <c r="AC319" s="114"/>
      <c r="AD319" s="114"/>
      <c r="AE319" s="114"/>
      <c r="AF319" s="114"/>
      <c r="AG319" s="114"/>
      <c r="AH319" s="114"/>
      <c r="AI319" s="114"/>
      <c r="AJ319" s="114"/>
      <c r="AK319" s="114"/>
      <c r="AL319" s="114"/>
      <c r="AM319" s="114"/>
      <c r="AN319" s="114"/>
      <c r="AO319" s="114"/>
      <c r="AP319" s="114"/>
      <c r="AQ319" s="114"/>
      <c r="AR319" s="114"/>
    </row>
    <row r="320" ht="14.25" spans="1:44">
      <c r="A320" s="114" t="s">
        <v>868</v>
      </c>
      <c r="B320" s="114" t="s">
        <v>51</v>
      </c>
      <c r="C320" s="114"/>
      <c r="D320" s="114" t="s">
        <v>393</v>
      </c>
      <c r="E320" s="114" t="s">
        <v>869</v>
      </c>
      <c r="F320" s="153">
        <v>43496</v>
      </c>
      <c r="G320" s="152">
        <f t="shared" si="8"/>
        <v>3496</v>
      </c>
      <c r="H320" s="114" t="s">
        <v>870</v>
      </c>
      <c r="I320" s="123" t="s">
        <v>871</v>
      </c>
      <c r="J320" s="33">
        <v>553</v>
      </c>
      <c r="K320" s="124"/>
      <c r="L320" s="114" t="s">
        <v>49</v>
      </c>
      <c r="M320" s="114"/>
      <c r="N320" s="124">
        <v>330000000</v>
      </c>
      <c r="O320" s="114"/>
      <c r="P320" s="124"/>
      <c r="Q320" s="114"/>
      <c r="R320" s="124"/>
      <c r="S320" s="159"/>
      <c r="T320" s="114"/>
      <c r="U320" s="114"/>
      <c r="V320" s="114"/>
      <c r="W320" s="114"/>
      <c r="X320" s="114"/>
      <c r="Y320" s="114"/>
      <c r="Z320" s="164"/>
      <c r="AA320" s="114"/>
      <c r="AB320" s="114"/>
      <c r="AC320" s="114"/>
      <c r="AD320" s="114"/>
      <c r="AE320" s="114"/>
      <c r="AF320" s="114"/>
      <c r="AG320" s="114"/>
      <c r="AH320" s="114"/>
      <c r="AI320" s="114"/>
      <c r="AJ320" s="114"/>
      <c r="AK320" s="114"/>
      <c r="AL320" s="114"/>
      <c r="AM320" s="114"/>
      <c r="AN320" s="114"/>
      <c r="AO320" s="114"/>
      <c r="AP320" s="114"/>
      <c r="AQ320" s="114"/>
      <c r="AR320" s="114"/>
    </row>
    <row r="321" ht="14.25" spans="1:44">
      <c r="A321" s="114" t="s">
        <v>852</v>
      </c>
      <c r="B321" s="114" t="s">
        <v>256</v>
      </c>
      <c r="C321" s="114" t="s">
        <v>853</v>
      </c>
      <c r="D321" s="114" t="s">
        <v>854</v>
      </c>
      <c r="E321" s="114"/>
      <c r="F321" s="153">
        <v>43497</v>
      </c>
      <c r="G321" s="152">
        <f t="shared" si="8"/>
        <v>3497</v>
      </c>
      <c r="H321" s="114" t="s">
        <v>855</v>
      </c>
      <c r="I321" s="123" t="s">
        <v>856</v>
      </c>
      <c r="J321" s="33">
        <v>115</v>
      </c>
      <c r="K321" s="124"/>
      <c r="L321" s="114" t="s">
        <v>49</v>
      </c>
      <c r="M321" s="114"/>
      <c r="N321" s="124">
        <v>764000</v>
      </c>
      <c r="O321" s="124">
        <v>9.16e+16</v>
      </c>
      <c r="P321" s="124"/>
      <c r="Q321" s="114"/>
      <c r="R321" s="124"/>
      <c r="S321" s="159"/>
      <c r="T321" s="114"/>
      <c r="U321" s="114"/>
      <c r="V321" s="114"/>
      <c r="W321" s="114"/>
      <c r="X321" s="114"/>
      <c r="Y321" s="114"/>
      <c r="Z321" s="164"/>
      <c r="AA321" s="114"/>
      <c r="AB321" s="114"/>
      <c r="AC321" s="114"/>
      <c r="AD321" s="114"/>
      <c r="AE321" s="114"/>
      <c r="AF321" s="114"/>
      <c r="AG321" s="114"/>
      <c r="AH321" s="114"/>
      <c r="AI321" s="114"/>
      <c r="AJ321" s="114"/>
      <c r="AK321" s="114"/>
      <c r="AL321" s="114"/>
      <c r="AM321" s="114"/>
      <c r="AN321" s="114"/>
      <c r="AO321" s="114"/>
      <c r="AP321" s="114"/>
      <c r="AQ321" s="114"/>
      <c r="AR321" s="114"/>
    </row>
    <row r="322" ht="14.25" spans="1:44">
      <c r="A322" s="155" t="s">
        <v>798</v>
      </c>
      <c r="B322" s="114" t="s">
        <v>51</v>
      </c>
      <c r="C322" s="159"/>
      <c r="D322" s="114" t="s">
        <v>34</v>
      </c>
      <c r="E322" s="114" t="s">
        <v>799</v>
      </c>
      <c r="F322" s="153">
        <v>43510</v>
      </c>
      <c r="G322" s="152">
        <f t="shared" si="8"/>
        <v>3510</v>
      </c>
      <c r="H322" s="114" t="s">
        <v>800</v>
      </c>
      <c r="I322" s="123" t="s">
        <v>801</v>
      </c>
      <c r="J322" s="33">
        <v>1701</v>
      </c>
      <c r="K322" s="124"/>
      <c r="L322" s="114" t="s">
        <v>454</v>
      </c>
      <c r="M322" s="114"/>
      <c r="N322" s="124">
        <v>1500000000</v>
      </c>
      <c r="O322" s="124">
        <f>3400000000000/2048*3*100*R322</f>
        <v>2.490234375e+21</v>
      </c>
      <c r="P322" s="124">
        <v>3400000000000</v>
      </c>
      <c r="Q322" s="114"/>
      <c r="R322" s="124">
        <f>40000000000/8</f>
        <v>5000000000</v>
      </c>
      <c r="S322" s="220"/>
      <c r="T322" s="114"/>
      <c r="U322" s="114">
        <v>40</v>
      </c>
      <c r="V322" s="114"/>
      <c r="W322" s="114"/>
      <c r="X322" s="114"/>
      <c r="Y322" s="114">
        <v>50000</v>
      </c>
      <c r="Z322" s="164"/>
      <c r="AA322" s="114"/>
      <c r="AB322" s="114"/>
      <c r="AC322" s="114"/>
      <c r="AD322" s="114"/>
      <c r="AE322" s="114"/>
      <c r="AF322" s="114"/>
      <c r="AG322" s="114"/>
      <c r="AH322" s="114"/>
      <c r="AI322" s="114"/>
      <c r="AJ322" s="114"/>
      <c r="AK322" s="114"/>
      <c r="AL322" s="114"/>
      <c r="AM322" s="114"/>
      <c r="AN322" s="114"/>
      <c r="AO322" s="114"/>
      <c r="AP322" s="114"/>
      <c r="AQ322" s="114"/>
      <c r="AR322" s="114"/>
    </row>
    <row r="323" ht="14.25" spans="1:44">
      <c r="A323" s="164" t="s">
        <v>814</v>
      </c>
      <c r="B323" s="114" t="s">
        <v>41</v>
      </c>
      <c r="C323" s="114"/>
      <c r="D323" s="114" t="s">
        <v>815</v>
      </c>
      <c r="E323" s="221" t="s">
        <v>816</v>
      </c>
      <c r="F323" s="153">
        <v>43519</v>
      </c>
      <c r="G323" s="152">
        <f t="shared" si="8"/>
        <v>3519</v>
      </c>
      <c r="H323" s="114" t="s">
        <v>817</v>
      </c>
      <c r="I323" s="123" t="s">
        <v>4379</v>
      </c>
      <c r="J323" s="33">
        <v>996</v>
      </c>
      <c r="K323" s="114"/>
      <c r="L323" s="114"/>
      <c r="M323" s="114"/>
      <c r="N323" s="124"/>
      <c r="O323" s="114">
        <f>156000000000000*200*3600*0.33</f>
        <v>3.70656e+19</v>
      </c>
      <c r="P323" s="124">
        <f>0.33*156000000000000*5.1/1000</f>
        <v>262548000000</v>
      </c>
      <c r="Q323" s="114" t="s">
        <v>184</v>
      </c>
      <c r="R323" s="124">
        <f>1.28*10^6</f>
        <v>1280000</v>
      </c>
      <c r="S323" s="114">
        <v>200</v>
      </c>
      <c r="T323" s="114">
        <v>5.1</v>
      </c>
      <c r="U323" s="114"/>
      <c r="V323" s="114"/>
      <c r="W323" s="114"/>
      <c r="X323" s="114"/>
      <c r="Y323" s="114"/>
      <c r="Z323" s="164"/>
      <c r="AA323" s="114"/>
      <c r="AB323" s="114"/>
      <c r="AC323" s="114"/>
      <c r="AD323" s="114"/>
      <c r="AE323" s="114"/>
      <c r="AF323" s="114"/>
      <c r="AG323" s="114"/>
      <c r="AH323" s="114"/>
      <c r="AI323" s="114"/>
      <c r="AJ323" s="114"/>
      <c r="AK323" s="114"/>
      <c r="AL323" s="114"/>
      <c r="AM323" s="114"/>
      <c r="AN323" s="114"/>
      <c r="AO323" s="114"/>
      <c r="AP323" s="114"/>
      <c r="AQ323" s="114"/>
      <c r="AR323" s="114"/>
    </row>
    <row r="324" ht="14.25" spans="1:44">
      <c r="A324" s="114" t="s">
        <v>883</v>
      </c>
      <c r="B324" s="114" t="s">
        <v>41</v>
      </c>
      <c r="C324" s="114" t="s">
        <v>176</v>
      </c>
      <c r="D324" s="114" t="s">
        <v>34</v>
      </c>
      <c r="E324" s="114" t="s">
        <v>799</v>
      </c>
      <c r="F324" s="153">
        <v>43587</v>
      </c>
      <c r="G324" s="152">
        <f t="shared" si="8"/>
        <v>3587</v>
      </c>
      <c r="H324" s="114" t="s">
        <v>800</v>
      </c>
      <c r="I324" s="123" t="s">
        <v>888</v>
      </c>
      <c r="J324" s="33">
        <v>1701</v>
      </c>
      <c r="K324" s="124"/>
      <c r="L324" s="114" t="s">
        <v>454</v>
      </c>
      <c r="M324" s="114"/>
      <c r="N324" s="124">
        <v>26000000</v>
      </c>
      <c r="O324" s="114"/>
      <c r="P324" s="124"/>
      <c r="Q324" s="114"/>
      <c r="R324" s="124"/>
      <c r="S324" s="114"/>
      <c r="T324" s="114"/>
      <c r="U324" s="114"/>
      <c r="V324" s="114"/>
      <c r="W324" s="114"/>
      <c r="X324" s="114"/>
      <c r="Y324" s="114"/>
      <c r="Z324" s="164"/>
      <c r="AA324" s="114"/>
      <c r="AB324" s="114"/>
      <c r="AC324" s="114"/>
      <c r="AD324" s="114"/>
      <c r="AE324" s="114"/>
      <c r="AF324" s="114"/>
      <c r="AG324" s="114"/>
      <c r="AH324" s="114"/>
      <c r="AI324" s="114"/>
      <c r="AJ324" s="114"/>
      <c r="AK324" s="114"/>
      <c r="AL324" s="114"/>
      <c r="AM324" s="114"/>
      <c r="AN324" s="114"/>
      <c r="AO324" s="114"/>
      <c r="AP324" s="114"/>
      <c r="AQ324" s="114"/>
      <c r="AR324" s="114"/>
    </row>
    <row r="325" ht="14.25" spans="1:44">
      <c r="A325" s="114" t="s">
        <v>885</v>
      </c>
      <c r="B325" s="114" t="s">
        <v>41</v>
      </c>
      <c r="C325" s="114" t="s">
        <v>176</v>
      </c>
      <c r="D325" s="114" t="s">
        <v>504</v>
      </c>
      <c r="E325" s="114" t="s">
        <v>886</v>
      </c>
      <c r="F325" s="153">
        <v>43587</v>
      </c>
      <c r="G325" s="152">
        <f t="shared" si="8"/>
        <v>3587</v>
      </c>
      <c r="H325" s="114" t="s">
        <v>887</v>
      </c>
      <c r="I325" s="123" t="s">
        <v>888</v>
      </c>
      <c r="J325" s="33">
        <v>156</v>
      </c>
      <c r="K325" s="124"/>
      <c r="L325" s="114" t="s">
        <v>49</v>
      </c>
      <c r="M325" s="114"/>
      <c r="N325" s="124">
        <v>193000000</v>
      </c>
      <c r="O325" s="114"/>
      <c r="P325" s="124"/>
      <c r="Q325" s="114"/>
      <c r="R325" s="124"/>
      <c r="S325" s="114"/>
      <c r="T325" s="114"/>
      <c r="U325" s="114"/>
      <c r="V325" s="114"/>
      <c r="W325" s="114"/>
      <c r="X325" s="114"/>
      <c r="Y325" s="114"/>
      <c r="Z325" s="164"/>
      <c r="AA325" s="114"/>
      <c r="AB325" s="114"/>
      <c r="AC325" s="114"/>
      <c r="AD325" s="114"/>
      <c r="AE325" s="114"/>
      <c r="AF325" s="114"/>
      <c r="AG325" s="114"/>
      <c r="AH325" s="114"/>
      <c r="AI325" s="114"/>
      <c r="AJ325" s="114"/>
      <c r="AK325" s="114"/>
      <c r="AL325" s="114"/>
      <c r="AM325" s="114"/>
      <c r="AN325" s="114"/>
      <c r="AO325" s="114"/>
      <c r="AP325" s="114"/>
      <c r="AQ325" s="114"/>
      <c r="AR325" s="114"/>
    </row>
    <row r="326" ht="14.25" spans="1:44">
      <c r="A326" s="114" t="s">
        <v>889</v>
      </c>
      <c r="B326" s="114" t="s">
        <v>77</v>
      </c>
      <c r="C326" s="114" t="s">
        <v>579</v>
      </c>
      <c r="D326" s="114"/>
      <c r="E326" s="114"/>
      <c r="F326" s="153">
        <v>43607</v>
      </c>
      <c r="G326" s="152">
        <f t="shared" si="8"/>
        <v>3607</v>
      </c>
      <c r="H326" s="114" t="s">
        <v>891</v>
      </c>
      <c r="I326" s="123" t="s">
        <v>892</v>
      </c>
      <c r="J326" s="33">
        <v>491</v>
      </c>
      <c r="K326" s="124"/>
      <c r="L326" s="114" t="s">
        <v>49</v>
      </c>
      <c r="M326" s="114"/>
      <c r="N326" s="124">
        <v>303000000</v>
      </c>
      <c r="O326" s="114"/>
      <c r="P326" s="124"/>
      <c r="Q326" s="114"/>
      <c r="R326" s="124"/>
      <c r="S326" s="114"/>
      <c r="T326" s="114"/>
      <c r="U326" s="114"/>
      <c r="V326" s="114"/>
      <c r="W326" s="114"/>
      <c r="X326" s="114"/>
      <c r="Y326" s="114"/>
      <c r="Z326" s="164"/>
      <c r="AA326" s="114"/>
      <c r="AB326" s="114"/>
      <c r="AC326" s="114"/>
      <c r="AD326" s="114"/>
      <c r="AE326" s="114"/>
      <c r="AF326" s="114"/>
      <c r="AG326" s="114"/>
      <c r="AH326" s="114"/>
      <c r="AI326" s="114"/>
      <c r="AJ326" s="114"/>
      <c r="AK326" s="114"/>
      <c r="AL326" s="114"/>
      <c r="AM326" s="114"/>
      <c r="AN326" s="114"/>
      <c r="AO326" s="114"/>
      <c r="AP326" s="114"/>
      <c r="AQ326" s="114"/>
      <c r="AR326" s="114"/>
    </row>
    <row r="327" ht="14.25" spans="1:44">
      <c r="A327" s="114" t="s">
        <v>893</v>
      </c>
      <c r="B327" s="114" t="s">
        <v>41</v>
      </c>
      <c r="C327" s="114" t="s">
        <v>176</v>
      </c>
      <c r="D327" s="114" t="s">
        <v>4380</v>
      </c>
      <c r="E327" s="114" t="s">
        <v>894</v>
      </c>
      <c r="F327" s="153">
        <v>43613</v>
      </c>
      <c r="G327" s="152">
        <f t="shared" si="8"/>
        <v>3613</v>
      </c>
      <c r="H327" s="114" t="s">
        <v>895</v>
      </c>
      <c r="I327" s="123" t="s">
        <v>896</v>
      </c>
      <c r="J327" s="33">
        <v>3189</v>
      </c>
      <c r="K327" s="124"/>
      <c r="L327" s="114" t="s">
        <v>454</v>
      </c>
      <c r="M327" s="114"/>
      <c r="N327" s="124">
        <v>480000000</v>
      </c>
      <c r="O327" s="114"/>
      <c r="P327" s="124">
        <v>390000000</v>
      </c>
      <c r="Q327" s="114"/>
      <c r="R327" s="124"/>
      <c r="S327" s="114"/>
      <c r="T327" s="114"/>
      <c r="U327" s="114"/>
      <c r="V327" s="114"/>
      <c r="W327" s="114"/>
      <c r="X327" s="114"/>
      <c r="Y327" s="114"/>
      <c r="Z327" s="164"/>
      <c r="AA327" s="114"/>
      <c r="AB327" s="114"/>
      <c r="AC327" s="114"/>
      <c r="AD327" s="114"/>
      <c r="AE327" s="114"/>
      <c r="AF327" s="114"/>
      <c r="AG327" s="114"/>
      <c r="AH327" s="114"/>
      <c r="AI327" s="114"/>
      <c r="AJ327" s="114"/>
      <c r="AK327" s="114"/>
      <c r="AL327" s="114"/>
      <c r="AM327" s="114"/>
      <c r="AN327" s="114"/>
      <c r="AO327" s="114"/>
      <c r="AP327" s="114"/>
      <c r="AQ327" s="114"/>
      <c r="AR327" s="114"/>
    </row>
    <row r="328" ht="14.25" spans="1:44">
      <c r="A328" s="114" t="s">
        <v>897</v>
      </c>
      <c r="B328" s="114" t="s">
        <v>51</v>
      </c>
      <c r="C328" s="114"/>
      <c r="D328" s="114" t="s">
        <v>898</v>
      </c>
      <c r="E328" s="114" t="s">
        <v>899</v>
      </c>
      <c r="F328" s="153">
        <v>43614</v>
      </c>
      <c r="G328" s="152">
        <f t="shared" si="8"/>
        <v>3614</v>
      </c>
      <c r="H328" s="114" t="s">
        <v>900</v>
      </c>
      <c r="I328" s="123" t="s">
        <v>901</v>
      </c>
      <c r="J328" s="33">
        <v>272</v>
      </c>
      <c r="K328" s="124"/>
      <c r="L328" s="114" t="s">
        <v>49</v>
      </c>
      <c r="M328" s="114"/>
      <c r="N328" s="124">
        <v>1500000000</v>
      </c>
      <c r="O328" s="114"/>
      <c r="P328" s="124"/>
      <c r="Q328" s="114"/>
      <c r="R328" s="124"/>
      <c r="S328" s="114"/>
      <c r="T328" s="114"/>
      <c r="U328" s="114"/>
      <c r="V328" s="114"/>
      <c r="W328" s="114"/>
      <c r="X328" s="114"/>
      <c r="Y328" s="114"/>
      <c r="Z328" s="164"/>
      <c r="AA328" s="114"/>
      <c r="AB328" s="114"/>
      <c r="AC328" s="114"/>
      <c r="AD328" s="114"/>
      <c r="AE328" s="114"/>
      <c r="AF328" s="114"/>
      <c r="AG328" s="114"/>
      <c r="AH328" s="114"/>
      <c r="AI328" s="114"/>
      <c r="AJ328" s="114"/>
      <c r="AK328" s="114"/>
      <c r="AL328" s="114"/>
      <c r="AM328" s="114"/>
      <c r="AN328" s="114"/>
      <c r="AO328" s="114"/>
      <c r="AP328" s="114"/>
      <c r="AQ328" s="114"/>
      <c r="AR328" s="114"/>
    </row>
    <row r="329" ht="14.25" spans="1:44">
      <c r="A329" s="114" t="s">
        <v>789</v>
      </c>
      <c r="B329" s="114" t="s">
        <v>41</v>
      </c>
      <c r="C329" s="114" t="s">
        <v>790</v>
      </c>
      <c r="D329" s="114" t="s">
        <v>791</v>
      </c>
      <c r="E329" s="226" t="s">
        <v>792</v>
      </c>
      <c r="F329" s="153">
        <v>43614</v>
      </c>
      <c r="G329" s="152">
        <f t="shared" si="8"/>
        <v>3614</v>
      </c>
      <c r="H329" s="227" t="s">
        <v>793</v>
      </c>
      <c r="I329" s="123" t="s">
        <v>4381</v>
      </c>
      <c r="J329" s="33">
        <v>1429</v>
      </c>
      <c r="K329" s="114"/>
      <c r="L329" s="114" t="s">
        <v>454</v>
      </c>
      <c r="M329" s="114"/>
      <c r="N329" s="124">
        <f>4.9*10^6</f>
        <v>4900000</v>
      </c>
      <c r="O329" s="114">
        <f t="shared" ref="O329:O330" si="9">1.5*10^21</f>
        <v>1.5e+21</v>
      </c>
      <c r="P329" s="124"/>
      <c r="Q329" s="114" t="s">
        <v>795</v>
      </c>
      <c r="R329" s="124">
        <v>118000</v>
      </c>
      <c r="S329" s="114"/>
      <c r="T329" s="114"/>
      <c r="U329" s="114"/>
      <c r="V329" s="114"/>
      <c r="W329" s="114"/>
      <c r="X329" s="114"/>
      <c r="Y329" s="114"/>
      <c r="Z329" s="164"/>
      <c r="AA329" s="114"/>
      <c r="AB329" s="114"/>
      <c r="AC329" s="114"/>
      <c r="AD329" s="114"/>
      <c r="AE329" s="114"/>
      <c r="AF329" s="114"/>
      <c r="AG329" s="114"/>
      <c r="AH329" s="114"/>
      <c r="AI329" s="114"/>
      <c r="AJ329" s="114"/>
      <c r="AK329" s="114"/>
      <c r="AL329" s="114"/>
      <c r="AM329" s="114"/>
      <c r="AN329" s="114"/>
      <c r="AO329" s="114"/>
      <c r="AP329" s="114"/>
      <c r="AQ329" s="114"/>
      <c r="AR329" s="114"/>
    </row>
    <row r="330" ht="14.25" spans="1:44">
      <c r="A330" s="114" t="s">
        <v>797</v>
      </c>
      <c r="B330" s="114" t="s">
        <v>41</v>
      </c>
      <c r="C330" s="114" t="s">
        <v>790</v>
      </c>
      <c r="D330" s="114" t="s">
        <v>791</v>
      </c>
      <c r="E330" s="226" t="s">
        <v>792</v>
      </c>
      <c r="F330" s="153">
        <v>43614</v>
      </c>
      <c r="G330" s="152">
        <f t="shared" si="8"/>
        <v>3614</v>
      </c>
      <c r="H330" s="227" t="s">
        <v>793</v>
      </c>
      <c r="I330" s="123" t="s">
        <v>4381</v>
      </c>
      <c r="J330" s="33">
        <v>1429</v>
      </c>
      <c r="K330" s="114"/>
      <c r="L330" s="114" t="s">
        <v>454</v>
      </c>
      <c r="M330" s="114"/>
      <c r="N330" s="124">
        <f>5.2*10^6</f>
        <v>5200000</v>
      </c>
      <c r="O330" s="114">
        <f t="shared" si="9"/>
        <v>1.5e+21</v>
      </c>
      <c r="P330" s="124"/>
      <c r="Q330" s="114" t="s">
        <v>184</v>
      </c>
      <c r="R330" s="124"/>
      <c r="S330" s="114"/>
      <c r="T330" s="114"/>
      <c r="U330" s="114"/>
      <c r="V330" s="114"/>
      <c r="W330" s="114"/>
      <c r="X330" s="114"/>
      <c r="Y330" s="114"/>
      <c r="Z330" s="164"/>
      <c r="AA330" s="114"/>
      <c r="AB330" s="114"/>
      <c r="AC330" s="114"/>
      <c r="AD330" s="114"/>
      <c r="AE330" s="114"/>
      <c r="AF330" s="114"/>
      <c r="AG330" s="114"/>
      <c r="AH330" s="114"/>
      <c r="AI330" s="114"/>
      <c r="AJ330" s="114"/>
      <c r="AK330" s="114"/>
      <c r="AL330" s="114"/>
      <c r="AM330" s="114"/>
      <c r="AN330" s="114"/>
      <c r="AO330" s="114"/>
      <c r="AP330" s="114"/>
      <c r="AQ330" s="114"/>
      <c r="AR330" s="114"/>
    </row>
    <row r="331" ht="14.25" spans="1:44">
      <c r="A331" s="114" t="s">
        <v>833</v>
      </c>
      <c r="B331" s="114" t="s">
        <v>434</v>
      </c>
      <c r="C331" s="114"/>
      <c r="D331" s="114" t="s">
        <v>504</v>
      </c>
      <c r="E331" s="114" t="s">
        <v>834</v>
      </c>
      <c r="F331" s="153">
        <v>43616</v>
      </c>
      <c r="G331" s="152">
        <f t="shared" si="8"/>
        <v>3616</v>
      </c>
      <c r="H331" s="114" t="s">
        <v>835</v>
      </c>
      <c r="I331" s="123" t="s">
        <v>836</v>
      </c>
      <c r="J331" s="33">
        <v>140</v>
      </c>
      <c r="K331" s="124"/>
      <c r="L331" s="114" t="s">
        <v>49</v>
      </c>
      <c r="M331" s="114"/>
      <c r="N331" s="124">
        <v>100000000000</v>
      </c>
      <c r="O331" s="124">
        <v>4e+18</v>
      </c>
      <c r="P331" s="124"/>
      <c r="Q331" s="114"/>
      <c r="R331" s="124"/>
      <c r="S331" s="114"/>
      <c r="T331" s="114"/>
      <c r="U331" s="114"/>
      <c r="V331" s="114"/>
      <c r="W331" s="114"/>
      <c r="X331" s="114"/>
      <c r="Y331" s="114"/>
      <c r="Z331" s="164"/>
      <c r="AA331" s="114"/>
      <c r="AB331" s="114"/>
      <c r="AC331" s="114"/>
      <c r="AD331" s="114"/>
      <c r="AE331" s="114"/>
      <c r="AF331" s="114"/>
      <c r="AG331" s="114"/>
      <c r="AH331" s="114"/>
      <c r="AI331" s="114"/>
      <c r="AJ331" s="114"/>
      <c r="AK331" s="114"/>
      <c r="AL331" s="114"/>
      <c r="AM331" s="114"/>
      <c r="AN331" s="114"/>
      <c r="AO331" s="114"/>
      <c r="AP331" s="114"/>
      <c r="AQ331" s="114"/>
      <c r="AR331" s="114"/>
    </row>
    <row r="332" ht="14.25" spans="1:44">
      <c r="A332" s="155" t="s">
        <v>784</v>
      </c>
      <c r="B332" s="114" t="s">
        <v>256</v>
      </c>
      <c r="C332" s="114" t="s">
        <v>785</v>
      </c>
      <c r="D332" s="114" t="s">
        <v>71</v>
      </c>
      <c r="E332" s="114" t="s">
        <v>786</v>
      </c>
      <c r="F332" s="153">
        <v>43616</v>
      </c>
      <c r="G332" s="152">
        <f t="shared" si="8"/>
        <v>3616</v>
      </c>
      <c r="H332" s="114" t="s">
        <v>787</v>
      </c>
      <c r="I332" s="123" t="s">
        <v>788</v>
      </c>
      <c r="J332" s="33">
        <v>425</v>
      </c>
      <c r="K332" s="124"/>
      <c r="L332" s="114" t="s">
        <v>49</v>
      </c>
      <c r="M332" s="114"/>
      <c r="N332" s="124">
        <f>32*(8*8*3+1)+64*(4*4*32+1)+64*(3*3*64+1)+64*(3*3*64+1)+(84*84*64+1)*256+(256+1)*128+(128+1)*3+4*(799+2*32)*((512+(32*2)+3*32+5*2+3)+(799+2*32)+1)+2*(256+1)*256+4*(512+2*32)*((512+(32*2)+3*32+5*2+3)+(512+2*32)+1)+2*(256+1)*256+6*(512+1)*256+(256+1)*5+3*(256+1)*3+2*(256+1)*2+(512+1)*256+(256+1)*1+(512+1)*32*7*7+32*(9*9+1)+5*(4*4+1)+3*2*(4*4+1)+2*2*(4*4+1)+1*(4*4+1)</f>
        <v>126001330</v>
      </c>
      <c r="O332" s="114"/>
      <c r="P332" s="124"/>
      <c r="Q332" s="114"/>
      <c r="R332" s="124"/>
      <c r="S332" s="114"/>
      <c r="T332" s="114"/>
      <c r="U332" s="114"/>
      <c r="V332" s="114"/>
      <c r="W332" s="114"/>
      <c r="X332" s="114"/>
      <c r="Y332" s="114"/>
      <c r="Z332" s="164"/>
      <c r="AA332" s="114"/>
      <c r="AB332" s="114"/>
      <c r="AC332" s="114"/>
      <c r="AD332" s="114"/>
      <c r="AE332" s="114"/>
      <c r="AF332" s="114"/>
      <c r="AG332" s="114"/>
      <c r="AH332" s="114"/>
      <c r="AI332" s="114"/>
      <c r="AJ332" s="114"/>
      <c r="AK332" s="114"/>
      <c r="AL332" s="114"/>
      <c r="AM332" s="114"/>
      <c r="AN332" s="114"/>
      <c r="AO332" s="114"/>
      <c r="AP332" s="114"/>
      <c r="AQ332" s="114"/>
      <c r="AR332" s="114"/>
    </row>
    <row r="333" ht="14.25" spans="1:44">
      <c r="A333" s="114" t="s">
        <v>902</v>
      </c>
      <c r="B333" s="114" t="s">
        <v>51</v>
      </c>
      <c r="C333" s="114"/>
      <c r="D333" s="114" t="s">
        <v>435</v>
      </c>
      <c r="E333" s="114" t="s">
        <v>903</v>
      </c>
      <c r="F333" s="153">
        <v>43617</v>
      </c>
      <c r="G333" s="152">
        <f t="shared" si="8"/>
        <v>3617</v>
      </c>
      <c r="H333" s="114" t="s">
        <v>904</v>
      </c>
      <c r="I333" s="123" t="s">
        <v>905</v>
      </c>
      <c r="J333" s="33">
        <v>678</v>
      </c>
      <c r="K333" s="124"/>
      <c r="L333" s="114" t="s">
        <v>49</v>
      </c>
      <c r="M333" s="114"/>
      <c r="N333" s="124">
        <v>665000000</v>
      </c>
      <c r="O333" s="114"/>
      <c r="P333" s="124"/>
      <c r="Q333" s="114"/>
      <c r="R333" s="124"/>
      <c r="S333" s="114"/>
      <c r="T333" s="114"/>
      <c r="U333" s="114"/>
      <c r="V333" s="114"/>
      <c r="W333" s="114"/>
      <c r="X333" s="114"/>
      <c r="Y333" s="114"/>
      <c r="Z333" s="164"/>
      <c r="AA333" s="114"/>
      <c r="AB333" s="114"/>
      <c r="AC333" s="114"/>
      <c r="AD333" s="114"/>
      <c r="AE333" s="114"/>
      <c r="AF333" s="114"/>
      <c r="AG333" s="114"/>
      <c r="AH333" s="114"/>
      <c r="AI333" s="114"/>
      <c r="AJ333" s="114"/>
      <c r="AK333" s="114"/>
      <c r="AL333" s="114"/>
      <c r="AM333" s="114"/>
      <c r="AN333" s="114"/>
      <c r="AO333" s="114"/>
      <c r="AP333" s="114"/>
      <c r="AQ333" s="114"/>
      <c r="AR333" s="114"/>
    </row>
    <row r="334" ht="14.25" spans="1:44">
      <c r="A334" s="114" t="s">
        <v>906</v>
      </c>
      <c r="B334" s="114" t="s">
        <v>51</v>
      </c>
      <c r="C334" s="159"/>
      <c r="D334" s="114" t="s">
        <v>1089</v>
      </c>
      <c r="E334" s="114" t="s">
        <v>908</v>
      </c>
      <c r="F334" s="153">
        <v>43617</v>
      </c>
      <c r="G334" s="152">
        <f t="shared" si="8"/>
        <v>3617</v>
      </c>
      <c r="H334" s="114" t="s">
        <v>909</v>
      </c>
      <c r="I334" s="123" t="s">
        <v>910</v>
      </c>
      <c r="J334" s="33">
        <v>3057</v>
      </c>
      <c r="K334" s="124"/>
      <c r="L334" s="114" t="s">
        <v>454</v>
      </c>
      <c r="M334" s="114"/>
      <c r="N334" s="124">
        <v>340000000</v>
      </c>
      <c r="O334" s="114"/>
      <c r="P334" s="124"/>
      <c r="Q334" s="114"/>
      <c r="R334" s="124"/>
      <c r="S334" s="114"/>
      <c r="T334" s="114"/>
      <c r="U334" s="114"/>
      <c r="V334" s="114"/>
      <c r="W334" s="114"/>
      <c r="X334" s="114"/>
      <c r="Y334" s="114"/>
      <c r="Z334" s="164"/>
      <c r="AA334" s="114"/>
      <c r="AB334" s="114"/>
      <c r="AC334" s="114"/>
      <c r="AD334" s="114"/>
      <c r="AE334" s="114"/>
      <c r="AF334" s="114"/>
      <c r="AG334" s="114"/>
      <c r="AH334" s="114"/>
      <c r="AI334" s="114"/>
      <c r="AJ334" s="114"/>
      <c r="AK334" s="114"/>
      <c r="AL334" s="114"/>
      <c r="AM334" s="114"/>
      <c r="AN334" s="114"/>
      <c r="AO334" s="114"/>
      <c r="AP334" s="114"/>
      <c r="AQ334" s="114"/>
      <c r="AR334" s="114"/>
    </row>
    <row r="335" ht="14.25" spans="1:44">
      <c r="A335" s="114" t="s">
        <v>911</v>
      </c>
      <c r="B335" s="114" t="s">
        <v>77</v>
      </c>
      <c r="C335" s="114" t="s">
        <v>579</v>
      </c>
      <c r="D335" s="114"/>
      <c r="E335" s="114"/>
      <c r="F335" s="153">
        <v>43619</v>
      </c>
      <c r="G335" s="152">
        <f t="shared" si="8"/>
        <v>3619</v>
      </c>
      <c r="H335" s="114" t="s">
        <v>913</v>
      </c>
      <c r="I335" s="123" t="s">
        <v>914</v>
      </c>
      <c r="J335" s="33">
        <v>486</v>
      </c>
      <c r="K335" s="124"/>
      <c r="L335" s="114" t="s">
        <v>49</v>
      </c>
      <c r="M335" s="114"/>
      <c r="N335" s="124">
        <v>626000000</v>
      </c>
      <c r="O335" s="114"/>
      <c r="P335" s="124"/>
      <c r="Q335" s="114"/>
      <c r="R335" s="124"/>
      <c r="S335" s="114"/>
      <c r="T335" s="114"/>
      <c r="U335" s="114"/>
      <c r="V335" s="114"/>
      <c r="W335" s="114"/>
      <c r="X335" s="114"/>
      <c r="Y335" s="114"/>
      <c r="Z335" s="164"/>
      <c r="AA335" s="114"/>
      <c r="AB335" s="114"/>
      <c r="AC335" s="114"/>
      <c r="AD335" s="114"/>
      <c r="AE335" s="114"/>
      <c r="AF335" s="114"/>
      <c r="AG335" s="114"/>
      <c r="AH335" s="114"/>
      <c r="AI335" s="114"/>
      <c r="AJ335" s="114"/>
      <c r="AK335" s="114"/>
      <c r="AL335" s="114"/>
      <c r="AM335" s="114"/>
      <c r="AN335" s="114"/>
      <c r="AO335" s="114"/>
      <c r="AP335" s="114"/>
      <c r="AQ335" s="114"/>
      <c r="AR335" s="114"/>
    </row>
    <row r="336" ht="14.25" spans="1:44">
      <c r="A336" s="114" t="s">
        <v>915</v>
      </c>
      <c r="B336" s="114" t="s">
        <v>41</v>
      </c>
      <c r="C336" s="114" t="s">
        <v>176</v>
      </c>
      <c r="D336" s="114" t="s">
        <v>504</v>
      </c>
      <c r="E336" s="114" t="s">
        <v>916</v>
      </c>
      <c r="F336" s="153">
        <v>43630</v>
      </c>
      <c r="G336" s="152">
        <f t="shared" si="8"/>
        <v>3630</v>
      </c>
      <c r="H336" s="114" t="s">
        <v>917</v>
      </c>
      <c r="I336" s="123" t="s">
        <v>918</v>
      </c>
      <c r="J336" s="33">
        <v>165</v>
      </c>
      <c r="K336" s="124"/>
      <c r="L336" s="114" t="s">
        <v>49</v>
      </c>
      <c r="M336" s="114"/>
      <c r="N336" s="124">
        <v>829000000</v>
      </c>
      <c r="O336" s="114"/>
      <c r="P336" s="124"/>
      <c r="Q336" s="114"/>
      <c r="R336" s="124">
        <v>940000000</v>
      </c>
      <c r="S336" s="114"/>
      <c r="T336" s="114"/>
      <c r="U336" s="114"/>
      <c r="V336" s="114"/>
      <c r="W336" s="114"/>
      <c r="X336" s="114"/>
      <c r="Y336" s="114"/>
      <c r="Z336" s="164"/>
      <c r="AA336" s="114"/>
      <c r="AB336" s="114"/>
      <c r="AC336" s="114"/>
      <c r="AD336" s="114"/>
      <c r="AE336" s="114"/>
      <c r="AF336" s="114"/>
      <c r="AG336" s="114"/>
      <c r="AH336" s="114"/>
      <c r="AI336" s="114"/>
      <c r="AJ336" s="114"/>
      <c r="AK336" s="114"/>
      <c r="AL336" s="114"/>
      <c r="AM336" s="114"/>
      <c r="AN336" s="114"/>
      <c r="AO336" s="114"/>
      <c r="AP336" s="114"/>
      <c r="AQ336" s="114"/>
      <c r="AR336" s="114"/>
    </row>
    <row r="337" ht="14.25" spans="1:44">
      <c r="A337" s="114" t="s">
        <v>919</v>
      </c>
      <c r="B337" s="114" t="s">
        <v>51</v>
      </c>
      <c r="C337" s="228"/>
      <c r="D337" s="114" t="s">
        <v>435</v>
      </c>
      <c r="E337" s="114" t="s">
        <v>920</v>
      </c>
      <c r="F337" s="153">
        <v>43647</v>
      </c>
      <c r="G337" s="152">
        <f t="shared" si="8"/>
        <v>3647</v>
      </c>
      <c r="H337" s="114" t="s">
        <v>921</v>
      </c>
      <c r="I337" s="123" t="s">
        <v>922</v>
      </c>
      <c r="J337" s="33">
        <v>1506</v>
      </c>
      <c r="K337" s="124"/>
      <c r="L337" s="114" t="s">
        <v>454</v>
      </c>
      <c r="M337" s="114"/>
      <c r="N337" s="124">
        <v>355000000</v>
      </c>
      <c r="O337" s="114"/>
      <c r="P337" s="124"/>
      <c r="Q337" s="114"/>
      <c r="R337" s="124"/>
      <c r="S337" s="114"/>
      <c r="T337" s="114"/>
      <c r="U337" s="114"/>
      <c r="V337" s="114"/>
      <c r="W337" s="114"/>
      <c r="X337" s="114"/>
      <c r="Y337" s="114"/>
      <c r="Z337" s="164"/>
      <c r="AA337" s="114"/>
      <c r="AB337" s="114"/>
      <c r="AC337" s="114"/>
      <c r="AD337" s="114"/>
      <c r="AE337" s="114"/>
      <c r="AF337" s="114"/>
      <c r="AG337" s="114"/>
      <c r="AH337" s="114"/>
      <c r="AI337" s="114"/>
      <c r="AJ337" s="114"/>
      <c r="AK337" s="114"/>
      <c r="AL337" s="114"/>
      <c r="AM337" s="114"/>
      <c r="AN337" s="114"/>
      <c r="AO337" s="114"/>
      <c r="AP337" s="114"/>
      <c r="AQ337" s="114"/>
      <c r="AR337" s="114"/>
    </row>
    <row r="338" customHeight="1" spans="1:44">
      <c r="A338" s="114" t="s">
        <v>923</v>
      </c>
      <c r="B338" s="114" t="s">
        <v>77</v>
      </c>
      <c r="C338" s="114" t="s">
        <v>579</v>
      </c>
      <c r="D338" s="114"/>
      <c r="E338" s="114" t="s">
        <v>924</v>
      </c>
      <c r="F338" s="153">
        <v>43650</v>
      </c>
      <c r="G338" s="152">
        <f t="shared" si="8"/>
        <v>3650</v>
      </c>
      <c r="H338" s="114" t="s">
        <v>925</v>
      </c>
      <c r="I338" s="123" t="s">
        <v>926</v>
      </c>
      <c r="J338" s="33">
        <v>252</v>
      </c>
      <c r="K338" s="124"/>
      <c r="L338" s="114" t="s">
        <v>49</v>
      </c>
      <c r="M338" s="114"/>
      <c r="N338" s="124">
        <v>86000000</v>
      </c>
      <c r="O338" s="114"/>
      <c r="P338" s="124"/>
      <c r="Q338" s="114"/>
      <c r="R338" s="124"/>
      <c r="S338" s="114"/>
      <c r="T338" s="114"/>
      <c r="U338" s="114"/>
      <c r="V338" s="114"/>
      <c r="W338" s="114"/>
      <c r="X338" s="114"/>
      <c r="Y338" s="114"/>
      <c r="Z338" s="164"/>
      <c r="AA338" s="114"/>
      <c r="AB338" s="114"/>
      <c r="AC338" s="114"/>
      <c r="AD338" s="114"/>
      <c r="AE338" s="114"/>
      <c r="AF338" s="114"/>
      <c r="AG338" s="114"/>
      <c r="AH338" s="114"/>
      <c r="AI338" s="114"/>
      <c r="AJ338" s="114"/>
      <c r="AK338" s="114"/>
      <c r="AL338" s="114"/>
      <c r="AM338" s="114"/>
      <c r="AN338" s="114"/>
      <c r="AO338" s="114"/>
      <c r="AP338" s="114"/>
      <c r="AQ338" s="114"/>
      <c r="AR338" s="114"/>
    </row>
    <row r="339" ht="14.25" spans="1:44">
      <c r="A339" s="114" t="s">
        <v>820</v>
      </c>
      <c r="B339" s="114" t="s">
        <v>41</v>
      </c>
      <c r="C339" s="114" t="s">
        <v>821</v>
      </c>
      <c r="D339" s="114" t="s">
        <v>815</v>
      </c>
      <c r="E339" s="221" t="s">
        <v>822</v>
      </c>
      <c r="F339" s="153">
        <v>43714</v>
      </c>
      <c r="G339" s="152">
        <f t="shared" si="8"/>
        <v>3714</v>
      </c>
      <c r="H339" s="114" t="s">
        <v>823</v>
      </c>
      <c r="I339" s="123" t="s">
        <v>824</v>
      </c>
      <c r="J339" s="33">
        <v>2393</v>
      </c>
      <c r="K339" s="114"/>
      <c r="L339" s="114" t="s">
        <v>454</v>
      </c>
      <c r="M339" s="114"/>
      <c r="N339" s="124">
        <f>38*10^6</f>
        <v>38000000</v>
      </c>
      <c r="O339" s="114">
        <f>1.94*10^19</f>
        <v>1.94e+19</v>
      </c>
      <c r="P339" s="124"/>
      <c r="Q339" s="114" t="s">
        <v>825</v>
      </c>
      <c r="R339" s="124" t="s">
        <v>4382</v>
      </c>
      <c r="S339" s="114">
        <f>4.5*24</f>
        <v>108</v>
      </c>
      <c r="T339" s="114"/>
      <c r="U339" s="114"/>
      <c r="V339" s="114"/>
      <c r="W339" s="114" t="s">
        <v>872</v>
      </c>
      <c r="X339" s="114"/>
      <c r="Y339" s="114"/>
      <c r="Z339" s="164"/>
      <c r="AA339" s="114"/>
      <c r="AB339" s="114"/>
      <c r="AC339" s="114"/>
      <c r="AD339" s="114"/>
      <c r="AE339" s="114"/>
      <c r="AF339" s="114"/>
      <c r="AG339" s="114"/>
      <c r="AH339" s="114"/>
      <c r="AI339" s="114"/>
      <c r="AJ339" s="114"/>
      <c r="AK339" s="114"/>
      <c r="AL339" s="114"/>
      <c r="AM339" s="114"/>
      <c r="AN339" s="114"/>
      <c r="AO339" s="114"/>
      <c r="AP339" s="114"/>
      <c r="AQ339" s="114"/>
      <c r="AR339" s="114"/>
    </row>
    <row r="340" ht="14.25" spans="1:44">
      <c r="A340" s="114" t="s">
        <v>4383</v>
      </c>
      <c r="B340" s="114" t="s">
        <v>51</v>
      </c>
      <c r="D340" s="114" t="s">
        <v>766</v>
      </c>
      <c r="E340" s="114" t="s">
        <v>767</v>
      </c>
      <c r="F340" s="153">
        <v>43725</v>
      </c>
      <c r="G340" s="152">
        <f t="shared" si="8"/>
        <v>3725</v>
      </c>
      <c r="H340" s="114" t="s">
        <v>768</v>
      </c>
      <c r="I340" s="123" t="s">
        <v>769</v>
      </c>
      <c r="J340" s="33">
        <v>246</v>
      </c>
      <c r="K340" s="124"/>
      <c r="L340" s="114" t="s">
        <v>49</v>
      </c>
      <c r="M340" s="114"/>
      <c r="N340" s="124">
        <v>8300000000</v>
      </c>
      <c r="O340" s="114">
        <f>9.1E+21</f>
        <v>9.1e+21</v>
      </c>
      <c r="P340" s="124">
        <v>18000000000000</v>
      </c>
      <c r="Q340" s="114"/>
      <c r="R340" s="124"/>
      <c r="S340" s="114"/>
      <c r="T340" s="114"/>
      <c r="U340" s="114"/>
      <c r="V340" s="114"/>
      <c r="W340" s="114" t="s">
        <v>872</v>
      </c>
      <c r="X340" s="114"/>
      <c r="Y340" s="114"/>
      <c r="Z340" s="164"/>
      <c r="AA340" s="114"/>
      <c r="AB340" s="114"/>
      <c r="AC340" s="114"/>
      <c r="AD340" s="114"/>
      <c r="AE340" s="114"/>
      <c r="AF340" s="114"/>
      <c r="AG340" s="114"/>
      <c r="AH340" s="114"/>
      <c r="AI340" s="114"/>
      <c r="AJ340" s="114"/>
      <c r="AK340" s="114"/>
      <c r="AL340" s="114"/>
      <c r="AM340" s="114"/>
      <c r="AN340" s="114"/>
      <c r="AO340" s="114"/>
      <c r="AP340" s="114"/>
      <c r="AQ340" s="114"/>
      <c r="AR340" s="114"/>
    </row>
    <row r="341" ht="14.25" spans="1:44">
      <c r="A341" s="114" t="s">
        <v>765</v>
      </c>
      <c r="B341" s="114" t="s">
        <v>51</v>
      </c>
      <c r="D341" s="114" t="s">
        <v>766</v>
      </c>
      <c r="E341" s="114" t="s">
        <v>767</v>
      </c>
      <c r="F341" s="153">
        <v>43725</v>
      </c>
      <c r="G341" s="152">
        <f t="shared" si="8"/>
        <v>3725</v>
      </c>
      <c r="H341" s="114" t="s">
        <v>768</v>
      </c>
      <c r="I341" s="123" t="s">
        <v>769</v>
      </c>
      <c r="J341" s="33">
        <v>246</v>
      </c>
      <c r="K341" s="124">
        <v>47</v>
      </c>
      <c r="L341" s="114" t="s">
        <v>49</v>
      </c>
      <c r="M341" s="114"/>
      <c r="N341" s="124">
        <v>3900000000</v>
      </c>
      <c r="O341" s="124">
        <v>5.68e+22</v>
      </c>
      <c r="P341" s="124"/>
      <c r="Q341" s="114"/>
      <c r="R341" s="124"/>
      <c r="S341" s="114"/>
      <c r="T341" s="114"/>
      <c r="U341" s="114"/>
      <c r="V341" s="114"/>
      <c r="W341" s="114"/>
      <c r="X341" s="114"/>
      <c r="Y341" s="114"/>
      <c r="Z341" s="164"/>
      <c r="AA341" s="114"/>
      <c r="AB341" s="114"/>
      <c r="AC341" s="114"/>
      <c r="AD341" s="114"/>
      <c r="AE341" s="114"/>
      <c r="AF341" s="114"/>
      <c r="AG341" s="114"/>
      <c r="AH341" s="114"/>
      <c r="AI341" s="114"/>
      <c r="AJ341" s="114"/>
      <c r="AK341" s="114"/>
      <c r="AL341" s="114"/>
      <c r="AM341" s="114"/>
      <c r="AN341" s="114"/>
      <c r="AO341" s="114"/>
      <c r="AP341" s="114"/>
      <c r="AQ341" s="114"/>
      <c r="AR341" s="114"/>
    </row>
    <row r="342" ht="14.25" spans="1:44">
      <c r="A342" s="114" t="s">
        <v>848</v>
      </c>
      <c r="B342" s="114" t="s">
        <v>256</v>
      </c>
      <c r="C342" s="114" t="s">
        <v>848</v>
      </c>
      <c r="D342" s="114" t="s">
        <v>34</v>
      </c>
      <c r="E342" s="114" t="s">
        <v>849</v>
      </c>
      <c r="F342" s="153">
        <v>43725</v>
      </c>
      <c r="G342" s="152">
        <f t="shared" si="8"/>
        <v>3725</v>
      </c>
      <c r="H342" s="114" t="s">
        <v>850</v>
      </c>
      <c r="I342" s="123" t="s">
        <v>851</v>
      </c>
      <c r="J342" s="33">
        <v>224</v>
      </c>
      <c r="K342" s="124"/>
      <c r="L342" s="114" t="s">
        <v>49</v>
      </c>
      <c r="M342" s="114"/>
      <c r="N342" s="124">
        <v>1600000</v>
      </c>
      <c r="O342" s="124">
        <v>3.04e+17</v>
      </c>
      <c r="P342" s="124"/>
      <c r="Q342" s="114"/>
      <c r="R342" s="124"/>
      <c r="S342" s="114"/>
      <c r="T342" s="114"/>
      <c r="U342" s="114"/>
      <c r="V342" s="114"/>
      <c r="W342" s="114"/>
      <c r="X342" s="114"/>
      <c r="Y342" s="114"/>
      <c r="Z342" s="164"/>
      <c r="AA342" s="114"/>
      <c r="AB342" s="114"/>
      <c r="AC342" s="114"/>
      <c r="AD342" s="114"/>
      <c r="AE342" s="114"/>
      <c r="AF342" s="114"/>
      <c r="AG342" s="114"/>
      <c r="AH342" s="114"/>
      <c r="AI342" s="114"/>
      <c r="AJ342" s="114"/>
      <c r="AK342" s="114"/>
      <c r="AL342" s="114"/>
      <c r="AM342" s="114"/>
      <c r="AN342" s="114"/>
      <c r="AO342" s="114"/>
      <c r="AP342" s="114"/>
      <c r="AQ342" s="114"/>
      <c r="AR342" s="114"/>
    </row>
    <row r="343" ht="14.25" spans="1:44">
      <c r="A343" s="114" t="s">
        <v>927</v>
      </c>
      <c r="B343" s="114" t="s">
        <v>51</v>
      </c>
      <c r="C343" s="114"/>
      <c r="D343" s="114" t="s">
        <v>85</v>
      </c>
      <c r="E343" s="114" t="s">
        <v>929</v>
      </c>
      <c r="F343" s="153">
        <v>43734</v>
      </c>
      <c r="G343" s="152">
        <f t="shared" si="8"/>
        <v>3734</v>
      </c>
      <c r="H343" s="114" t="s">
        <v>930</v>
      </c>
      <c r="I343" s="123" t="s">
        <v>607</v>
      </c>
      <c r="J343" s="33">
        <v>1656</v>
      </c>
      <c r="K343" s="124"/>
      <c r="L343" s="114" t="s">
        <v>454</v>
      </c>
      <c r="M343" s="114"/>
      <c r="N343" s="124">
        <f>N317/18</f>
        <v>30944444.4444444</v>
      </c>
      <c r="O343" s="114"/>
      <c r="P343" s="124">
        <v>22500000000</v>
      </c>
      <c r="Q343" s="114"/>
      <c r="R343" s="124"/>
      <c r="S343" s="114"/>
      <c r="T343" s="114"/>
      <c r="U343" s="114"/>
      <c r="V343" s="114"/>
      <c r="W343" s="114"/>
      <c r="X343" s="114"/>
      <c r="Y343" s="114"/>
      <c r="Z343" s="164"/>
      <c r="AA343" s="114"/>
      <c r="AB343" s="114"/>
      <c r="AC343" s="114"/>
      <c r="AD343" s="114"/>
      <c r="AE343" s="114"/>
      <c r="AF343" s="114"/>
      <c r="AG343" s="114"/>
      <c r="AH343" s="114"/>
      <c r="AI343" s="114"/>
      <c r="AJ343" s="114"/>
      <c r="AK343" s="114"/>
      <c r="AL343" s="114"/>
      <c r="AM343" s="114"/>
      <c r="AN343" s="114"/>
      <c r="AO343" s="114"/>
      <c r="AP343" s="114"/>
      <c r="AQ343" s="114"/>
      <c r="AR343" s="114"/>
    </row>
    <row r="344" ht="14.25" spans="1:44">
      <c r="A344" s="114" t="s">
        <v>931</v>
      </c>
      <c r="B344" s="114" t="s">
        <v>51</v>
      </c>
      <c r="C344" s="114" t="s">
        <v>267</v>
      </c>
      <c r="D344" s="114" t="s">
        <v>932</v>
      </c>
      <c r="E344" s="114" t="s">
        <v>933</v>
      </c>
      <c r="F344" s="153">
        <v>43740</v>
      </c>
      <c r="G344" s="152">
        <f t="shared" si="8"/>
        <v>3740</v>
      </c>
      <c r="H344" s="114" t="s">
        <v>934</v>
      </c>
      <c r="I344" s="123" t="s">
        <v>935</v>
      </c>
      <c r="J344" s="33">
        <v>895</v>
      </c>
      <c r="K344" s="124"/>
      <c r="L344" s="114" t="s">
        <v>49</v>
      </c>
      <c r="M344" s="114"/>
      <c r="N344" s="124">
        <v>66000000</v>
      </c>
      <c r="O344" s="114"/>
      <c r="P344" s="32"/>
      <c r="Q344" s="114"/>
      <c r="R344" s="124"/>
      <c r="S344" s="114"/>
      <c r="T344" s="114"/>
      <c r="U344" s="114"/>
      <c r="V344" s="114"/>
      <c r="W344" s="156" t="s">
        <v>667</v>
      </c>
      <c r="X344" s="217">
        <v>0.2708150284115</v>
      </c>
      <c r="Y344" s="159"/>
      <c r="Z344" s="164"/>
      <c r="AA344" s="159"/>
      <c r="AB344" s="159"/>
      <c r="AC344" s="159"/>
      <c r="AD344" s="114"/>
      <c r="AE344" s="114"/>
      <c r="AF344" s="114"/>
      <c r="AG344" s="114"/>
      <c r="AH344" s="114"/>
      <c r="AI344" s="114"/>
      <c r="AJ344" s="114"/>
      <c r="AK344" s="114"/>
      <c r="AL344" s="114"/>
      <c r="AM344" s="114"/>
      <c r="AN344" s="114"/>
      <c r="AO344" s="114"/>
      <c r="AP344" s="114"/>
      <c r="AQ344" s="114"/>
      <c r="AR344" s="114"/>
    </row>
    <row r="345" ht="14.25" spans="1:44">
      <c r="A345" s="114" t="s">
        <v>827</v>
      </c>
      <c r="B345" s="114" t="s">
        <v>41</v>
      </c>
      <c r="C345" s="114" t="s">
        <v>828</v>
      </c>
      <c r="D345" s="114" t="s">
        <v>829</v>
      </c>
      <c r="E345" s="227" t="s">
        <v>830</v>
      </c>
      <c r="F345" s="153">
        <v>43740</v>
      </c>
      <c r="G345" s="152">
        <f t="shared" si="8"/>
        <v>3740</v>
      </c>
      <c r="H345" s="114" t="s">
        <v>831</v>
      </c>
      <c r="I345" s="123" t="s">
        <v>4384</v>
      </c>
      <c r="J345" s="33">
        <v>50</v>
      </c>
      <c r="K345" s="114"/>
      <c r="L345" s="114"/>
      <c r="M345" s="114"/>
      <c r="N345" s="124">
        <f>5.79*10^8</f>
        <v>579000000</v>
      </c>
      <c r="O345" s="114">
        <f>7.6*10^18</f>
        <v>7.6e+18</v>
      </c>
      <c r="P345" s="124"/>
      <c r="Q345" s="114" t="s">
        <v>184</v>
      </c>
      <c r="R345" s="124"/>
      <c r="S345" s="114"/>
      <c r="T345" s="114"/>
      <c r="U345" s="114"/>
      <c r="V345" s="114"/>
      <c r="W345" s="114"/>
      <c r="X345" s="114"/>
      <c r="Y345" s="114"/>
      <c r="Z345" s="164"/>
      <c r="AA345" s="114"/>
      <c r="AB345" s="114"/>
      <c r="AC345" s="114"/>
      <c r="AD345" s="114"/>
      <c r="AE345" s="114"/>
      <c r="AF345" s="114"/>
      <c r="AG345" s="114"/>
      <c r="AH345" s="114"/>
      <c r="AI345" s="114"/>
      <c r="AJ345" s="114"/>
      <c r="AK345" s="114"/>
      <c r="AL345" s="114"/>
      <c r="AM345" s="114"/>
      <c r="AN345" s="114"/>
      <c r="AO345" s="114"/>
      <c r="AP345" s="114"/>
      <c r="AQ345" s="114"/>
      <c r="AR345" s="114"/>
    </row>
    <row r="346" ht="14.25" customHeight="1" spans="1:44">
      <c r="A346" s="114" t="s">
        <v>803</v>
      </c>
      <c r="B346" s="114" t="s">
        <v>804</v>
      </c>
      <c r="C346" s="114"/>
      <c r="D346" s="114" t="s">
        <v>379</v>
      </c>
      <c r="E346" s="114" t="s">
        <v>805</v>
      </c>
      <c r="F346" s="153">
        <v>43753</v>
      </c>
      <c r="G346" s="152">
        <f t="shared" si="8"/>
        <v>3753</v>
      </c>
      <c r="H346" s="114" t="s">
        <v>806</v>
      </c>
      <c r="I346" s="123" t="s">
        <v>4385</v>
      </c>
      <c r="J346" s="33">
        <v>227</v>
      </c>
      <c r="K346" s="124"/>
      <c r="L346" s="114" t="s">
        <v>49</v>
      </c>
      <c r="M346" s="114"/>
      <c r="N346" s="124">
        <f>13863132+13638657+267776</f>
        <v>27769565</v>
      </c>
      <c r="O346" s="124">
        <v>8.54e+20</v>
      </c>
      <c r="P346" s="124"/>
      <c r="Q346" s="114"/>
      <c r="R346" s="124"/>
      <c r="S346" s="114"/>
      <c r="T346" s="114"/>
      <c r="U346" s="114"/>
      <c r="V346" s="114"/>
      <c r="W346" s="114"/>
      <c r="X346" s="114"/>
      <c r="Y346" s="114"/>
      <c r="Z346" s="164"/>
      <c r="AA346" s="114"/>
      <c r="AB346" s="114"/>
      <c r="AC346" s="114"/>
      <c r="AD346" s="114"/>
      <c r="AE346" s="114"/>
      <c r="AF346" s="114"/>
      <c r="AG346" s="114"/>
      <c r="AH346" s="114"/>
      <c r="AI346" s="114"/>
      <c r="AJ346" s="114"/>
      <c r="AK346" s="114"/>
      <c r="AL346" s="114"/>
      <c r="AM346" s="114"/>
      <c r="AN346" s="114"/>
      <c r="AO346" s="114"/>
      <c r="AP346" s="114"/>
      <c r="AQ346" s="114"/>
      <c r="AR346" s="114"/>
    </row>
    <row r="347" ht="14.25" spans="1:44">
      <c r="A347" s="114" t="s">
        <v>771</v>
      </c>
      <c r="B347" s="114" t="s">
        <v>51</v>
      </c>
      <c r="C347" s="114" t="s">
        <v>267</v>
      </c>
      <c r="D347" s="114" t="s">
        <v>85</v>
      </c>
      <c r="E347" s="114" t="s">
        <v>772</v>
      </c>
      <c r="F347" s="153">
        <v>43761</v>
      </c>
      <c r="G347" s="152">
        <f t="shared" si="8"/>
        <v>3761</v>
      </c>
      <c r="H347" s="114" t="s">
        <v>773</v>
      </c>
      <c r="I347" s="123" t="s">
        <v>774</v>
      </c>
      <c r="J347" s="33">
        <v>1540</v>
      </c>
      <c r="K347" s="124"/>
      <c r="L347" s="114" t="s">
        <v>454</v>
      </c>
      <c r="M347" s="114"/>
      <c r="N347" s="124">
        <v>11000000000</v>
      </c>
      <c r="O347" s="124">
        <v>3.82e+22</v>
      </c>
      <c r="P347" s="124"/>
      <c r="Q347" s="114" t="s">
        <v>775</v>
      </c>
      <c r="R347" s="124"/>
      <c r="S347" s="114"/>
      <c r="T347" s="114"/>
      <c r="U347" s="114"/>
      <c r="V347" s="114"/>
      <c r="W347" s="114"/>
      <c r="X347" s="114"/>
      <c r="Y347" s="114"/>
      <c r="Z347" s="164"/>
      <c r="AA347" s="114"/>
      <c r="AB347" s="114"/>
      <c r="AC347" s="114"/>
      <c r="AD347" s="114"/>
      <c r="AE347" s="114"/>
      <c r="AF347" s="114"/>
      <c r="AG347" s="114"/>
      <c r="AH347" s="114"/>
      <c r="AI347" s="114"/>
      <c r="AJ347" s="114"/>
      <c r="AK347" s="114"/>
      <c r="AL347" s="114"/>
      <c r="AM347" s="114"/>
      <c r="AN347" s="114"/>
      <c r="AO347" s="114"/>
      <c r="AP347" s="114"/>
      <c r="AQ347" s="114"/>
      <c r="AR347" s="114"/>
    </row>
    <row r="348" ht="14.25" spans="1:44">
      <c r="A348" s="114" t="s">
        <v>782</v>
      </c>
      <c r="B348" s="114" t="s">
        <v>51</v>
      </c>
      <c r="C348" s="114" t="s">
        <v>267</v>
      </c>
      <c r="D348" s="114" t="s">
        <v>85</v>
      </c>
      <c r="E348" s="114" t="s">
        <v>772</v>
      </c>
      <c r="F348" s="153">
        <v>43761</v>
      </c>
      <c r="G348" s="152">
        <f t="shared" si="8"/>
        <v>3761</v>
      </c>
      <c r="H348" s="114" t="s">
        <v>773</v>
      </c>
      <c r="I348" s="123" t="s">
        <v>774</v>
      </c>
      <c r="J348" s="33">
        <v>1540</v>
      </c>
      <c r="K348" s="124"/>
      <c r="L348" s="114" t="s">
        <v>454</v>
      </c>
      <c r="M348" s="114"/>
      <c r="N348" s="124">
        <v>3000000000</v>
      </c>
      <c r="O348" s="124">
        <v>1.04e+22</v>
      </c>
      <c r="P348" s="124"/>
      <c r="Q348" s="114" t="s">
        <v>775</v>
      </c>
      <c r="R348" s="124"/>
      <c r="S348" s="114"/>
      <c r="T348" s="114"/>
      <c r="U348" s="114"/>
      <c r="V348" s="114"/>
      <c r="W348" s="114"/>
      <c r="X348" s="114"/>
      <c r="Y348" s="114"/>
      <c r="Z348" s="164"/>
      <c r="AA348" s="114"/>
      <c r="AB348" s="114"/>
      <c r="AC348" s="114"/>
      <c r="AD348" s="114"/>
      <c r="AE348" s="114"/>
      <c r="AF348" s="114"/>
      <c r="AG348" s="114"/>
      <c r="AH348" s="114"/>
      <c r="AI348" s="114"/>
      <c r="AJ348" s="114"/>
      <c r="AK348" s="114"/>
      <c r="AL348" s="114"/>
      <c r="AM348" s="114"/>
      <c r="AN348" s="114"/>
      <c r="AO348" s="114"/>
      <c r="AP348" s="114"/>
      <c r="AQ348" s="114"/>
      <c r="AR348" s="114"/>
    </row>
    <row r="349" ht="14.25" spans="1:44">
      <c r="A349" s="155" t="s">
        <v>937</v>
      </c>
      <c r="B349" s="114" t="s">
        <v>51</v>
      </c>
      <c r="C349" s="114"/>
      <c r="D349" s="114" t="s">
        <v>504</v>
      </c>
      <c r="E349" s="114" t="s">
        <v>938</v>
      </c>
      <c r="F349" s="153">
        <v>43767</v>
      </c>
      <c r="G349" s="152">
        <f t="shared" si="8"/>
        <v>3767</v>
      </c>
      <c r="H349" s="114" t="s">
        <v>939</v>
      </c>
      <c r="I349" s="123" t="s">
        <v>940</v>
      </c>
      <c r="J349" s="33">
        <v>1014</v>
      </c>
      <c r="K349" s="124"/>
      <c r="L349" s="114" t="s">
        <v>454</v>
      </c>
      <c r="M349" s="114"/>
      <c r="N349" s="124">
        <v>406291456</v>
      </c>
      <c r="O349" s="114"/>
      <c r="P349" s="124"/>
      <c r="Q349" s="114"/>
      <c r="R349" s="124"/>
      <c r="S349" s="114"/>
      <c r="T349" s="114"/>
      <c r="U349" s="114"/>
      <c r="V349" s="114"/>
      <c r="W349" s="114"/>
      <c r="X349" s="114"/>
      <c r="Y349" s="114"/>
      <c r="Z349" s="164"/>
      <c r="AA349" s="114"/>
      <c r="AB349" s="114"/>
      <c r="AC349" s="114"/>
      <c r="AD349" s="114"/>
      <c r="AE349" s="114"/>
      <c r="AF349" s="114"/>
      <c r="AG349" s="114"/>
      <c r="AH349" s="114"/>
      <c r="AI349" s="114"/>
      <c r="AJ349" s="114"/>
      <c r="AK349" s="114"/>
      <c r="AL349" s="114"/>
      <c r="AM349" s="114"/>
      <c r="AN349" s="114"/>
      <c r="AO349" s="114"/>
      <c r="AP349" s="114"/>
      <c r="AQ349" s="114"/>
      <c r="AR349" s="114"/>
    </row>
    <row r="350" ht="14.25" spans="1:44">
      <c r="A350" s="114" t="s">
        <v>753</v>
      </c>
      <c r="B350" s="114" t="s">
        <v>256</v>
      </c>
      <c r="C350" s="114" t="s">
        <v>754</v>
      </c>
      <c r="D350" s="114" t="s">
        <v>71</v>
      </c>
      <c r="E350" s="114" t="s">
        <v>755</v>
      </c>
      <c r="F350" s="153">
        <v>43768</v>
      </c>
      <c r="G350" s="152">
        <f t="shared" si="8"/>
        <v>3768</v>
      </c>
      <c r="H350" s="114" t="s">
        <v>756</v>
      </c>
      <c r="I350" s="123" t="s">
        <v>4386</v>
      </c>
      <c r="J350" s="33">
        <v>1044</v>
      </c>
      <c r="K350" s="124"/>
      <c r="L350" s="114" t="s">
        <v>454</v>
      </c>
      <c r="M350" s="114"/>
      <c r="N350" s="124">
        <v>139000000</v>
      </c>
      <c r="O350" s="124">
        <v>2.02e+23</v>
      </c>
      <c r="P350" s="124"/>
      <c r="Q350" s="114"/>
      <c r="R350" s="124"/>
      <c r="S350" s="114"/>
      <c r="T350" s="114"/>
      <c r="U350" s="114"/>
      <c r="V350" s="114"/>
      <c r="W350" s="114"/>
      <c r="X350" s="177"/>
      <c r="Y350" s="124">
        <v>12000000</v>
      </c>
      <c r="Z350" s="164"/>
      <c r="AA350" s="114"/>
      <c r="AB350" s="114"/>
      <c r="AC350" s="114"/>
      <c r="AD350" s="114"/>
      <c r="AE350" s="114"/>
      <c r="AF350" s="114"/>
      <c r="AG350" s="114"/>
      <c r="AH350" s="114"/>
      <c r="AI350" s="114"/>
      <c r="AJ350" s="114"/>
      <c r="AK350" s="114"/>
      <c r="AL350" s="114"/>
      <c r="AM350" s="114"/>
      <c r="AN350" s="114"/>
      <c r="AO350" s="114"/>
      <c r="AP350" s="114"/>
      <c r="AQ350" s="114"/>
      <c r="AR350" s="114"/>
    </row>
    <row r="351" ht="14.25" spans="1:44">
      <c r="A351" s="114" t="s">
        <v>941</v>
      </c>
      <c r="B351" s="114" t="s">
        <v>41</v>
      </c>
      <c r="C351" s="114" t="s">
        <v>176</v>
      </c>
      <c r="D351" s="114" t="s">
        <v>942</v>
      </c>
      <c r="E351" s="114" t="s">
        <v>943</v>
      </c>
      <c r="F351" s="153">
        <v>43780</v>
      </c>
      <c r="G351" s="152">
        <f t="shared" si="8"/>
        <v>3780</v>
      </c>
      <c r="H351" s="114" t="s">
        <v>944</v>
      </c>
      <c r="I351" s="123" t="s">
        <v>945</v>
      </c>
      <c r="J351" s="33">
        <v>576</v>
      </c>
      <c r="K351" s="124"/>
      <c r="L351" s="114" t="s">
        <v>49</v>
      </c>
      <c r="M351" s="114"/>
      <c r="N351" s="124">
        <v>480000000</v>
      </c>
      <c r="O351" s="114"/>
      <c r="P351" s="124">
        <f>520*1000000000*2</f>
        <v>1040000000000</v>
      </c>
      <c r="Q351" s="114"/>
      <c r="R351" s="124"/>
      <c r="S351" s="114"/>
      <c r="T351" s="114"/>
      <c r="U351" s="114"/>
      <c r="V351" s="114"/>
      <c r="W351" s="114"/>
      <c r="X351" s="114"/>
      <c r="Y351" s="114"/>
      <c r="Z351" s="164"/>
      <c r="AA351" s="114"/>
      <c r="AB351" s="114"/>
      <c r="AC351" s="114"/>
      <c r="AD351" s="114"/>
      <c r="AE351" s="114"/>
      <c r="AF351" s="114"/>
      <c r="AG351" s="114"/>
      <c r="AH351" s="114"/>
      <c r="AI351" s="114"/>
      <c r="AJ351" s="114"/>
      <c r="AK351" s="114"/>
      <c r="AL351" s="114"/>
      <c r="AM351" s="114"/>
      <c r="AN351" s="114"/>
      <c r="AO351" s="114"/>
      <c r="AP351" s="114"/>
      <c r="AQ351" s="114"/>
      <c r="AR351" s="114"/>
    </row>
    <row r="352" ht="14.25" spans="1:44">
      <c r="A352" s="114" t="s">
        <v>946</v>
      </c>
      <c r="B352" s="114" t="s">
        <v>77</v>
      </c>
      <c r="C352" s="114" t="s">
        <v>579</v>
      </c>
      <c r="D352" s="114"/>
      <c r="E352" s="114"/>
      <c r="F352" s="153">
        <v>43782</v>
      </c>
      <c r="G352" s="152">
        <f t="shared" si="8"/>
        <v>3782</v>
      </c>
      <c r="H352" s="114" t="s">
        <v>948</v>
      </c>
      <c r="I352" s="123" t="s">
        <v>949</v>
      </c>
      <c r="J352" s="33">
        <v>1722</v>
      </c>
      <c r="K352" s="124"/>
      <c r="L352" s="114" t="s">
        <v>454</v>
      </c>
      <c r="M352" s="114"/>
      <c r="N352" s="124">
        <v>375000000</v>
      </c>
      <c r="O352" s="114"/>
      <c r="P352" s="124"/>
      <c r="Q352" s="114"/>
      <c r="R352" s="124"/>
      <c r="S352" s="114"/>
      <c r="T352" s="114"/>
      <c r="U352" s="114"/>
      <c r="V352" s="114"/>
      <c r="W352" s="114"/>
      <c r="X352" s="114"/>
      <c r="Y352" s="114"/>
      <c r="Z352" s="164"/>
      <c r="AA352" s="114"/>
      <c r="AB352" s="114"/>
      <c r="AC352" s="114"/>
      <c r="AD352" s="114"/>
      <c r="AE352" s="114"/>
      <c r="AF352" s="114"/>
      <c r="AG352" s="114"/>
      <c r="AH352" s="114"/>
      <c r="AI352" s="114"/>
      <c r="AJ352" s="114"/>
      <c r="AK352" s="114"/>
      <c r="AL352" s="114"/>
      <c r="AM352" s="114"/>
      <c r="AN352" s="114"/>
      <c r="AO352" s="114"/>
      <c r="AP352" s="114"/>
      <c r="AQ352" s="114"/>
      <c r="AR352" s="114"/>
    </row>
    <row r="353" ht="14.25" spans="1:44">
      <c r="A353" s="114" t="s">
        <v>809</v>
      </c>
      <c r="B353" s="114" t="s">
        <v>256</v>
      </c>
      <c r="C353" s="114" t="s">
        <v>482</v>
      </c>
      <c r="D353" s="114" t="s">
        <v>71</v>
      </c>
      <c r="E353" s="114" t="s">
        <v>810</v>
      </c>
      <c r="F353" s="153">
        <v>43788</v>
      </c>
      <c r="G353" s="152">
        <f t="shared" si="8"/>
        <v>3788</v>
      </c>
      <c r="H353" s="114" t="s">
        <v>811</v>
      </c>
      <c r="I353" s="123" t="s">
        <v>812</v>
      </c>
      <c r="J353" s="33">
        <v>412</v>
      </c>
      <c r="K353" s="124"/>
      <c r="L353" s="156" t="s">
        <v>142</v>
      </c>
      <c r="M353" s="159"/>
      <c r="N353" s="124">
        <f>(256*3*3*128)+(256*256*3*3*2*15)+(256*256*3*3*2*16)</f>
        <v>36864000</v>
      </c>
      <c r="O353" s="159"/>
      <c r="P353" s="173"/>
      <c r="Q353" s="159"/>
      <c r="R353" s="159"/>
      <c r="S353" s="159"/>
      <c r="T353" s="159"/>
      <c r="U353" s="156"/>
      <c r="V353" s="114"/>
      <c r="W353" s="114"/>
      <c r="X353" s="114"/>
      <c r="Y353" s="114"/>
      <c r="Z353" s="164"/>
      <c r="AA353" s="114"/>
      <c r="AB353" s="114"/>
      <c r="AC353" s="114"/>
      <c r="AD353" s="114"/>
      <c r="AE353" s="114"/>
      <c r="AF353" s="114"/>
      <c r="AG353" s="114"/>
      <c r="AH353" s="114"/>
      <c r="AI353" s="114"/>
      <c r="AJ353" s="114"/>
      <c r="AK353" s="114"/>
      <c r="AL353" s="114"/>
      <c r="AM353" s="114"/>
      <c r="AN353" s="114"/>
      <c r="AO353" s="114"/>
      <c r="AP353" s="114"/>
      <c r="AQ353" s="114"/>
      <c r="AR353" s="114"/>
    </row>
    <row r="354" ht="14.25" spans="1:44">
      <c r="A354" s="114"/>
      <c r="B354" s="114" t="s">
        <v>41</v>
      </c>
      <c r="C354" s="114"/>
      <c r="D354" s="114" t="s">
        <v>4387</v>
      </c>
      <c r="E354" s="114" t="s">
        <v>951</v>
      </c>
      <c r="F354" s="169">
        <v>43794</v>
      </c>
      <c r="G354" s="152">
        <f t="shared" si="8"/>
        <v>3794</v>
      </c>
      <c r="H354" s="114" t="s">
        <v>952</v>
      </c>
      <c r="I354" s="123" t="s">
        <v>953</v>
      </c>
      <c r="J354" s="33">
        <v>66</v>
      </c>
      <c r="K354" s="124"/>
      <c r="L354" s="114" t="s">
        <v>49</v>
      </c>
      <c r="M354" s="114"/>
      <c r="N354" s="124"/>
      <c r="O354" s="230"/>
      <c r="P354" s="124"/>
      <c r="Q354" s="114"/>
      <c r="R354" s="124"/>
      <c r="S354" s="114"/>
      <c r="T354" s="114"/>
      <c r="U354" s="114"/>
      <c r="V354" s="114"/>
      <c r="W354" s="114" t="s">
        <v>936</v>
      </c>
      <c r="X354" s="114"/>
      <c r="Y354" s="114"/>
      <c r="Z354" s="164"/>
      <c r="AA354" s="114"/>
      <c r="AB354" s="114"/>
      <c r="AC354" s="114"/>
      <c r="AD354" s="114"/>
      <c r="AE354" s="114"/>
      <c r="AF354" s="114"/>
      <c r="AG354" s="114"/>
      <c r="AH354" s="114"/>
      <c r="AI354" s="114"/>
      <c r="AJ354" s="114"/>
      <c r="AK354" s="114"/>
      <c r="AL354" s="114"/>
      <c r="AM354" s="114"/>
      <c r="AN354" s="114"/>
      <c r="AO354" s="114"/>
      <c r="AP354" s="114"/>
      <c r="AQ354" s="114"/>
      <c r="AR354" s="114"/>
    </row>
    <row r="355" ht="14.25" spans="1:44">
      <c r="A355" s="114" t="s">
        <v>954</v>
      </c>
      <c r="B355" s="114" t="s">
        <v>77</v>
      </c>
      <c r="C355" s="114"/>
      <c r="D355" s="114" t="s">
        <v>4388</v>
      </c>
      <c r="E355" s="114" t="s">
        <v>956</v>
      </c>
      <c r="F355" s="169">
        <v>43803</v>
      </c>
      <c r="G355" s="152">
        <f t="shared" si="8"/>
        <v>3803</v>
      </c>
      <c r="H355" s="114" t="s">
        <v>957</v>
      </c>
      <c r="I355" s="123" t="s">
        <v>958</v>
      </c>
      <c r="J355" s="33">
        <v>233</v>
      </c>
      <c r="K355" s="124"/>
      <c r="L355" s="114" t="s">
        <v>49</v>
      </c>
      <c r="M355" s="114"/>
      <c r="N355" s="124"/>
      <c r="O355" s="230"/>
      <c r="P355" s="173"/>
      <c r="Q355" s="114"/>
      <c r="R355" s="124"/>
      <c r="S355" s="114"/>
      <c r="T355" s="114"/>
      <c r="U355" s="114"/>
      <c r="V355" s="114"/>
      <c r="W355" s="114"/>
      <c r="X355" s="114"/>
      <c r="Y355" s="114"/>
      <c r="Z355" s="164"/>
      <c r="AA355" s="114"/>
      <c r="AB355" s="114"/>
      <c r="AC355" s="114"/>
      <c r="AD355" s="114"/>
      <c r="AE355" s="114"/>
      <c r="AF355" s="114"/>
      <c r="AG355" s="114"/>
      <c r="AH355" s="114"/>
      <c r="AI355" s="114"/>
      <c r="AJ355" s="114"/>
      <c r="AK355" s="114"/>
      <c r="AL355" s="114"/>
      <c r="AM355" s="114"/>
      <c r="AN355" s="114"/>
      <c r="AO355" s="114"/>
      <c r="AP355" s="114"/>
      <c r="AQ355" s="114"/>
      <c r="AR355" s="114"/>
    </row>
    <row r="356" ht="14.25" spans="1:44">
      <c r="A356" s="114" t="s">
        <v>759</v>
      </c>
      <c r="B356" s="114" t="s">
        <v>256</v>
      </c>
      <c r="C356" s="114" t="s">
        <v>4389</v>
      </c>
      <c r="D356" s="114" t="s">
        <v>34</v>
      </c>
      <c r="E356" s="114" t="s">
        <v>761</v>
      </c>
      <c r="F356" s="153">
        <v>43812</v>
      </c>
      <c r="G356" s="152">
        <f t="shared" si="8"/>
        <v>3812</v>
      </c>
      <c r="H356" s="114" t="s">
        <v>762</v>
      </c>
      <c r="I356" s="123" t="s">
        <v>763</v>
      </c>
      <c r="J356" s="33">
        <v>454</v>
      </c>
      <c r="K356" s="124"/>
      <c r="L356" s="114" t="s">
        <v>142</v>
      </c>
      <c r="M356" s="114"/>
      <c r="N356" s="124">
        <v>10000000</v>
      </c>
      <c r="O356" s="124">
        <v>6.7e+22</v>
      </c>
      <c r="P356" s="124"/>
      <c r="Q356" s="114"/>
      <c r="R356" s="124"/>
      <c r="S356" s="220"/>
      <c r="T356" s="114"/>
      <c r="U356" s="114"/>
      <c r="V356" s="114"/>
      <c r="W356" s="114"/>
      <c r="X356" s="114"/>
      <c r="Y356" s="114"/>
      <c r="Z356" s="164"/>
      <c r="AA356" s="114"/>
      <c r="AB356" s="114"/>
      <c r="AC356" s="114"/>
      <c r="AD356" s="114"/>
      <c r="AE356" s="114"/>
      <c r="AF356" s="114"/>
      <c r="AG356" s="114"/>
      <c r="AH356" s="114"/>
      <c r="AI356" s="114"/>
      <c r="AJ356" s="114"/>
      <c r="AK356" s="114"/>
      <c r="AL356" s="114"/>
      <c r="AM356" s="114"/>
      <c r="AN356" s="114"/>
      <c r="AO356" s="114"/>
      <c r="AP356" s="114"/>
      <c r="AQ356" s="114"/>
      <c r="AR356" s="114"/>
    </row>
    <row r="357" ht="14.25" spans="1:44">
      <c r="A357" s="114" t="s">
        <v>759</v>
      </c>
      <c r="B357" s="114" t="s">
        <v>256</v>
      </c>
      <c r="C357" s="114" t="s">
        <v>4390</v>
      </c>
      <c r="D357" s="114" t="s">
        <v>34</v>
      </c>
      <c r="E357" s="114" t="s">
        <v>779</v>
      </c>
      <c r="F357" s="153">
        <v>43812</v>
      </c>
      <c r="G357" s="152">
        <f t="shared" si="8"/>
        <v>3812</v>
      </c>
      <c r="H357" s="114" t="s">
        <v>762</v>
      </c>
      <c r="I357" s="123" t="s">
        <v>780</v>
      </c>
      <c r="J357" s="33">
        <v>349</v>
      </c>
      <c r="K357" s="124"/>
      <c r="L357" s="114" t="s">
        <v>142</v>
      </c>
      <c r="M357" s="114"/>
      <c r="N357" s="124">
        <v>159000000</v>
      </c>
      <c r="O357" s="114">
        <v>1.3e+22</v>
      </c>
      <c r="P357" s="124"/>
      <c r="Q357" s="114"/>
      <c r="R357" s="124"/>
      <c r="S357" s="220"/>
      <c r="T357" s="114"/>
      <c r="U357" s="114"/>
      <c r="V357" s="114"/>
      <c r="W357" s="114"/>
      <c r="X357" s="114"/>
      <c r="Y357" s="114"/>
      <c r="Z357" s="164"/>
      <c r="AA357" s="114"/>
      <c r="AB357" s="114"/>
      <c r="AC357" s="114"/>
      <c r="AD357" s="114"/>
      <c r="AE357" s="114"/>
      <c r="AF357" s="114"/>
      <c r="AG357" s="114"/>
      <c r="AH357" s="114"/>
      <c r="AI357" s="114"/>
      <c r="AJ357" s="114"/>
      <c r="AK357" s="114"/>
      <c r="AL357" s="114"/>
      <c r="AM357" s="114"/>
      <c r="AN357" s="114"/>
      <c r="AO357" s="114"/>
      <c r="AP357" s="114"/>
      <c r="AQ357" s="114"/>
      <c r="AR357" s="114"/>
    </row>
    <row r="358" ht="14.25" spans="1:44">
      <c r="A358" s="114" t="s">
        <v>959</v>
      </c>
      <c r="B358" s="114" t="s">
        <v>41</v>
      </c>
      <c r="C358" s="114" t="s">
        <v>176</v>
      </c>
      <c r="D358" s="114" t="s">
        <v>53</v>
      </c>
      <c r="E358" s="114" t="s">
        <v>960</v>
      </c>
      <c r="F358" s="169">
        <v>43823</v>
      </c>
      <c r="G358" s="152">
        <f t="shared" si="8"/>
        <v>3823</v>
      </c>
      <c r="H358" s="114" t="s">
        <v>961</v>
      </c>
      <c r="I358" s="123" t="s">
        <v>962</v>
      </c>
      <c r="J358" s="33">
        <v>51</v>
      </c>
      <c r="K358" s="124"/>
      <c r="L358" s="114" t="s">
        <v>49</v>
      </c>
      <c r="M358" s="114"/>
      <c r="N358" s="124">
        <v>928000000</v>
      </c>
      <c r="O358" s="114"/>
      <c r="P358" s="124"/>
      <c r="Q358" s="114"/>
      <c r="R358" s="124"/>
      <c r="S358" s="114"/>
      <c r="T358" s="114"/>
      <c r="U358" s="114"/>
      <c r="V358" s="114"/>
      <c r="W358" s="114"/>
      <c r="X358" s="114"/>
      <c r="Y358" s="114"/>
      <c r="Z358" s="164"/>
      <c r="AA358" s="114"/>
      <c r="AB358" s="114"/>
      <c r="AC358" s="114"/>
      <c r="AD358" s="114"/>
      <c r="AE358" s="114"/>
      <c r="AF358" s="114"/>
      <c r="AG358" s="114"/>
      <c r="AH358" s="114"/>
      <c r="AI358" s="114"/>
      <c r="AJ358" s="114"/>
      <c r="AK358" s="114"/>
      <c r="AL358" s="114"/>
      <c r="AM358" s="114"/>
      <c r="AN358" s="114"/>
      <c r="AO358" s="114"/>
      <c r="AP358" s="114"/>
      <c r="AQ358" s="114"/>
      <c r="AR358" s="114"/>
    </row>
    <row r="359" ht="14.25" spans="1:44">
      <c r="A359" s="114" t="s">
        <v>635</v>
      </c>
      <c r="B359" s="114" t="s">
        <v>434</v>
      </c>
      <c r="C359" s="114"/>
      <c r="D359" s="114" t="s">
        <v>636</v>
      </c>
      <c r="E359" s="114" t="s">
        <v>436</v>
      </c>
      <c r="F359" s="114">
        <v>2020</v>
      </c>
      <c r="G359" s="152">
        <f t="shared" si="8"/>
        <v>2020</v>
      </c>
      <c r="H359" s="114"/>
      <c r="I359" s="114"/>
      <c r="J359" s="33">
        <v>2</v>
      </c>
      <c r="K359" s="124"/>
      <c r="L359" s="114" t="s">
        <v>49</v>
      </c>
      <c r="M359" s="114"/>
      <c r="N359" s="124">
        <v>1000000000000</v>
      </c>
      <c r="O359" s="124">
        <v>3e+20</v>
      </c>
      <c r="P359" s="124"/>
      <c r="Q359" s="114"/>
      <c r="R359" s="124"/>
      <c r="S359" s="114"/>
      <c r="T359" s="114"/>
      <c r="U359" s="114"/>
      <c r="V359" s="114"/>
      <c r="W359" s="114"/>
      <c r="X359" s="114"/>
      <c r="Y359" s="114"/>
      <c r="Z359" s="164"/>
      <c r="AA359" s="114"/>
      <c r="AB359" s="114"/>
      <c r="AC359" s="114"/>
      <c r="AD359" s="114"/>
      <c r="AE359" s="114"/>
      <c r="AF359" s="114"/>
      <c r="AG359" s="114"/>
      <c r="AH359" s="114"/>
      <c r="AI359" s="114"/>
      <c r="AJ359" s="114"/>
      <c r="AK359" s="114"/>
      <c r="AL359" s="114"/>
      <c r="AM359" s="114"/>
      <c r="AN359" s="114"/>
      <c r="AO359" s="114"/>
      <c r="AP359" s="114"/>
      <c r="AQ359" s="114"/>
      <c r="AR359" s="114"/>
    </row>
    <row r="360" ht="14.25" spans="1:44">
      <c r="A360" s="114" t="s">
        <v>662</v>
      </c>
      <c r="B360" s="114" t="s">
        <v>199</v>
      </c>
      <c r="C360" s="114" t="s">
        <v>663</v>
      </c>
      <c r="D360" s="114" t="s">
        <v>71</v>
      </c>
      <c r="E360" s="114" t="s">
        <v>664</v>
      </c>
      <c r="F360" s="153">
        <v>43845</v>
      </c>
      <c r="G360" s="152">
        <f t="shared" si="8"/>
        <v>3845</v>
      </c>
      <c r="H360" s="114" t="s">
        <v>665</v>
      </c>
      <c r="I360" s="123" t="s">
        <v>666</v>
      </c>
      <c r="J360" s="33">
        <v>840</v>
      </c>
      <c r="K360" s="124"/>
      <c r="L360" s="114" t="s">
        <v>49</v>
      </c>
      <c r="M360" s="114"/>
      <c r="N360" s="124">
        <v>69000000</v>
      </c>
      <c r="O360" s="124">
        <v>1e+20</v>
      </c>
      <c r="P360" s="124"/>
      <c r="Q360" s="114"/>
      <c r="R360" s="124"/>
      <c r="S360" s="114"/>
      <c r="T360" s="114"/>
      <c r="U360" s="114"/>
      <c r="V360" s="114"/>
      <c r="W360" s="114"/>
      <c r="X360" s="114"/>
      <c r="Y360" s="114"/>
      <c r="Z360" s="164"/>
      <c r="AA360" s="114"/>
      <c r="AB360" s="114"/>
      <c r="AC360" s="114"/>
      <c r="AD360" s="114"/>
      <c r="AE360" s="114"/>
      <c r="AF360" s="114"/>
      <c r="AG360" s="114"/>
      <c r="AH360" s="114"/>
      <c r="AI360" s="114"/>
      <c r="AJ360" s="114"/>
      <c r="AK360" s="114"/>
      <c r="AL360" s="114"/>
      <c r="AM360" s="114"/>
      <c r="AN360" s="114"/>
      <c r="AO360" s="114"/>
      <c r="AP360" s="114"/>
      <c r="AQ360" s="114"/>
      <c r="AR360" s="114"/>
    </row>
    <row r="361" ht="14.25" spans="1:44">
      <c r="A361" s="114" t="s">
        <v>728</v>
      </c>
      <c r="B361" s="114" t="s">
        <v>51</v>
      </c>
      <c r="C361" s="114" t="s">
        <v>729</v>
      </c>
      <c r="D361" s="114" t="s">
        <v>469</v>
      </c>
      <c r="E361" s="114" t="s">
        <v>573</v>
      </c>
      <c r="F361" s="153">
        <v>43856</v>
      </c>
      <c r="G361" s="152">
        <f t="shared" si="8"/>
        <v>3856</v>
      </c>
      <c r="H361" s="114" t="s">
        <v>730</v>
      </c>
      <c r="I361" s="123" t="s">
        <v>731</v>
      </c>
      <c r="J361" s="33">
        <v>37</v>
      </c>
      <c r="K361" s="124"/>
      <c r="L361" s="114" t="s">
        <v>49</v>
      </c>
      <c r="M361" s="114"/>
      <c r="N361" s="124">
        <f>340*10^6</f>
        <v>340000000</v>
      </c>
      <c r="O361" s="114"/>
      <c r="P361" s="124"/>
      <c r="Q361" s="114"/>
      <c r="R361" s="124"/>
      <c r="S361" s="114"/>
      <c r="T361" s="114"/>
      <c r="U361" s="114" t="s">
        <v>732</v>
      </c>
      <c r="V361" s="114"/>
      <c r="W361" s="114"/>
      <c r="X361" s="114"/>
      <c r="Y361" s="114"/>
      <c r="Z361" s="164"/>
      <c r="AA361" s="114"/>
      <c r="AB361" s="114"/>
      <c r="AC361" s="114"/>
      <c r="AD361" s="114"/>
      <c r="AE361" s="114"/>
      <c r="AF361" s="114"/>
      <c r="AG361" s="114"/>
      <c r="AH361" s="114"/>
      <c r="AI361" s="114"/>
      <c r="AJ361" s="114"/>
      <c r="AK361" s="114"/>
      <c r="AL361" s="114"/>
      <c r="AM361" s="114"/>
      <c r="AN361" s="114"/>
      <c r="AO361" s="114"/>
      <c r="AP361" s="114"/>
      <c r="AQ361" s="114"/>
      <c r="AR361" s="114"/>
    </row>
    <row r="362" ht="14.25" spans="1:44">
      <c r="A362" s="114" t="s">
        <v>572</v>
      </c>
      <c r="B362" s="114" t="s">
        <v>51</v>
      </c>
      <c r="C362" s="114" t="s">
        <v>267</v>
      </c>
      <c r="D362" s="114" t="s">
        <v>299</v>
      </c>
      <c r="E362" s="114" t="s">
        <v>4391</v>
      </c>
      <c r="F362" s="153">
        <v>43858</v>
      </c>
      <c r="G362" s="152">
        <f t="shared" si="8"/>
        <v>3858</v>
      </c>
      <c r="H362" s="114" t="s">
        <v>574</v>
      </c>
      <c r="I362" s="123" t="s">
        <v>4392</v>
      </c>
      <c r="J362" s="33">
        <v>257</v>
      </c>
      <c r="K362" s="124"/>
      <c r="L362" s="114" t="s">
        <v>49</v>
      </c>
      <c r="M362" s="114"/>
      <c r="N362" s="124">
        <v>2600000000</v>
      </c>
      <c r="O362" s="114">
        <f>1.8*10^23</f>
        <v>1.8e+23</v>
      </c>
      <c r="P362" s="124"/>
      <c r="Q362" s="114"/>
      <c r="R362" s="124"/>
      <c r="S362" s="114"/>
      <c r="T362" s="114"/>
      <c r="U362" s="114"/>
      <c r="V362" s="114"/>
      <c r="W362" s="114"/>
      <c r="X362" s="114"/>
      <c r="Y362" s="124">
        <v>1500000</v>
      </c>
      <c r="Z362" s="164"/>
      <c r="AA362" s="114"/>
      <c r="AB362" s="114"/>
      <c r="AC362" s="114"/>
      <c r="AD362" s="114"/>
      <c r="AE362" s="114"/>
      <c r="AF362" s="114"/>
      <c r="AG362" s="114"/>
      <c r="AH362" s="114"/>
      <c r="AI362" s="114"/>
      <c r="AJ362" s="114"/>
      <c r="AK362" s="114"/>
      <c r="AL362" s="114"/>
      <c r="AM362" s="114"/>
      <c r="AN362" s="114"/>
      <c r="AO362" s="114"/>
      <c r="AP362" s="114"/>
      <c r="AQ362" s="114"/>
      <c r="AR362" s="114"/>
    </row>
    <row r="363" ht="14.25" spans="1:44">
      <c r="A363" s="114" t="s">
        <v>669</v>
      </c>
      <c r="B363" s="114" t="s">
        <v>51</v>
      </c>
      <c r="C363" s="114" t="s">
        <v>267</v>
      </c>
      <c r="D363" s="114" t="s">
        <v>670</v>
      </c>
      <c r="E363" s="114" t="s">
        <v>671</v>
      </c>
      <c r="F363" s="153">
        <v>43868</v>
      </c>
      <c r="G363" s="152">
        <f t="shared" si="8"/>
        <v>3868</v>
      </c>
      <c r="H363" s="114" t="s">
        <v>672</v>
      </c>
      <c r="I363" s="123" t="s">
        <v>4393</v>
      </c>
      <c r="J363" s="33">
        <v>67</v>
      </c>
      <c r="K363" s="124"/>
      <c r="L363" s="114" t="s">
        <v>49</v>
      </c>
      <c r="M363" s="114"/>
      <c r="N363" s="124">
        <v>66000000</v>
      </c>
      <c r="O363" s="114"/>
      <c r="P363" s="124">
        <v>11300000000</v>
      </c>
      <c r="Q363" s="114"/>
      <c r="R363" s="124"/>
      <c r="S363" s="114"/>
      <c r="T363" s="114"/>
      <c r="U363" s="114"/>
      <c r="V363" s="114"/>
      <c r="W363" s="156" t="s">
        <v>667</v>
      </c>
      <c r="X363" s="217">
        <v>0.625</v>
      </c>
      <c r="Y363" s="159"/>
      <c r="Z363" s="164"/>
      <c r="AA363" s="159"/>
      <c r="AB363" s="159"/>
      <c r="AC363" s="159"/>
      <c r="AD363" s="114"/>
      <c r="AE363" s="114"/>
      <c r="AF363" s="114"/>
      <c r="AG363" s="114"/>
      <c r="AH363" s="114"/>
      <c r="AI363" s="114"/>
      <c r="AJ363" s="114"/>
      <c r="AK363" s="114"/>
      <c r="AL363" s="114"/>
      <c r="AM363" s="114"/>
      <c r="AN363" s="114"/>
      <c r="AO363" s="114"/>
      <c r="AP363" s="114"/>
      <c r="AQ363" s="114"/>
      <c r="AR363" s="114"/>
    </row>
    <row r="364" ht="14.25" spans="1:44">
      <c r="A364" s="114" t="s">
        <v>590</v>
      </c>
      <c r="B364" s="114" t="s">
        <v>51</v>
      </c>
      <c r="C364" s="114" t="s">
        <v>267</v>
      </c>
      <c r="D364" s="114" t="s">
        <v>393</v>
      </c>
      <c r="E364" s="114" t="s">
        <v>591</v>
      </c>
      <c r="F364" s="153">
        <v>43874</v>
      </c>
      <c r="G364" s="152">
        <f t="shared" si="8"/>
        <v>3874</v>
      </c>
      <c r="H364" s="114" t="s">
        <v>592</v>
      </c>
      <c r="I364" s="123" t="s">
        <v>593</v>
      </c>
      <c r="J364" s="33">
        <v>34</v>
      </c>
      <c r="K364" s="124"/>
      <c r="L364" s="114" t="s">
        <v>49</v>
      </c>
      <c r="M364" s="114"/>
      <c r="N364" s="124">
        <v>17000000000</v>
      </c>
      <c r="O364" s="124">
        <v>1.57e+22</v>
      </c>
      <c r="P364" s="124">
        <v>36000000000000</v>
      </c>
      <c r="Q364" s="114"/>
      <c r="R364" s="124"/>
      <c r="S364" s="114"/>
      <c r="T364" s="114"/>
      <c r="U364" s="114"/>
      <c r="V364" s="114"/>
      <c r="W364" s="114"/>
      <c r="X364" s="114"/>
      <c r="Y364" s="114"/>
      <c r="Z364" s="164"/>
      <c r="AA364" s="114"/>
      <c r="AB364" s="114"/>
      <c r="AC364" s="114"/>
      <c r="AD364" s="114"/>
      <c r="AE364" s="114"/>
      <c r="AF364" s="114"/>
      <c r="AG364" s="114"/>
      <c r="AH364" s="114"/>
      <c r="AI364" s="114"/>
      <c r="AJ364" s="114"/>
      <c r="AK364" s="114"/>
      <c r="AL364" s="114"/>
      <c r="AM364" s="114"/>
      <c r="AN364" s="114"/>
      <c r="AO364" s="114"/>
      <c r="AP364" s="114"/>
      <c r="AQ364" s="114"/>
      <c r="AR364" s="114"/>
    </row>
    <row r="365" ht="14.25" spans="1:44">
      <c r="A365" s="114" t="s">
        <v>678</v>
      </c>
      <c r="B365" s="114" t="s">
        <v>77</v>
      </c>
      <c r="C365" s="114" t="s">
        <v>579</v>
      </c>
      <c r="D365" s="114"/>
      <c r="E365" s="170" t="s">
        <v>679</v>
      </c>
      <c r="F365" s="153">
        <v>43874</v>
      </c>
      <c r="G365" s="152">
        <f t="shared" si="8"/>
        <v>3874</v>
      </c>
      <c r="H365" s="114" t="s">
        <v>680</v>
      </c>
      <c r="I365" s="123" t="s">
        <v>681</v>
      </c>
      <c r="J365" s="33">
        <v>2164</v>
      </c>
      <c r="K365" s="124"/>
      <c r="L365" s="114" t="s">
        <v>454</v>
      </c>
      <c r="M365" s="114"/>
      <c r="N365" s="124">
        <v>375000000</v>
      </c>
      <c r="O365" s="124"/>
      <c r="P365" s="124"/>
      <c r="Q365" s="114"/>
      <c r="R365" s="124"/>
      <c r="S365" s="114"/>
      <c r="T365" s="114"/>
      <c r="U365" s="114"/>
      <c r="V365" s="114"/>
      <c r="W365" s="114" t="s">
        <v>594</v>
      </c>
      <c r="X365" s="114"/>
      <c r="Y365" s="114"/>
      <c r="Z365" s="164"/>
      <c r="AA365" s="114"/>
      <c r="AB365" s="114"/>
      <c r="AC365" s="114"/>
      <c r="AD365" s="114"/>
      <c r="AE365" s="114"/>
      <c r="AF365" s="114"/>
      <c r="AG365" s="114"/>
      <c r="AH365" s="114"/>
      <c r="AI365" s="114"/>
      <c r="AJ365" s="114"/>
      <c r="AK365" s="114"/>
      <c r="AL365" s="114"/>
      <c r="AM365" s="114"/>
      <c r="AN365" s="114"/>
      <c r="AO365" s="114"/>
      <c r="AP365" s="114"/>
      <c r="AQ365" s="114"/>
      <c r="AR365" s="114"/>
    </row>
    <row r="366" ht="14.25" spans="1:44">
      <c r="A366" s="114" t="s">
        <v>640</v>
      </c>
      <c r="B366" s="114" t="s">
        <v>199</v>
      </c>
      <c r="C366" s="114" t="s">
        <v>641</v>
      </c>
      <c r="D366" s="114" t="s">
        <v>642</v>
      </c>
      <c r="E366" s="114" t="s">
        <v>643</v>
      </c>
      <c r="F366" s="153">
        <v>43903</v>
      </c>
      <c r="G366" s="152">
        <f t="shared" si="8"/>
        <v>3903</v>
      </c>
      <c r="H366" s="114" t="s">
        <v>644</v>
      </c>
      <c r="I366" s="123" t="s">
        <v>645</v>
      </c>
      <c r="J366" s="33">
        <v>46</v>
      </c>
      <c r="K366" s="124"/>
      <c r="L366" s="114" t="s">
        <v>49</v>
      </c>
      <c r="M366" s="114"/>
      <c r="N366" s="124">
        <v>1200000000</v>
      </c>
      <c r="O366" s="124">
        <v>2.7e+20</v>
      </c>
      <c r="P366" s="124"/>
      <c r="Q366" s="114"/>
      <c r="R366" s="124"/>
      <c r="S366" s="159"/>
      <c r="T366" s="114"/>
      <c r="U366" s="114"/>
      <c r="V366" s="114"/>
      <c r="W366" s="114"/>
      <c r="X366" s="114"/>
      <c r="Y366" s="114"/>
      <c r="Z366" s="164"/>
      <c r="AA366" s="114"/>
      <c r="AB366" s="114"/>
      <c r="AC366" s="114"/>
      <c r="AD366" s="114"/>
      <c r="AE366" s="114"/>
      <c r="AF366" s="114"/>
      <c r="AG366" s="114"/>
      <c r="AH366" s="114"/>
      <c r="AI366" s="114"/>
      <c r="AJ366" s="114"/>
      <c r="AK366" s="114"/>
      <c r="AL366" s="114"/>
      <c r="AM366" s="114"/>
      <c r="AN366" s="114"/>
      <c r="AO366" s="114"/>
      <c r="AP366" s="114"/>
      <c r="AQ366" s="114"/>
      <c r="AR366" s="114"/>
    </row>
    <row r="367" ht="14.25" spans="1:44">
      <c r="A367" s="114" t="s">
        <v>647</v>
      </c>
      <c r="B367" s="114" t="s">
        <v>51</v>
      </c>
      <c r="C367" s="114" t="s">
        <v>267</v>
      </c>
      <c r="D367" s="114" t="s">
        <v>682</v>
      </c>
      <c r="E367" s="114" t="s">
        <v>649</v>
      </c>
      <c r="F367" s="153">
        <v>43913</v>
      </c>
      <c r="G367" s="152">
        <f t="shared" si="8"/>
        <v>3913</v>
      </c>
      <c r="H367" s="114" t="s">
        <v>683</v>
      </c>
      <c r="I367" s="123" t="s">
        <v>652</v>
      </c>
      <c r="J367" s="33">
        <v>842</v>
      </c>
      <c r="K367" s="124"/>
      <c r="L367" s="114" t="s">
        <v>49</v>
      </c>
      <c r="M367" s="114"/>
      <c r="N367" s="124">
        <v>335000000</v>
      </c>
      <c r="O367" s="114"/>
      <c r="P367" s="124">
        <v>79000000000</v>
      </c>
      <c r="Q367" s="114"/>
      <c r="R367" s="124"/>
      <c r="S367" s="159"/>
      <c r="T367" s="114"/>
      <c r="U367" s="114"/>
      <c r="V367" s="114"/>
      <c r="W367" s="114"/>
      <c r="X367" s="114"/>
      <c r="Y367" s="114"/>
      <c r="Z367" s="164"/>
      <c r="AA367" s="114"/>
      <c r="AB367" s="114"/>
      <c r="AC367" s="114"/>
      <c r="AD367" s="114"/>
      <c r="AE367" s="114"/>
      <c r="AF367" s="114"/>
      <c r="AG367" s="114"/>
      <c r="AH367" s="114"/>
      <c r="AI367" s="114"/>
      <c r="AJ367" s="114"/>
      <c r="AK367" s="114"/>
      <c r="AL367" s="114"/>
      <c r="AM367" s="114"/>
      <c r="AN367" s="114"/>
      <c r="AO367" s="114"/>
      <c r="AP367" s="114"/>
      <c r="AQ367" s="114"/>
      <c r="AR367" s="114"/>
    </row>
    <row r="368" ht="14.25" spans="1:44">
      <c r="A368" s="114" t="s">
        <v>684</v>
      </c>
      <c r="B368" s="114" t="s">
        <v>199</v>
      </c>
      <c r="C368" s="114" t="s">
        <v>685</v>
      </c>
      <c r="D368" s="114" t="s">
        <v>85</v>
      </c>
      <c r="E368" s="114" t="s">
        <v>686</v>
      </c>
      <c r="F368" s="153">
        <v>43914</v>
      </c>
      <c r="G368" s="152">
        <f t="shared" si="8"/>
        <v>3914</v>
      </c>
      <c r="H368" s="114" t="s">
        <v>687</v>
      </c>
      <c r="I368" s="123" t="s">
        <v>688</v>
      </c>
      <c r="J368" s="33">
        <v>43</v>
      </c>
      <c r="K368" s="124"/>
      <c r="L368" s="114" t="s">
        <v>49</v>
      </c>
      <c r="M368" s="114"/>
      <c r="N368" s="124"/>
      <c r="O368" s="114"/>
      <c r="P368" s="124"/>
      <c r="Q368" s="114"/>
      <c r="R368" s="124"/>
      <c r="S368" s="159"/>
      <c r="T368" s="114"/>
      <c r="U368" s="114"/>
      <c r="V368" s="114"/>
      <c r="W368" s="114"/>
      <c r="X368" s="114"/>
      <c r="Y368" s="114"/>
      <c r="Z368" s="164"/>
      <c r="AA368" s="114"/>
      <c r="AB368" s="114"/>
      <c r="AC368" s="114"/>
      <c r="AD368" s="114"/>
      <c r="AE368" s="114"/>
      <c r="AF368" s="114"/>
      <c r="AG368" s="114"/>
      <c r="AH368" s="114"/>
      <c r="AI368" s="114"/>
      <c r="AJ368" s="114"/>
      <c r="AK368" s="114"/>
      <c r="AL368" s="114"/>
      <c r="AM368" s="114"/>
      <c r="AN368" s="114"/>
      <c r="AO368" s="114"/>
      <c r="AP368" s="114"/>
      <c r="AQ368" s="114"/>
      <c r="AR368" s="114"/>
    </row>
    <row r="369" ht="14.25" spans="1:44">
      <c r="A369" s="114" t="s">
        <v>689</v>
      </c>
      <c r="B369" s="114" t="s">
        <v>256</v>
      </c>
      <c r="C369" s="114" t="s">
        <v>690</v>
      </c>
      <c r="D369" s="114" t="s">
        <v>71</v>
      </c>
      <c r="E369" s="114" t="s">
        <v>691</v>
      </c>
      <c r="F369" s="153">
        <v>43920</v>
      </c>
      <c r="G369" s="152">
        <f t="shared" si="8"/>
        <v>3920</v>
      </c>
      <c r="H369" s="114" t="s">
        <v>692</v>
      </c>
      <c r="I369" s="123" t="s">
        <v>693</v>
      </c>
      <c r="J369" s="33">
        <v>132</v>
      </c>
      <c r="K369" s="124"/>
      <c r="L369" s="114" t="s">
        <v>49</v>
      </c>
      <c r="M369" s="114"/>
      <c r="N369" s="124"/>
      <c r="O369" s="114"/>
      <c r="P369" s="124"/>
      <c r="Q369" s="114"/>
      <c r="R369" s="124"/>
      <c r="S369" s="159"/>
      <c r="T369" s="114"/>
      <c r="U369" s="114"/>
      <c r="V369" s="114"/>
      <c r="W369" s="114"/>
      <c r="X369" s="114"/>
      <c r="Y369" s="114"/>
      <c r="Z369" s="164"/>
      <c r="AA369" s="114"/>
      <c r="AB369" s="114"/>
      <c r="AC369" s="114"/>
      <c r="AD369" s="114"/>
      <c r="AE369" s="114"/>
      <c r="AF369" s="114"/>
      <c r="AG369" s="114"/>
      <c r="AH369" s="114"/>
      <c r="AI369" s="114"/>
      <c r="AJ369" s="114"/>
      <c r="AK369" s="114"/>
      <c r="AL369" s="114"/>
      <c r="AM369" s="114"/>
      <c r="AN369" s="114"/>
      <c r="AO369" s="114"/>
      <c r="AP369" s="114"/>
      <c r="AQ369" s="114"/>
      <c r="AR369" s="114"/>
    </row>
    <row r="370" ht="14.25" spans="1:44">
      <c r="A370" s="114"/>
      <c r="B370" s="114" t="s">
        <v>41</v>
      </c>
      <c r="C370" s="114" t="s">
        <v>694</v>
      </c>
      <c r="D370" s="114" t="s">
        <v>695</v>
      </c>
      <c r="E370" s="114" t="s">
        <v>696</v>
      </c>
      <c r="F370" s="153">
        <v>43924</v>
      </c>
      <c r="G370" s="152">
        <f t="shared" si="8"/>
        <v>3924</v>
      </c>
      <c r="H370" s="114" t="s">
        <v>697</v>
      </c>
      <c r="I370" s="123" t="s">
        <v>4394</v>
      </c>
      <c r="J370" s="172">
        <v>1420</v>
      </c>
      <c r="K370" s="124"/>
      <c r="L370" s="114"/>
      <c r="M370" s="114"/>
      <c r="N370" s="124"/>
      <c r="O370" s="114"/>
      <c r="P370" s="124"/>
      <c r="Q370" s="114"/>
      <c r="R370" s="124"/>
      <c r="S370" s="159"/>
      <c r="T370" s="114"/>
      <c r="U370" s="114"/>
      <c r="V370" s="114"/>
      <c r="W370" s="114"/>
      <c r="X370" s="114"/>
      <c r="Y370" s="114"/>
      <c r="Z370" s="219" t="s">
        <v>4342</v>
      </c>
      <c r="AA370" s="114"/>
      <c r="AB370" s="114"/>
      <c r="AC370" s="114"/>
      <c r="AD370" s="114"/>
      <c r="AE370" s="114"/>
      <c r="AF370" s="114"/>
      <c r="AG370" s="114"/>
      <c r="AH370" s="114"/>
      <c r="AI370" s="114"/>
      <c r="AJ370" s="114"/>
      <c r="AK370" s="114"/>
      <c r="AL370" s="114"/>
      <c r="AM370" s="114"/>
      <c r="AN370" s="114"/>
      <c r="AO370" s="114"/>
      <c r="AP370" s="114"/>
      <c r="AQ370" s="114"/>
      <c r="AR370" s="114"/>
    </row>
    <row r="371" ht="14.25" spans="1:44">
      <c r="A371" s="114" t="s">
        <v>699</v>
      </c>
      <c r="B371" s="114" t="s">
        <v>51</v>
      </c>
      <c r="C371" s="114" t="s">
        <v>267</v>
      </c>
      <c r="D371" s="114" t="s">
        <v>4395</v>
      </c>
      <c r="E371" s="114" t="s">
        <v>701</v>
      </c>
      <c r="F371" s="153">
        <v>43927</v>
      </c>
      <c r="G371" s="152">
        <f t="shared" si="8"/>
        <v>3927</v>
      </c>
      <c r="H371" s="114" t="s">
        <v>702</v>
      </c>
      <c r="I371" s="123" t="s">
        <v>703</v>
      </c>
      <c r="J371" s="33">
        <v>180</v>
      </c>
      <c r="K371" s="124"/>
      <c r="L371" s="114" t="s">
        <v>49</v>
      </c>
      <c r="M371" s="114"/>
      <c r="N371" s="124">
        <v>25300000</v>
      </c>
      <c r="O371" s="114"/>
      <c r="P371" s="124">
        <v>5360000000</v>
      </c>
      <c r="Q371" s="114"/>
      <c r="R371" s="124"/>
      <c r="S371" s="159"/>
      <c r="T371" s="114"/>
      <c r="U371" s="114"/>
      <c r="V371" s="114"/>
      <c r="W371" s="114"/>
      <c r="X371" s="114"/>
      <c r="Y371" s="114"/>
      <c r="Z371" s="164"/>
      <c r="AA371" s="114"/>
      <c r="AB371" s="114"/>
      <c r="AC371" s="114"/>
      <c r="AD371" s="114"/>
      <c r="AE371" s="114"/>
      <c r="AF371" s="114"/>
      <c r="AG371" s="114"/>
      <c r="AH371" s="114"/>
      <c r="AI371" s="114"/>
      <c r="AJ371" s="114"/>
      <c r="AK371" s="114"/>
      <c r="AL371" s="114"/>
      <c r="AM371" s="114"/>
      <c r="AN371" s="114"/>
      <c r="AO371" s="114"/>
      <c r="AP371" s="114"/>
      <c r="AQ371" s="114"/>
      <c r="AR371" s="114"/>
    </row>
    <row r="372" ht="14.25" spans="1:44">
      <c r="A372" s="114" t="s">
        <v>704</v>
      </c>
      <c r="B372" s="114" t="s">
        <v>256</v>
      </c>
      <c r="C372" s="114" t="s">
        <v>482</v>
      </c>
      <c r="D372" s="114" t="s">
        <v>4396</v>
      </c>
      <c r="E372" s="114" t="s">
        <v>705</v>
      </c>
      <c r="F372" s="153">
        <v>43929</v>
      </c>
      <c r="G372" s="152">
        <f t="shared" si="8"/>
        <v>3929</v>
      </c>
      <c r="H372" s="114" t="s">
        <v>706</v>
      </c>
      <c r="I372" s="123" t="s">
        <v>707</v>
      </c>
      <c r="J372" s="33">
        <v>122</v>
      </c>
      <c r="K372" s="124"/>
      <c r="L372" s="156" t="s">
        <v>142</v>
      </c>
      <c r="M372" s="159"/>
      <c r="N372" s="124">
        <f>32*32*3*3*4+5*5*32*1024+1024*50</f>
        <v>907264</v>
      </c>
      <c r="O372" s="159"/>
      <c r="P372" s="173"/>
      <c r="Q372" s="159"/>
      <c r="R372" s="159"/>
      <c r="S372" s="159"/>
      <c r="T372" s="159"/>
      <c r="U372" s="156"/>
      <c r="V372" s="114"/>
      <c r="W372" s="114"/>
      <c r="X372" s="114"/>
      <c r="Y372" s="114"/>
      <c r="Z372" s="164"/>
      <c r="AA372" s="114"/>
      <c r="AB372" s="114"/>
      <c r="AC372" s="114"/>
      <c r="AD372" s="114"/>
      <c r="AE372" s="114"/>
      <c r="AF372" s="114"/>
      <c r="AG372" s="114"/>
      <c r="AH372" s="114"/>
      <c r="AI372" s="114"/>
      <c r="AJ372" s="114"/>
      <c r="AK372" s="114"/>
      <c r="AL372" s="114"/>
      <c r="AM372" s="114"/>
      <c r="AN372" s="114"/>
      <c r="AO372" s="114"/>
      <c r="AP372" s="114"/>
      <c r="AQ372" s="114"/>
      <c r="AR372" s="114"/>
    </row>
    <row r="373" ht="14.25" spans="1:44">
      <c r="A373" s="114" t="s">
        <v>708</v>
      </c>
      <c r="B373" s="114" t="s">
        <v>256</v>
      </c>
      <c r="C373" s="114" t="s">
        <v>690</v>
      </c>
      <c r="D373" s="114" t="s">
        <v>4397</v>
      </c>
      <c r="E373" s="114" t="s">
        <v>710</v>
      </c>
      <c r="F373" s="153">
        <v>43948</v>
      </c>
      <c r="G373" s="152">
        <f t="shared" si="8"/>
        <v>3948</v>
      </c>
      <c r="H373" s="114" t="s">
        <v>711</v>
      </c>
      <c r="I373" s="123" t="s">
        <v>712</v>
      </c>
      <c r="J373" s="33">
        <v>40</v>
      </c>
      <c r="K373" s="124"/>
      <c r="L373" s="114" t="s">
        <v>49</v>
      </c>
      <c r="M373" s="114"/>
      <c r="N373" s="124"/>
      <c r="O373" s="114"/>
      <c r="P373" s="124"/>
      <c r="Q373" s="114"/>
      <c r="R373" s="124"/>
      <c r="S373" s="159"/>
      <c r="T373" s="114"/>
      <c r="U373" s="114"/>
      <c r="V373" s="114"/>
      <c r="W373" s="114"/>
      <c r="X373" s="114"/>
      <c r="Y373" s="114"/>
      <c r="Z373" s="164"/>
      <c r="AA373" s="114"/>
      <c r="AB373" s="114"/>
      <c r="AC373" s="114"/>
      <c r="AD373" s="114"/>
      <c r="AE373" s="114"/>
      <c r="AF373" s="114"/>
      <c r="AG373" s="114"/>
      <c r="AH373" s="114"/>
      <c r="AI373" s="114"/>
      <c r="AJ373" s="114"/>
      <c r="AK373" s="114"/>
      <c r="AL373" s="114"/>
      <c r="AM373" s="114"/>
      <c r="AN373" s="114"/>
      <c r="AO373" s="114"/>
      <c r="AP373" s="114"/>
      <c r="AQ373" s="114"/>
      <c r="AR373" s="114"/>
    </row>
    <row r="374" ht="14.25" spans="1:44">
      <c r="A374" s="114" t="s">
        <v>3953</v>
      </c>
      <c r="B374" s="114" t="s">
        <v>51</v>
      </c>
      <c r="C374" s="114" t="s">
        <v>267</v>
      </c>
      <c r="D374" s="114" t="s">
        <v>34</v>
      </c>
      <c r="E374" s="114" t="s">
        <v>566</v>
      </c>
      <c r="F374" s="153">
        <v>43949</v>
      </c>
      <c r="G374" s="152">
        <f t="shared" si="8"/>
        <v>3949</v>
      </c>
      <c r="H374" s="114" t="s">
        <v>4398</v>
      </c>
      <c r="I374" s="123" t="s">
        <v>568</v>
      </c>
      <c r="J374" s="33">
        <v>1534</v>
      </c>
      <c r="K374" s="124"/>
      <c r="L374" s="114" t="s">
        <v>454</v>
      </c>
      <c r="M374" s="114"/>
      <c r="N374" s="124">
        <v>175000000000</v>
      </c>
      <c r="O374" s="124">
        <v>3.14e+23</v>
      </c>
      <c r="P374" s="124">
        <v>740000000000000</v>
      </c>
      <c r="Q374" s="114"/>
      <c r="R374" s="124"/>
      <c r="S374" s="220"/>
      <c r="T374" s="114"/>
      <c r="U374" s="114" t="s">
        <v>570</v>
      </c>
      <c r="V374" s="159"/>
      <c r="W374" s="114"/>
      <c r="X374" s="159"/>
      <c r="Y374" s="160">
        <v>12000000</v>
      </c>
      <c r="Z374" s="164"/>
      <c r="AA374" s="159"/>
      <c r="AB374" s="159"/>
      <c r="AC374" s="159"/>
      <c r="AD374" s="159"/>
      <c r="AE374" s="159"/>
      <c r="AF374" s="159"/>
      <c r="AG374" s="159"/>
      <c r="AH374" s="159"/>
      <c r="AI374" s="159"/>
      <c r="AJ374" s="159"/>
      <c r="AK374" s="159"/>
      <c r="AL374" s="159"/>
      <c r="AM374" s="159"/>
      <c r="AN374" s="159"/>
      <c r="AO374" s="159"/>
      <c r="AP374" s="159"/>
      <c r="AQ374" s="159"/>
      <c r="AR374" s="159"/>
    </row>
    <row r="375" ht="14.25" spans="1:44">
      <c r="A375" s="114" t="s">
        <v>622</v>
      </c>
      <c r="B375" s="114" t="s">
        <v>41</v>
      </c>
      <c r="C375" s="114"/>
      <c r="D375" s="114" t="s">
        <v>4399</v>
      </c>
      <c r="E375" s="221" t="s">
        <v>624</v>
      </c>
      <c r="F375" s="153">
        <v>43950</v>
      </c>
      <c r="G375" s="152">
        <f t="shared" si="8"/>
        <v>3950</v>
      </c>
      <c r="H375" s="114" t="s">
        <v>625</v>
      </c>
      <c r="I375" s="123" t="s">
        <v>4400</v>
      </c>
      <c r="J375" s="33">
        <v>371</v>
      </c>
      <c r="K375" s="114"/>
      <c r="L375" s="114"/>
      <c r="M375" s="114"/>
      <c r="N375" s="124">
        <f>7.7*10^6</f>
        <v>7700000</v>
      </c>
      <c r="O375" s="124">
        <f>4200*24*3600*14900000000000*0.33</f>
        <v>1.78428096e+21</v>
      </c>
      <c r="P375" s="124"/>
      <c r="Q375" s="114" t="s">
        <v>627</v>
      </c>
      <c r="R375" s="124"/>
      <c r="S375" s="114"/>
      <c r="T375" s="114"/>
      <c r="U375" s="114"/>
      <c r="V375" s="159"/>
      <c r="W375" s="114"/>
      <c r="X375" s="159"/>
      <c r="Y375" s="114"/>
      <c r="Z375" s="164"/>
      <c r="AA375" s="114"/>
      <c r="AB375" s="114"/>
      <c r="AC375" s="114"/>
      <c r="AD375" s="114"/>
      <c r="AE375" s="114"/>
      <c r="AF375" s="114"/>
      <c r="AG375" s="114"/>
      <c r="AH375" s="114"/>
      <c r="AI375" s="114"/>
      <c r="AJ375" s="114"/>
      <c r="AK375" s="114"/>
      <c r="AL375" s="114"/>
      <c r="AM375" s="114"/>
      <c r="AN375" s="114"/>
      <c r="AO375" s="114"/>
      <c r="AP375" s="114"/>
      <c r="AQ375" s="114"/>
      <c r="AR375" s="114"/>
    </row>
    <row r="376" ht="14.25" spans="1:44">
      <c r="A376" s="114" t="s">
        <v>713</v>
      </c>
      <c r="B376" s="114" t="s">
        <v>51</v>
      </c>
      <c r="C376" s="114" t="s">
        <v>267</v>
      </c>
      <c r="D376" s="114" t="s">
        <v>714</v>
      </c>
      <c r="E376" s="114" t="s">
        <v>715</v>
      </c>
      <c r="F376" s="153">
        <v>43992</v>
      </c>
      <c r="G376" s="152">
        <f t="shared" si="8"/>
        <v>3992</v>
      </c>
      <c r="H376" s="114" t="s">
        <v>716</v>
      </c>
      <c r="I376" s="123" t="s">
        <v>717</v>
      </c>
      <c r="J376" s="33">
        <v>30</v>
      </c>
      <c r="K376" s="124"/>
      <c r="L376" s="114" t="s">
        <v>49</v>
      </c>
      <c r="M376" s="114"/>
      <c r="N376" s="124">
        <v>51100000</v>
      </c>
      <c r="O376" s="124"/>
      <c r="P376" s="124">
        <v>7420000000</v>
      </c>
      <c r="Q376" s="114"/>
      <c r="R376" s="124"/>
      <c r="S376" s="220"/>
      <c r="T376" s="114"/>
      <c r="U376" s="114"/>
      <c r="V376" s="114"/>
      <c r="W376" s="114"/>
      <c r="X376" s="114"/>
      <c r="Y376" s="114"/>
      <c r="Z376" s="164"/>
      <c r="AA376" s="114"/>
      <c r="AB376" s="114"/>
      <c r="AC376" s="114"/>
      <c r="AD376" s="114"/>
      <c r="AE376" s="114"/>
      <c r="AF376" s="114"/>
      <c r="AG376" s="114"/>
      <c r="AH376" s="114"/>
      <c r="AI376" s="114"/>
      <c r="AJ376" s="114"/>
      <c r="AK376" s="114"/>
      <c r="AL376" s="114"/>
      <c r="AM376" s="114"/>
      <c r="AN376" s="114"/>
      <c r="AO376" s="114"/>
      <c r="AP376" s="114"/>
      <c r="AQ376" s="114"/>
      <c r="AR376" s="114"/>
    </row>
    <row r="377" ht="14.25" spans="1:44">
      <c r="A377" s="114" t="s">
        <v>602</v>
      </c>
      <c r="B377" s="114" t="s">
        <v>77</v>
      </c>
      <c r="C377" s="114" t="s">
        <v>579</v>
      </c>
      <c r="D377" s="114" t="s">
        <v>379</v>
      </c>
      <c r="E377" s="114" t="s">
        <v>580</v>
      </c>
      <c r="F377" s="153">
        <v>43999</v>
      </c>
      <c r="G377" s="152">
        <f t="shared" si="8"/>
        <v>3999</v>
      </c>
      <c r="H377" s="114" t="s">
        <v>581</v>
      </c>
      <c r="I377" s="123" t="s">
        <v>582</v>
      </c>
      <c r="J377" s="33">
        <v>182</v>
      </c>
      <c r="K377" s="124"/>
      <c r="L377" s="114" t="s">
        <v>49</v>
      </c>
      <c r="M377" s="114"/>
      <c r="N377" s="124">
        <f>1362000000</f>
        <v>1362000000</v>
      </c>
      <c r="O377" s="114">
        <f>8.91*10^21</f>
        <v>8.91e+21</v>
      </c>
      <c r="P377" s="124"/>
      <c r="Q377" s="114"/>
      <c r="R377" s="124"/>
      <c r="S377" s="220"/>
      <c r="T377" s="114"/>
      <c r="U377" s="114"/>
      <c r="V377" s="114"/>
      <c r="W377" s="114"/>
      <c r="X377" s="114"/>
      <c r="Y377" s="114"/>
      <c r="Z377" s="164"/>
      <c r="AA377" s="114"/>
      <c r="AB377" s="114"/>
      <c r="AC377" s="114"/>
      <c r="AD377" s="114"/>
      <c r="AE377" s="114"/>
      <c r="AF377" s="114"/>
      <c r="AG377" s="114"/>
      <c r="AH377" s="114"/>
      <c r="AI377" s="114"/>
      <c r="AJ377" s="114"/>
      <c r="AK377" s="114"/>
      <c r="AL377" s="114"/>
      <c r="AM377" s="114"/>
      <c r="AN377" s="114"/>
      <c r="AO377" s="114"/>
      <c r="AP377" s="114"/>
      <c r="AQ377" s="114"/>
      <c r="AR377" s="114"/>
    </row>
    <row r="378" ht="14.25" spans="1:44">
      <c r="A378" s="114" t="s">
        <v>578</v>
      </c>
      <c r="B378" s="114" t="s">
        <v>77</v>
      </c>
      <c r="C378" s="114" t="s">
        <v>579</v>
      </c>
      <c r="D378" s="114" t="s">
        <v>379</v>
      </c>
      <c r="E378" s="114" t="s">
        <v>580</v>
      </c>
      <c r="F378" s="153">
        <v>43999</v>
      </c>
      <c r="G378" s="152">
        <f t="shared" si="8"/>
        <v>3999</v>
      </c>
      <c r="H378" s="114" t="s">
        <v>581</v>
      </c>
      <c r="I378" s="123" t="s">
        <v>582</v>
      </c>
      <c r="J378" s="33">
        <v>182</v>
      </c>
      <c r="K378" s="124"/>
      <c r="L378" s="114" t="s">
        <v>49</v>
      </c>
      <c r="M378" s="114"/>
      <c r="N378" s="124">
        <v>6801000000</v>
      </c>
      <c r="O378" s="124">
        <v>3.3e+22</v>
      </c>
      <c r="P378" s="124"/>
      <c r="Q378" s="114"/>
      <c r="R378" s="124"/>
      <c r="S378" s="220"/>
      <c r="T378" s="114"/>
      <c r="U378" s="114"/>
      <c r="V378" s="114"/>
      <c r="W378" s="114"/>
      <c r="X378" s="114"/>
      <c r="Y378" s="114"/>
      <c r="Z378" s="164"/>
      <c r="AA378" s="114"/>
      <c r="AB378" s="114"/>
      <c r="AC378" s="114"/>
      <c r="AD378" s="114"/>
      <c r="AE378" s="114"/>
      <c r="AF378" s="114"/>
      <c r="AG378" s="114"/>
      <c r="AH378" s="114"/>
      <c r="AI378" s="114"/>
      <c r="AJ378" s="114"/>
      <c r="AK378" s="114"/>
      <c r="AL378" s="114"/>
      <c r="AM378" s="114"/>
      <c r="AN378" s="114"/>
      <c r="AO378" s="114"/>
      <c r="AP378" s="114"/>
      <c r="AQ378" s="114"/>
      <c r="AR378" s="114"/>
    </row>
    <row r="379" ht="14.25" spans="1:44">
      <c r="A379" s="114" t="s">
        <v>595</v>
      </c>
      <c r="B379" s="114" t="s">
        <v>51</v>
      </c>
      <c r="C379" s="114"/>
      <c r="D379" s="114" t="s">
        <v>262</v>
      </c>
      <c r="E379" s="114" t="s">
        <v>586</v>
      </c>
      <c r="F379" s="153">
        <v>44012</v>
      </c>
      <c r="G379" s="152">
        <f t="shared" si="8"/>
        <v>4012</v>
      </c>
      <c r="H379" s="114" t="s">
        <v>587</v>
      </c>
      <c r="I379" s="123" t="s">
        <v>588</v>
      </c>
      <c r="J379" s="33">
        <v>91</v>
      </c>
      <c r="K379" s="124"/>
      <c r="L379" s="114" t="s">
        <v>49</v>
      </c>
      <c r="M379" s="114"/>
      <c r="N379" s="124">
        <v>600000000000</v>
      </c>
      <c r="O379" s="114">
        <v>2.4e+21</v>
      </c>
      <c r="P379" s="124"/>
      <c r="Q379" s="114"/>
      <c r="R379" s="124"/>
      <c r="S379" s="220"/>
      <c r="T379" s="114"/>
      <c r="U379" s="114"/>
      <c r="V379" s="114"/>
      <c r="W379" s="114"/>
      <c r="X379" s="114"/>
      <c r="Y379" s="114"/>
      <c r="Z379" s="164"/>
      <c r="AA379" s="114"/>
      <c r="AB379" s="114"/>
      <c r="AC379" s="114"/>
      <c r="AD379" s="114"/>
      <c r="AE379" s="114"/>
      <c r="AF379" s="114"/>
      <c r="AG379" s="114"/>
      <c r="AH379" s="114"/>
      <c r="AI379" s="114"/>
      <c r="AJ379" s="114"/>
      <c r="AK379" s="114"/>
      <c r="AL379" s="114"/>
      <c r="AM379" s="114"/>
      <c r="AN379" s="114"/>
      <c r="AO379" s="114"/>
      <c r="AP379" s="114"/>
      <c r="AQ379" s="114"/>
      <c r="AR379" s="114"/>
    </row>
    <row r="380" ht="14.25" spans="1:44">
      <c r="A380" s="114" t="s">
        <v>585</v>
      </c>
      <c r="B380" s="114" t="s">
        <v>51</v>
      </c>
      <c r="C380" s="114"/>
      <c r="D380" s="114" t="s">
        <v>262</v>
      </c>
      <c r="E380" s="114" t="s">
        <v>586</v>
      </c>
      <c r="F380" s="153">
        <v>44012</v>
      </c>
      <c r="G380" s="152">
        <f t="shared" si="8"/>
        <v>4012</v>
      </c>
      <c r="H380" s="114" t="s">
        <v>587</v>
      </c>
      <c r="I380" s="123" t="s">
        <v>588</v>
      </c>
      <c r="J380" s="33">
        <v>91</v>
      </c>
      <c r="K380" s="124"/>
      <c r="L380" s="114" t="s">
        <v>49</v>
      </c>
      <c r="M380" s="114"/>
      <c r="N380" s="124">
        <f>2300000000</f>
        <v>2300000000</v>
      </c>
      <c r="O380" s="114">
        <f>2.6*10^22</f>
        <v>2.6e+22</v>
      </c>
      <c r="P380" s="124"/>
      <c r="Q380" s="114"/>
      <c r="R380" s="124"/>
      <c r="S380" s="220"/>
      <c r="T380" s="114"/>
      <c r="U380" s="114"/>
      <c r="V380" s="114"/>
      <c r="W380" s="114"/>
      <c r="X380" s="114"/>
      <c r="Y380" s="114"/>
      <c r="Z380" s="164"/>
      <c r="AA380" s="114"/>
      <c r="AB380" s="114"/>
      <c r="AC380" s="114"/>
      <c r="AD380" s="114"/>
      <c r="AE380" s="114"/>
      <c r="AF380" s="114"/>
      <c r="AG380" s="114"/>
      <c r="AH380" s="114"/>
      <c r="AI380" s="114"/>
      <c r="AJ380" s="114"/>
      <c r="AK380" s="114"/>
      <c r="AL380" s="114"/>
      <c r="AM380" s="114"/>
      <c r="AN380" s="114"/>
      <c r="AO380" s="114"/>
      <c r="AP380" s="114"/>
      <c r="AQ380" s="114"/>
      <c r="AR380" s="114"/>
    </row>
    <row r="381" ht="14.25" spans="1:44">
      <c r="A381" s="114" t="s">
        <v>718</v>
      </c>
      <c r="B381" s="114" t="s">
        <v>199</v>
      </c>
      <c r="C381" s="114"/>
      <c r="D381" s="114" t="s">
        <v>719</v>
      </c>
      <c r="E381" s="114" t="s">
        <v>720</v>
      </c>
      <c r="F381" s="153">
        <v>44028</v>
      </c>
      <c r="G381" s="152">
        <f t="shared" si="8"/>
        <v>4028</v>
      </c>
      <c r="H381" s="114" t="s">
        <v>721</v>
      </c>
      <c r="I381" s="123" t="s">
        <v>722</v>
      </c>
      <c r="J381" s="33">
        <v>54</v>
      </c>
      <c r="K381" s="124"/>
      <c r="L381" s="114" t="s">
        <v>49</v>
      </c>
      <c r="M381" s="114"/>
      <c r="N381" s="124"/>
      <c r="O381" s="114"/>
      <c r="P381" s="124"/>
      <c r="Q381" s="114"/>
      <c r="R381" s="124"/>
      <c r="S381" s="114"/>
      <c r="T381" s="114"/>
      <c r="U381" s="114"/>
      <c r="V381" s="114"/>
      <c r="W381" s="114"/>
      <c r="X381" s="114"/>
      <c r="Y381" s="114"/>
      <c r="Z381" s="164"/>
      <c r="AA381" s="114"/>
      <c r="AB381" s="114"/>
      <c r="AC381" s="114"/>
      <c r="AD381" s="114"/>
      <c r="AE381" s="114"/>
      <c r="AF381" s="114"/>
      <c r="AG381" s="114"/>
      <c r="AH381" s="114"/>
      <c r="AI381" s="114"/>
      <c r="AJ381" s="114"/>
      <c r="AK381" s="114"/>
      <c r="AL381" s="114"/>
      <c r="AM381" s="114"/>
      <c r="AN381" s="114"/>
      <c r="AO381" s="114"/>
      <c r="AP381" s="114"/>
      <c r="AQ381" s="114"/>
      <c r="AR381" s="114"/>
    </row>
    <row r="382" ht="14.25" spans="1:44">
      <c r="A382" s="114" t="s">
        <v>723</v>
      </c>
      <c r="B382" s="114" t="s">
        <v>41</v>
      </c>
      <c r="C382" s="114" t="s">
        <v>724</v>
      </c>
      <c r="D382" s="114" t="s">
        <v>262</v>
      </c>
      <c r="E382" s="114" t="s">
        <v>725</v>
      </c>
      <c r="F382" s="153">
        <v>44039</v>
      </c>
      <c r="G382" s="152">
        <f t="shared" si="8"/>
        <v>4039</v>
      </c>
      <c r="H382" s="114" t="s">
        <v>726</v>
      </c>
      <c r="I382" s="123" t="s">
        <v>727</v>
      </c>
      <c r="J382" s="33">
        <v>706</v>
      </c>
      <c r="K382" s="124"/>
      <c r="L382" s="114" t="s">
        <v>49</v>
      </c>
      <c r="M382" s="114"/>
      <c r="N382" s="124">
        <v>52000000</v>
      </c>
      <c r="P382" s="124">
        <v>325000000000</v>
      </c>
      <c r="Q382" s="114"/>
      <c r="R382" s="124"/>
      <c r="S382" s="114"/>
      <c r="T382" s="114"/>
      <c r="U382" s="114"/>
      <c r="V382" s="114"/>
      <c r="W382" s="114"/>
      <c r="X382" s="114"/>
      <c r="Y382" s="114"/>
      <c r="Z382" s="164"/>
      <c r="AA382" s="114"/>
      <c r="AB382" s="114"/>
      <c r="AC382" s="114"/>
      <c r="AD382" s="114"/>
      <c r="AE382" s="114"/>
      <c r="AF382" s="114"/>
      <c r="AG382" s="114"/>
      <c r="AH382" s="114"/>
      <c r="AI382" s="114"/>
      <c r="AJ382" s="114"/>
      <c r="AK382" s="114"/>
      <c r="AL382" s="114"/>
      <c r="AM382" s="114"/>
      <c r="AN382" s="114"/>
      <c r="AO382" s="114"/>
      <c r="AP382" s="114"/>
      <c r="AQ382" s="114"/>
      <c r="AR382" s="114"/>
    </row>
    <row r="383" ht="14.25" spans="1:44">
      <c r="A383" s="114" t="s">
        <v>4401</v>
      </c>
      <c r="B383" s="114" t="s">
        <v>126</v>
      </c>
      <c r="C383" s="114" t="s">
        <v>630</v>
      </c>
      <c r="D383" s="114" t="s">
        <v>435</v>
      </c>
      <c r="E383" s="226" t="s">
        <v>631</v>
      </c>
      <c r="F383" s="153">
        <v>44126</v>
      </c>
      <c r="G383" s="152">
        <f t="shared" si="8"/>
        <v>4126</v>
      </c>
      <c r="H383" s="114" t="s">
        <v>632</v>
      </c>
      <c r="I383" s="123" t="s">
        <v>4402</v>
      </c>
      <c r="J383" s="33">
        <v>410</v>
      </c>
      <c r="K383" s="114"/>
      <c r="L383" s="114" t="s">
        <v>38</v>
      </c>
      <c r="M383" s="114"/>
      <c r="N383" s="124">
        <v>317000000</v>
      </c>
      <c r="O383" s="124">
        <v>1.11e+20</v>
      </c>
      <c r="P383" s="124"/>
      <c r="Q383" s="114" t="s">
        <v>404</v>
      </c>
      <c r="R383" s="124"/>
      <c r="S383" s="114"/>
      <c r="T383" s="114"/>
      <c r="U383" s="114"/>
      <c r="V383" s="114"/>
      <c r="W383" s="114"/>
      <c r="X383" s="114"/>
      <c r="Y383" s="114"/>
      <c r="Z383" s="164"/>
      <c r="AA383" s="114"/>
      <c r="AB383" s="114"/>
      <c r="AC383" s="114"/>
      <c r="AD383" s="114"/>
      <c r="AE383" s="114"/>
      <c r="AF383" s="114"/>
      <c r="AG383" s="114"/>
      <c r="AH383" s="114"/>
      <c r="AI383" s="114"/>
      <c r="AJ383" s="114"/>
      <c r="AK383" s="114"/>
      <c r="AL383" s="114"/>
      <c r="AM383" s="114"/>
      <c r="AN383" s="114"/>
      <c r="AO383" s="114"/>
      <c r="AP383" s="114"/>
      <c r="AQ383" s="114"/>
      <c r="AR383" s="114"/>
    </row>
    <row r="384" ht="14.25" spans="1:44">
      <c r="A384" s="156" t="s">
        <v>733</v>
      </c>
      <c r="B384" s="156" t="s">
        <v>41</v>
      </c>
      <c r="C384" s="114" t="s">
        <v>597</v>
      </c>
      <c r="D384" s="156" t="s">
        <v>150</v>
      </c>
      <c r="E384" s="114" t="s">
        <v>598</v>
      </c>
      <c r="F384" s="229">
        <v>44126</v>
      </c>
      <c r="G384" s="152">
        <f t="shared" si="8"/>
        <v>4126</v>
      </c>
      <c r="H384" s="114" t="s">
        <v>599</v>
      </c>
      <c r="I384" s="123" t="s">
        <v>4403</v>
      </c>
      <c r="J384" s="33">
        <v>729</v>
      </c>
      <c r="K384" s="124"/>
      <c r="L384" s="114" t="s">
        <v>49</v>
      </c>
      <c r="M384" s="159"/>
      <c r="N384" s="160">
        <v>86000000</v>
      </c>
      <c r="O384" s="159"/>
      <c r="P384" s="173"/>
      <c r="Q384" s="159"/>
      <c r="R384" s="159"/>
      <c r="S384" s="159"/>
      <c r="T384" s="156" t="s">
        <v>735</v>
      </c>
      <c r="U384" s="159"/>
      <c r="V384" s="114"/>
      <c r="W384" s="114"/>
      <c r="X384" s="114"/>
      <c r="Y384" s="114"/>
      <c r="Z384" s="164"/>
      <c r="AA384" s="114"/>
      <c r="AB384" s="114"/>
      <c r="AC384" s="114"/>
      <c r="AD384" s="114"/>
      <c r="AE384" s="114"/>
      <c r="AF384" s="114"/>
      <c r="AG384" s="114"/>
      <c r="AH384" s="114"/>
      <c r="AI384" s="114"/>
      <c r="AJ384" s="114"/>
      <c r="AK384" s="114"/>
      <c r="AL384" s="114"/>
      <c r="AM384" s="114"/>
      <c r="AN384" s="114"/>
      <c r="AO384" s="114"/>
      <c r="AP384" s="114"/>
      <c r="AQ384" s="114"/>
      <c r="AR384" s="114"/>
    </row>
    <row r="385" ht="14.25" spans="1:44">
      <c r="A385" s="114" t="s">
        <v>736</v>
      </c>
      <c r="B385" s="156" t="s">
        <v>41</v>
      </c>
      <c r="C385" s="114" t="s">
        <v>597</v>
      </c>
      <c r="D385" s="156" t="s">
        <v>150</v>
      </c>
      <c r="E385" s="114" t="s">
        <v>598</v>
      </c>
      <c r="F385" s="229">
        <v>44126</v>
      </c>
      <c r="G385" s="152">
        <f t="shared" si="8"/>
        <v>4126</v>
      </c>
      <c r="H385" s="114" t="s">
        <v>599</v>
      </c>
      <c r="I385" s="123" t="s">
        <v>4403</v>
      </c>
      <c r="J385" s="33">
        <v>729</v>
      </c>
      <c r="K385" s="124"/>
      <c r="L385" s="114" t="s">
        <v>49</v>
      </c>
      <c r="M385" s="114"/>
      <c r="N385" s="124">
        <v>632000000</v>
      </c>
      <c r="O385" s="114"/>
      <c r="P385" s="124"/>
      <c r="Q385" s="114"/>
      <c r="R385" s="124"/>
      <c r="S385" s="114"/>
      <c r="T385" s="156" t="s">
        <v>737</v>
      </c>
      <c r="U385" s="114"/>
      <c r="V385" s="114"/>
      <c r="W385" s="114"/>
      <c r="X385" s="114"/>
      <c r="Y385" s="114"/>
      <c r="Z385" s="164"/>
      <c r="AA385" s="114"/>
      <c r="AB385" s="114"/>
      <c r="AC385" s="114"/>
      <c r="AD385" s="114"/>
      <c r="AE385" s="114"/>
      <c r="AF385" s="114"/>
      <c r="AG385" s="114"/>
      <c r="AH385" s="114"/>
      <c r="AI385" s="114"/>
      <c r="AJ385" s="114"/>
      <c r="AK385" s="114"/>
      <c r="AL385" s="114"/>
      <c r="AM385" s="114"/>
      <c r="AN385" s="114"/>
      <c r="AO385" s="114"/>
      <c r="AP385" s="114"/>
      <c r="AQ385" s="114"/>
      <c r="AR385" s="114"/>
    </row>
    <row r="386" ht="14.25" spans="1:44">
      <c r="A386" s="155" t="s">
        <v>743</v>
      </c>
      <c r="B386" s="114" t="s">
        <v>199</v>
      </c>
      <c r="C386" s="114" t="s">
        <v>663</v>
      </c>
      <c r="D386" s="114" t="s">
        <v>71</v>
      </c>
      <c r="E386" s="114" t="s">
        <v>744</v>
      </c>
      <c r="F386" s="153">
        <v>44165</v>
      </c>
      <c r="G386" s="152">
        <f t="shared" si="8"/>
        <v>4165</v>
      </c>
      <c r="H386" s="114" t="s">
        <v>745</v>
      </c>
      <c r="I386" s="123" t="s">
        <v>746</v>
      </c>
      <c r="J386" s="33">
        <v>58</v>
      </c>
      <c r="K386" s="124"/>
      <c r="L386" s="114" t="s">
        <v>49</v>
      </c>
      <c r="M386" s="114"/>
      <c r="N386" s="124"/>
      <c r="O386" s="230"/>
      <c r="P386" s="124"/>
      <c r="Q386" s="114"/>
      <c r="R386" s="124"/>
      <c r="S386" s="114"/>
      <c r="T386" s="114"/>
      <c r="U386" s="114"/>
      <c r="V386" s="114"/>
      <c r="W386" s="114"/>
      <c r="X386" s="114"/>
      <c r="Y386" s="114"/>
      <c r="Z386" s="164"/>
      <c r="AA386" s="114"/>
      <c r="AB386" s="114"/>
      <c r="AC386" s="114"/>
      <c r="AD386" s="114"/>
      <c r="AE386" s="114"/>
      <c r="AF386" s="114"/>
      <c r="AG386" s="114"/>
      <c r="AH386" s="114"/>
      <c r="AI386" s="114"/>
      <c r="AJ386" s="114"/>
      <c r="AK386" s="114"/>
      <c r="AL386" s="114"/>
      <c r="AM386" s="114"/>
      <c r="AN386" s="114"/>
      <c r="AO386" s="114"/>
      <c r="AP386" s="114"/>
      <c r="AQ386" s="114"/>
      <c r="AR386" s="114"/>
    </row>
    <row r="387" ht="14.25" spans="1:44">
      <c r="A387" s="114" t="s">
        <v>615</v>
      </c>
      <c r="B387" s="114" t="s">
        <v>51</v>
      </c>
      <c r="C387" s="114"/>
      <c r="D387" s="114" t="s">
        <v>616</v>
      </c>
      <c r="E387" s="114" t="s">
        <v>617</v>
      </c>
      <c r="F387" s="153">
        <v>44166</v>
      </c>
      <c r="G387" s="152">
        <f t="shared" si="8"/>
        <v>4166</v>
      </c>
      <c r="H387" s="114" t="s">
        <v>618</v>
      </c>
      <c r="I387" s="123" t="s">
        <v>619</v>
      </c>
      <c r="J387" s="33">
        <v>10</v>
      </c>
      <c r="K387" s="124"/>
      <c r="L387" s="114" t="s">
        <v>49</v>
      </c>
      <c r="M387" s="114"/>
      <c r="N387" s="124">
        <v>2600000000</v>
      </c>
      <c r="O387" s="124">
        <v>1.8e+21</v>
      </c>
      <c r="P387" s="124"/>
      <c r="Q387" s="114"/>
      <c r="R387" s="34"/>
      <c r="S387" s="114"/>
      <c r="T387" s="114"/>
      <c r="U387" s="114"/>
      <c r="V387" s="114"/>
      <c r="W387" s="114"/>
      <c r="X387" s="114"/>
      <c r="Y387" s="114"/>
      <c r="Z387" s="164"/>
      <c r="AA387" s="114"/>
      <c r="AB387" s="114"/>
      <c r="AC387" s="114"/>
      <c r="AD387" s="114"/>
      <c r="AE387" s="114"/>
      <c r="AF387" s="114"/>
      <c r="AG387" s="114"/>
      <c r="AH387" s="114"/>
      <c r="AI387" s="114"/>
      <c r="AJ387" s="114"/>
      <c r="AK387" s="114"/>
      <c r="AL387" s="114"/>
      <c r="AM387" s="114"/>
      <c r="AN387" s="114"/>
      <c r="AO387" s="114"/>
      <c r="AP387" s="114"/>
      <c r="AQ387" s="114"/>
      <c r="AR387" s="114"/>
    </row>
    <row r="388" ht="14.25" spans="1:44">
      <c r="A388" s="114" t="s">
        <v>748</v>
      </c>
      <c r="B388" s="114" t="s">
        <v>77</v>
      </c>
      <c r="C388" s="114" t="s">
        <v>78</v>
      </c>
      <c r="D388" s="114" t="s">
        <v>749</v>
      </c>
      <c r="E388" s="114" t="s">
        <v>750</v>
      </c>
      <c r="F388" s="169">
        <v>44182</v>
      </c>
      <c r="G388" s="152">
        <f t="shared" si="8"/>
        <v>4182</v>
      </c>
      <c r="H388" s="114" t="s">
        <v>751</v>
      </c>
      <c r="I388" s="123" t="s">
        <v>752</v>
      </c>
      <c r="J388" s="33">
        <v>32</v>
      </c>
      <c r="K388" s="124"/>
      <c r="L388" s="114" t="s">
        <v>49</v>
      </c>
      <c r="M388" s="114"/>
      <c r="N388" s="124"/>
      <c r="O388" s="114"/>
      <c r="P388" s="124"/>
      <c r="Q388" s="114"/>
      <c r="R388" s="124"/>
      <c r="S388" s="114"/>
      <c r="T388" s="114"/>
      <c r="U388" s="114"/>
      <c r="V388" s="114"/>
      <c r="W388" s="114"/>
      <c r="X388" s="114"/>
      <c r="Y388" s="114"/>
      <c r="Z388" s="164"/>
      <c r="AA388" s="114"/>
      <c r="AB388" s="114"/>
      <c r="AC388" s="114"/>
      <c r="AD388" s="114"/>
      <c r="AE388" s="114"/>
      <c r="AF388" s="114"/>
      <c r="AG388" s="114"/>
      <c r="AH388" s="114"/>
      <c r="AI388" s="114"/>
      <c r="AJ388" s="114"/>
      <c r="AK388" s="114"/>
      <c r="AL388" s="114"/>
      <c r="AM388" s="114"/>
      <c r="AN388" s="114"/>
      <c r="AO388" s="114"/>
      <c r="AP388" s="114"/>
      <c r="AQ388" s="114"/>
      <c r="AR388" s="114"/>
    </row>
    <row r="389" ht="14.25" spans="1:44">
      <c r="A389" s="155" t="s">
        <v>809</v>
      </c>
      <c r="B389" s="114" t="s">
        <v>256</v>
      </c>
      <c r="C389" s="114" t="s">
        <v>4404</v>
      </c>
      <c r="D389" s="114" t="s">
        <v>71</v>
      </c>
      <c r="E389" s="114" t="s">
        <v>4405</v>
      </c>
      <c r="F389" s="153">
        <v>44188</v>
      </c>
      <c r="G389" s="152">
        <f t="shared" si="8"/>
        <v>4188</v>
      </c>
      <c r="H389" s="114" t="s">
        <v>4406</v>
      </c>
      <c r="I389" s="123" t="s">
        <v>4407</v>
      </c>
      <c r="J389" s="33">
        <v>412</v>
      </c>
      <c r="K389" s="124"/>
      <c r="L389" s="114" t="s">
        <v>49</v>
      </c>
      <c r="M389" s="114"/>
      <c r="N389" s="124"/>
      <c r="O389" s="230"/>
      <c r="P389" s="124"/>
      <c r="Q389" s="114"/>
      <c r="R389" s="34">
        <v>20000000000</v>
      </c>
      <c r="S389" s="114"/>
      <c r="T389" s="114"/>
      <c r="U389" s="114"/>
      <c r="V389" s="114"/>
      <c r="W389" s="156" t="s">
        <v>667</v>
      </c>
      <c r="X389" s="217">
        <v>0.770664728663177</v>
      </c>
      <c r="Y389" s="159"/>
      <c r="Z389" s="164"/>
      <c r="AA389" s="159"/>
      <c r="AB389" s="159"/>
      <c r="AC389" s="159"/>
      <c r="AD389" s="114"/>
      <c r="AE389" s="114"/>
      <c r="AF389" s="114"/>
      <c r="AG389" s="114"/>
      <c r="AH389" s="114"/>
      <c r="AI389" s="114"/>
      <c r="AJ389" s="114"/>
      <c r="AK389" s="114"/>
      <c r="AL389" s="114"/>
      <c r="AM389" s="114"/>
      <c r="AN389" s="114"/>
      <c r="AO389" s="114"/>
      <c r="AP389" s="114"/>
      <c r="AQ389" s="114"/>
      <c r="AR389" s="114"/>
    </row>
    <row r="390" ht="14.25" spans="1:44">
      <c r="A390" s="114" t="s">
        <v>609</v>
      </c>
      <c r="B390" s="114" t="s">
        <v>51</v>
      </c>
      <c r="C390" s="114"/>
      <c r="D390" s="114" t="s">
        <v>610</v>
      </c>
      <c r="E390" s="114" t="s">
        <v>611</v>
      </c>
      <c r="F390" s="169">
        <v>44196</v>
      </c>
      <c r="G390" s="152">
        <f t="shared" si="8"/>
        <v>4196</v>
      </c>
      <c r="H390" s="114" t="s">
        <v>612</v>
      </c>
      <c r="I390" s="123" t="s">
        <v>4408</v>
      </c>
      <c r="J390" s="33">
        <v>4</v>
      </c>
      <c r="K390" s="124"/>
      <c r="L390" s="114" t="s">
        <v>49</v>
      </c>
      <c r="M390" s="114"/>
      <c r="N390" s="124">
        <v>1500000000</v>
      </c>
      <c r="O390" s="124">
        <v>2e+21</v>
      </c>
      <c r="P390" s="124"/>
      <c r="Q390" s="114"/>
      <c r="R390" s="124"/>
      <c r="S390" s="114"/>
      <c r="T390" s="114"/>
      <c r="U390" s="114"/>
      <c r="V390" s="114"/>
      <c r="W390" s="114"/>
      <c r="X390" s="114"/>
      <c r="Y390" s="114"/>
      <c r="Z390" s="164"/>
      <c r="AA390" s="114"/>
      <c r="AB390" s="114"/>
      <c r="AC390" s="114"/>
      <c r="AD390" s="114"/>
      <c r="AE390" s="114"/>
      <c r="AF390" s="114"/>
      <c r="AG390" s="114"/>
      <c r="AH390" s="114"/>
      <c r="AI390" s="114"/>
      <c r="AJ390" s="114"/>
      <c r="AK390" s="114"/>
      <c r="AL390" s="114"/>
      <c r="AM390" s="114"/>
      <c r="AN390" s="114"/>
      <c r="AO390" s="114"/>
      <c r="AP390" s="114"/>
      <c r="AQ390" s="114"/>
      <c r="AR390" s="114"/>
    </row>
    <row r="391" ht="14.25" spans="1:44">
      <c r="A391" s="114" t="s">
        <v>433</v>
      </c>
      <c r="B391" s="114" t="s">
        <v>434</v>
      </c>
      <c r="C391" s="114"/>
      <c r="D391" s="114" t="s">
        <v>435</v>
      </c>
      <c r="E391" s="114" t="s">
        <v>436</v>
      </c>
      <c r="F391" s="114">
        <v>2021</v>
      </c>
      <c r="G391" s="152">
        <f t="shared" si="8"/>
        <v>2021</v>
      </c>
      <c r="H391" s="114" t="s">
        <v>437</v>
      </c>
      <c r="I391" s="123" t="s">
        <v>438</v>
      </c>
      <c r="J391" s="33">
        <v>2</v>
      </c>
      <c r="K391" s="124"/>
      <c r="L391" s="114" t="s">
        <v>49</v>
      </c>
      <c r="M391" s="114"/>
      <c r="N391" s="124">
        <v>3000000000000</v>
      </c>
      <c r="O391" s="124">
        <v>1.1e+21</v>
      </c>
      <c r="P391" s="124"/>
      <c r="Q391" s="114"/>
      <c r="R391" s="124"/>
      <c r="S391" s="114"/>
      <c r="T391" s="114"/>
      <c r="U391" s="114"/>
      <c r="V391" s="114"/>
      <c r="W391" s="114"/>
      <c r="X391" s="114"/>
      <c r="Y391" s="114"/>
      <c r="Z391" s="164"/>
      <c r="AA391" s="114"/>
      <c r="AB391" s="114"/>
      <c r="AC391" s="114"/>
      <c r="AD391" s="114"/>
      <c r="AE391" s="114"/>
      <c r="AF391" s="114"/>
      <c r="AG391" s="114"/>
      <c r="AH391" s="114"/>
      <c r="AI391" s="114"/>
      <c r="AJ391" s="114"/>
      <c r="AK391" s="114"/>
      <c r="AL391" s="114"/>
      <c r="AM391" s="114"/>
      <c r="AN391" s="114"/>
      <c r="AO391" s="114"/>
      <c r="AP391" s="114"/>
      <c r="AQ391" s="114"/>
      <c r="AR391" s="114"/>
    </row>
    <row r="392" ht="14.25" spans="1:44">
      <c r="A392" s="114" t="s">
        <v>392</v>
      </c>
      <c r="B392" s="114" t="s">
        <v>51</v>
      </c>
      <c r="C392" s="114"/>
      <c r="D392" s="114" t="s">
        <v>393</v>
      </c>
      <c r="E392" s="114" t="s">
        <v>394</v>
      </c>
      <c r="F392" s="114">
        <v>2021</v>
      </c>
      <c r="G392" s="152">
        <f t="shared" si="8"/>
        <v>2021</v>
      </c>
      <c r="H392" s="114" t="s">
        <v>395</v>
      </c>
      <c r="I392" s="123" t="s">
        <v>4409</v>
      </c>
      <c r="J392" s="33">
        <v>176</v>
      </c>
      <c r="K392" s="124"/>
      <c r="L392" s="114"/>
      <c r="M392" s="114"/>
      <c r="N392" s="124">
        <v>1500000000</v>
      </c>
      <c r="O392" s="114"/>
      <c r="P392" s="124"/>
      <c r="Q392" s="114"/>
      <c r="R392" s="124"/>
      <c r="S392" s="114"/>
      <c r="T392" s="114"/>
      <c r="U392" s="114" t="s">
        <v>397</v>
      </c>
      <c r="V392" s="114"/>
      <c r="W392" s="114"/>
      <c r="X392" s="114"/>
      <c r="Y392" s="114"/>
      <c r="Z392" s="164"/>
      <c r="AA392" s="114"/>
      <c r="AB392" s="114"/>
      <c r="AC392" s="114"/>
      <c r="AD392" s="114"/>
      <c r="AE392" s="114"/>
      <c r="AF392" s="114"/>
      <c r="AG392" s="114"/>
      <c r="AH392" s="114"/>
      <c r="AI392" s="114"/>
      <c r="AJ392" s="114"/>
      <c r="AK392" s="114"/>
      <c r="AL392" s="114"/>
      <c r="AM392" s="114"/>
      <c r="AN392" s="114"/>
      <c r="AO392" s="114"/>
      <c r="AP392" s="114"/>
      <c r="AQ392" s="114"/>
      <c r="AR392" s="114"/>
    </row>
    <row r="393" ht="14.25" spans="1:44">
      <c r="A393" s="114" t="s">
        <v>149</v>
      </c>
      <c r="B393" s="114" t="s">
        <v>51</v>
      </c>
      <c r="C393" s="114"/>
      <c r="D393" s="114" t="s">
        <v>150</v>
      </c>
      <c r="E393" s="114" t="s">
        <v>151</v>
      </c>
      <c r="F393" s="114">
        <v>2021</v>
      </c>
      <c r="G393" s="152">
        <f t="shared" si="8"/>
        <v>2021</v>
      </c>
      <c r="H393" s="114" t="s">
        <v>152</v>
      </c>
      <c r="I393" s="123" t="s">
        <v>4410</v>
      </c>
      <c r="J393" s="33">
        <v>13</v>
      </c>
      <c r="K393" s="124"/>
      <c r="L393" s="114"/>
      <c r="M393" s="114"/>
      <c r="N393" s="124">
        <v>1900000000</v>
      </c>
      <c r="O393" s="124">
        <v>7.1e+21</v>
      </c>
      <c r="P393" s="124"/>
      <c r="Q393" s="114"/>
      <c r="R393" s="124"/>
      <c r="S393" s="114"/>
      <c r="T393" s="114"/>
      <c r="U393" s="114"/>
      <c r="V393" s="114"/>
      <c r="W393" s="114"/>
      <c r="X393" s="114"/>
      <c r="Y393" s="114"/>
      <c r="Z393" s="164"/>
      <c r="AA393" s="114"/>
      <c r="AB393" s="114"/>
      <c r="AC393" s="114"/>
      <c r="AD393" s="114"/>
      <c r="AE393" s="114"/>
      <c r="AF393" s="114"/>
      <c r="AG393" s="114"/>
      <c r="AH393" s="114"/>
      <c r="AI393" s="114"/>
      <c r="AJ393" s="114"/>
      <c r="AK393" s="114"/>
      <c r="AL393" s="114"/>
      <c r="AM393" s="114"/>
      <c r="AN393" s="114"/>
      <c r="AO393" s="114"/>
      <c r="AP393" s="114"/>
      <c r="AQ393" s="114"/>
      <c r="AR393" s="114"/>
    </row>
    <row r="394" ht="14.25" spans="1:44">
      <c r="A394" s="114" t="s">
        <v>475</v>
      </c>
      <c r="B394" s="114" t="s">
        <v>51</v>
      </c>
      <c r="C394" s="114" t="s">
        <v>476</v>
      </c>
      <c r="D394" s="114" t="s">
        <v>477</v>
      </c>
      <c r="E394" s="114" t="s">
        <v>478</v>
      </c>
      <c r="F394" s="114">
        <v>2021</v>
      </c>
      <c r="G394" s="152">
        <f t="shared" si="8"/>
        <v>2021</v>
      </c>
      <c r="H394" s="114" t="s">
        <v>479</v>
      </c>
      <c r="I394" s="123" t="s">
        <v>4411</v>
      </c>
      <c r="J394" s="33">
        <v>43</v>
      </c>
      <c r="K394" s="124"/>
      <c r="L394" s="114"/>
      <c r="M394" s="114"/>
      <c r="N394" s="124">
        <v>8000000000</v>
      </c>
      <c r="P394" s="124"/>
      <c r="Q394" s="114"/>
      <c r="R394" s="124"/>
      <c r="S394" s="114"/>
      <c r="T394" s="114"/>
      <c r="U394" s="114"/>
      <c r="V394" s="114"/>
      <c r="W394" s="114"/>
      <c r="X394" s="114"/>
      <c r="Y394" s="114"/>
      <c r="Z394" s="164"/>
      <c r="AA394" s="114"/>
      <c r="AB394" s="114"/>
      <c r="AC394" s="114"/>
      <c r="AD394" s="114"/>
      <c r="AE394" s="114"/>
      <c r="AF394" s="114"/>
      <c r="AG394" s="114"/>
      <c r="AH394" s="114"/>
      <c r="AI394" s="114"/>
      <c r="AJ394" s="114"/>
      <c r="AK394" s="114"/>
      <c r="AL394" s="114"/>
      <c r="AM394" s="114"/>
      <c r="AN394" s="114"/>
      <c r="AO394" s="114"/>
      <c r="AP394" s="114"/>
      <c r="AQ394" s="114"/>
      <c r="AR394" s="114"/>
    </row>
    <row r="395" ht="14.25" spans="1:44">
      <c r="A395" s="114" t="s">
        <v>543</v>
      </c>
      <c r="B395" s="114" t="s">
        <v>51</v>
      </c>
      <c r="C395" s="114"/>
      <c r="D395" s="114" t="s">
        <v>544</v>
      </c>
      <c r="E395" s="114" t="s">
        <v>545</v>
      </c>
      <c r="F395" s="114">
        <v>2021</v>
      </c>
      <c r="G395" s="152">
        <f t="shared" si="8"/>
        <v>2021</v>
      </c>
      <c r="H395" s="114" t="s">
        <v>546</v>
      </c>
      <c r="I395" s="123" t="s">
        <v>4412</v>
      </c>
      <c r="J395" s="33">
        <v>32</v>
      </c>
      <c r="K395" s="124"/>
      <c r="L395" s="114"/>
      <c r="M395" s="114"/>
      <c r="N395" s="124">
        <v>1600000000</v>
      </c>
      <c r="P395" s="124"/>
      <c r="Q395" s="114"/>
      <c r="R395" s="124"/>
      <c r="S395" s="114"/>
      <c r="T395" s="114"/>
      <c r="U395" s="114"/>
      <c r="V395" s="114"/>
      <c r="W395" s="114"/>
      <c r="X395" s="114"/>
      <c r="Y395" s="114"/>
      <c r="Z395" s="164"/>
      <c r="AA395" s="114"/>
      <c r="AB395" s="114"/>
      <c r="AC395" s="114"/>
      <c r="AD395" s="114"/>
      <c r="AE395" s="114"/>
      <c r="AF395" s="114"/>
      <c r="AG395" s="114"/>
      <c r="AH395" s="114"/>
      <c r="AI395" s="114"/>
      <c r="AJ395" s="114"/>
      <c r="AK395" s="114"/>
      <c r="AL395" s="114"/>
      <c r="AM395" s="114"/>
      <c r="AN395" s="114"/>
      <c r="AO395" s="114"/>
      <c r="AP395" s="114"/>
      <c r="AQ395" s="114"/>
      <c r="AR395" s="114"/>
    </row>
    <row r="396" ht="14.25" spans="1:44">
      <c r="A396" s="114" t="s">
        <v>474</v>
      </c>
      <c r="B396" s="114" t="s">
        <v>32</v>
      </c>
      <c r="C396" s="114" t="s">
        <v>378</v>
      </c>
      <c r="D396" s="114" t="s">
        <v>379</v>
      </c>
      <c r="E396" s="114" t="s">
        <v>380</v>
      </c>
      <c r="F396" s="153">
        <v>44201</v>
      </c>
      <c r="G396" s="152">
        <f t="shared" si="8"/>
        <v>4201</v>
      </c>
      <c r="H396" s="114" t="s">
        <v>381</v>
      </c>
      <c r="I396" s="123" t="s">
        <v>382</v>
      </c>
      <c r="J396" s="33">
        <v>130</v>
      </c>
      <c r="K396" s="124"/>
      <c r="L396" s="114" t="s">
        <v>49</v>
      </c>
      <c r="M396" s="114"/>
      <c r="N396" s="124">
        <f>25600000+63000000</f>
        <v>88600000</v>
      </c>
      <c r="O396" s="220"/>
      <c r="P396" s="124">
        <v>7000000</v>
      </c>
      <c r="Q396" s="114" t="s">
        <v>383</v>
      </c>
      <c r="R396" s="124">
        <v>400000000</v>
      </c>
      <c r="S396" s="159"/>
      <c r="T396" s="114"/>
      <c r="U396" s="114"/>
      <c r="V396" s="114"/>
      <c r="W396" s="114"/>
      <c r="X396" s="114"/>
      <c r="Y396" s="114"/>
      <c r="Z396" s="164"/>
      <c r="AA396" s="114"/>
      <c r="AB396" s="114"/>
      <c r="AC396" s="114"/>
      <c r="AD396" s="114"/>
      <c r="AE396" s="114"/>
      <c r="AF396" s="114"/>
      <c r="AG396" s="114"/>
      <c r="AH396" s="114"/>
      <c r="AI396" s="114"/>
      <c r="AJ396" s="114"/>
      <c r="AK396" s="114"/>
      <c r="AL396" s="114"/>
      <c r="AM396" s="114"/>
      <c r="AN396" s="114"/>
      <c r="AO396" s="114"/>
      <c r="AP396" s="114"/>
      <c r="AQ396" s="114"/>
      <c r="AR396" s="114"/>
    </row>
    <row r="397" ht="14.25" spans="1:44">
      <c r="A397" s="114" t="s">
        <v>377</v>
      </c>
      <c r="B397" s="114" t="s">
        <v>32</v>
      </c>
      <c r="C397" s="114" t="s">
        <v>378</v>
      </c>
      <c r="D397" s="114" t="s">
        <v>379</v>
      </c>
      <c r="E397" s="114" t="s">
        <v>380</v>
      </c>
      <c r="F397" s="153">
        <v>44201</v>
      </c>
      <c r="G397" s="152">
        <f t="shared" si="8"/>
        <v>4201</v>
      </c>
      <c r="H397" s="114" t="s">
        <v>381</v>
      </c>
      <c r="I397" s="123" t="s">
        <v>382</v>
      </c>
      <c r="J397" s="33">
        <v>130</v>
      </c>
      <c r="K397" s="124"/>
      <c r="L397" s="114" t="s">
        <v>49</v>
      </c>
      <c r="M397" s="114"/>
      <c r="N397" s="124">
        <f>307000000+63000000</f>
        <v>370000000</v>
      </c>
      <c r="O397" s="234">
        <v>1.05e+22</v>
      </c>
      <c r="P397" s="124">
        <v>110000000</v>
      </c>
      <c r="Q397" s="114" t="s">
        <v>383</v>
      </c>
      <c r="R397" s="124">
        <v>400000000</v>
      </c>
      <c r="S397" s="114">
        <v>86016</v>
      </c>
      <c r="T397" s="114"/>
      <c r="U397" s="114"/>
      <c r="V397" s="114"/>
      <c r="W397" s="114"/>
      <c r="X397" s="114"/>
      <c r="Y397" s="124">
        <v>1000000</v>
      </c>
      <c r="Z397" s="164"/>
      <c r="AA397" s="114"/>
      <c r="AB397" s="114"/>
      <c r="AC397" s="114"/>
      <c r="AD397" s="114"/>
      <c r="AE397" s="114"/>
      <c r="AF397" s="114"/>
      <c r="AG397" s="114"/>
      <c r="AH397" s="114"/>
      <c r="AI397" s="114"/>
      <c r="AJ397" s="114"/>
      <c r="AK397" s="114"/>
      <c r="AL397" s="114"/>
      <c r="AM397" s="114"/>
      <c r="AN397" s="114"/>
      <c r="AO397" s="114"/>
      <c r="AP397" s="114"/>
      <c r="AQ397" s="114"/>
      <c r="AR397" s="114"/>
    </row>
    <row r="398" ht="14.25" spans="1:44">
      <c r="A398" s="114" t="s">
        <v>350</v>
      </c>
      <c r="B398" s="114" t="s">
        <v>77</v>
      </c>
      <c r="C398" s="114" t="s">
        <v>78</v>
      </c>
      <c r="D398" s="114" t="s">
        <v>34</v>
      </c>
      <c r="E398" s="114" t="s">
        <v>351</v>
      </c>
      <c r="F398" s="153">
        <v>44201</v>
      </c>
      <c r="G398" s="152">
        <f t="shared" si="8"/>
        <v>4201</v>
      </c>
      <c r="H398" s="114" t="s">
        <v>352</v>
      </c>
      <c r="I398" s="123" t="s">
        <v>353</v>
      </c>
      <c r="J398" s="33">
        <v>80</v>
      </c>
      <c r="K398" s="124"/>
      <c r="L398" s="114" t="s">
        <v>49</v>
      </c>
      <c r="M398" s="114"/>
      <c r="N398" s="124">
        <v>12000000000</v>
      </c>
      <c r="O398" s="124">
        <v>4.7e+22</v>
      </c>
      <c r="P398" s="124"/>
      <c r="Q398" s="114"/>
      <c r="R398" s="124"/>
      <c r="S398" s="114"/>
      <c r="T398" s="114"/>
      <c r="U398" s="114"/>
      <c r="V398" s="114"/>
      <c r="W398" s="114"/>
      <c r="X398" s="114"/>
      <c r="Y398" s="114">
        <v>132000</v>
      </c>
      <c r="Z398" s="164"/>
      <c r="AA398" s="114"/>
      <c r="AB398" s="114"/>
      <c r="AC398" s="114"/>
      <c r="AD398" s="114"/>
      <c r="AE398" s="114"/>
      <c r="AF398" s="114"/>
      <c r="AG398" s="114"/>
      <c r="AH398" s="114"/>
      <c r="AI398" s="114"/>
      <c r="AJ398" s="114"/>
      <c r="AK398" s="114"/>
      <c r="AL398" s="114"/>
      <c r="AM398" s="114"/>
      <c r="AN398" s="114"/>
      <c r="AO398" s="114"/>
      <c r="AP398" s="114"/>
      <c r="AQ398" s="114"/>
      <c r="AR398" s="114"/>
    </row>
    <row r="399" ht="14.25" spans="1:44">
      <c r="A399" s="155" t="s">
        <v>311</v>
      </c>
      <c r="B399" s="114" t="s">
        <v>51</v>
      </c>
      <c r="C399" s="114" t="s">
        <v>267</v>
      </c>
      <c r="D399" s="114" t="s">
        <v>262</v>
      </c>
      <c r="E399" s="114" t="s">
        <v>312</v>
      </c>
      <c r="F399" s="153">
        <v>44207</v>
      </c>
      <c r="G399" s="152">
        <f t="shared" si="8"/>
        <v>4207</v>
      </c>
      <c r="H399" s="114" t="s">
        <v>313</v>
      </c>
      <c r="I399" s="123" t="s">
        <v>314</v>
      </c>
      <c r="J399" s="33">
        <v>80</v>
      </c>
      <c r="K399" s="124"/>
      <c r="L399" s="114" t="s">
        <v>49</v>
      </c>
      <c r="M399" s="114"/>
      <c r="N399" s="124">
        <v>1600000000000</v>
      </c>
      <c r="O399" s="114"/>
      <c r="P399" s="124"/>
      <c r="Q399" s="114"/>
      <c r="R399" s="124"/>
      <c r="S399" s="114"/>
      <c r="T399" s="114"/>
      <c r="U399" s="114"/>
      <c r="V399" s="114"/>
      <c r="W399" s="114"/>
      <c r="X399" s="114"/>
      <c r="Y399" s="114"/>
      <c r="Z399" s="164"/>
      <c r="AA399" s="114"/>
      <c r="AB399" s="114"/>
      <c r="AC399" s="114"/>
      <c r="AD399" s="114"/>
      <c r="AE399" s="114"/>
      <c r="AF399" s="114"/>
      <c r="AG399" s="114"/>
      <c r="AH399" s="114"/>
      <c r="AI399" s="114"/>
      <c r="AJ399" s="114"/>
      <c r="AK399" s="114"/>
      <c r="AL399" s="114"/>
      <c r="AM399" s="114"/>
      <c r="AN399" s="114"/>
      <c r="AO399" s="114"/>
      <c r="AP399" s="114"/>
      <c r="AQ399" s="114"/>
      <c r="AR399" s="114"/>
    </row>
    <row r="400" ht="14.25" spans="1:44">
      <c r="A400" s="114" t="s">
        <v>345</v>
      </c>
      <c r="B400" s="114" t="s">
        <v>51</v>
      </c>
      <c r="C400" s="114"/>
      <c r="D400" s="114" t="s">
        <v>53</v>
      </c>
      <c r="E400" s="226" t="s">
        <v>520</v>
      </c>
      <c r="F400" s="153">
        <v>44208</v>
      </c>
      <c r="G400" s="152">
        <f t="shared" si="8"/>
        <v>4208</v>
      </c>
      <c r="H400" s="114" t="s">
        <v>521</v>
      </c>
      <c r="I400" s="123" t="s">
        <v>348</v>
      </c>
      <c r="J400" s="33">
        <v>9</v>
      </c>
      <c r="K400" s="114"/>
      <c r="L400" s="114" t="s">
        <v>38</v>
      </c>
      <c r="M400" s="114"/>
      <c r="N400" s="124">
        <v>137000000000</v>
      </c>
      <c r="O400" s="114"/>
      <c r="P400" s="124"/>
      <c r="Q400" s="114"/>
      <c r="R400" s="124">
        <v>2490000000000</v>
      </c>
      <c r="S400" s="114"/>
      <c r="T400" s="114"/>
      <c r="U400" s="114"/>
      <c r="V400" s="114"/>
      <c r="W400" s="114"/>
      <c r="X400" s="114"/>
      <c r="Y400" s="114"/>
      <c r="Z400" s="164"/>
      <c r="AA400" s="114"/>
      <c r="AB400" s="114"/>
      <c r="AC400" s="114"/>
      <c r="AD400" s="114"/>
      <c r="AE400" s="114"/>
      <c r="AF400" s="114"/>
      <c r="AG400" s="114"/>
      <c r="AH400" s="114"/>
      <c r="AI400" s="114"/>
      <c r="AJ400" s="114"/>
      <c r="AK400" s="114"/>
      <c r="AL400" s="114"/>
      <c r="AM400" s="114"/>
      <c r="AN400" s="114"/>
      <c r="AO400" s="114"/>
      <c r="AP400" s="114"/>
      <c r="AQ400" s="114"/>
      <c r="AR400" s="114"/>
    </row>
    <row r="401" ht="14.25" spans="1:44">
      <c r="A401" s="114" t="s">
        <v>481</v>
      </c>
      <c r="B401" s="114" t="s">
        <v>256</v>
      </c>
      <c r="C401" s="114" t="s">
        <v>482</v>
      </c>
      <c r="D401" s="114" t="s">
        <v>483</v>
      </c>
      <c r="E401" s="114" t="s">
        <v>484</v>
      </c>
      <c r="F401" s="153">
        <v>44245</v>
      </c>
      <c r="G401" s="152">
        <f t="shared" si="8"/>
        <v>4245</v>
      </c>
      <c r="H401" s="114" t="s">
        <v>485</v>
      </c>
      <c r="I401" s="123" t="s">
        <v>4413</v>
      </c>
      <c r="J401" s="172">
        <v>1</v>
      </c>
      <c r="K401" s="124"/>
      <c r="L401" s="156" t="s">
        <v>142</v>
      </c>
      <c r="M401" s="159"/>
      <c r="N401" s="124">
        <f>32*4*8*8+64*32*4*4+64*64*3*3+512*3136</f>
        <v>1683456</v>
      </c>
      <c r="O401" s="159"/>
      <c r="P401" s="173"/>
      <c r="Q401" s="159"/>
      <c r="R401" s="159"/>
      <c r="S401" s="159"/>
      <c r="T401" s="159"/>
      <c r="U401" s="156"/>
      <c r="V401" s="114"/>
      <c r="W401" s="114"/>
      <c r="X401" s="114"/>
      <c r="Y401" s="114"/>
      <c r="Z401" s="164"/>
      <c r="AA401" s="114"/>
      <c r="AB401" s="114"/>
      <c r="AC401" s="114"/>
      <c r="AD401" s="114"/>
      <c r="AE401" s="114"/>
      <c r="AF401" s="114"/>
      <c r="AG401" s="114"/>
      <c r="AH401" s="114"/>
      <c r="AI401" s="114"/>
      <c r="AJ401" s="114"/>
      <c r="AK401" s="114"/>
      <c r="AL401" s="114"/>
      <c r="AM401" s="114"/>
      <c r="AN401" s="114"/>
      <c r="AO401" s="114"/>
      <c r="AP401" s="114"/>
      <c r="AQ401" s="114"/>
      <c r="AR401" s="114"/>
    </row>
    <row r="402" ht="14.25" spans="1:44">
      <c r="A402" s="156" t="s">
        <v>487</v>
      </c>
      <c r="B402" s="114" t="s">
        <v>32</v>
      </c>
      <c r="C402" s="231"/>
      <c r="D402" s="114" t="s">
        <v>488</v>
      </c>
      <c r="E402" s="114" t="s">
        <v>489</v>
      </c>
      <c r="F402" s="153">
        <v>44256</v>
      </c>
      <c r="G402" s="152">
        <f t="shared" si="8"/>
        <v>4256</v>
      </c>
      <c r="H402" s="114" t="s">
        <v>490</v>
      </c>
      <c r="I402" s="123" t="s">
        <v>491</v>
      </c>
      <c r="J402" s="33">
        <v>8</v>
      </c>
      <c r="K402" s="124"/>
      <c r="L402" s="114"/>
      <c r="M402" s="114"/>
      <c r="N402" s="124">
        <v>10000000000</v>
      </c>
      <c r="O402" s="124"/>
      <c r="P402" s="124"/>
      <c r="Q402" s="114"/>
      <c r="R402" s="124"/>
      <c r="S402" s="114"/>
      <c r="T402" s="114"/>
      <c r="U402" s="114"/>
      <c r="V402" s="114"/>
      <c r="W402" s="114"/>
      <c r="X402" s="114"/>
      <c r="Y402" s="114"/>
      <c r="Z402" s="164"/>
      <c r="AA402" s="114"/>
      <c r="AB402" s="114"/>
      <c r="AC402" s="114"/>
      <c r="AD402" s="114"/>
      <c r="AE402" s="114"/>
      <c r="AF402" s="114"/>
      <c r="AG402" s="114"/>
      <c r="AH402" s="114"/>
      <c r="AI402" s="114"/>
      <c r="AJ402" s="114"/>
      <c r="AK402" s="114"/>
      <c r="AL402" s="114"/>
      <c r="AM402" s="114"/>
      <c r="AN402" s="114"/>
      <c r="AO402" s="114"/>
      <c r="AP402" s="114"/>
      <c r="AQ402" s="114"/>
      <c r="AR402" s="114"/>
    </row>
    <row r="403" ht="14.25" spans="1:44">
      <c r="A403" s="156" t="s">
        <v>492</v>
      </c>
      <c r="B403" s="114" t="s">
        <v>32</v>
      </c>
      <c r="C403" s="231"/>
      <c r="D403" s="114" t="s">
        <v>488</v>
      </c>
      <c r="E403" s="114" t="s">
        <v>489</v>
      </c>
      <c r="F403" s="153">
        <v>44256</v>
      </c>
      <c r="G403" s="152">
        <f t="shared" si="8"/>
        <v>4256</v>
      </c>
      <c r="H403" s="114" t="s">
        <v>490</v>
      </c>
      <c r="I403" s="123" t="s">
        <v>491</v>
      </c>
      <c r="J403" s="33">
        <v>8</v>
      </c>
      <c r="K403" s="124"/>
      <c r="L403" s="114"/>
      <c r="M403" s="114"/>
      <c r="N403" s="124">
        <v>100000000000</v>
      </c>
      <c r="O403" s="124"/>
      <c r="P403" s="124"/>
      <c r="Q403" s="114"/>
      <c r="R403" s="124"/>
      <c r="S403" s="114"/>
      <c r="T403" s="114"/>
      <c r="U403" s="114"/>
      <c r="V403" s="114"/>
      <c r="W403" s="114"/>
      <c r="X403" s="114"/>
      <c r="Y403" s="114"/>
      <c r="Z403" s="164"/>
      <c r="AA403" s="114"/>
      <c r="AB403" s="114"/>
      <c r="AC403" s="114"/>
      <c r="AD403" s="114"/>
      <c r="AE403" s="114"/>
      <c r="AF403" s="114"/>
      <c r="AG403" s="114"/>
      <c r="AH403" s="114"/>
      <c r="AI403" s="114"/>
      <c r="AJ403" s="114"/>
      <c r="AK403" s="114"/>
      <c r="AL403" s="114"/>
      <c r="AM403" s="114"/>
      <c r="AN403" s="114"/>
      <c r="AO403" s="114"/>
      <c r="AP403" s="114"/>
      <c r="AQ403" s="114"/>
      <c r="AR403" s="114"/>
    </row>
    <row r="404" ht="14.25" spans="1:44">
      <c r="A404" s="156" t="s">
        <v>440</v>
      </c>
      <c r="B404" s="114" t="s">
        <v>51</v>
      </c>
      <c r="C404" s="232"/>
      <c r="D404" s="114"/>
      <c r="E404" s="114"/>
      <c r="F404" s="153">
        <v>44256</v>
      </c>
      <c r="G404" s="152">
        <f t="shared" si="8"/>
        <v>4256</v>
      </c>
      <c r="H404" s="114"/>
      <c r="I404" s="123" t="s">
        <v>391</v>
      </c>
      <c r="J404" s="33"/>
      <c r="K404" s="124"/>
      <c r="L404" s="114"/>
      <c r="M404" s="114"/>
      <c r="N404" s="124">
        <v>2600000000</v>
      </c>
      <c r="O404" s="124"/>
      <c r="P404" s="124"/>
      <c r="Q404" s="114"/>
      <c r="R404" s="124"/>
      <c r="S404" s="114"/>
      <c r="T404" s="114"/>
      <c r="U404" s="114"/>
      <c r="V404" s="114"/>
      <c r="W404" s="114"/>
      <c r="X404" s="114"/>
      <c r="Y404" s="114"/>
      <c r="Z404" s="164"/>
      <c r="AA404" s="114"/>
      <c r="AB404" s="114"/>
      <c r="AC404" s="114"/>
      <c r="AD404" s="114"/>
      <c r="AE404" s="114"/>
      <c r="AF404" s="114"/>
      <c r="AG404" s="114"/>
      <c r="AH404" s="114"/>
      <c r="AI404" s="114"/>
      <c r="AJ404" s="114"/>
      <c r="AK404" s="114"/>
      <c r="AL404" s="114"/>
      <c r="AM404" s="114"/>
      <c r="AN404" s="114"/>
      <c r="AO404" s="114"/>
      <c r="AP404" s="114"/>
      <c r="AQ404" s="114"/>
      <c r="AR404" s="114"/>
    </row>
    <row r="405" ht="14.25" spans="1:44">
      <c r="A405" s="156" t="s">
        <v>387</v>
      </c>
      <c r="B405" s="114" t="s">
        <v>32</v>
      </c>
      <c r="C405" s="232"/>
      <c r="D405" s="114"/>
      <c r="E405" s="114"/>
      <c r="F405" s="153">
        <v>44256</v>
      </c>
      <c r="G405" s="152">
        <f t="shared" si="8"/>
        <v>4256</v>
      </c>
      <c r="H405" s="114"/>
      <c r="I405" s="123" t="s">
        <v>391</v>
      </c>
      <c r="J405" s="33"/>
      <c r="K405" s="124"/>
      <c r="L405" s="114"/>
      <c r="M405" s="114"/>
      <c r="N405" s="124">
        <f>1000000000</f>
        <v>1000000000</v>
      </c>
      <c r="O405" s="124"/>
      <c r="P405" s="124"/>
      <c r="Q405" s="114"/>
      <c r="R405" s="124"/>
      <c r="S405" s="114"/>
      <c r="T405" s="114"/>
      <c r="U405" s="114"/>
      <c r="V405" s="114"/>
      <c r="W405" s="114"/>
      <c r="X405" s="114"/>
      <c r="Y405" s="114"/>
      <c r="Z405" s="164"/>
      <c r="AA405" s="114"/>
      <c r="AB405" s="114"/>
      <c r="AC405" s="114"/>
      <c r="AD405" s="114"/>
      <c r="AE405" s="114"/>
      <c r="AF405" s="114"/>
      <c r="AG405" s="114"/>
      <c r="AH405" s="114"/>
      <c r="AI405" s="114"/>
      <c r="AJ405" s="114"/>
      <c r="AK405" s="114"/>
      <c r="AL405" s="114"/>
      <c r="AM405" s="114"/>
      <c r="AN405" s="114"/>
      <c r="AO405" s="114"/>
      <c r="AP405" s="114"/>
      <c r="AQ405" s="114"/>
      <c r="AR405" s="114"/>
    </row>
    <row r="406" ht="14.25" spans="1:44">
      <c r="A406" s="156" t="s">
        <v>447</v>
      </c>
      <c r="B406" s="114" t="s">
        <v>32</v>
      </c>
      <c r="C406" s="232"/>
      <c r="D406" s="114"/>
      <c r="E406" s="114"/>
      <c r="F406" s="153">
        <v>44256</v>
      </c>
      <c r="G406" s="152">
        <f t="shared" si="8"/>
        <v>4256</v>
      </c>
      <c r="H406" s="114"/>
      <c r="I406" s="123" t="s">
        <v>391</v>
      </c>
      <c r="J406" s="33"/>
      <c r="K406" s="124"/>
      <c r="L406" s="114"/>
      <c r="M406" s="114"/>
      <c r="N406" s="124">
        <f>11300000000</f>
        <v>11300000000</v>
      </c>
      <c r="O406" s="124"/>
      <c r="P406" s="124"/>
      <c r="Q406" s="114"/>
      <c r="R406" s="124"/>
      <c r="S406" s="114"/>
      <c r="T406" s="114"/>
      <c r="U406" s="114"/>
      <c r="V406" s="114"/>
      <c r="W406" s="114"/>
      <c r="X406" s="114"/>
      <c r="Y406" s="114"/>
      <c r="Z406" s="164"/>
      <c r="AA406" s="114"/>
      <c r="AB406" s="114"/>
      <c r="AC406" s="114"/>
      <c r="AD406" s="114"/>
      <c r="AE406" s="114"/>
      <c r="AF406" s="114"/>
      <c r="AG406" s="114"/>
      <c r="AH406" s="114"/>
      <c r="AI406" s="114"/>
      <c r="AJ406" s="114"/>
      <c r="AK406" s="114"/>
      <c r="AL406" s="114"/>
      <c r="AM406" s="114"/>
      <c r="AN406" s="114"/>
      <c r="AO406" s="114"/>
      <c r="AP406" s="114"/>
      <c r="AQ406" s="114"/>
      <c r="AR406" s="114"/>
    </row>
    <row r="407" ht="14.25" spans="1:44">
      <c r="A407" s="156" t="s">
        <v>493</v>
      </c>
      <c r="B407" s="114" t="s">
        <v>199</v>
      </c>
      <c r="C407" s="114" t="s">
        <v>325</v>
      </c>
      <c r="D407" s="114"/>
      <c r="E407" s="114"/>
      <c r="F407" s="153">
        <v>44256</v>
      </c>
      <c r="G407" s="152">
        <f t="shared" si="8"/>
        <v>4256</v>
      </c>
      <c r="H407" s="114"/>
      <c r="I407" s="123" t="s">
        <v>391</v>
      </c>
      <c r="J407" s="33"/>
      <c r="K407" s="124"/>
      <c r="L407" s="114"/>
      <c r="M407" s="114"/>
      <c r="N407" s="124"/>
      <c r="O407" s="124"/>
      <c r="P407" s="124"/>
      <c r="Q407" s="114"/>
      <c r="R407" s="124"/>
      <c r="S407" s="114"/>
      <c r="T407" s="114"/>
      <c r="U407" s="114"/>
      <c r="V407" s="114"/>
      <c r="W407" s="114"/>
      <c r="X407" s="114"/>
      <c r="Y407" s="114"/>
      <c r="Z407" s="164"/>
      <c r="AA407" s="114"/>
      <c r="AB407" s="114"/>
      <c r="AC407" s="114"/>
      <c r="AD407" s="114"/>
      <c r="AE407" s="114"/>
      <c r="AF407" s="114"/>
      <c r="AG407" s="114"/>
      <c r="AH407" s="114"/>
      <c r="AI407" s="114"/>
      <c r="AJ407" s="114"/>
      <c r="AK407" s="114"/>
      <c r="AL407" s="114"/>
      <c r="AM407" s="114"/>
      <c r="AN407" s="114"/>
      <c r="AO407" s="114"/>
      <c r="AP407" s="114"/>
      <c r="AQ407" s="114"/>
      <c r="AR407" s="114"/>
    </row>
    <row r="408" ht="14.25" spans="1:44">
      <c r="A408" s="114" t="s">
        <v>4360</v>
      </c>
      <c r="B408" s="114" t="s">
        <v>51</v>
      </c>
      <c r="C408" s="114"/>
      <c r="D408" s="114" t="s">
        <v>400</v>
      </c>
      <c r="E408" s="226" t="s">
        <v>495</v>
      </c>
      <c r="F408" s="153">
        <v>44260</v>
      </c>
      <c r="G408" s="152">
        <f t="shared" si="8"/>
        <v>4260</v>
      </c>
      <c r="H408" s="114" t="s">
        <v>496</v>
      </c>
      <c r="I408" s="123" t="s">
        <v>4414</v>
      </c>
      <c r="J408" s="33">
        <v>207</v>
      </c>
      <c r="K408" s="114"/>
      <c r="L408" s="114" t="s">
        <v>38</v>
      </c>
      <c r="M408" s="114"/>
      <c r="N408" s="124">
        <v>9400000000</v>
      </c>
      <c r="O408" s="114"/>
      <c r="P408" s="124"/>
      <c r="Q408" s="114"/>
      <c r="R408" s="124"/>
      <c r="S408" s="114"/>
      <c r="T408" s="114"/>
      <c r="U408" s="114"/>
      <c r="V408" s="114"/>
      <c r="W408" s="114"/>
      <c r="X408" s="114"/>
      <c r="Y408" s="114"/>
      <c r="Z408" s="164"/>
      <c r="AA408" s="114"/>
      <c r="AB408" s="114"/>
      <c r="AC408" s="114"/>
      <c r="AD408" s="114"/>
      <c r="AE408" s="114"/>
      <c r="AF408" s="114"/>
      <c r="AG408" s="114"/>
      <c r="AH408" s="114"/>
      <c r="AI408" s="114"/>
      <c r="AJ408" s="114"/>
      <c r="AK408" s="114"/>
      <c r="AL408" s="114"/>
      <c r="AM408" s="114"/>
      <c r="AN408" s="114"/>
      <c r="AO408" s="114"/>
      <c r="AP408" s="114"/>
      <c r="AQ408" s="114"/>
      <c r="AR408" s="114"/>
    </row>
    <row r="409" ht="14.25" spans="1:44">
      <c r="A409" s="114" t="s">
        <v>498</v>
      </c>
      <c r="B409" s="114" t="s">
        <v>51</v>
      </c>
      <c r="C409" s="114"/>
      <c r="D409" s="114" t="s">
        <v>356</v>
      </c>
      <c r="E409" s="226" t="s">
        <v>499</v>
      </c>
      <c r="F409" s="153">
        <v>44260</v>
      </c>
      <c r="G409" s="152">
        <f t="shared" si="8"/>
        <v>4260</v>
      </c>
      <c r="H409" s="114" t="s">
        <v>500</v>
      </c>
      <c r="I409" s="123" t="s">
        <v>4415</v>
      </c>
      <c r="J409" s="33">
        <v>2</v>
      </c>
      <c r="K409" s="114"/>
      <c r="L409" s="114" t="s">
        <v>38</v>
      </c>
      <c r="M409" s="114"/>
      <c r="N409" s="124">
        <v>1000000000000</v>
      </c>
      <c r="O409" s="114"/>
      <c r="P409" s="124"/>
      <c r="Q409" s="114" t="s">
        <v>502</v>
      </c>
      <c r="R409" s="124">
        <v>1900000000000</v>
      </c>
      <c r="S409" s="114"/>
      <c r="T409" s="114"/>
      <c r="U409" s="114"/>
      <c r="V409" s="114"/>
      <c r="W409" s="114"/>
      <c r="X409" s="114"/>
      <c r="Y409" s="114"/>
      <c r="Z409" s="164"/>
      <c r="AA409" s="114"/>
      <c r="AB409" s="114"/>
      <c r="AC409" s="114"/>
      <c r="AD409" s="114"/>
      <c r="AE409" s="114"/>
      <c r="AF409" s="114"/>
      <c r="AG409" s="114"/>
      <c r="AH409" s="114"/>
      <c r="AI409" s="114"/>
      <c r="AJ409" s="114"/>
      <c r="AK409" s="114"/>
      <c r="AL409" s="114"/>
      <c r="AM409" s="114"/>
      <c r="AN409" s="114"/>
      <c r="AO409" s="114"/>
      <c r="AP409" s="114"/>
      <c r="AQ409" s="114"/>
      <c r="AR409" s="114"/>
    </row>
    <row r="410" ht="14.25" spans="1:44">
      <c r="A410" s="114" t="s">
        <v>385</v>
      </c>
      <c r="B410" s="114" t="s">
        <v>51</v>
      </c>
      <c r="C410" s="114"/>
      <c r="D410" s="114"/>
      <c r="E410" s="114"/>
      <c r="F410" s="153">
        <v>44276</v>
      </c>
      <c r="G410" s="152">
        <f t="shared" si="8"/>
        <v>4276</v>
      </c>
      <c r="H410" s="114" t="s">
        <v>385</v>
      </c>
      <c r="I410" s="123" t="s">
        <v>386</v>
      </c>
      <c r="J410" s="33"/>
      <c r="K410" s="124"/>
      <c r="L410" s="114"/>
      <c r="M410" s="114"/>
      <c r="N410" s="124">
        <v>2700000000</v>
      </c>
      <c r="O410" s="124">
        <v>7.9e+21</v>
      </c>
      <c r="P410" s="124"/>
      <c r="Q410" s="114"/>
      <c r="R410" s="124"/>
      <c r="S410" s="114"/>
      <c r="T410" s="114"/>
      <c r="U410" s="114"/>
      <c r="V410" s="114"/>
      <c r="W410" s="114"/>
      <c r="X410" s="114"/>
      <c r="Y410" s="114"/>
      <c r="Z410" s="164"/>
      <c r="AA410" s="114"/>
      <c r="AB410" s="114"/>
      <c r="AC410" s="114"/>
      <c r="AD410" s="114"/>
      <c r="AE410" s="114"/>
      <c r="AF410" s="114"/>
      <c r="AG410" s="114"/>
      <c r="AH410" s="114"/>
      <c r="AI410" s="114"/>
      <c r="AJ410" s="114"/>
      <c r="AK410" s="114"/>
      <c r="AL410" s="114"/>
      <c r="AM410" s="114"/>
      <c r="AN410" s="114"/>
      <c r="AO410" s="114"/>
      <c r="AP410" s="114"/>
      <c r="AQ410" s="114"/>
      <c r="AR410" s="114"/>
    </row>
    <row r="411" ht="14.25" spans="1:44">
      <c r="A411" s="114"/>
      <c r="B411" s="114" t="s">
        <v>51</v>
      </c>
      <c r="C411" s="114" t="s">
        <v>267</v>
      </c>
      <c r="D411" s="114" t="s">
        <v>268</v>
      </c>
      <c r="E411" s="114" t="s">
        <v>269</v>
      </c>
      <c r="F411" s="153">
        <v>44295</v>
      </c>
      <c r="G411" s="152">
        <f t="shared" si="8"/>
        <v>4295</v>
      </c>
      <c r="H411" s="114" t="s">
        <v>270</v>
      </c>
      <c r="I411" s="123" t="s">
        <v>271</v>
      </c>
      <c r="J411" s="33">
        <v>7</v>
      </c>
      <c r="K411" s="124"/>
      <c r="L411" s="114" t="s">
        <v>49</v>
      </c>
      <c r="M411" s="114"/>
      <c r="N411" s="124">
        <v>1000000000000</v>
      </c>
      <c r="O411" s="114"/>
      <c r="P411" s="124"/>
      <c r="Q411" s="114"/>
      <c r="R411" s="124"/>
      <c r="S411" s="114"/>
      <c r="T411" s="114"/>
      <c r="U411" s="114"/>
      <c r="V411" s="114"/>
      <c r="W411" s="114"/>
      <c r="X411" s="114"/>
      <c r="Y411" s="114"/>
      <c r="Z411" s="164"/>
      <c r="AA411" s="114"/>
      <c r="AB411" s="114"/>
      <c r="AC411" s="114"/>
      <c r="AD411" s="114"/>
      <c r="AE411" s="114"/>
      <c r="AF411" s="114"/>
      <c r="AG411" s="114"/>
      <c r="AH411" s="114"/>
      <c r="AI411" s="114"/>
      <c r="AJ411" s="114"/>
      <c r="AK411" s="114"/>
      <c r="AL411" s="114"/>
      <c r="AM411" s="114"/>
      <c r="AN411" s="114"/>
      <c r="AO411" s="114"/>
      <c r="AP411" s="114"/>
      <c r="AQ411" s="114"/>
      <c r="AR411" s="114"/>
    </row>
    <row r="412" ht="14.25" spans="1:44">
      <c r="A412" s="233" t="s">
        <v>503</v>
      </c>
      <c r="B412" s="114" t="s">
        <v>434</v>
      </c>
      <c r="C412" s="232"/>
      <c r="D412" s="114" t="s">
        <v>504</v>
      </c>
      <c r="E412" s="114" t="s">
        <v>505</v>
      </c>
      <c r="F412" s="153">
        <v>44298</v>
      </c>
      <c r="G412" s="152">
        <f t="shared" si="8"/>
        <v>4298</v>
      </c>
      <c r="H412" s="114" t="s">
        <v>437</v>
      </c>
      <c r="I412" s="123" t="s">
        <v>438</v>
      </c>
      <c r="J412" s="33">
        <v>2</v>
      </c>
      <c r="K412" s="124"/>
      <c r="L412" s="114"/>
      <c r="M412" s="114"/>
      <c r="N412" s="124">
        <f>12000000000000</f>
        <v>12000000000000</v>
      </c>
      <c r="O412" s="124"/>
      <c r="P412" s="124"/>
      <c r="Q412" s="114"/>
      <c r="R412" s="124"/>
      <c r="S412" s="114"/>
      <c r="T412" s="114"/>
      <c r="U412" s="114"/>
      <c r="V412" s="114"/>
      <c r="W412" s="114"/>
      <c r="X412" s="114"/>
      <c r="Y412" s="114"/>
      <c r="Z412" s="164"/>
      <c r="AA412" s="114"/>
      <c r="AB412" s="114"/>
      <c r="AC412" s="114"/>
      <c r="AD412" s="114"/>
      <c r="AE412" s="114"/>
      <c r="AF412" s="114"/>
      <c r="AG412" s="114"/>
      <c r="AH412" s="114"/>
      <c r="AI412" s="114"/>
      <c r="AJ412" s="114"/>
      <c r="AK412" s="114"/>
      <c r="AL412" s="114"/>
      <c r="AM412" s="114"/>
      <c r="AN412" s="114"/>
      <c r="AO412" s="114"/>
      <c r="AP412" s="114"/>
      <c r="AQ412" s="114"/>
      <c r="AR412" s="114"/>
    </row>
    <row r="413" ht="14.25" spans="1:44">
      <c r="A413" s="114" t="s">
        <v>337</v>
      </c>
      <c r="B413" s="114" t="s">
        <v>51</v>
      </c>
      <c r="C413" s="114"/>
      <c r="D413" s="114" t="s">
        <v>338</v>
      </c>
      <c r="E413" s="114" t="s">
        <v>339</v>
      </c>
      <c r="F413" s="153">
        <v>44311</v>
      </c>
      <c r="G413" s="152">
        <f t="shared" si="8"/>
        <v>4311</v>
      </c>
      <c r="H413" s="114" t="s">
        <v>340</v>
      </c>
      <c r="I413" s="123" t="s">
        <v>341</v>
      </c>
      <c r="J413" s="33">
        <v>5</v>
      </c>
      <c r="K413" s="124"/>
      <c r="L413" s="114"/>
      <c r="M413" s="114"/>
      <c r="N413" s="124">
        <v>207000000000</v>
      </c>
      <c r="O413" s="124">
        <v>5.83e+22</v>
      </c>
      <c r="P413" s="124"/>
      <c r="Q413" s="114"/>
      <c r="R413" s="124"/>
      <c r="S413" s="114"/>
      <c r="T413" s="114"/>
      <c r="U413" s="114"/>
      <c r="V413" s="114"/>
      <c r="W413" s="114"/>
      <c r="X413" s="114"/>
      <c r="Y413" s="114"/>
      <c r="Z413" s="164"/>
      <c r="AA413" s="114"/>
      <c r="AB413" s="114"/>
      <c r="AC413" s="114"/>
      <c r="AD413" s="114"/>
      <c r="AE413" s="114"/>
      <c r="AF413" s="114"/>
      <c r="AG413" s="114"/>
      <c r="AH413" s="114"/>
      <c r="AI413" s="114"/>
      <c r="AJ413" s="114"/>
      <c r="AK413" s="114"/>
      <c r="AL413" s="114"/>
      <c r="AM413" s="114"/>
      <c r="AN413" s="114"/>
      <c r="AO413" s="114"/>
      <c r="AP413" s="114"/>
      <c r="AQ413" s="114"/>
      <c r="AR413" s="114"/>
    </row>
    <row r="414" ht="14.25" spans="1:44">
      <c r="A414" s="114" t="s">
        <v>372</v>
      </c>
      <c r="B414" s="114" t="s">
        <v>51</v>
      </c>
      <c r="C414" s="114"/>
      <c r="D414" s="114"/>
      <c r="E414" s="114"/>
      <c r="F414" s="153">
        <v>44317</v>
      </c>
      <c r="G414" s="152">
        <f t="shared" si="8"/>
        <v>4317</v>
      </c>
      <c r="H414" s="114"/>
      <c r="I414" s="123" t="s">
        <v>376</v>
      </c>
      <c r="J414" s="33"/>
      <c r="K414" s="124"/>
      <c r="L414" s="114"/>
      <c r="M414" s="114"/>
      <c r="N414" s="124">
        <v>6053381344</v>
      </c>
      <c r="O414" s="124">
        <v>1.5e+22</v>
      </c>
      <c r="P414" s="124"/>
      <c r="Q414" s="114"/>
      <c r="R414" s="124"/>
      <c r="S414" s="114"/>
      <c r="T414" s="114"/>
      <c r="U414" s="114"/>
      <c r="V414" s="114"/>
      <c r="W414" s="114"/>
      <c r="X414" s="114"/>
      <c r="Y414" s="114"/>
      <c r="Z414" s="164"/>
      <c r="AA414" s="114"/>
      <c r="AB414" s="114"/>
      <c r="AC414" s="114"/>
      <c r="AD414" s="114"/>
      <c r="AE414" s="114"/>
      <c r="AF414" s="114"/>
      <c r="AG414" s="114"/>
      <c r="AH414" s="114"/>
      <c r="AI414" s="114"/>
      <c r="AJ414" s="114"/>
      <c r="AK414" s="114"/>
      <c r="AL414" s="114"/>
      <c r="AM414" s="114"/>
      <c r="AN414" s="114"/>
      <c r="AO414" s="114"/>
      <c r="AP414" s="114"/>
      <c r="AQ414" s="114"/>
      <c r="AR414" s="114"/>
    </row>
    <row r="415" ht="14.25" spans="1:44">
      <c r="A415" s="114" t="s">
        <v>324</v>
      </c>
      <c r="B415" s="114" t="s">
        <v>199</v>
      </c>
      <c r="C415" s="114" t="s">
        <v>325</v>
      </c>
      <c r="D415" s="114" t="s">
        <v>4416</v>
      </c>
      <c r="E415" s="114" t="s">
        <v>328</v>
      </c>
      <c r="F415" s="153">
        <v>44320</v>
      </c>
      <c r="G415" s="152">
        <f t="shared" si="8"/>
        <v>4320</v>
      </c>
      <c r="H415" s="114" t="s">
        <v>329</v>
      </c>
      <c r="I415" s="123" t="s">
        <v>330</v>
      </c>
      <c r="J415" s="33">
        <v>57</v>
      </c>
      <c r="K415" s="124"/>
      <c r="L415" s="114"/>
      <c r="M415" s="114"/>
      <c r="N415" s="124">
        <v>11000000000</v>
      </c>
      <c r="O415" s="124">
        <v>7.37e+22</v>
      </c>
      <c r="P415" s="124"/>
      <c r="Q415" s="114"/>
      <c r="R415" s="124"/>
      <c r="S415" s="114"/>
      <c r="T415" s="114"/>
      <c r="U415" s="114"/>
      <c r="V415" s="114"/>
      <c r="W415" s="114"/>
      <c r="X415" s="114"/>
      <c r="Y415" s="114"/>
      <c r="Z415" s="164"/>
      <c r="AA415" s="114"/>
      <c r="AB415" s="114"/>
      <c r="AC415" s="114"/>
      <c r="AD415" s="114"/>
      <c r="AE415" s="114"/>
      <c r="AF415" s="114"/>
      <c r="AG415" s="114"/>
      <c r="AH415" s="114"/>
      <c r="AI415" s="114"/>
      <c r="AJ415" s="114"/>
      <c r="AK415" s="114"/>
      <c r="AL415" s="114"/>
      <c r="AM415" s="114"/>
      <c r="AN415" s="114"/>
      <c r="AO415" s="114"/>
      <c r="AP415" s="114"/>
      <c r="AQ415" s="114"/>
      <c r="AR415" s="114"/>
    </row>
    <row r="416" ht="14.25" spans="1:44">
      <c r="A416" s="114" t="s">
        <v>84</v>
      </c>
      <c r="B416" s="114" t="s">
        <v>51</v>
      </c>
      <c r="C416" s="114"/>
      <c r="D416" s="114" t="s">
        <v>85</v>
      </c>
      <c r="E416" s="114"/>
      <c r="F416" s="153">
        <v>44334</v>
      </c>
      <c r="G416" s="152">
        <f t="shared" si="8"/>
        <v>4334</v>
      </c>
      <c r="H416" s="114"/>
      <c r="I416" s="123" t="s">
        <v>4417</v>
      </c>
      <c r="J416" s="33"/>
      <c r="K416" s="124"/>
      <c r="L416" s="114"/>
      <c r="M416" s="114"/>
      <c r="N416" s="124">
        <v>1600000000000</v>
      </c>
      <c r="P416" s="124"/>
      <c r="Q416" s="114"/>
      <c r="R416" s="124"/>
      <c r="S416" s="114"/>
      <c r="T416" s="114"/>
      <c r="U416" s="114"/>
      <c r="V416" s="114"/>
      <c r="W416" s="114"/>
      <c r="X416" s="114"/>
      <c r="Y416" s="114"/>
      <c r="Z416" s="164"/>
      <c r="AA416" s="114"/>
      <c r="AB416" s="114"/>
      <c r="AC416" s="114"/>
      <c r="AD416" s="114"/>
      <c r="AE416" s="114"/>
      <c r="AF416" s="114"/>
      <c r="AG416" s="114"/>
      <c r="AH416" s="114"/>
      <c r="AI416" s="114"/>
      <c r="AJ416" s="114"/>
      <c r="AK416" s="114"/>
      <c r="AL416" s="114"/>
      <c r="AM416" s="114"/>
      <c r="AN416" s="114"/>
      <c r="AO416" s="114"/>
      <c r="AP416" s="114"/>
      <c r="AQ416" s="114"/>
      <c r="AR416" s="114"/>
    </row>
    <row r="417" ht="14.25" spans="1:44">
      <c r="A417" s="114" t="s">
        <v>333</v>
      </c>
      <c r="B417" s="114" t="s">
        <v>51</v>
      </c>
      <c r="C417" s="114"/>
      <c r="D417" s="114"/>
      <c r="E417" s="114"/>
      <c r="F417" s="153">
        <v>44341</v>
      </c>
      <c r="G417" s="152">
        <f t="shared" si="8"/>
        <v>4341</v>
      </c>
      <c r="H417" s="114"/>
      <c r="I417" s="123" t="s">
        <v>336</v>
      </c>
      <c r="J417" s="33"/>
      <c r="K417" s="124"/>
      <c r="L417" s="114"/>
      <c r="M417" s="114"/>
      <c r="N417" s="124">
        <v>204000000000</v>
      </c>
      <c r="O417" s="124">
        <v>6.3e+22</v>
      </c>
      <c r="P417" s="124"/>
      <c r="Q417" s="114"/>
      <c r="R417" s="124"/>
      <c r="S417" s="114"/>
      <c r="T417" s="114"/>
      <c r="U417" s="114"/>
      <c r="V417" s="114"/>
      <c r="W417" s="114"/>
      <c r="X417" s="114"/>
      <c r="Y417" s="114"/>
      <c r="Z417" s="164"/>
      <c r="AA417" s="114"/>
      <c r="AB417" s="114"/>
      <c r="AC417" s="114"/>
      <c r="AD417" s="114"/>
      <c r="AE417" s="114"/>
      <c r="AF417" s="114"/>
      <c r="AG417" s="114"/>
      <c r="AH417" s="114"/>
      <c r="AI417" s="114"/>
      <c r="AJ417" s="114"/>
      <c r="AK417" s="114"/>
      <c r="AL417" s="114"/>
      <c r="AM417" s="114"/>
      <c r="AN417" s="114"/>
      <c r="AO417" s="114"/>
      <c r="AP417" s="114"/>
      <c r="AQ417" s="114"/>
      <c r="AR417" s="114"/>
    </row>
    <row r="418" ht="14.25" spans="1:44">
      <c r="A418" s="114" t="s">
        <v>358</v>
      </c>
      <c r="B418" s="114" t="s">
        <v>77</v>
      </c>
      <c r="C418" s="114" t="s">
        <v>78</v>
      </c>
      <c r="D418" s="114" t="s">
        <v>359</v>
      </c>
      <c r="E418" s="114" t="s">
        <v>361</v>
      </c>
      <c r="F418" s="153">
        <v>44342</v>
      </c>
      <c r="G418" s="152">
        <f t="shared" si="8"/>
        <v>4342</v>
      </c>
      <c r="H418" s="114" t="s">
        <v>362</v>
      </c>
      <c r="I418" s="123" t="s">
        <v>363</v>
      </c>
      <c r="J418" s="33">
        <v>1</v>
      </c>
      <c r="K418" s="124"/>
      <c r="L418" s="114"/>
      <c r="M418" s="114"/>
      <c r="N418" s="124">
        <v>4000000000</v>
      </c>
      <c r="O418" s="124">
        <v>2.68e+22</v>
      </c>
      <c r="P418" s="124"/>
      <c r="Q418" s="114"/>
      <c r="R418" s="124"/>
      <c r="S418" s="114"/>
      <c r="T418" s="114"/>
      <c r="U418" s="114"/>
      <c r="V418" s="114"/>
      <c r="W418" s="114"/>
      <c r="X418" s="114"/>
      <c r="Y418" s="114"/>
      <c r="Z418" s="164"/>
      <c r="AA418" s="114"/>
      <c r="AB418" s="114"/>
      <c r="AC418" s="114"/>
      <c r="AD418" s="114"/>
      <c r="AE418" s="114"/>
      <c r="AF418" s="114"/>
      <c r="AG418" s="114"/>
      <c r="AH418" s="114"/>
      <c r="AI418" s="114"/>
      <c r="AJ418" s="114"/>
      <c r="AK418" s="114"/>
      <c r="AL418" s="114"/>
      <c r="AM418" s="114"/>
      <c r="AN418" s="114"/>
      <c r="AO418" s="114"/>
      <c r="AP418" s="114"/>
      <c r="AQ418" s="114"/>
      <c r="AR418" s="114"/>
    </row>
    <row r="419" ht="14.25" spans="1:44">
      <c r="A419" s="155" t="s">
        <v>506</v>
      </c>
      <c r="B419" s="114" t="s">
        <v>32</v>
      </c>
      <c r="D419" s="114"/>
      <c r="E419" s="114"/>
      <c r="F419" s="153">
        <v>44348</v>
      </c>
      <c r="G419" s="152">
        <f t="shared" si="8"/>
        <v>4348</v>
      </c>
      <c r="H419" s="114"/>
      <c r="I419" s="123" t="s">
        <v>509</v>
      </c>
      <c r="J419" s="33"/>
      <c r="K419" s="124"/>
      <c r="L419" s="114"/>
      <c r="M419" s="114"/>
      <c r="N419" s="124">
        <f>1750000000000</f>
        <v>1750000000000</v>
      </c>
      <c r="O419" s="124"/>
      <c r="P419" s="124"/>
      <c r="Q419" s="114"/>
      <c r="R419" s="124"/>
      <c r="S419" s="114"/>
      <c r="T419" s="114"/>
      <c r="U419" s="114"/>
      <c r="V419" s="114"/>
      <c r="W419" s="114"/>
      <c r="X419" s="114"/>
      <c r="Y419" s="114"/>
      <c r="Z419" s="164"/>
      <c r="AA419" s="114"/>
      <c r="AB419" s="114"/>
      <c r="AC419" s="114"/>
      <c r="AD419" s="114"/>
      <c r="AE419" s="114"/>
      <c r="AF419" s="114"/>
      <c r="AG419" s="114"/>
      <c r="AH419" s="114"/>
      <c r="AI419" s="114"/>
      <c r="AJ419" s="114"/>
      <c r="AK419" s="114"/>
      <c r="AL419" s="114"/>
      <c r="AM419" s="114"/>
      <c r="AN419" s="114"/>
      <c r="AO419" s="114"/>
      <c r="AP419" s="114"/>
      <c r="AQ419" s="114"/>
      <c r="AR419" s="114"/>
    </row>
    <row r="420" ht="14.25" spans="1:44">
      <c r="A420" s="114" t="s">
        <v>426</v>
      </c>
      <c r="B420" s="114" t="s">
        <v>41</v>
      </c>
      <c r="D420" s="114" t="s">
        <v>150</v>
      </c>
      <c r="E420" s="114" t="s">
        <v>427</v>
      </c>
      <c r="F420" s="153">
        <v>44355</v>
      </c>
      <c r="G420" s="152">
        <f t="shared" si="8"/>
        <v>4355</v>
      </c>
      <c r="H420" s="114" t="s">
        <v>428</v>
      </c>
      <c r="I420" s="123" t="s">
        <v>429</v>
      </c>
      <c r="J420" s="33">
        <v>6</v>
      </c>
      <c r="K420" s="124"/>
      <c r="L420" s="114"/>
      <c r="M420" s="114"/>
      <c r="N420" s="124">
        <v>1800000000</v>
      </c>
      <c r="O420" s="124">
        <v>3.4e+21</v>
      </c>
      <c r="P420" s="124"/>
      <c r="Q420" s="114"/>
      <c r="R420" s="124"/>
      <c r="S420" s="114"/>
      <c r="T420" s="114"/>
      <c r="U420" s="114"/>
      <c r="V420" s="114"/>
      <c r="W420" s="114"/>
      <c r="X420" s="114"/>
      <c r="Y420" s="114"/>
      <c r="Z420" s="164"/>
      <c r="AA420" s="114"/>
      <c r="AB420" s="114"/>
      <c r="AC420" s="114"/>
      <c r="AD420" s="114"/>
      <c r="AE420" s="114"/>
      <c r="AF420" s="114"/>
      <c r="AG420" s="114"/>
      <c r="AH420" s="114"/>
      <c r="AI420" s="114"/>
      <c r="AJ420" s="114"/>
      <c r="AK420" s="114"/>
      <c r="AL420" s="114"/>
      <c r="AM420" s="114"/>
      <c r="AN420" s="114"/>
      <c r="AO420" s="114"/>
      <c r="AP420" s="114"/>
      <c r="AQ420" s="114"/>
      <c r="AR420" s="114"/>
    </row>
    <row r="421" ht="14.25" spans="1:44">
      <c r="A421" s="114" t="s">
        <v>4418</v>
      </c>
      <c r="B421" s="114" t="s">
        <v>41</v>
      </c>
      <c r="C421" s="114"/>
      <c r="D421" s="114" t="s">
        <v>464</v>
      </c>
      <c r="E421" s="226" t="s">
        <v>465</v>
      </c>
      <c r="F421" s="153">
        <v>44358</v>
      </c>
      <c r="G421" s="152">
        <f t="shared" si="8"/>
        <v>4358</v>
      </c>
      <c r="H421" s="114" t="s">
        <v>466</v>
      </c>
      <c r="I421" s="123" t="s">
        <v>4419</v>
      </c>
      <c r="J421" s="33">
        <v>136</v>
      </c>
      <c r="K421" s="114"/>
      <c r="L421" s="114" t="s">
        <v>38</v>
      </c>
      <c r="M421" s="114"/>
      <c r="N421" s="124">
        <v>256000000</v>
      </c>
      <c r="O421" s="124">
        <v>1.6e+18</v>
      </c>
      <c r="P421" s="124"/>
      <c r="Q421" s="114" t="s">
        <v>847</v>
      </c>
      <c r="R421" s="124"/>
      <c r="S421" s="114"/>
      <c r="T421" s="114"/>
      <c r="U421" s="114"/>
      <c r="V421" s="114"/>
      <c r="W421" s="114"/>
      <c r="X421" s="114"/>
      <c r="Y421" s="114"/>
      <c r="Z421" s="164"/>
      <c r="AA421" s="114"/>
      <c r="AB421" s="114"/>
      <c r="AC421" s="114"/>
      <c r="AD421" s="114"/>
      <c r="AE421" s="114"/>
      <c r="AF421" s="114"/>
      <c r="AG421" s="114"/>
      <c r="AH421" s="114"/>
      <c r="AI421" s="114"/>
      <c r="AJ421" s="114"/>
      <c r="AK421" s="114"/>
      <c r="AL421" s="114"/>
      <c r="AM421" s="114"/>
      <c r="AN421" s="114"/>
      <c r="AO421" s="114"/>
      <c r="AP421" s="114"/>
      <c r="AQ421" s="114"/>
      <c r="AR421" s="114"/>
    </row>
    <row r="422" ht="14.25" spans="1:44">
      <c r="A422" s="114" t="s">
        <v>457</v>
      </c>
      <c r="B422" s="114" t="s">
        <v>51</v>
      </c>
      <c r="D422" s="114" t="s">
        <v>458</v>
      </c>
      <c r="E422" s="114" t="s">
        <v>459</v>
      </c>
      <c r="F422" s="153">
        <v>44382</v>
      </c>
      <c r="G422" s="152">
        <f t="shared" si="8"/>
        <v>4382</v>
      </c>
      <c r="H422" s="114" t="s">
        <v>460</v>
      </c>
      <c r="I422" s="123" t="s">
        <v>461</v>
      </c>
      <c r="J422" s="33">
        <v>1</v>
      </c>
      <c r="K422" s="124"/>
      <c r="L422" s="114"/>
      <c r="M422" s="114"/>
      <c r="N422" s="124">
        <v>10000000000</v>
      </c>
      <c r="O422" s="124">
        <f>8*120000000000000*(4*60*60)*0.17</f>
        <v>2.35008e+18</v>
      </c>
      <c r="P422" s="124"/>
      <c r="Q422" s="114"/>
      <c r="R422" s="124"/>
      <c r="S422" s="114"/>
      <c r="T422" s="114"/>
      <c r="U422" s="114"/>
      <c r="V422" s="114"/>
      <c r="W422" s="114"/>
      <c r="X422" s="114"/>
      <c r="Y422" s="114"/>
      <c r="Z422" s="164"/>
      <c r="AA422" s="114"/>
      <c r="AB422" s="114"/>
      <c r="AC422" s="114"/>
      <c r="AD422" s="114"/>
      <c r="AE422" s="114"/>
      <c r="AF422" s="114"/>
      <c r="AG422" s="114"/>
      <c r="AH422" s="114"/>
      <c r="AI422" s="114"/>
      <c r="AJ422" s="114"/>
      <c r="AK422" s="114"/>
      <c r="AL422" s="114"/>
      <c r="AM422" s="114"/>
      <c r="AN422" s="114"/>
      <c r="AO422" s="114"/>
      <c r="AP422" s="114"/>
      <c r="AQ422" s="114"/>
      <c r="AR422" s="114"/>
    </row>
    <row r="423" ht="14.25" spans="1:44">
      <c r="A423" s="114" t="s">
        <v>510</v>
      </c>
      <c r="B423" s="114" t="s">
        <v>51</v>
      </c>
      <c r="C423" s="114" t="s">
        <v>511</v>
      </c>
      <c r="D423" s="114" t="s">
        <v>379</v>
      </c>
      <c r="E423" s="114" t="s">
        <v>512</v>
      </c>
      <c r="F423" s="153">
        <v>44384</v>
      </c>
      <c r="G423" s="152">
        <f t="shared" si="8"/>
        <v>4384</v>
      </c>
      <c r="H423" s="114" t="s">
        <v>513</v>
      </c>
      <c r="I423" s="123" t="s">
        <v>514</v>
      </c>
      <c r="J423" s="33">
        <v>352</v>
      </c>
      <c r="K423" s="124"/>
      <c r="L423" s="114"/>
      <c r="M423" s="114"/>
      <c r="N423" s="124">
        <v>12000000000</v>
      </c>
      <c r="O423" s="124"/>
      <c r="P423" s="124"/>
      <c r="Q423" s="114"/>
      <c r="R423" s="124"/>
      <c r="S423" s="114"/>
      <c r="T423" s="114"/>
      <c r="U423" s="114"/>
      <c r="V423" s="114"/>
      <c r="W423" s="114"/>
      <c r="X423" s="114"/>
      <c r="Y423" s="114"/>
      <c r="Z423" s="164"/>
      <c r="AA423" s="114"/>
      <c r="AB423" s="114"/>
      <c r="AC423" s="114"/>
      <c r="AD423" s="114"/>
      <c r="AE423" s="114"/>
      <c r="AF423" s="114"/>
      <c r="AG423" s="114"/>
      <c r="AH423" s="114"/>
      <c r="AI423" s="114"/>
      <c r="AJ423" s="114"/>
      <c r="AK423" s="114"/>
      <c r="AL423" s="114"/>
      <c r="AM423" s="114"/>
      <c r="AN423" s="114"/>
      <c r="AO423" s="114"/>
      <c r="AP423" s="114"/>
      <c r="AQ423" s="114"/>
      <c r="AR423" s="114"/>
    </row>
    <row r="424" ht="14.25" spans="1:44">
      <c r="A424" s="209" t="s">
        <v>317</v>
      </c>
      <c r="B424" s="114" t="s">
        <v>256</v>
      </c>
      <c r="C424" s="114" t="s">
        <v>318</v>
      </c>
      <c r="D424" s="114" t="s">
        <v>71</v>
      </c>
      <c r="E424" s="114"/>
      <c r="F424" s="153">
        <v>44404</v>
      </c>
      <c r="G424" s="152">
        <f t="shared" si="8"/>
        <v>4404</v>
      </c>
      <c r="H424" s="114" t="s">
        <v>320</v>
      </c>
      <c r="I424" s="123" t="s">
        <v>321</v>
      </c>
      <c r="J424" s="33">
        <v>102</v>
      </c>
      <c r="K424" s="124"/>
      <c r="L424" s="114"/>
      <c r="M424" s="114"/>
      <c r="N424" s="124">
        <v>3500000</v>
      </c>
      <c r="O424" s="114"/>
      <c r="P424" s="124"/>
      <c r="Q424" s="114"/>
      <c r="R424" s="124"/>
      <c r="S424" s="114"/>
      <c r="T424" s="114"/>
      <c r="V424" s="114"/>
      <c r="W424" s="114"/>
      <c r="X424" s="114"/>
      <c r="Y424" s="114"/>
      <c r="Z424" s="164"/>
      <c r="AA424" s="114"/>
      <c r="AB424" s="114"/>
      <c r="AC424" s="114"/>
      <c r="AD424" s="114"/>
      <c r="AE424" s="114"/>
      <c r="AF424" s="114"/>
      <c r="AG424" s="114"/>
      <c r="AH424" s="114"/>
      <c r="AI424" s="114"/>
      <c r="AJ424" s="114"/>
      <c r="AK424" s="114"/>
      <c r="AL424" s="114"/>
      <c r="AM424" s="114"/>
      <c r="AN424" s="114"/>
      <c r="AO424" s="114"/>
      <c r="AP424" s="114"/>
      <c r="AQ424" s="114"/>
      <c r="AR424" s="114"/>
    </row>
    <row r="425" ht="14.25" spans="1:44">
      <c r="A425" s="114" t="s">
        <v>399</v>
      </c>
      <c r="B425" s="114" t="s">
        <v>51</v>
      </c>
      <c r="C425" s="114"/>
      <c r="D425" s="114" t="s">
        <v>400</v>
      </c>
      <c r="E425" s="227" t="s">
        <v>401</v>
      </c>
      <c r="F425" s="153">
        <v>44404</v>
      </c>
      <c r="G425" s="152">
        <f t="shared" si="8"/>
        <v>4404</v>
      </c>
      <c r="H425" s="114" t="s">
        <v>402</v>
      </c>
      <c r="I425" s="123" t="s">
        <v>4420</v>
      </c>
      <c r="J425" s="33">
        <v>37</v>
      </c>
      <c r="K425" s="114"/>
      <c r="L425" s="114" t="s">
        <v>38</v>
      </c>
      <c r="M425" s="114"/>
      <c r="N425" s="124">
        <v>1000000000</v>
      </c>
      <c r="O425" s="235">
        <v>5.54e+21</v>
      </c>
      <c r="P425" s="124"/>
      <c r="Q425" s="114" t="s">
        <v>404</v>
      </c>
      <c r="R425" s="124"/>
      <c r="S425" s="114"/>
      <c r="T425" s="114"/>
      <c r="U425" s="114"/>
      <c r="V425" s="114"/>
      <c r="W425" s="114"/>
      <c r="X425" s="114"/>
      <c r="Y425" s="114"/>
      <c r="Z425" s="164"/>
      <c r="AA425" s="114"/>
      <c r="AB425" s="114"/>
      <c r="AC425" s="114"/>
      <c r="AD425" s="114"/>
      <c r="AE425" s="114"/>
      <c r="AF425" s="114"/>
      <c r="AG425" s="114"/>
      <c r="AH425" s="114"/>
      <c r="AI425" s="114"/>
      <c r="AJ425" s="114"/>
      <c r="AK425" s="114"/>
      <c r="AL425" s="114"/>
      <c r="AM425" s="114"/>
      <c r="AN425" s="114"/>
      <c r="AO425" s="114"/>
      <c r="AP425" s="114"/>
      <c r="AQ425" s="114"/>
      <c r="AR425" s="114"/>
    </row>
    <row r="426" ht="14.25" spans="1:44">
      <c r="A426" s="114" t="s">
        <v>420</v>
      </c>
      <c r="B426" s="114" t="s">
        <v>41</v>
      </c>
      <c r="C426" s="114"/>
      <c r="D426" s="114" t="s">
        <v>421</v>
      </c>
      <c r="E426" s="226" t="s">
        <v>422</v>
      </c>
      <c r="F426" s="153">
        <v>44406</v>
      </c>
      <c r="G426" s="152">
        <f t="shared" si="8"/>
        <v>4406</v>
      </c>
      <c r="H426" s="114" t="s">
        <v>423</v>
      </c>
      <c r="I426" s="123" t="s">
        <v>4421</v>
      </c>
      <c r="J426" s="33">
        <v>39</v>
      </c>
      <c r="K426" s="114"/>
      <c r="L426" s="114" t="s">
        <v>4422</v>
      </c>
      <c r="M426" s="114"/>
      <c r="N426" s="124">
        <v>1300000000</v>
      </c>
      <c r="O426" s="124">
        <v>4.42e+21</v>
      </c>
      <c r="P426" s="124"/>
      <c r="Q426" s="114"/>
      <c r="R426" s="124"/>
      <c r="S426" s="114"/>
      <c r="T426" s="114"/>
      <c r="U426" s="114"/>
      <c r="V426" s="114"/>
      <c r="W426" s="114"/>
      <c r="X426" s="114"/>
      <c r="Y426" s="114"/>
      <c r="Z426" s="164"/>
      <c r="AA426" s="114"/>
      <c r="AB426" s="114"/>
      <c r="AC426" s="114"/>
      <c r="AD426" s="114"/>
      <c r="AE426" s="114"/>
      <c r="AF426" s="114"/>
      <c r="AG426" s="114"/>
      <c r="AH426" s="114"/>
      <c r="AI426" s="114"/>
      <c r="AJ426" s="114"/>
      <c r="AK426" s="114"/>
      <c r="AL426" s="114"/>
      <c r="AM426" s="114"/>
      <c r="AN426" s="114"/>
      <c r="AO426" s="114"/>
      <c r="AP426" s="114"/>
      <c r="AQ426" s="114"/>
      <c r="AR426" s="114"/>
    </row>
    <row r="427" ht="14.25" spans="1:44">
      <c r="A427" s="114" t="s">
        <v>674</v>
      </c>
      <c r="B427" s="114" t="s">
        <v>32</v>
      </c>
      <c r="D427" s="114" t="s">
        <v>71</v>
      </c>
      <c r="E427" s="114"/>
      <c r="F427" s="153">
        <v>44407</v>
      </c>
      <c r="G427" s="152">
        <f t="shared" si="8"/>
        <v>4407</v>
      </c>
      <c r="H427" s="114" t="s">
        <v>676</v>
      </c>
      <c r="I427" s="123" t="s">
        <v>677</v>
      </c>
      <c r="J427" s="33">
        <v>104</v>
      </c>
      <c r="K427" s="124"/>
      <c r="L427" s="114"/>
      <c r="M427" s="114"/>
      <c r="N427" s="124"/>
      <c r="O427" s="124"/>
      <c r="P427" s="124"/>
      <c r="Q427" s="114"/>
      <c r="R427" s="124"/>
      <c r="S427" s="114"/>
      <c r="T427" s="114"/>
      <c r="U427" s="114"/>
      <c r="V427" s="114"/>
      <c r="W427" s="114"/>
      <c r="X427" s="114"/>
      <c r="Y427" s="114"/>
      <c r="Z427" s="164"/>
      <c r="AA427" s="114"/>
      <c r="AB427" s="114"/>
      <c r="AC427" s="114"/>
      <c r="AD427" s="114"/>
      <c r="AE427" s="114"/>
      <c r="AF427" s="114"/>
      <c r="AG427" s="114"/>
      <c r="AH427" s="114"/>
      <c r="AI427" s="114"/>
      <c r="AJ427" s="114"/>
      <c r="AK427" s="114"/>
      <c r="AL427" s="114"/>
      <c r="AM427" s="114"/>
      <c r="AN427" s="114"/>
      <c r="AO427" s="114"/>
      <c r="AP427" s="114"/>
      <c r="AQ427" s="114"/>
      <c r="AR427" s="114"/>
    </row>
    <row r="428" ht="14.25" spans="1:44">
      <c r="A428" s="114" t="s">
        <v>289</v>
      </c>
      <c r="B428" s="114" t="s">
        <v>51</v>
      </c>
      <c r="C428" s="114"/>
      <c r="D428" s="114" t="s">
        <v>290</v>
      </c>
      <c r="E428" s="114"/>
      <c r="F428" s="153">
        <v>44419</v>
      </c>
      <c r="G428" s="152">
        <f t="shared" si="8"/>
        <v>4419</v>
      </c>
      <c r="H428" s="114" t="s">
        <v>292</v>
      </c>
      <c r="I428" s="123" t="s">
        <v>293</v>
      </c>
      <c r="J428" s="33">
        <v>9</v>
      </c>
      <c r="K428" s="124"/>
      <c r="L428" s="114"/>
      <c r="M428" s="114"/>
      <c r="N428" s="124">
        <v>178000000000</v>
      </c>
      <c r="O428" s="124">
        <v>3.7e+23</v>
      </c>
      <c r="P428" s="124"/>
      <c r="Q428" s="114"/>
      <c r="R428" s="124"/>
      <c r="S428" s="114"/>
      <c r="T428" s="114"/>
      <c r="U428" s="114"/>
      <c r="V428" s="114"/>
      <c r="W428" s="114"/>
      <c r="X428" s="114"/>
      <c r="Y428" s="114"/>
      <c r="Z428" s="164"/>
      <c r="AA428" s="114"/>
      <c r="AB428" s="114"/>
      <c r="AC428" s="114"/>
      <c r="AD428" s="114"/>
      <c r="AE428" s="114"/>
      <c r="AF428" s="114"/>
      <c r="AG428" s="114"/>
      <c r="AH428" s="114"/>
      <c r="AI428" s="114"/>
      <c r="AJ428" s="114"/>
      <c r="AK428" s="114"/>
      <c r="AL428" s="114"/>
      <c r="AM428" s="114"/>
      <c r="AN428" s="114"/>
      <c r="AO428" s="114"/>
      <c r="AP428" s="114"/>
      <c r="AQ428" s="114"/>
      <c r="AR428" s="114"/>
    </row>
    <row r="429" ht="14.25" spans="1:44">
      <c r="A429" s="114" t="s">
        <v>515</v>
      </c>
      <c r="B429" s="114" t="s">
        <v>51</v>
      </c>
      <c r="C429" s="114"/>
      <c r="D429" s="114" t="s">
        <v>400</v>
      </c>
      <c r="E429" s="227" t="s">
        <v>516</v>
      </c>
      <c r="F429" s="153">
        <v>44425</v>
      </c>
      <c r="G429" s="152">
        <f t="shared" si="8"/>
        <v>4425</v>
      </c>
      <c r="H429" s="114" t="s">
        <v>517</v>
      </c>
      <c r="I429" s="123" t="s">
        <v>4423</v>
      </c>
      <c r="J429" s="33">
        <v>1</v>
      </c>
      <c r="K429" s="114"/>
      <c r="L429" s="114" t="s">
        <v>38</v>
      </c>
      <c r="M429" s="114"/>
      <c r="N429" s="124">
        <v>10700000000</v>
      </c>
      <c r="O429" s="114"/>
      <c r="P429" s="124"/>
      <c r="Q429" s="114" t="s">
        <v>519</v>
      </c>
      <c r="R429" s="124"/>
      <c r="S429" s="114"/>
      <c r="T429" s="114"/>
      <c r="U429" s="114"/>
      <c r="V429" s="114"/>
      <c r="W429" s="114"/>
      <c r="X429" s="114"/>
      <c r="Y429" s="114"/>
      <c r="Z429" s="164"/>
      <c r="AA429" s="114"/>
      <c r="AB429" s="114"/>
      <c r="AC429" s="114"/>
      <c r="AD429" s="114"/>
      <c r="AE429" s="114"/>
      <c r="AF429" s="114"/>
      <c r="AG429" s="114"/>
      <c r="AH429" s="114"/>
      <c r="AI429" s="114"/>
      <c r="AJ429" s="114"/>
      <c r="AK429" s="114"/>
      <c r="AL429" s="114"/>
      <c r="AM429" s="114"/>
      <c r="AN429" s="114"/>
      <c r="AO429" s="114"/>
      <c r="AP429" s="114"/>
      <c r="AQ429" s="114"/>
      <c r="AR429" s="114"/>
    </row>
    <row r="430" ht="14.25" spans="1:44">
      <c r="A430" s="114" t="s">
        <v>345</v>
      </c>
      <c r="B430" s="114" t="s">
        <v>51</v>
      </c>
      <c r="C430" s="114"/>
      <c r="D430" s="114" t="s">
        <v>53</v>
      </c>
      <c r="E430" s="114"/>
      <c r="F430" s="153">
        <v>44442</v>
      </c>
      <c r="G430" s="152">
        <f t="shared" si="8"/>
        <v>4442</v>
      </c>
      <c r="H430" s="114" t="s">
        <v>4424</v>
      </c>
      <c r="I430" s="123" t="s">
        <v>348</v>
      </c>
      <c r="J430" s="33">
        <v>105</v>
      </c>
      <c r="K430" s="124"/>
      <c r="L430" s="114"/>
      <c r="M430" s="114"/>
      <c r="N430" s="124"/>
      <c r="O430" s="124"/>
      <c r="P430" s="124"/>
      <c r="Q430" s="114"/>
      <c r="R430" s="124"/>
      <c r="S430" s="114"/>
      <c r="T430" s="114"/>
      <c r="U430" s="114"/>
      <c r="V430" s="114"/>
      <c r="W430" s="114"/>
      <c r="X430" s="114"/>
      <c r="Y430" s="114"/>
      <c r="Z430" s="164"/>
      <c r="AA430" s="114"/>
      <c r="AB430" s="114"/>
      <c r="AC430" s="114"/>
      <c r="AD430" s="114"/>
      <c r="AE430" s="114"/>
      <c r="AF430" s="114"/>
      <c r="AG430" s="114"/>
      <c r="AH430" s="114"/>
      <c r="AI430" s="114"/>
      <c r="AJ430" s="114"/>
      <c r="AK430" s="114"/>
      <c r="AL430" s="114"/>
      <c r="AM430" s="114"/>
      <c r="AN430" s="114"/>
      <c r="AO430" s="114"/>
      <c r="AP430" s="114"/>
      <c r="AQ430" s="114"/>
      <c r="AR430" s="114"/>
    </row>
    <row r="431" ht="14.25" spans="1:44">
      <c r="A431" s="155" t="s">
        <v>523</v>
      </c>
      <c r="B431" s="114" t="s">
        <v>524</v>
      </c>
      <c r="C431" s="114"/>
      <c r="D431" s="114" t="s">
        <v>525</v>
      </c>
      <c r="E431" s="114" t="s">
        <v>526</v>
      </c>
      <c r="F431" s="153">
        <v>44443</v>
      </c>
      <c r="G431" s="152">
        <f t="shared" si="8"/>
        <v>4443</v>
      </c>
      <c r="H431" s="114" t="s">
        <v>527</v>
      </c>
      <c r="I431" s="123" t="s">
        <v>528</v>
      </c>
      <c r="J431" s="33">
        <v>26</v>
      </c>
      <c r="K431" s="124"/>
      <c r="L431" s="114"/>
      <c r="M431" s="114"/>
      <c r="N431" s="124">
        <v>135000000000</v>
      </c>
      <c r="P431" s="124"/>
      <c r="Q431" s="114"/>
      <c r="R431" s="124"/>
      <c r="S431" s="114"/>
      <c r="T431" s="114"/>
      <c r="U431" s="114"/>
      <c r="V431" s="114"/>
      <c r="W431" s="114"/>
      <c r="X431" s="114"/>
      <c r="Y431" s="114"/>
      <c r="Z431" s="164"/>
      <c r="AA431" s="114"/>
      <c r="AB431" s="114"/>
      <c r="AC431" s="114"/>
      <c r="AD431" s="114"/>
      <c r="AE431" s="114"/>
      <c r="AF431" s="114"/>
      <c r="AG431" s="114"/>
      <c r="AH431" s="114"/>
      <c r="AI431" s="114"/>
      <c r="AJ431" s="114"/>
      <c r="AK431" s="114"/>
      <c r="AL431" s="114"/>
      <c r="AM431" s="114"/>
      <c r="AN431" s="114"/>
      <c r="AO431" s="114"/>
      <c r="AP431" s="114"/>
      <c r="AQ431" s="114"/>
      <c r="AR431" s="114"/>
    </row>
    <row r="432" ht="14.25" spans="1:44">
      <c r="A432" s="114" t="s">
        <v>406</v>
      </c>
      <c r="B432" s="114" t="s">
        <v>51</v>
      </c>
      <c r="C432" s="114"/>
      <c r="D432" s="114" t="s">
        <v>407</v>
      </c>
      <c r="E432" s="170" t="s">
        <v>408</v>
      </c>
      <c r="F432" s="169">
        <v>44477</v>
      </c>
      <c r="G432" s="152">
        <f t="shared" si="8"/>
        <v>4477</v>
      </c>
      <c r="H432" s="114" t="s">
        <v>409</v>
      </c>
      <c r="I432" s="123" t="s">
        <v>410</v>
      </c>
      <c r="J432" s="33">
        <v>14</v>
      </c>
      <c r="K432" s="124"/>
      <c r="L432" s="114"/>
      <c r="M432" s="114"/>
      <c r="N432" s="124">
        <v>10000000000000</v>
      </c>
      <c r="O432" s="124">
        <v>5.53e+21</v>
      </c>
      <c r="P432" s="124"/>
      <c r="Q432" s="114"/>
      <c r="R432" s="124"/>
      <c r="S432" s="114">
        <v>122880</v>
      </c>
      <c r="T432" s="114"/>
      <c r="U432" s="114"/>
      <c r="V432" s="114"/>
      <c r="W432" s="114"/>
      <c r="X432" s="114"/>
      <c r="Y432" s="114"/>
      <c r="Z432" s="164"/>
      <c r="AA432" s="114"/>
      <c r="AB432" s="114"/>
      <c r="AC432" s="114"/>
      <c r="AD432" s="114"/>
      <c r="AE432" s="114"/>
      <c r="AF432" s="114"/>
      <c r="AG432" s="114"/>
      <c r="AH432" s="114"/>
      <c r="AI432" s="114"/>
      <c r="AJ432" s="114"/>
      <c r="AK432" s="114"/>
      <c r="AL432" s="114"/>
      <c r="AM432" s="114"/>
      <c r="AN432" s="114"/>
      <c r="AO432" s="114"/>
      <c r="AP432" s="114"/>
      <c r="AQ432" s="114"/>
      <c r="AR432" s="114"/>
    </row>
    <row r="433" ht="14.25" spans="1:44">
      <c r="A433" s="114" t="s">
        <v>272</v>
      </c>
      <c r="B433" s="114" t="s">
        <v>51</v>
      </c>
      <c r="C433" s="114"/>
      <c r="D433" s="114" t="s">
        <v>393</v>
      </c>
      <c r="E433" s="114"/>
      <c r="F433" s="169">
        <v>44480</v>
      </c>
      <c r="G433" s="152">
        <f t="shared" si="8"/>
        <v>4480</v>
      </c>
      <c r="H433" s="114" t="s">
        <v>275</v>
      </c>
      <c r="I433" s="123" t="s">
        <v>276</v>
      </c>
      <c r="J433" s="33" t="s">
        <v>3213</v>
      </c>
      <c r="K433" s="124"/>
      <c r="L433" s="114"/>
      <c r="M433" s="114"/>
      <c r="N433" s="124">
        <f>530000000000</f>
        <v>530000000000</v>
      </c>
      <c r="O433" s="124">
        <f>1.3542E+24</f>
        <v>1.3542e+24</v>
      </c>
      <c r="P433" s="124"/>
      <c r="Q433" s="114"/>
      <c r="R433" s="124"/>
      <c r="S433" s="114"/>
      <c r="T433" s="114"/>
      <c r="U433" s="114"/>
      <c r="V433" s="114"/>
      <c r="W433" s="114"/>
      <c r="X433" s="114"/>
      <c r="Y433" s="114"/>
      <c r="Z433" s="164"/>
      <c r="AA433" s="114"/>
      <c r="AB433" s="114"/>
      <c r="AC433" s="114"/>
      <c r="AD433" s="114"/>
      <c r="AE433" s="114"/>
      <c r="AF433" s="114"/>
      <c r="AG433" s="114"/>
      <c r="AH433" s="114"/>
      <c r="AI433" s="114"/>
      <c r="AJ433" s="114"/>
      <c r="AK433" s="114"/>
      <c r="AL433" s="114"/>
      <c r="AM433" s="114"/>
      <c r="AN433" s="114"/>
      <c r="AO433" s="114"/>
      <c r="AP433" s="114"/>
      <c r="AQ433" s="114"/>
      <c r="AR433" s="114"/>
    </row>
    <row r="434" ht="14.25" spans="1:44">
      <c r="A434" s="114" t="s">
        <v>365</v>
      </c>
      <c r="B434" s="114" t="s">
        <v>51</v>
      </c>
      <c r="C434" s="114"/>
      <c r="D434" s="114" t="s">
        <v>2777</v>
      </c>
      <c r="E434" s="114" t="s">
        <v>4425</v>
      </c>
      <c r="F434" s="169">
        <v>44484</v>
      </c>
      <c r="G434" s="152">
        <f t="shared" si="8"/>
        <v>4484</v>
      </c>
      <c r="H434" s="114" t="s">
        <v>531</v>
      </c>
      <c r="I434" s="123" t="s">
        <v>370</v>
      </c>
      <c r="J434" s="33">
        <v>14</v>
      </c>
      <c r="K434" s="124"/>
      <c r="L434" s="114"/>
      <c r="M434" s="114"/>
      <c r="N434" s="124">
        <v>11000000000</v>
      </c>
      <c r="O434" s="124"/>
      <c r="P434" s="124"/>
      <c r="Q434" s="114"/>
      <c r="R434" s="124"/>
      <c r="S434" s="114"/>
      <c r="T434" s="114"/>
      <c r="U434" s="114"/>
      <c r="V434" s="114"/>
      <c r="W434" s="114"/>
      <c r="X434" s="114"/>
      <c r="Y434" s="114"/>
      <c r="Z434" s="164"/>
      <c r="AA434" s="114"/>
      <c r="AB434" s="114"/>
      <c r="AC434" s="114"/>
      <c r="AD434" s="114"/>
      <c r="AE434" s="114"/>
      <c r="AF434" s="114"/>
      <c r="AG434" s="114"/>
      <c r="AH434" s="114"/>
      <c r="AI434" s="114"/>
      <c r="AJ434" s="114"/>
      <c r="AK434" s="114"/>
      <c r="AL434" s="114"/>
      <c r="AM434" s="114"/>
      <c r="AN434" s="114"/>
      <c r="AO434" s="114"/>
      <c r="AP434" s="114"/>
      <c r="AQ434" s="114"/>
      <c r="AR434" s="114"/>
    </row>
    <row r="435" ht="14.25" spans="1:44">
      <c r="A435" s="114" t="s">
        <v>532</v>
      </c>
      <c r="B435" s="114" t="s">
        <v>32</v>
      </c>
      <c r="C435" s="114"/>
      <c r="D435" s="114"/>
      <c r="E435" s="114"/>
      <c r="F435" s="169">
        <v>44490</v>
      </c>
      <c r="G435" s="152">
        <f t="shared" si="8"/>
        <v>4490</v>
      </c>
      <c r="H435" s="114" t="s">
        <v>536</v>
      </c>
      <c r="I435" s="123" t="s">
        <v>537</v>
      </c>
      <c r="J435" s="33"/>
      <c r="K435" s="124"/>
      <c r="L435" s="114"/>
      <c r="M435" s="114"/>
      <c r="N435" s="124"/>
      <c r="O435" s="114"/>
      <c r="P435" s="124"/>
      <c r="Q435" s="114"/>
      <c r="R435" s="124"/>
      <c r="S435" s="114"/>
      <c r="T435" s="114"/>
      <c r="U435" s="114"/>
      <c r="V435" s="114"/>
      <c r="W435" s="114"/>
      <c r="X435" s="114"/>
      <c r="Y435" s="114"/>
      <c r="Z435" s="164"/>
      <c r="AA435" s="114"/>
      <c r="AB435" s="114"/>
      <c r="AC435" s="114"/>
      <c r="AD435" s="114"/>
      <c r="AE435" s="114"/>
      <c r="AF435" s="114"/>
      <c r="AG435" s="114"/>
      <c r="AH435" s="114"/>
      <c r="AI435" s="114"/>
      <c r="AJ435" s="114"/>
      <c r="AK435" s="114"/>
      <c r="AL435" s="114"/>
      <c r="AM435" s="114"/>
      <c r="AN435" s="114"/>
      <c r="AO435" s="114"/>
      <c r="AP435" s="114"/>
      <c r="AQ435" s="114"/>
      <c r="AR435" s="114"/>
    </row>
    <row r="436" ht="14.25" spans="1:44">
      <c r="A436" s="114" t="s">
        <v>538</v>
      </c>
      <c r="B436" s="114" t="s">
        <v>256</v>
      </c>
      <c r="C436" s="114"/>
      <c r="D436" s="114"/>
      <c r="E436" s="170" t="s">
        <v>540</v>
      </c>
      <c r="F436" s="169">
        <v>44499</v>
      </c>
      <c r="G436" s="152">
        <f t="shared" si="8"/>
        <v>4499</v>
      </c>
      <c r="H436" s="114" t="s">
        <v>541</v>
      </c>
      <c r="I436" s="123" t="s">
        <v>542</v>
      </c>
      <c r="J436" s="33">
        <v>6</v>
      </c>
      <c r="K436" s="124"/>
      <c r="L436" s="114"/>
      <c r="M436" s="114"/>
      <c r="N436" s="124"/>
      <c r="O436" s="124"/>
      <c r="P436" s="124"/>
      <c r="Q436" s="114"/>
      <c r="R436" s="124"/>
      <c r="S436" s="114"/>
      <c r="T436" s="114"/>
      <c r="U436" s="114"/>
      <c r="V436" s="114"/>
      <c r="W436" s="114"/>
      <c r="X436" s="114"/>
      <c r="Y436" s="114"/>
      <c r="Z436" s="164"/>
      <c r="AA436" s="114"/>
      <c r="AB436" s="114"/>
      <c r="AC436" s="114"/>
      <c r="AD436" s="114"/>
      <c r="AE436" s="114"/>
      <c r="AF436" s="114"/>
      <c r="AG436" s="114"/>
      <c r="AH436" s="114"/>
      <c r="AI436" s="114"/>
      <c r="AJ436" s="114"/>
      <c r="AK436" s="114"/>
      <c r="AL436" s="114"/>
      <c r="AM436" s="114"/>
      <c r="AN436" s="114"/>
      <c r="AO436" s="114"/>
      <c r="AP436" s="114"/>
      <c r="AQ436" s="114"/>
      <c r="AR436" s="114"/>
    </row>
    <row r="437" ht="14.25" spans="1:44">
      <c r="A437" s="114" t="s">
        <v>283</v>
      </c>
      <c r="B437" s="114" t="s">
        <v>51</v>
      </c>
      <c r="C437" s="114"/>
      <c r="D437" s="114" t="s">
        <v>284</v>
      </c>
      <c r="E437" s="114" t="s">
        <v>285</v>
      </c>
      <c r="F437" s="169">
        <v>44510</v>
      </c>
      <c r="G437" s="152">
        <f t="shared" si="8"/>
        <v>4510</v>
      </c>
      <c r="H437" s="114" t="s">
        <v>286</v>
      </c>
      <c r="I437" s="123" t="s">
        <v>287</v>
      </c>
      <c r="J437" s="33">
        <v>4</v>
      </c>
      <c r="K437" s="124"/>
      <c r="L437" s="114"/>
      <c r="M437" s="114"/>
      <c r="N437" s="124">
        <f>245000000000</f>
        <v>245000000000</v>
      </c>
      <c r="O437" s="124">
        <v>4.097e+23</v>
      </c>
      <c r="P437" s="124"/>
      <c r="Q437" s="114"/>
      <c r="R437" s="124"/>
      <c r="S437" s="114"/>
      <c r="T437" s="114"/>
      <c r="U437" s="114"/>
      <c r="V437" s="114"/>
      <c r="W437" s="114"/>
      <c r="X437" s="114"/>
      <c r="Y437" s="114"/>
      <c r="Z437" s="164"/>
      <c r="AA437" s="114"/>
      <c r="AB437" s="114"/>
      <c r="AC437" s="114"/>
      <c r="AD437" s="114"/>
      <c r="AE437" s="114"/>
      <c r="AF437" s="114"/>
      <c r="AG437" s="114"/>
      <c r="AH437" s="114"/>
      <c r="AI437" s="114"/>
      <c r="AJ437" s="114"/>
      <c r="AK437" s="114"/>
      <c r="AL437" s="114"/>
      <c r="AM437" s="114"/>
      <c r="AN437" s="114"/>
      <c r="AO437" s="114"/>
      <c r="AP437" s="114"/>
      <c r="AQ437" s="114"/>
      <c r="AR437" s="114"/>
    </row>
    <row r="438" ht="14.25" spans="1:44">
      <c r="A438" s="114" t="s">
        <v>278</v>
      </c>
      <c r="B438" s="114" t="s">
        <v>51</v>
      </c>
      <c r="C438" s="114"/>
      <c r="D438" s="114" t="s">
        <v>71</v>
      </c>
      <c r="E438" s="22" t="s">
        <v>279</v>
      </c>
      <c r="F438" s="169">
        <v>44538</v>
      </c>
      <c r="G438" s="152">
        <f t="shared" si="8"/>
        <v>4538</v>
      </c>
      <c r="H438" s="114" t="s">
        <v>280</v>
      </c>
      <c r="I438" s="123" t="s">
        <v>281</v>
      </c>
      <c r="J438" s="33"/>
      <c r="K438" s="124"/>
      <c r="L438" s="114"/>
      <c r="M438" s="114"/>
      <c r="N438" s="124">
        <v>280000000000</v>
      </c>
      <c r="O438" s="124">
        <f>631000000*1000000000000000</f>
        <v>6.31e+23</v>
      </c>
      <c r="P438" s="124"/>
      <c r="Q438" s="114"/>
      <c r="R438" s="124"/>
      <c r="S438" s="114"/>
      <c r="T438" s="114"/>
      <c r="U438" s="114"/>
      <c r="V438" s="114"/>
      <c r="W438" s="114"/>
      <c r="X438" s="114"/>
      <c r="Y438" s="114"/>
      <c r="Z438" s="164"/>
      <c r="AA438" s="114"/>
      <c r="AB438" s="114"/>
      <c r="AC438" s="114"/>
      <c r="AD438" s="114"/>
      <c r="AE438" s="114"/>
      <c r="AF438" s="114"/>
      <c r="AG438" s="114"/>
      <c r="AH438" s="114"/>
      <c r="AI438" s="114"/>
      <c r="AJ438" s="114"/>
      <c r="AK438" s="114"/>
      <c r="AL438" s="114"/>
      <c r="AM438" s="114"/>
      <c r="AN438" s="114"/>
      <c r="AO438" s="114"/>
      <c r="AP438" s="114"/>
      <c r="AQ438" s="114"/>
      <c r="AR438" s="114"/>
    </row>
    <row r="439" ht="14.25" spans="1:44">
      <c r="A439" s="114" t="s">
        <v>193</v>
      </c>
      <c r="B439" s="114" t="s">
        <v>51</v>
      </c>
      <c r="C439" s="114"/>
      <c r="D439" s="114" t="s">
        <v>71</v>
      </c>
      <c r="E439" s="22"/>
      <c r="F439" s="169">
        <v>44538</v>
      </c>
      <c r="G439" s="152">
        <f t="shared" si="8"/>
        <v>4538</v>
      </c>
      <c r="H439" s="114" t="s">
        <v>195</v>
      </c>
      <c r="I439" s="114"/>
      <c r="J439" s="33"/>
      <c r="K439" s="124"/>
      <c r="L439" s="114"/>
      <c r="M439" s="114"/>
      <c r="N439" s="124">
        <v>7500000000</v>
      </c>
      <c r="O439" s="124"/>
      <c r="P439" s="124"/>
      <c r="Q439" s="114"/>
      <c r="R439" s="124"/>
      <c r="S439" s="114"/>
      <c r="T439" s="114"/>
      <c r="U439" s="114"/>
      <c r="V439" s="114"/>
      <c r="W439" s="114"/>
      <c r="X439" s="114"/>
      <c r="Y439" s="114"/>
      <c r="Z439" s="164"/>
      <c r="AA439" s="114"/>
      <c r="AB439" s="114"/>
      <c r="AC439" s="114"/>
      <c r="AD439" s="114"/>
      <c r="AE439" s="114"/>
      <c r="AF439" s="114"/>
      <c r="AG439" s="114"/>
      <c r="AH439" s="114"/>
      <c r="AI439" s="114"/>
      <c r="AJ439" s="114"/>
      <c r="AK439" s="114"/>
      <c r="AL439" s="114"/>
      <c r="AM439" s="114"/>
      <c r="AN439" s="114"/>
      <c r="AO439" s="114"/>
      <c r="AP439" s="114"/>
      <c r="AQ439" s="114"/>
      <c r="AR439" s="114"/>
    </row>
    <row r="440" ht="14.25" spans="1:44">
      <c r="A440" s="114" t="s">
        <v>551</v>
      </c>
      <c r="B440" s="114" t="s">
        <v>77</v>
      </c>
      <c r="C440" s="114"/>
      <c r="D440" s="114" t="s">
        <v>34</v>
      </c>
      <c r="E440" s="22"/>
      <c r="F440" s="169">
        <v>44550</v>
      </c>
      <c r="G440" s="152">
        <f t="shared" si="8"/>
        <v>4550</v>
      </c>
      <c r="H440" s="114" t="s">
        <v>553</v>
      </c>
      <c r="I440" s="123" t="s">
        <v>554</v>
      </c>
      <c r="J440" s="33"/>
      <c r="K440" s="124"/>
      <c r="L440" s="114"/>
      <c r="M440" s="114"/>
      <c r="N440" s="124">
        <v>3500000000</v>
      </c>
      <c r="O440" s="124"/>
      <c r="P440" s="124"/>
      <c r="Q440" s="114"/>
      <c r="R440" s="124"/>
      <c r="S440" s="114"/>
      <c r="T440" s="114"/>
      <c r="U440" s="114"/>
      <c r="V440" s="114"/>
      <c r="W440" s="114"/>
      <c r="X440" s="114"/>
      <c r="Y440" s="114"/>
      <c r="Z440" s="164"/>
      <c r="AA440" s="114"/>
      <c r="AB440" s="114"/>
      <c r="AC440" s="114"/>
      <c r="AD440" s="114"/>
      <c r="AE440" s="114"/>
      <c r="AF440" s="114"/>
      <c r="AG440" s="114"/>
      <c r="AH440" s="114"/>
      <c r="AI440" s="114"/>
      <c r="AJ440" s="114"/>
      <c r="AK440" s="114"/>
      <c r="AL440" s="114"/>
      <c r="AM440" s="114"/>
      <c r="AN440" s="114"/>
      <c r="AO440" s="114"/>
      <c r="AP440" s="114"/>
      <c r="AQ440" s="114"/>
      <c r="AR440" s="114"/>
    </row>
    <row r="441" ht="14.25" spans="1:44">
      <c r="A441" s="114" t="s">
        <v>2728</v>
      </c>
      <c r="B441" s="114"/>
      <c r="C441" s="114"/>
      <c r="D441" s="114"/>
      <c r="E441" s="114"/>
      <c r="F441" s="114"/>
      <c r="G441" s="152" t="e">
        <f t="shared" si="8"/>
        <v>#VALUE!</v>
      </c>
      <c r="H441" s="189"/>
      <c r="I441" s="114"/>
      <c r="J441" s="33"/>
      <c r="K441" s="124"/>
      <c r="L441" s="114" t="s">
        <v>49</v>
      </c>
      <c r="M441" s="114"/>
      <c r="N441" s="124"/>
      <c r="O441" s="114"/>
      <c r="P441" s="124"/>
      <c r="Q441" s="114"/>
      <c r="R441" s="124"/>
      <c r="S441" s="114"/>
      <c r="T441" s="114"/>
      <c r="U441" s="114"/>
      <c r="V441" s="114"/>
      <c r="W441" s="114"/>
      <c r="X441" s="114"/>
      <c r="Y441" s="114"/>
      <c r="Z441" s="164"/>
      <c r="AA441" s="114"/>
      <c r="AB441" s="114"/>
      <c r="AC441" s="114"/>
      <c r="AD441" s="114"/>
      <c r="AE441" s="114"/>
      <c r="AF441" s="114"/>
      <c r="AG441" s="114"/>
      <c r="AH441" s="114"/>
      <c r="AI441" s="114"/>
      <c r="AJ441" s="114"/>
      <c r="AK441" s="114"/>
      <c r="AL441" s="114"/>
      <c r="AM441" s="114"/>
      <c r="AN441" s="114"/>
      <c r="AO441" s="114"/>
      <c r="AP441" s="114"/>
      <c r="AQ441" s="114"/>
      <c r="AR441" s="114"/>
    </row>
    <row r="442" ht="14.25" spans="1:44">
      <c r="A442" s="114" t="s">
        <v>2729</v>
      </c>
      <c r="B442" s="114"/>
      <c r="C442" s="114"/>
      <c r="D442" s="114"/>
      <c r="E442" s="114"/>
      <c r="F442" s="114"/>
      <c r="G442" s="152" t="e">
        <f t="shared" si="8"/>
        <v>#VALUE!</v>
      </c>
      <c r="H442" s="114"/>
      <c r="I442" s="114"/>
      <c r="J442" s="33"/>
      <c r="K442" s="124"/>
      <c r="L442" s="114" t="s">
        <v>49</v>
      </c>
      <c r="M442" s="114"/>
      <c r="N442" s="124"/>
      <c r="O442" s="114"/>
      <c r="P442" s="124"/>
      <c r="Q442" s="114"/>
      <c r="R442" s="124"/>
      <c r="S442" s="114"/>
      <c r="T442" s="114"/>
      <c r="U442" s="114"/>
      <c r="V442" s="114"/>
      <c r="W442" s="114"/>
      <c r="X442" s="114"/>
      <c r="Y442" s="114"/>
      <c r="Z442" s="164"/>
      <c r="AA442" s="114"/>
      <c r="AB442" s="114"/>
      <c r="AC442" s="114"/>
      <c r="AD442" s="114"/>
      <c r="AE442" s="114"/>
      <c r="AF442" s="114"/>
      <c r="AG442" s="114"/>
      <c r="AH442" s="114"/>
      <c r="AI442" s="114"/>
      <c r="AJ442" s="114"/>
      <c r="AK442" s="114"/>
      <c r="AL442" s="114"/>
      <c r="AM442" s="114"/>
      <c r="AN442" s="114"/>
      <c r="AO442" s="114"/>
      <c r="AP442" s="114"/>
      <c r="AQ442" s="114"/>
      <c r="AR442" s="114"/>
    </row>
    <row r="443" ht="14.25" spans="1:44">
      <c r="A443" s="114"/>
      <c r="B443" s="114" t="s">
        <v>51</v>
      </c>
      <c r="C443" s="114"/>
      <c r="D443" s="114" t="s">
        <v>1878</v>
      </c>
      <c r="E443" s="114" t="s">
        <v>1879</v>
      </c>
      <c r="F443" s="114"/>
      <c r="G443" s="152" t="e">
        <f t="shared" si="8"/>
        <v>#VALUE!</v>
      </c>
      <c r="H443" s="114" t="s">
        <v>1880</v>
      </c>
      <c r="I443" s="123" t="s">
        <v>1881</v>
      </c>
      <c r="J443" s="33">
        <v>6424</v>
      </c>
      <c r="K443" s="124"/>
      <c r="L443" s="114" t="s">
        <v>454</v>
      </c>
      <c r="M443" s="114"/>
      <c r="N443" s="124"/>
      <c r="O443" s="114"/>
      <c r="P443" s="124"/>
      <c r="Q443" s="114"/>
      <c r="R443" s="124"/>
      <c r="S443" s="114"/>
      <c r="T443" s="114"/>
      <c r="U443" s="114"/>
      <c r="V443" s="114"/>
      <c r="W443" s="114"/>
      <c r="X443" s="114"/>
      <c r="Y443" s="114"/>
      <c r="Z443" s="164"/>
      <c r="AA443" s="114"/>
      <c r="AB443" s="114"/>
      <c r="AC443" s="114"/>
      <c r="AD443" s="114"/>
      <c r="AE443" s="114"/>
      <c r="AF443" s="114"/>
      <c r="AG443" s="114"/>
      <c r="AH443" s="114"/>
      <c r="AI443" s="114"/>
      <c r="AJ443" s="114"/>
      <c r="AK443" s="114"/>
      <c r="AL443" s="114"/>
      <c r="AM443" s="114"/>
      <c r="AN443" s="114"/>
      <c r="AO443" s="114"/>
      <c r="AP443" s="114"/>
      <c r="AQ443" s="114"/>
      <c r="AR443" s="114"/>
    </row>
    <row r="444" ht="14.25" spans="1:44">
      <c r="A444" s="114" t="s">
        <v>468</v>
      </c>
      <c r="B444" s="114" t="s">
        <v>51</v>
      </c>
      <c r="C444" s="114"/>
      <c r="D444" s="114"/>
      <c r="E444" s="226"/>
      <c r="F444" s="114">
        <v>2021</v>
      </c>
      <c r="G444" s="152">
        <f t="shared" si="8"/>
        <v>2021</v>
      </c>
      <c r="H444" s="227"/>
      <c r="I444" s="114"/>
      <c r="J444" s="33"/>
      <c r="K444" s="114"/>
      <c r="L444" s="114"/>
      <c r="M444" s="114"/>
      <c r="N444" s="124">
        <v>260000000000</v>
      </c>
      <c r="O444" s="114"/>
      <c r="P444" s="124"/>
      <c r="Q444" s="114"/>
      <c r="R444" s="124"/>
      <c r="S444" s="114"/>
      <c r="T444" s="114"/>
      <c r="U444" s="114"/>
      <c r="V444" s="114"/>
      <c r="W444" s="114"/>
      <c r="X444" s="114"/>
      <c r="Y444" s="114"/>
      <c r="Z444" s="164"/>
      <c r="AA444" s="114"/>
      <c r="AB444" s="114"/>
      <c r="AC444" s="114"/>
      <c r="AD444" s="114"/>
      <c r="AE444" s="114"/>
      <c r="AF444" s="114"/>
      <c r="AG444" s="114"/>
      <c r="AH444" s="114"/>
      <c r="AI444" s="114"/>
      <c r="AJ444" s="114"/>
      <c r="AK444" s="114"/>
      <c r="AL444" s="114"/>
      <c r="AM444" s="114"/>
      <c r="AN444" s="114"/>
      <c r="AO444" s="114"/>
      <c r="AP444" s="114"/>
      <c r="AQ444" s="114"/>
      <c r="AR444" s="114"/>
    </row>
    <row r="445" ht="14.25" spans="1:44">
      <c r="A445" s="114"/>
      <c r="B445" s="114"/>
      <c r="C445" s="114"/>
      <c r="D445" s="114" t="s">
        <v>2705</v>
      </c>
      <c r="E445" s="114" t="s">
        <v>2706</v>
      </c>
      <c r="F445" s="114" t="s">
        <v>2707</v>
      </c>
      <c r="G445" s="152" t="e">
        <f t="shared" si="8"/>
        <v>#VALUE!</v>
      </c>
      <c r="H445" s="114" t="s">
        <v>2708</v>
      </c>
      <c r="I445" s="123" t="s">
        <v>2709</v>
      </c>
      <c r="J445" s="33">
        <v>157</v>
      </c>
      <c r="K445" s="124"/>
      <c r="L445" s="114" t="s">
        <v>49</v>
      </c>
      <c r="M445" s="114"/>
      <c r="N445" s="124"/>
      <c r="O445" s="114"/>
      <c r="P445" s="124"/>
      <c r="Q445" s="114"/>
      <c r="R445" s="124"/>
      <c r="S445" s="114"/>
      <c r="T445" s="114"/>
      <c r="U445" s="114"/>
      <c r="V445" s="114"/>
      <c r="W445" s="114"/>
      <c r="X445" s="114"/>
      <c r="Y445" s="114"/>
      <c r="Z445" s="164"/>
      <c r="AA445" s="114"/>
      <c r="AB445" s="114"/>
      <c r="AC445" s="114"/>
      <c r="AD445" s="114"/>
      <c r="AE445" s="114"/>
      <c r="AF445" s="114"/>
      <c r="AG445" s="114"/>
      <c r="AH445" s="114"/>
      <c r="AI445" s="114"/>
      <c r="AJ445" s="114"/>
      <c r="AK445" s="114"/>
      <c r="AL445" s="114"/>
      <c r="AM445" s="114"/>
      <c r="AN445" s="114"/>
      <c r="AO445" s="114"/>
      <c r="AP445" s="114"/>
      <c r="AQ445" s="114"/>
      <c r="AR445" s="114"/>
    </row>
    <row r="446" ht="12.75" spans="1:44">
      <c r="A446" s="114" t="s">
        <v>2710</v>
      </c>
      <c r="B446" s="114" t="s">
        <v>434</v>
      </c>
      <c r="C446" s="114"/>
      <c r="D446" s="114"/>
      <c r="E446" s="114"/>
      <c r="F446" s="114" t="s">
        <v>2711</v>
      </c>
      <c r="G446" s="152" t="e">
        <f t="shared" si="8"/>
        <v>#VALUE!</v>
      </c>
      <c r="H446" s="114"/>
      <c r="I446" s="114"/>
      <c r="J446" s="236"/>
      <c r="K446" s="124"/>
      <c r="L446" s="114" t="s">
        <v>49</v>
      </c>
      <c r="M446" s="114"/>
      <c r="N446" s="124"/>
      <c r="O446" s="124"/>
      <c r="P446" s="124"/>
      <c r="Q446" s="114"/>
      <c r="R446" s="124"/>
      <c r="S446" s="114"/>
      <c r="T446" s="114"/>
      <c r="U446" s="114"/>
      <c r="V446" s="114"/>
      <c r="W446" s="114"/>
      <c r="X446" s="114"/>
      <c r="Y446" s="114"/>
      <c r="Z446" s="178"/>
      <c r="AA446" s="114"/>
      <c r="AB446" s="114"/>
      <c r="AC446" s="114"/>
      <c r="AD446" s="114"/>
      <c r="AE446" s="114"/>
      <c r="AF446" s="114"/>
      <c r="AG446" s="114"/>
      <c r="AH446" s="114"/>
      <c r="AI446" s="114"/>
      <c r="AJ446" s="114"/>
      <c r="AK446" s="114"/>
      <c r="AL446" s="114"/>
      <c r="AM446" s="114"/>
      <c r="AN446" s="114"/>
      <c r="AO446" s="114"/>
      <c r="AP446" s="114"/>
      <c r="AQ446" s="114"/>
      <c r="AR446" s="114"/>
    </row>
    <row r="447" ht="12.75" spans="1:44">
      <c r="A447" s="114" t="s">
        <v>2712</v>
      </c>
      <c r="B447" s="114" t="s">
        <v>1910</v>
      </c>
      <c r="C447" s="114"/>
      <c r="D447" s="114" t="s">
        <v>2713</v>
      </c>
      <c r="E447" s="114"/>
      <c r="F447" s="153" t="s">
        <v>2714</v>
      </c>
      <c r="G447" s="152" t="e">
        <f t="shared" si="8"/>
        <v>#VALUE!</v>
      </c>
      <c r="H447" s="114"/>
      <c r="I447" s="114"/>
      <c r="J447" s="236"/>
      <c r="K447" s="124"/>
      <c r="L447" s="114" t="s">
        <v>49</v>
      </c>
      <c r="M447" s="114"/>
      <c r="N447" s="124"/>
      <c r="O447" s="114"/>
      <c r="P447" s="124"/>
      <c r="Q447" s="114"/>
      <c r="R447" s="124"/>
      <c r="S447" s="114"/>
      <c r="T447" s="114"/>
      <c r="U447" s="114"/>
      <c r="V447" s="114"/>
      <c r="W447" s="114"/>
      <c r="X447" s="114"/>
      <c r="Y447" s="114"/>
      <c r="Z447" s="178"/>
      <c r="AA447" s="114"/>
      <c r="AB447" s="114"/>
      <c r="AC447" s="114"/>
      <c r="AD447" s="114"/>
      <c r="AE447" s="114"/>
      <c r="AF447" s="114"/>
      <c r="AG447" s="114"/>
      <c r="AH447" s="114"/>
      <c r="AI447" s="114"/>
      <c r="AJ447" s="114"/>
      <c r="AK447" s="114"/>
      <c r="AL447" s="114"/>
      <c r="AM447" s="114"/>
      <c r="AN447" s="114"/>
      <c r="AO447" s="114"/>
      <c r="AP447" s="114"/>
      <c r="AQ447" s="114"/>
      <c r="AR447" s="114"/>
    </row>
    <row r="448" ht="12.75" spans="1:44">
      <c r="A448" s="160" t="s">
        <v>1416</v>
      </c>
      <c r="B448" s="114"/>
      <c r="C448" s="114"/>
      <c r="D448" s="114"/>
      <c r="E448" s="114"/>
      <c r="F448" s="114"/>
      <c r="G448" s="114">
        <v>2015</v>
      </c>
      <c r="H448" s="160" t="s">
        <v>4426</v>
      </c>
      <c r="I448" s="237" t="s">
        <v>4427</v>
      </c>
      <c r="J448" s="238">
        <v>14087</v>
      </c>
      <c r="K448" s="124"/>
      <c r="L448" s="114" t="s">
        <v>454</v>
      </c>
      <c r="M448" s="114"/>
      <c r="N448" s="124"/>
      <c r="O448" s="160">
        <f>8*3.5*7*24*3600*4290000000000*0.33</f>
        <v>2.397403008e+19</v>
      </c>
      <c r="P448" s="124"/>
      <c r="Q448" s="114" t="s">
        <v>455</v>
      </c>
      <c r="R448" s="114">
        <f t="shared" ref="R448:R453" si="10">1.28*10^6</f>
        <v>1280000</v>
      </c>
      <c r="S448" s="114"/>
      <c r="T448" s="114"/>
      <c r="U448" s="114"/>
      <c r="V448" s="114"/>
      <c r="W448" s="114"/>
      <c r="X448" s="114"/>
      <c r="Y448" s="114"/>
      <c r="Z448" s="178"/>
      <c r="AA448" s="114"/>
      <c r="AB448" s="114"/>
      <c r="AC448" s="114"/>
      <c r="AD448" s="114"/>
      <c r="AE448" s="114"/>
      <c r="AF448" s="114"/>
      <c r="AG448" s="114"/>
      <c r="AH448" s="114"/>
      <c r="AI448" s="114"/>
      <c r="AJ448" s="114"/>
      <c r="AK448" s="114"/>
      <c r="AL448" s="114"/>
      <c r="AM448" s="114"/>
      <c r="AN448" s="114"/>
      <c r="AO448" s="114"/>
      <c r="AP448" s="114"/>
      <c r="AQ448" s="114"/>
      <c r="AR448" s="114"/>
    </row>
    <row r="449" ht="12.75" spans="1:44">
      <c r="A449" s="160" t="s">
        <v>1523</v>
      </c>
      <c r="B449" s="114"/>
      <c r="C449" s="114"/>
      <c r="D449" s="114"/>
      <c r="E449" s="114"/>
      <c r="F449" s="114"/>
      <c r="G449" s="114">
        <v>2015</v>
      </c>
      <c r="H449" s="160" t="s">
        <v>1418</v>
      </c>
      <c r="I449" s="237" t="s">
        <v>4428</v>
      </c>
      <c r="J449" s="238">
        <v>7410</v>
      </c>
      <c r="K449" s="124"/>
      <c r="L449" s="114" t="s">
        <v>454</v>
      </c>
      <c r="M449" s="114"/>
      <c r="N449" s="124"/>
      <c r="O449" s="160">
        <f>0.33*10200000000000*3*7*24*3600</f>
        <v>6.1072704e+18</v>
      </c>
      <c r="P449" s="124"/>
      <c r="Q449" s="114" t="s">
        <v>455</v>
      </c>
      <c r="R449" s="114">
        <f t="shared" si="10"/>
        <v>1280000</v>
      </c>
      <c r="S449" s="114"/>
      <c r="T449" s="114"/>
      <c r="U449" s="114"/>
      <c r="V449" s="114"/>
      <c r="W449" s="114"/>
      <c r="X449" s="114"/>
      <c r="Y449" s="114"/>
      <c r="Z449" s="178"/>
      <c r="AA449" s="114"/>
      <c r="AB449" s="114"/>
      <c r="AC449" s="114"/>
      <c r="AD449" s="114"/>
      <c r="AE449" s="114"/>
      <c r="AF449" s="114"/>
      <c r="AG449" s="114"/>
      <c r="AH449" s="114"/>
      <c r="AI449" s="114"/>
      <c r="AJ449" s="114"/>
      <c r="AK449" s="114"/>
      <c r="AL449" s="114"/>
      <c r="AM449" s="114"/>
      <c r="AN449" s="114"/>
      <c r="AO449" s="114"/>
      <c r="AP449" s="114"/>
      <c r="AQ449" s="114"/>
      <c r="AR449" s="114"/>
    </row>
    <row r="450" ht="12.75" spans="1:44">
      <c r="A450" s="160" t="s">
        <v>596</v>
      </c>
      <c r="B450" s="114"/>
      <c r="C450" s="114"/>
      <c r="D450" s="114"/>
      <c r="E450" s="114"/>
      <c r="F450" s="114"/>
      <c r="G450" s="114">
        <v>2020</v>
      </c>
      <c r="H450" s="160" t="s">
        <v>599</v>
      </c>
      <c r="I450" s="237" t="s">
        <v>600</v>
      </c>
      <c r="J450" s="238">
        <v>1906</v>
      </c>
      <c r="K450" s="124"/>
      <c r="L450" s="114" t="s">
        <v>454</v>
      </c>
      <c r="M450" s="114"/>
      <c r="N450" s="124"/>
      <c r="O450" s="242">
        <f>12826*10^18</f>
        <v>1.2826e+22</v>
      </c>
      <c r="P450" s="124"/>
      <c r="Q450" s="114" t="s">
        <v>455</v>
      </c>
      <c r="R450" s="114">
        <f t="shared" si="10"/>
        <v>1280000</v>
      </c>
      <c r="S450" s="114"/>
      <c r="T450" s="114"/>
      <c r="U450" s="114"/>
      <c r="V450" s="114"/>
      <c r="W450" s="114"/>
      <c r="X450" s="114"/>
      <c r="Y450" s="114"/>
      <c r="Z450" s="178"/>
      <c r="AA450" s="114"/>
      <c r="AB450" s="114"/>
      <c r="AC450" s="114"/>
      <c r="AD450" s="114"/>
      <c r="AE450" s="114"/>
      <c r="AF450" s="114"/>
      <c r="AG450" s="114"/>
      <c r="AH450" s="114"/>
      <c r="AI450" s="114"/>
      <c r="AJ450" s="114"/>
      <c r="AK450" s="114"/>
      <c r="AL450" s="114"/>
      <c r="AM450" s="114"/>
      <c r="AN450" s="114"/>
      <c r="AO450" s="114"/>
      <c r="AP450" s="114"/>
      <c r="AQ450" s="114"/>
      <c r="AR450" s="114"/>
    </row>
    <row r="451" ht="12.75" spans="1:44">
      <c r="A451" s="160" t="s">
        <v>4377</v>
      </c>
      <c r="B451" s="114"/>
      <c r="C451" s="114"/>
      <c r="D451" s="114"/>
      <c r="E451" s="114"/>
      <c r="F451" s="114"/>
      <c r="G451" s="114">
        <v>2018</v>
      </c>
      <c r="H451" s="160" t="s">
        <v>973</v>
      </c>
      <c r="I451" s="237" t="s">
        <v>974</v>
      </c>
      <c r="J451" s="238">
        <v>1710</v>
      </c>
      <c r="K451" s="124"/>
      <c r="L451" s="114" t="s">
        <v>454</v>
      </c>
      <c r="M451" s="114"/>
      <c r="N451" s="124"/>
      <c r="O451" s="160">
        <f>7*24*3600*450*4290000000000*0.33</f>
        <v>3.85296912e+20</v>
      </c>
      <c r="P451" s="124"/>
      <c r="Q451" s="114" t="s">
        <v>455</v>
      </c>
      <c r="R451" s="114">
        <f t="shared" si="10"/>
        <v>1280000</v>
      </c>
      <c r="S451" s="114"/>
      <c r="T451" s="114"/>
      <c r="U451" s="114"/>
      <c r="V451" s="114"/>
      <c r="W451" s="114"/>
      <c r="X451" s="114"/>
      <c r="Y451" s="114"/>
      <c r="Z451" s="178"/>
      <c r="AA451" s="114"/>
      <c r="AB451" s="114"/>
      <c r="AC451" s="114"/>
      <c r="AD451" s="114"/>
      <c r="AE451" s="114"/>
      <c r="AF451" s="114"/>
      <c r="AG451" s="114"/>
      <c r="AH451" s="114"/>
      <c r="AI451" s="114"/>
      <c r="AJ451" s="114"/>
      <c r="AK451" s="114"/>
      <c r="AL451" s="114"/>
      <c r="AM451" s="114"/>
      <c r="AN451" s="114"/>
      <c r="AO451" s="114"/>
      <c r="AP451" s="114"/>
      <c r="AQ451" s="114"/>
      <c r="AR451" s="114"/>
    </row>
    <row r="452" ht="12.75" spans="1:44">
      <c r="A452" s="160" t="s">
        <v>1113</v>
      </c>
      <c r="B452" s="114"/>
      <c r="C452" s="114"/>
      <c r="D452" s="114"/>
      <c r="E452" s="114"/>
      <c r="F452" s="114"/>
      <c r="G452" s="114">
        <v>2018</v>
      </c>
      <c r="H452" s="160" t="s">
        <v>1116</v>
      </c>
      <c r="I452" s="237" t="s">
        <v>1117</v>
      </c>
      <c r="J452" s="238">
        <v>1341</v>
      </c>
      <c r="K452" s="124"/>
      <c r="L452" s="114" t="s">
        <v>454</v>
      </c>
      <c r="M452" s="114"/>
      <c r="N452" s="124"/>
      <c r="O452" s="243">
        <f>500*4*24*3600*9300000000000*0.33/8</f>
        <v>6.62904e+19</v>
      </c>
      <c r="P452" s="124"/>
      <c r="Q452" s="114" t="s">
        <v>455</v>
      </c>
      <c r="R452" s="114">
        <f t="shared" si="10"/>
        <v>1280000</v>
      </c>
      <c r="S452" s="114"/>
      <c r="T452" s="114"/>
      <c r="U452" s="114"/>
      <c r="V452" s="114"/>
      <c r="W452" s="114"/>
      <c r="X452" s="114"/>
      <c r="Y452" s="114"/>
      <c r="Z452" s="178"/>
      <c r="AA452" s="114"/>
      <c r="AB452" s="114"/>
      <c r="AC452" s="114"/>
      <c r="AD452" s="114"/>
      <c r="AE452" s="114"/>
      <c r="AF452" s="114"/>
      <c r="AG452" s="114"/>
      <c r="AH452" s="114"/>
      <c r="AI452" s="114"/>
      <c r="AJ452" s="114"/>
      <c r="AK452" s="114"/>
      <c r="AL452" s="114"/>
      <c r="AM452" s="114"/>
      <c r="AN452" s="114"/>
      <c r="AO452" s="114"/>
      <c r="AP452" s="114"/>
      <c r="AQ452" s="114"/>
      <c r="AR452" s="114"/>
    </row>
    <row r="453" ht="12.75" spans="1:44">
      <c r="A453" s="160" t="s">
        <v>448</v>
      </c>
      <c r="B453" s="114"/>
      <c r="C453" s="114"/>
      <c r="D453" s="114"/>
      <c r="E453" s="114"/>
      <c r="F453" s="114"/>
      <c r="G453" s="114">
        <v>2021</v>
      </c>
      <c r="H453" s="160" t="s">
        <v>4429</v>
      </c>
      <c r="I453" s="237" t="s">
        <v>4430</v>
      </c>
      <c r="J453" s="238">
        <v>5734</v>
      </c>
      <c r="K453" s="124"/>
      <c r="L453" s="114" t="s">
        <v>454</v>
      </c>
      <c r="M453" s="114"/>
      <c r="N453" s="124"/>
      <c r="O453" s="243">
        <f>17.9*10^9*300*1.28*10^6*3.5</f>
        <v>2.40576e+19</v>
      </c>
      <c r="P453" s="124"/>
      <c r="Q453" s="114" t="s">
        <v>455</v>
      </c>
      <c r="R453" s="114">
        <f t="shared" si="10"/>
        <v>1280000</v>
      </c>
      <c r="S453" s="114"/>
      <c r="T453" s="114"/>
      <c r="U453" s="114"/>
      <c r="V453" s="114"/>
      <c r="W453" s="114"/>
      <c r="X453" s="114"/>
      <c r="Y453" s="114"/>
      <c r="Z453" s="178"/>
      <c r="AA453" s="114"/>
      <c r="AB453" s="114"/>
      <c r="AC453" s="114"/>
      <c r="AD453" s="114"/>
      <c r="AE453" s="114"/>
      <c r="AF453" s="114"/>
      <c r="AG453" s="114"/>
      <c r="AH453" s="114"/>
      <c r="AI453" s="114"/>
      <c r="AJ453" s="114"/>
      <c r="AK453" s="114"/>
      <c r="AL453" s="114"/>
      <c r="AM453" s="114"/>
      <c r="AN453" s="114"/>
      <c r="AO453" s="114"/>
      <c r="AP453" s="114"/>
      <c r="AQ453" s="114"/>
      <c r="AR453" s="114"/>
    </row>
    <row r="454" ht="14.25" spans="1:44">
      <c r="A454" s="114"/>
      <c r="B454" s="114"/>
      <c r="C454" s="114"/>
      <c r="D454" s="114"/>
      <c r="E454" s="114"/>
      <c r="F454" s="153"/>
      <c r="G454" s="152"/>
      <c r="H454" s="114"/>
      <c r="I454" s="114"/>
      <c r="J454" s="33"/>
      <c r="K454" s="124"/>
      <c r="L454" s="114"/>
      <c r="M454" s="114"/>
      <c r="N454" s="124"/>
      <c r="O454" s="114"/>
      <c r="P454" s="124"/>
      <c r="Q454" s="114"/>
      <c r="R454" s="124"/>
      <c r="S454" s="114"/>
      <c r="T454" s="114"/>
      <c r="U454" s="114"/>
      <c r="V454" s="114"/>
      <c r="W454" s="114"/>
      <c r="X454" s="114"/>
      <c r="Y454" s="114"/>
      <c r="Z454" s="164"/>
      <c r="AA454" s="114"/>
      <c r="AB454" s="114"/>
      <c r="AC454" s="114"/>
      <c r="AD454" s="114"/>
      <c r="AE454" s="114"/>
      <c r="AF454" s="114"/>
      <c r="AG454" s="114"/>
      <c r="AH454" s="114"/>
      <c r="AI454" s="114"/>
      <c r="AJ454" s="114"/>
      <c r="AK454" s="114"/>
      <c r="AL454" s="114"/>
      <c r="AM454" s="114"/>
      <c r="AN454" s="114"/>
      <c r="AO454" s="114"/>
      <c r="AP454" s="114"/>
      <c r="AQ454" s="114"/>
      <c r="AR454" s="114"/>
    </row>
    <row r="455" ht="14.25" spans="1:44">
      <c r="A455" s="114"/>
      <c r="B455" s="114"/>
      <c r="C455" s="114"/>
      <c r="D455" s="114"/>
      <c r="E455" s="114"/>
      <c r="F455" s="153"/>
      <c r="G455" s="152"/>
      <c r="H455" s="114"/>
      <c r="I455" s="114"/>
      <c r="J455" s="33"/>
      <c r="K455" s="124"/>
      <c r="L455" s="114"/>
      <c r="M455" s="114"/>
      <c r="N455" s="124"/>
      <c r="O455" s="114"/>
      <c r="P455" s="124"/>
      <c r="Q455" s="114"/>
      <c r="R455" s="124"/>
      <c r="S455" s="114"/>
      <c r="T455" s="114"/>
      <c r="U455" s="114"/>
      <c r="V455" s="114"/>
      <c r="W455" s="114"/>
      <c r="X455" s="114"/>
      <c r="Y455" s="114"/>
      <c r="Z455" s="164"/>
      <c r="AA455" s="114"/>
      <c r="AB455" s="114"/>
      <c r="AC455" s="114"/>
      <c r="AD455" s="114"/>
      <c r="AE455" s="114"/>
      <c r="AF455" s="114"/>
      <c r="AG455" s="114"/>
      <c r="AH455" s="114"/>
      <c r="AI455" s="114"/>
      <c r="AJ455" s="114"/>
      <c r="AK455" s="114"/>
      <c r="AL455" s="114"/>
      <c r="AM455" s="114"/>
      <c r="AN455" s="114"/>
      <c r="AO455" s="114"/>
      <c r="AP455" s="114"/>
      <c r="AQ455" s="114"/>
      <c r="AR455" s="114"/>
    </row>
    <row r="456" ht="14.25" spans="1:44">
      <c r="A456" s="114"/>
      <c r="B456" s="114"/>
      <c r="C456" s="114"/>
      <c r="D456" s="114"/>
      <c r="E456" s="114"/>
      <c r="F456" s="153"/>
      <c r="G456" s="152"/>
      <c r="H456" s="114"/>
      <c r="I456" s="114"/>
      <c r="J456" s="33"/>
      <c r="K456" s="124"/>
      <c r="L456" s="114"/>
      <c r="M456" s="114"/>
      <c r="N456" s="124"/>
      <c r="O456" s="114"/>
      <c r="P456" s="124"/>
      <c r="Q456" s="114"/>
      <c r="R456" s="124"/>
      <c r="S456" s="114"/>
      <c r="T456" s="114"/>
      <c r="U456" s="114"/>
      <c r="V456" s="114"/>
      <c r="W456" s="114"/>
      <c r="X456" s="114"/>
      <c r="Y456" s="114"/>
      <c r="Z456" s="164"/>
      <c r="AA456" s="114"/>
      <c r="AB456" s="114"/>
      <c r="AC456" s="114"/>
      <c r="AD456" s="114"/>
      <c r="AE456" s="114"/>
      <c r="AF456" s="114"/>
      <c r="AG456" s="114"/>
      <c r="AH456" s="114"/>
      <c r="AI456" s="114"/>
      <c r="AJ456" s="114"/>
      <c r="AK456" s="114"/>
      <c r="AL456" s="114"/>
      <c r="AM456" s="114"/>
      <c r="AN456" s="114"/>
      <c r="AO456" s="114"/>
      <c r="AP456" s="114"/>
      <c r="AQ456" s="114"/>
      <c r="AR456" s="114"/>
    </row>
    <row r="457" ht="14.25" spans="1:44">
      <c r="A457" s="114" t="s">
        <v>2715</v>
      </c>
      <c r="B457" s="114" t="s">
        <v>51</v>
      </c>
      <c r="C457" s="114"/>
      <c r="D457" s="114" t="s">
        <v>1392</v>
      </c>
      <c r="E457" s="227" t="s">
        <v>2716</v>
      </c>
      <c r="F457" s="114" t="s">
        <v>2717</v>
      </c>
      <c r="G457" s="152">
        <f t="shared" ref="G457:G463" si="11">IF(INT(RIGHT(F457,4))&lt;1,"",INT(RIGHT(F457,4)))</f>
        <v>2021</v>
      </c>
      <c r="H457" s="227" t="s">
        <v>2718</v>
      </c>
      <c r="I457" s="123" t="s">
        <v>2719</v>
      </c>
      <c r="J457" s="33"/>
      <c r="K457" s="114"/>
      <c r="L457" s="114" t="s">
        <v>4431</v>
      </c>
      <c r="M457" s="114"/>
      <c r="N457" s="124"/>
      <c r="O457" s="114"/>
      <c r="P457" s="124"/>
      <c r="Q457" s="114"/>
      <c r="R457" s="124"/>
      <c r="S457" s="114"/>
      <c r="T457" s="114"/>
      <c r="U457" s="114"/>
      <c r="V457" s="114"/>
      <c r="W457" s="114"/>
      <c r="X457" s="114"/>
      <c r="Y457" s="114"/>
      <c r="Z457" s="164"/>
      <c r="AA457" s="114"/>
      <c r="AB457" s="114"/>
      <c r="AC457" s="114"/>
      <c r="AD457" s="114"/>
      <c r="AE457" s="114"/>
      <c r="AF457" s="114"/>
      <c r="AG457" s="114"/>
      <c r="AH457" s="114"/>
      <c r="AI457" s="114"/>
      <c r="AJ457" s="114"/>
      <c r="AK457" s="114"/>
      <c r="AL457" s="114"/>
      <c r="AM457" s="114"/>
      <c r="AN457" s="114"/>
      <c r="AO457" s="114"/>
      <c r="AP457" s="114"/>
      <c r="AQ457" s="114"/>
      <c r="AR457" s="114"/>
    </row>
    <row r="458" ht="14.25" spans="1:44">
      <c r="A458" s="114" t="s">
        <v>1627</v>
      </c>
      <c r="B458" s="114" t="s">
        <v>41</v>
      </c>
      <c r="C458" s="114"/>
      <c r="D458" s="114" t="s">
        <v>1628</v>
      </c>
      <c r="E458" s="114" t="s">
        <v>1629</v>
      </c>
      <c r="F458" s="114">
        <v>2013</v>
      </c>
      <c r="G458" s="152">
        <f t="shared" si="11"/>
        <v>2013</v>
      </c>
      <c r="H458" s="114" t="s">
        <v>4432</v>
      </c>
      <c r="I458" s="123" t="s">
        <v>1631</v>
      </c>
      <c r="J458" s="172">
        <v>1456</v>
      </c>
      <c r="K458" s="124"/>
      <c r="L458" s="114" t="s">
        <v>1632</v>
      </c>
      <c r="M458" s="114"/>
      <c r="N458" s="34">
        <v>37230</v>
      </c>
      <c r="O458" s="34">
        <v>1.37e+17</v>
      </c>
      <c r="P458" s="124"/>
      <c r="Q458" s="114"/>
      <c r="R458" s="124"/>
      <c r="S458" s="114"/>
      <c r="T458" s="114"/>
      <c r="U458" s="114"/>
      <c r="V458" s="114"/>
      <c r="W458" s="114"/>
      <c r="X458" s="114"/>
      <c r="Y458" s="114"/>
      <c r="Z458" s="164"/>
      <c r="AA458" s="114"/>
      <c r="AB458" s="114"/>
      <c r="AC458" s="114"/>
      <c r="AD458" s="114"/>
      <c r="AE458" s="114"/>
      <c r="AF458" s="114"/>
      <c r="AG458" s="114"/>
      <c r="AH458" s="114"/>
      <c r="AI458" s="114"/>
      <c r="AJ458" s="114"/>
      <c r="AK458" s="114"/>
      <c r="AL458" s="114"/>
      <c r="AM458" s="114"/>
      <c r="AN458" s="114"/>
      <c r="AO458" s="114"/>
      <c r="AP458" s="114"/>
      <c r="AQ458" s="114"/>
      <c r="AR458" s="114"/>
    </row>
    <row r="459" ht="14.25" spans="1:44">
      <c r="A459" s="114" t="s">
        <v>2720</v>
      </c>
      <c r="B459" s="114"/>
      <c r="C459" s="114"/>
      <c r="D459" s="114"/>
      <c r="E459" s="114"/>
      <c r="F459" s="153"/>
      <c r="G459" s="152" t="e">
        <f t="shared" si="11"/>
        <v>#VALUE!</v>
      </c>
      <c r="H459" s="114"/>
      <c r="I459" s="114"/>
      <c r="J459" s="33"/>
      <c r="K459" s="124"/>
      <c r="L459" s="114"/>
      <c r="M459" s="114"/>
      <c r="N459" s="124"/>
      <c r="O459" s="124"/>
      <c r="P459" s="124"/>
      <c r="Q459" s="114"/>
      <c r="R459" s="124"/>
      <c r="S459" s="114"/>
      <c r="T459" s="114"/>
      <c r="U459" s="114"/>
      <c r="V459" s="114"/>
      <c r="W459" s="114"/>
      <c r="X459" s="114"/>
      <c r="Y459" s="114"/>
      <c r="Z459" s="164"/>
      <c r="AA459" s="114"/>
      <c r="AB459" s="114"/>
      <c r="AC459" s="114"/>
      <c r="AD459" s="114"/>
      <c r="AE459" s="114"/>
      <c r="AF459" s="114"/>
      <c r="AG459" s="114"/>
      <c r="AH459" s="114"/>
      <c r="AI459" s="114"/>
      <c r="AJ459" s="114"/>
      <c r="AK459" s="114"/>
      <c r="AL459" s="114"/>
      <c r="AM459" s="114"/>
      <c r="AN459" s="114"/>
      <c r="AO459" s="114"/>
      <c r="AP459" s="114"/>
      <c r="AQ459" s="114"/>
      <c r="AR459" s="114"/>
    </row>
    <row r="460" ht="14.25" spans="1:44">
      <c r="A460" s="114" t="s">
        <v>2721</v>
      </c>
      <c r="B460" s="114"/>
      <c r="C460" s="114"/>
      <c r="D460" s="114"/>
      <c r="E460" s="114"/>
      <c r="F460" s="153"/>
      <c r="G460" s="152" t="e">
        <f t="shared" si="11"/>
        <v>#VALUE!</v>
      </c>
      <c r="H460" s="114"/>
      <c r="I460" s="114"/>
      <c r="J460" s="33"/>
      <c r="K460" s="124"/>
      <c r="L460" s="114"/>
      <c r="M460" s="114"/>
      <c r="N460" s="124"/>
      <c r="O460" s="124"/>
      <c r="P460" s="124"/>
      <c r="Q460" s="114"/>
      <c r="R460" s="124"/>
      <c r="S460" s="114"/>
      <c r="T460" s="114"/>
      <c r="U460" s="114"/>
      <c r="V460" s="114"/>
      <c r="W460" s="114"/>
      <c r="X460" s="114"/>
      <c r="Y460" s="114"/>
      <c r="Z460" s="164"/>
      <c r="AA460" s="114"/>
      <c r="AB460" s="114"/>
      <c r="AC460" s="114"/>
      <c r="AD460" s="114"/>
      <c r="AE460" s="114"/>
      <c r="AF460" s="114"/>
      <c r="AG460" s="114"/>
      <c r="AH460" s="114"/>
      <c r="AI460" s="114"/>
      <c r="AJ460" s="114"/>
      <c r="AK460" s="114"/>
      <c r="AL460" s="114"/>
      <c r="AM460" s="114"/>
      <c r="AN460" s="114"/>
      <c r="AO460" s="114"/>
      <c r="AP460" s="114"/>
      <c r="AQ460" s="114"/>
      <c r="AR460" s="114"/>
    </row>
    <row r="461" ht="14.25" spans="1:44">
      <c r="A461" s="114"/>
      <c r="B461" s="114"/>
      <c r="C461" s="114"/>
      <c r="D461" s="114"/>
      <c r="E461" s="114"/>
      <c r="F461" s="153"/>
      <c r="G461" s="152" t="e">
        <f t="shared" si="11"/>
        <v>#VALUE!</v>
      </c>
      <c r="H461" s="114"/>
      <c r="I461" s="114"/>
      <c r="J461" s="33"/>
      <c r="K461" s="124"/>
      <c r="L461" s="114"/>
      <c r="M461" s="114"/>
      <c r="N461" s="124"/>
      <c r="O461" s="124"/>
      <c r="P461" s="124"/>
      <c r="Q461" s="114"/>
      <c r="R461" s="124"/>
      <c r="S461" s="114"/>
      <c r="T461" s="114"/>
      <c r="U461" s="114"/>
      <c r="V461" s="114"/>
      <c r="W461" s="114"/>
      <c r="X461" s="114"/>
      <c r="Y461" s="114"/>
      <c r="Z461" s="164"/>
      <c r="AA461" s="114"/>
      <c r="AB461" s="114"/>
      <c r="AC461" s="114"/>
      <c r="AD461" s="114"/>
      <c r="AE461" s="114"/>
      <c r="AF461" s="114"/>
      <c r="AG461" s="114"/>
      <c r="AH461" s="114"/>
      <c r="AI461" s="114"/>
      <c r="AJ461" s="114"/>
      <c r="AK461" s="114"/>
      <c r="AL461" s="114"/>
      <c r="AM461" s="114"/>
      <c r="AN461" s="114"/>
      <c r="AO461" s="114"/>
      <c r="AP461" s="114"/>
      <c r="AQ461" s="114"/>
      <c r="AR461" s="114"/>
    </row>
    <row r="462" ht="14.25" spans="1:44">
      <c r="A462" s="114" t="s">
        <v>2778</v>
      </c>
      <c r="B462" s="114"/>
      <c r="C462" s="114"/>
      <c r="D462" s="123" t="s">
        <v>2576</v>
      </c>
      <c r="E462" s="114"/>
      <c r="F462" s="239"/>
      <c r="G462" s="152" t="e">
        <f t="shared" si="11"/>
        <v>#VALUE!</v>
      </c>
      <c r="H462" s="114"/>
      <c r="I462" s="114"/>
      <c r="J462" s="33"/>
      <c r="K462" s="124"/>
      <c r="L462" s="114"/>
      <c r="M462" s="114"/>
      <c r="N462" s="124"/>
      <c r="O462" s="124"/>
      <c r="P462" s="124"/>
      <c r="Q462" s="114"/>
      <c r="R462" s="124"/>
      <c r="S462" s="114"/>
      <c r="T462" s="114"/>
      <c r="U462" s="114"/>
      <c r="V462" s="114"/>
      <c r="W462" s="114"/>
      <c r="X462" s="114"/>
      <c r="Y462" s="114"/>
      <c r="Z462" s="164"/>
      <c r="AA462" s="114"/>
      <c r="AB462" s="114"/>
      <c r="AC462" s="114"/>
      <c r="AD462" s="114"/>
      <c r="AE462" s="114"/>
      <c r="AF462" s="114"/>
      <c r="AG462" s="114"/>
      <c r="AH462" s="114"/>
      <c r="AI462" s="114"/>
      <c r="AJ462" s="114"/>
      <c r="AK462" s="114"/>
      <c r="AL462" s="114"/>
      <c r="AM462" s="114"/>
      <c r="AN462" s="114"/>
      <c r="AO462" s="114"/>
      <c r="AP462" s="114"/>
      <c r="AQ462" s="114"/>
      <c r="AR462" s="114"/>
    </row>
    <row r="463" ht="14.25" spans="1:44">
      <c r="A463" s="114"/>
      <c r="B463" s="114"/>
      <c r="C463" s="114"/>
      <c r="D463" s="114"/>
      <c r="E463" s="114"/>
      <c r="F463" s="153"/>
      <c r="G463" s="152" t="e">
        <f t="shared" si="11"/>
        <v>#VALUE!</v>
      </c>
      <c r="H463" s="114"/>
      <c r="I463" s="114"/>
      <c r="J463" s="33"/>
      <c r="K463" s="114"/>
      <c r="L463" s="114"/>
      <c r="M463" s="114"/>
      <c r="N463" s="124"/>
      <c r="O463" s="114"/>
      <c r="P463" s="124"/>
      <c r="Q463" s="114"/>
      <c r="R463" s="124"/>
      <c r="S463" s="114"/>
      <c r="T463" s="114"/>
      <c r="U463" s="114"/>
      <c r="V463" s="114"/>
      <c r="W463" s="114"/>
      <c r="X463" s="114"/>
      <c r="Y463" s="114"/>
      <c r="Z463" s="164"/>
      <c r="AA463" s="114"/>
      <c r="AB463" s="114"/>
      <c r="AC463" s="114"/>
      <c r="AD463" s="114"/>
      <c r="AE463" s="114"/>
      <c r="AF463" s="114"/>
      <c r="AG463" s="114"/>
      <c r="AH463" s="114"/>
      <c r="AI463" s="114"/>
      <c r="AJ463" s="114"/>
      <c r="AK463" s="114"/>
      <c r="AL463" s="114"/>
      <c r="AM463" s="114"/>
      <c r="AN463" s="114"/>
      <c r="AO463" s="114"/>
      <c r="AP463" s="114"/>
      <c r="AQ463" s="114"/>
      <c r="AR463" s="114"/>
    </row>
    <row r="464" ht="14.25" spans="1:44">
      <c r="A464" s="114"/>
      <c r="B464" s="114"/>
      <c r="C464" s="114"/>
      <c r="D464" s="114" t="s">
        <v>2009</v>
      </c>
      <c r="E464" s="221" t="s">
        <v>2010</v>
      </c>
      <c r="F464" s="167">
        <v>39052</v>
      </c>
      <c r="G464" s="152">
        <v>2006</v>
      </c>
      <c r="H464" s="114" t="s">
        <v>2011</v>
      </c>
      <c r="I464" s="123" t="s">
        <v>2012</v>
      </c>
      <c r="J464" s="33">
        <v>3111</v>
      </c>
      <c r="K464" s="114"/>
      <c r="L464" s="114" t="s">
        <v>454</v>
      </c>
      <c r="M464" s="114"/>
      <c r="N464" s="124"/>
      <c r="O464" s="114"/>
      <c r="P464" s="124"/>
      <c r="Q464" s="114"/>
      <c r="R464" s="124"/>
      <c r="S464" s="114"/>
      <c r="T464" s="114"/>
      <c r="U464" s="114"/>
      <c r="V464" s="114"/>
      <c r="W464" s="114"/>
      <c r="X464" s="114"/>
      <c r="Y464" s="114"/>
      <c r="Z464" s="164" t="s">
        <v>2783</v>
      </c>
      <c r="AA464" s="114"/>
      <c r="AB464" s="114"/>
      <c r="AC464" s="114"/>
      <c r="AD464" s="114"/>
      <c r="AE464" s="114"/>
      <c r="AF464" s="114"/>
      <c r="AG464" s="114"/>
      <c r="AH464" s="114"/>
      <c r="AI464" s="114"/>
      <c r="AJ464" s="114"/>
      <c r="AK464" s="114"/>
      <c r="AL464" s="114"/>
      <c r="AM464" s="114"/>
      <c r="AN464" s="114"/>
      <c r="AO464" s="114"/>
      <c r="AP464" s="114"/>
      <c r="AQ464" s="114"/>
      <c r="AR464" s="114"/>
    </row>
    <row r="465" ht="14.25" spans="1:44">
      <c r="A465" s="114"/>
      <c r="B465" s="114"/>
      <c r="C465" s="114"/>
      <c r="D465" s="114" t="s">
        <v>2779</v>
      </c>
      <c r="E465" s="221" t="s">
        <v>2780</v>
      </c>
      <c r="F465" s="153">
        <v>43257</v>
      </c>
      <c r="G465" s="152">
        <f t="shared" ref="G465:G502" si="12">IF(INT(RIGHT(F465,4))&lt;1,"",INT(RIGHT(F465,4)))</f>
        <v>3257</v>
      </c>
      <c r="H465" s="114" t="s">
        <v>2781</v>
      </c>
      <c r="I465" s="123" t="s">
        <v>2782</v>
      </c>
      <c r="J465" s="33">
        <v>557</v>
      </c>
      <c r="K465" s="114"/>
      <c r="L465" s="114"/>
      <c r="M465" s="114"/>
      <c r="N465" s="124"/>
      <c r="O465" s="114"/>
      <c r="P465" s="124"/>
      <c r="Q465" s="114"/>
      <c r="R465" s="124"/>
      <c r="S465" s="114"/>
      <c r="T465" s="114"/>
      <c r="U465" s="114"/>
      <c r="V465" s="114"/>
      <c r="W465" s="114"/>
      <c r="X465" s="114"/>
      <c r="Y465" s="114"/>
      <c r="Z465" s="164" t="s">
        <v>2783</v>
      </c>
      <c r="AA465" s="114"/>
      <c r="AB465" s="114"/>
      <c r="AC465" s="114"/>
      <c r="AD465" s="114"/>
      <c r="AE465" s="114"/>
      <c r="AF465" s="114"/>
      <c r="AG465" s="114"/>
      <c r="AH465" s="114"/>
      <c r="AI465" s="114"/>
      <c r="AJ465" s="114"/>
      <c r="AK465" s="114"/>
      <c r="AL465" s="114"/>
      <c r="AM465" s="114"/>
      <c r="AN465" s="114"/>
      <c r="AO465" s="114"/>
      <c r="AP465" s="114"/>
      <c r="AQ465" s="114"/>
      <c r="AR465" s="114"/>
    </row>
    <row r="466" ht="14.25" spans="1:44">
      <c r="A466" s="114"/>
      <c r="B466" s="114"/>
      <c r="C466" s="114"/>
      <c r="D466" s="114" t="s">
        <v>2784</v>
      </c>
      <c r="E466" s="221" t="s">
        <v>2785</v>
      </c>
      <c r="F466" s="153">
        <v>44054</v>
      </c>
      <c r="G466" s="152">
        <f t="shared" si="12"/>
        <v>4054</v>
      </c>
      <c r="H466" s="114" t="s">
        <v>2786</v>
      </c>
      <c r="I466" s="123" t="s">
        <v>2787</v>
      </c>
      <c r="J466" s="33">
        <v>16</v>
      </c>
      <c r="K466" s="114"/>
      <c r="L466" s="114"/>
      <c r="M466" s="114"/>
      <c r="N466" s="124"/>
      <c r="O466" s="114"/>
      <c r="P466" s="124"/>
      <c r="Q466" s="114"/>
      <c r="R466" s="124"/>
      <c r="S466" s="114"/>
      <c r="T466" s="114"/>
      <c r="U466" s="114"/>
      <c r="V466" s="114"/>
      <c r="W466" s="114"/>
      <c r="X466" s="114"/>
      <c r="Y466" s="114"/>
      <c r="Z466" s="164" t="s">
        <v>2783</v>
      </c>
      <c r="AA466" s="114"/>
      <c r="AB466" s="114"/>
      <c r="AC466" s="114"/>
      <c r="AD466" s="114"/>
      <c r="AE466" s="114"/>
      <c r="AF466" s="114"/>
      <c r="AG466" s="114"/>
      <c r="AH466" s="114"/>
      <c r="AI466" s="114"/>
      <c r="AJ466" s="114"/>
      <c r="AK466" s="114"/>
      <c r="AL466" s="114"/>
      <c r="AM466" s="114"/>
      <c r="AN466" s="114"/>
      <c r="AO466" s="114"/>
      <c r="AP466" s="114"/>
      <c r="AQ466" s="114"/>
      <c r="AR466" s="114"/>
    </row>
    <row r="467" ht="14.25" spans="1:44">
      <c r="A467" s="114"/>
      <c r="B467" s="114"/>
      <c r="C467" s="114"/>
      <c r="D467" s="114" t="s">
        <v>2788</v>
      </c>
      <c r="E467" s="221" t="s">
        <v>2789</v>
      </c>
      <c r="F467" s="169">
        <v>33938</v>
      </c>
      <c r="G467" s="152">
        <f t="shared" si="12"/>
        <v>3938</v>
      </c>
      <c r="H467" s="114" t="s">
        <v>2790</v>
      </c>
      <c r="I467" s="123" t="s">
        <v>2791</v>
      </c>
      <c r="J467" s="33">
        <v>264</v>
      </c>
      <c r="K467" s="114"/>
      <c r="L467" s="114" t="s">
        <v>3789</v>
      </c>
      <c r="M467" s="114"/>
      <c r="N467" s="124"/>
      <c r="O467" s="114"/>
      <c r="P467" s="124"/>
      <c r="Q467" s="114"/>
      <c r="R467" s="124"/>
      <c r="S467" s="114"/>
      <c r="T467" s="114"/>
      <c r="U467" s="114"/>
      <c r="V467" s="114"/>
      <c r="W467" s="114"/>
      <c r="X467" s="114"/>
      <c r="Y467" s="114"/>
      <c r="Z467" s="164" t="s">
        <v>2783</v>
      </c>
      <c r="AA467" s="114"/>
      <c r="AB467" s="114"/>
      <c r="AC467" s="114"/>
      <c r="AD467" s="114"/>
      <c r="AE467" s="114"/>
      <c r="AF467" s="114"/>
      <c r="AG467" s="114"/>
      <c r="AH467" s="114"/>
      <c r="AI467" s="114"/>
      <c r="AJ467" s="114"/>
      <c r="AK467" s="114"/>
      <c r="AL467" s="114"/>
      <c r="AM467" s="114"/>
      <c r="AN467" s="114"/>
      <c r="AO467" s="114"/>
      <c r="AP467" s="114"/>
      <c r="AQ467" s="114"/>
      <c r="AR467" s="114"/>
    </row>
    <row r="468" ht="14.25" spans="1:44">
      <c r="A468" s="114"/>
      <c r="B468" s="114"/>
      <c r="C468" s="114"/>
      <c r="D468" s="114" t="s">
        <v>2792</v>
      </c>
      <c r="E468" s="221" t="s">
        <v>2793</v>
      </c>
      <c r="F468" s="153">
        <v>43670</v>
      </c>
      <c r="G468" s="152">
        <f t="shared" si="12"/>
        <v>3670</v>
      </c>
      <c r="H468" s="114" t="s">
        <v>2794</v>
      </c>
      <c r="I468" s="123" t="s">
        <v>2795</v>
      </c>
      <c r="J468" s="172">
        <v>660</v>
      </c>
      <c r="K468" s="114"/>
      <c r="L468" s="114" t="s">
        <v>3789</v>
      </c>
      <c r="M468" s="114"/>
      <c r="N468" s="124"/>
      <c r="O468" s="114"/>
      <c r="P468" s="124"/>
      <c r="Q468" s="114"/>
      <c r="R468" s="124"/>
      <c r="S468" s="114"/>
      <c r="T468" s="114"/>
      <c r="U468" s="114"/>
      <c r="V468" s="114"/>
      <c r="W468" s="114"/>
      <c r="X468" s="114"/>
      <c r="Y468" s="114"/>
      <c r="Z468" s="164" t="s">
        <v>2783</v>
      </c>
      <c r="AA468" s="114"/>
      <c r="AB468" s="114"/>
      <c r="AC468" s="114"/>
      <c r="AD468" s="114"/>
      <c r="AE468" s="114"/>
      <c r="AF468" s="114"/>
      <c r="AG468" s="114"/>
      <c r="AH468" s="114"/>
      <c r="AI468" s="114"/>
      <c r="AJ468" s="114"/>
      <c r="AK468" s="114"/>
      <c r="AL468" s="114"/>
      <c r="AM468" s="114"/>
      <c r="AN468" s="114"/>
      <c r="AO468" s="114"/>
      <c r="AP468" s="114"/>
      <c r="AQ468" s="114"/>
      <c r="AR468" s="114"/>
    </row>
    <row r="469" ht="14.25" spans="1:44">
      <c r="A469" s="114"/>
      <c r="B469" s="114"/>
      <c r="C469" s="114"/>
      <c r="D469" s="114" t="s">
        <v>2796</v>
      </c>
      <c r="E469" s="221" t="s">
        <v>2797</v>
      </c>
      <c r="F469" s="169">
        <v>43399</v>
      </c>
      <c r="G469" s="152">
        <f t="shared" si="12"/>
        <v>3399</v>
      </c>
      <c r="H469" s="114" t="s">
        <v>2798</v>
      </c>
      <c r="I469" s="123" t="s">
        <v>2799</v>
      </c>
      <c r="J469" s="33">
        <v>165</v>
      </c>
      <c r="K469" s="114"/>
      <c r="L469" s="114" t="s">
        <v>3789</v>
      </c>
      <c r="M469" s="114"/>
      <c r="N469" s="124"/>
      <c r="O469" s="114"/>
      <c r="P469" s="124"/>
      <c r="Q469" s="114"/>
      <c r="R469" s="124"/>
      <c r="S469" s="114"/>
      <c r="T469" s="114"/>
      <c r="U469" s="114"/>
      <c r="V469" s="114"/>
      <c r="W469" s="114"/>
      <c r="X469" s="114"/>
      <c r="Y469" s="114"/>
      <c r="Z469" s="164" t="s">
        <v>2783</v>
      </c>
      <c r="AA469" s="114"/>
      <c r="AB469" s="114"/>
      <c r="AC469" s="114"/>
      <c r="AD469" s="114"/>
      <c r="AE469" s="114"/>
      <c r="AF469" s="114"/>
      <c r="AG469" s="114"/>
      <c r="AH469" s="114"/>
      <c r="AI469" s="114"/>
      <c r="AJ469" s="114"/>
      <c r="AK469" s="114"/>
      <c r="AL469" s="114"/>
      <c r="AM469" s="114"/>
      <c r="AN469" s="114"/>
      <c r="AO469" s="114"/>
      <c r="AP469" s="114"/>
      <c r="AQ469" s="114"/>
      <c r="AR469" s="114"/>
    </row>
    <row r="470" ht="14.25" spans="1:44">
      <c r="A470" s="114"/>
      <c r="B470" s="114"/>
      <c r="C470" s="114"/>
      <c r="D470" s="114" t="s">
        <v>2800</v>
      </c>
      <c r="E470" s="221" t="s">
        <v>2801</v>
      </c>
      <c r="F470" s="153">
        <v>43276</v>
      </c>
      <c r="G470" s="152">
        <f t="shared" si="12"/>
        <v>3276</v>
      </c>
      <c r="H470" s="114" t="s">
        <v>2802</v>
      </c>
      <c r="I470" s="123" t="s">
        <v>2803</v>
      </c>
      <c r="J470" s="33">
        <v>114</v>
      </c>
      <c r="K470" s="114"/>
      <c r="L470" s="114" t="s">
        <v>3789</v>
      </c>
      <c r="M470" s="114"/>
      <c r="N470" s="124"/>
      <c r="O470" s="114"/>
      <c r="P470" s="124"/>
      <c r="Q470" s="114"/>
      <c r="R470" s="124"/>
      <c r="S470" s="114"/>
      <c r="T470" s="114"/>
      <c r="U470" s="114"/>
      <c r="V470" s="114"/>
      <c r="W470" s="114"/>
      <c r="X470" s="114"/>
      <c r="Y470" s="114"/>
      <c r="Z470" s="164" t="s">
        <v>2783</v>
      </c>
      <c r="AA470" s="114"/>
      <c r="AB470" s="114"/>
      <c r="AC470" s="114"/>
      <c r="AD470" s="114"/>
      <c r="AE470" s="114"/>
      <c r="AF470" s="114"/>
      <c r="AG470" s="114"/>
      <c r="AH470" s="114"/>
      <c r="AI470" s="114"/>
      <c r="AJ470" s="114"/>
      <c r="AK470" s="114"/>
      <c r="AL470" s="114"/>
      <c r="AM470" s="114"/>
      <c r="AN470" s="114"/>
      <c r="AO470" s="114"/>
      <c r="AP470" s="114"/>
      <c r="AQ470" s="114"/>
      <c r="AR470" s="114"/>
    </row>
    <row r="471" ht="14.25" spans="1:44">
      <c r="A471" s="114"/>
      <c r="B471" s="114"/>
      <c r="C471" s="114"/>
      <c r="D471" s="114" t="s">
        <v>97</v>
      </c>
      <c r="E471" s="221" t="s">
        <v>2804</v>
      </c>
      <c r="F471" s="169">
        <v>43753</v>
      </c>
      <c r="G471" s="152">
        <f t="shared" si="12"/>
        <v>3753</v>
      </c>
      <c r="H471" s="114" t="s">
        <v>2805</v>
      </c>
      <c r="I471" s="123" t="s">
        <v>2806</v>
      </c>
      <c r="J471" s="33">
        <v>21</v>
      </c>
      <c r="K471" s="114"/>
      <c r="L471" s="114"/>
      <c r="M471" s="114"/>
      <c r="N471" s="124"/>
      <c r="O471" s="114"/>
      <c r="P471" s="124"/>
      <c r="Q471" s="114"/>
      <c r="R471" s="124"/>
      <c r="S471" s="114"/>
      <c r="T471" s="114"/>
      <c r="U471" s="114"/>
      <c r="V471" s="114"/>
      <c r="W471" s="114"/>
      <c r="X471" s="114"/>
      <c r="Y471" s="114"/>
      <c r="Z471" s="164" t="s">
        <v>2783</v>
      </c>
      <c r="AA471" s="114"/>
      <c r="AB471" s="114"/>
      <c r="AC471" s="114"/>
      <c r="AD471" s="114"/>
      <c r="AE471" s="114"/>
      <c r="AF471" s="114"/>
      <c r="AG471" s="114"/>
      <c r="AH471" s="114"/>
      <c r="AI471" s="114"/>
      <c r="AJ471" s="114"/>
      <c r="AK471" s="114"/>
      <c r="AL471" s="114"/>
      <c r="AM471" s="114"/>
      <c r="AN471" s="114"/>
      <c r="AO471" s="114"/>
      <c r="AP471" s="114"/>
      <c r="AQ471" s="114"/>
      <c r="AR471" s="114"/>
    </row>
    <row r="472" ht="14.25" spans="1:44">
      <c r="A472" s="114"/>
      <c r="B472" s="114"/>
      <c r="C472" s="114"/>
      <c r="D472" s="114" t="s">
        <v>2807</v>
      </c>
      <c r="E472" s="114"/>
      <c r="F472" s="153">
        <v>41791</v>
      </c>
      <c r="G472" s="152">
        <f t="shared" si="12"/>
        <v>1791</v>
      </c>
      <c r="H472" s="114" t="s">
        <v>2808</v>
      </c>
      <c r="I472" s="123" t="s">
        <v>2809</v>
      </c>
      <c r="J472" s="33">
        <v>859</v>
      </c>
      <c r="K472" s="114"/>
      <c r="L472" s="114"/>
      <c r="M472" s="114"/>
      <c r="N472" s="124"/>
      <c r="O472" s="114"/>
      <c r="P472" s="124"/>
      <c r="Q472" s="114"/>
      <c r="R472" s="124"/>
      <c r="S472" s="114"/>
      <c r="T472" s="114"/>
      <c r="U472" s="114"/>
      <c r="V472" s="114"/>
      <c r="W472" s="114"/>
      <c r="X472" s="114"/>
      <c r="Y472" s="114"/>
      <c r="Z472" s="164" t="s">
        <v>2783</v>
      </c>
      <c r="AA472" s="114"/>
      <c r="AB472" s="114"/>
      <c r="AC472" s="114"/>
      <c r="AD472" s="114"/>
      <c r="AE472" s="114"/>
      <c r="AF472" s="114"/>
      <c r="AG472" s="114"/>
      <c r="AH472" s="114"/>
      <c r="AI472" s="114"/>
      <c r="AJ472" s="114"/>
      <c r="AK472" s="114"/>
      <c r="AL472" s="114"/>
      <c r="AM472" s="114"/>
      <c r="AN472" s="114"/>
      <c r="AO472" s="114"/>
      <c r="AP472" s="114"/>
      <c r="AQ472" s="114"/>
      <c r="AR472" s="114"/>
    </row>
    <row r="473" ht="14.25" spans="1:44">
      <c r="A473" s="114"/>
      <c r="B473" s="114"/>
      <c r="C473" s="114"/>
      <c r="D473" s="114" t="s">
        <v>2810</v>
      </c>
      <c r="E473" s="221" t="s">
        <v>2811</v>
      </c>
      <c r="F473" s="153">
        <v>41977</v>
      </c>
      <c r="G473" s="152">
        <f t="shared" si="12"/>
        <v>1977</v>
      </c>
      <c r="H473" s="114" t="s">
        <v>2812</v>
      </c>
      <c r="I473" s="123" t="s">
        <v>2813</v>
      </c>
      <c r="J473" s="33">
        <v>248</v>
      </c>
      <c r="K473" s="114"/>
      <c r="L473" s="114"/>
      <c r="M473" s="114"/>
      <c r="N473" s="114"/>
      <c r="P473" s="124"/>
      <c r="Q473" s="114"/>
      <c r="R473" s="124"/>
      <c r="S473" s="114"/>
      <c r="T473" s="114"/>
      <c r="U473" s="114"/>
      <c r="V473" s="114"/>
      <c r="W473" s="114"/>
      <c r="X473" s="114"/>
      <c r="Y473" s="114"/>
      <c r="Z473" s="164" t="s">
        <v>2783</v>
      </c>
      <c r="AA473" s="114"/>
      <c r="AB473" s="114"/>
      <c r="AC473" s="114"/>
      <c r="AD473" s="114"/>
      <c r="AE473" s="114"/>
      <c r="AF473" s="114"/>
      <c r="AG473" s="114"/>
      <c r="AH473" s="114"/>
      <c r="AI473" s="114"/>
      <c r="AJ473" s="114"/>
      <c r="AK473" s="114"/>
      <c r="AL473" s="114"/>
      <c r="AM473" s="114"/>
      <c r="AN473" s="114"/>
      <c r="AO473" s="114"/>
      <c r="AP473" s="114"/>
      <c r="AQ473" s="114"/>
      <c r="AR473" s="114"/>
    </row>
    <row r="474" ht="14.25" spans="1:44">
      <c r="A474" s="114"/>
      <c r="B474" s="114"/>
      <c r="C474" s="114"/>
      <c r="D474" s="114" t="s">
        <v>1474</v>
      </c>
      <c r="E474" s="221" t="s">
        <v>1475</v>
      </c>
      <c r="F474" s="153">
        <v>42236</v>
      </c>
      <c r="G474" s="152">
        <f t="shared" si="12"/>
        <v>2236</v>
      </c>
      <c r="H474" s="240" t="s">
        <v>1476</v>
      </c>
      <c r="I474" s="123" t="s">
        <v>4433</v>
      </c>
      <c r="J474" s="33">
        <v>1619</v>
      </c>
      <c r="K474" s="114"/>
      <c r="L474" s="114"/>
      <c r="M474" s="114"/>
      <c r="N474" s="124"/>
      <c r="O474" s="114"/>
      <c r="P474" s="124"/>
      <c r="Q474" s="114"/>
      <c r="R474" s="124"/>
      <c r="S474" s="114"/>
      <c r="T474" s="114"/>
      <c r="U474" s="114"/>
      <c r="V474" s="114"/>
      <c r="W474" s="114"/>
      <c r="X474" s="114"/>
      <c r="Y474" s="114"/>
      <c r="Z474" s="164" t="s">
        <v>2783</v>
      </c>
      <c r="AA474" s="114"/>
      <c r="AB474" s="114"/>
      <c r="AC474" s="114"/>
      <c r="AD474" s="114"/>
      <c r="AE474" s="114"/>
      <c r="AF474" s="114"/>
      <c r="AG474" s="114"/>
      <c r="AH474" s="114"/>
      <c r="AI474" s="114"/>
      <c r="AJ474" s="114"/>
      <c r="AK474" s="114"/>
      <c r="AL474" s="114"/>
      <c r="AM474" s="114"/>
      <c r="AN474" s="114"/>
      <c r="AO474" s="114"/>
      <c r="AP474" s="114"/>
      <c r="AQ474" s="114"/>
      <c r="AR474" s="114"/>
    </row>
    <row r="475" ht="14.25" spans="1:44">
      <c r="A475" s="114"/>
      <c r="B475" s="114"/>
      <c r="C475" s="114"/>
      <c r="D475" s="114" t="s">
        <v>2814</v>
      </c>
      <c r="E475" s="221" t="s">
        <v>2815</v>
      </c>
      <c r="F475" s="153">
        <v>43677</v>
      </c>
      <c r="G475" s="152">
        <f t="shared" si="12"/>
        <v>3677</v>
      </c>
      <c r="H475" s="114" t="s">
        <v>2816</v>
      </c>
      <c r="I475" s="123" t="s">
        <v>2817</v>
      </c>
      <c r="J475" s="33">
        <v>44</v>
      </c>
      <c r="K475" s="114"/>
      <c r="L475" s="114"/>
      <c r="M475" s="114"/>
      <c r="N475" s="124"/>
      <c r="O475" s="114"/>
      <c r="P475" s="124"/>
      <c r="Q475" s="114"/>
      <c r="R475" s="124"/>
      <c r="S475" s="114"/>
      <c r="T475" s="114"/>
      <c r="U475" s="114"/>
      <c r="V475" s="114"/>
      <c r="W475" s="114"/>
      <c r="X475" s="114"/>
      <c r="Y475" s="114"/>
      <c r="Z475" s="164" t="s">
        <v>2783</v>
      </c>
      <c r="AA475" s="114"/>
      <c r="AB475" s="114"/>
      <c r="AC475" s="114"/>
      <c r="AD475" s="114"/>
      <c r="AE475" s="114"/>
      <c r="AF475" s="114"/>
      <c r="AG475" s="114"/>
      <c r="AH475" s="114"/>
      <c r="AI475" s="114"/>
      <c r="AJ475" s="114"/>
      <c r="AK475" s="114"/>
      <c r="AL475" s="114"/>
      <c r="AM475" s="114"/>
      <c r="AN475" s="114"/>
      <c r="AO475" s="114"/>
      <c r="AP475" s="114"/>
      <c r="AQ475" s="114"/>
      <c r="AR475" s="114"/>
    </row>
    <row r="476" ht="14.25" spans="1:44">
      <c r="A476" s="114"/>
      <c r="B476" s="114"/>
      <c r="C476" s="114"/>
      <c r="D476" s="114" t="s">
        <v>2417</v>
      </c>
      <c r="E476" s="221" t="s">
        <v>2818</v>
      </c>
      <c r="F476" s="153">
        <v>43996</v>
      </c>
      <c r="G476" s="152">
        <f t="shared" si="12"/>
        <v>3996</v>
      </c>
      <c r="H476" s="114" t="s">
        <v>2819</v>
      </c>
      <c r="I476" s="123" t="s">
        <v>2820</v>
      </c>
      <c r="J476" s="33">
        <v>616</v>
      </c>
      <c r="K476" s="114"/>
      <c r="L476" s="114"/>
      <c r="M476" s="114"/>
      <c r="N476" s="124"/>
      <c r="O476" s="114"/>
      <c r="P476" s="124"/>
      <c r="Q476" s="114"/>
      <c r="R476" s="124"/>
      <c r="S476" s="114"/>
      <c r="T476" s="114"/>
      <c r="U476" s="114"/>
      <c r="V476" s="114"/>
      <c r="W476" s="114"/>
      <c r="X476" s="114"/>
      <c r="Y476" s="114"/>
      <c r="Z476" s="164" t="s">
        <v>2783</v>
      </c>
      <c r="AA476" s="114"/>
      <c r="AB476" s="114"/>
      <c r="AC476" s="114"/>
      <c r="AD476" s="114"/>
      <c r="AE476" s="114"/>
      <c r="AF476" s="114"/>
      <c r="AG476" s="114"/>
      <c r="AH476" s="114"/>
      <c r="AI476" s="114"/>
      <c r="AJ476" s="114"/>
      <c r="AK476" s="114"/>
      <c r="AL476" s="114"/>
      <c r="AM476" s="114"/>
      <c r="AN476" s="114"/>
      <c r="AO476" s="114"/>
      <c r="AP476" s="114"/>
      <c r="AQ476" s="114"/>
      <c r="AR476" s="114"/>
    </row>
    <row r="477" ht="14.25" spans="1:44">
      <c r="A477" s="114"/>
      <c r="B477" s="114"/>
      <c r="C477" s="114"/>
      <c r="D477" s="114" t="s">
        <v>2821</v>
      </c>
      <c r="E477" s="221" t="s">
        <v>2822</v>
      </c>
      <c r="F477" s="153">
        <v>42795</v>
      </c>
      <c r="G477" s="152">
        <f t="shared" si="12"/>
        <v>2795</v>
      </c>
      <c r="H477" s="114" t="s">
        <v>2823</v>
      </c>
      <c r="I477" s="123" t="s">
        <v>2824</v>
      </c>
      <c r="J477" s="33">
        <v>818</v>
      </c>
      <c r="K477" s="114"/>
      <c r="L477" s="114"/>
      <c r="M477" s="114"/>
      <c r="N477" s="124"/>
      <c r="O477" s="114"/>
      <c r="P477" s="124"/>
      <c r="Q477" s="114"/>
      <c r="R477" s="124"/>
      <c r="S477" s="114"/>
      <c r="T477" s="114"/>
      <c r="U477" s="114"/>
      <c r="V477" s="114"/>
      <c r="W477" s="114"/>
      <c r="X477" s="114"/>
      <c r="Y477" s="114"/>
      <c r="Z477" s="164" t="s">
        <v>2783</v>
      </c>
      <c r="AA477" s="114"/>
      <c r="AB477" s="114"/>
      <c r="AC477" s="114"/>
      <c r="AD477" s="114"/>
      <c r="AE477" s="114"/>
      <c r="AF477" s="114"/>
      <c r="AG477" s="114"/>
      <c r="AH477" s="114"/>
      <c r="AI477" s="114"/>
      <c r="AJ477" s="114"/>
      <c r="AK477" s="114"/>
      <c r="AL477" s="114"/>
      <c r="AM477" s="114"/>
      <c r="AN477" s="114"/>
      <c r="AO477" s="114"/>
      <c r="AP477" s="114"/>
      <c r="AQ477" s="114"/>
      <c r="AR477" s="114"/>
    </row>
    <row r="478" ht="14.25" spans="1:44">
      <c r="A478" s="114"/>
      <c r="B478" s="114"/>
      <c r="C478" s="114"/>
      <c r="D478" s="114" t="s">
        <v>2825</v>
      </c>
      <c r="E478" s="221" t="s">
        <v>2826</v>
      </c>
      <c r="F478" s="153">
        <v>37257</v>
      </c>
      <c r="G478" s="152">
        <f t="shared" si="12"/>
        <v>7257</v>
      </c>
      <c r="H478" s="114" t="s">
        <v>2827</v>
      </c>
      <c r="I478" s="123" t="s">
        <v>2828</v>
      </c>
      <c r="J478" s="33">
        <v>7</v>
      </c>
      <c r="K478" s="114"/>
      <c r="L478" s="114"/>
      <c r="M478" s="114"/>
      <c r="N478" s="124"/>
      <c r="O478" s="114"/>
      <c r="P478" s="124"/>
      <c r="Q478" s="114"/>
      <c r="R478" s="124"/>
      <c r="S478" s="114"/>
      <c r="T478" s="114"/>
      <c r="U478" s="114"/>
      <c r="V478" s="114"/>
      <c r="W478" s="114"/>
      <c r="X478" s="114"/>
      <c r="Y478" s="114"/>
      <c r="Z478" s="164" t="s">
        <v>2783</v>
      </c>
      <c r="AA478" s="114"/>
      <c r="AB478" s="114"/>
      <c r="AC478" s="114"/>
      <c r="AD478" s="114"/>
      <c r="AE478" s="114"/>
      <c r="AF478" s="114"/>
      <c r="AG478" s="114"/>
      <c r="AH478" s="114"/>
      <c r="AI478" s="114"/>
      <c r="AJ478" s="114"/>
      <c r="AK478" s="114"/>
      <c r="AL478" s="114"/>
      <c r="AM478" s="114"/>
      <c r="AN478" s="114"/>
      <c r="AO478" s="114"/>
      <c r="AP478" s="114"/>
      <c r="AQ478" s="114"/>
      <c r="AR478" s="114"/>
    </row>
    <row r="479" ht="14.25" spans="1:44">
      <c r="A479" s="114"/>
      <c r="B479" s="114"/>
      <c r="C479" s="114"/>
      <c r="D479" s="114" t="s">
        <v>766</v>
      </c>
      <c r="E479" s="114" t="s">
        <v>766</v>
      </c>
      <c r="F479" s="154">
        <v>38869</v>
      </c>
      <c r="G479" s="152">
        <f t="shared" si="12"/>
        <v>8869</v>
      </c>
      <c r="H479" s="114" t="s">
        <v>2829</v>
      </c>
      <c r="I479" s="123" t="s">
        <v>2830</v>
      </c>
      <c r="J479" s="33">
        <v>11</v>
      </c>
      <c r="K479" s="114"/>
      <c r="L479" s="114"/>
      <c r="M479" s="114"/>
      <c r="N479" s="124"/>
      <c r="O479" s="114"/>
      <c r="P479" s="124"/>
      <c r="Q479" s="114"/>
      <c r="R479" s="124"/>
      <c r="S479" s="114"/>
      <c r="T479" s="114"/>
      <c r="U479" s="114"/>
      <c r="V479" s="114"/>
      <c r="W479" s="114"/>
      <c r="X479" s="114"/>
      <c r="Y479" s="114"/>
      <c r="Z479" s="164" t="s">
        <v>2783</v>
      </c>
      <c r="AA479" s="114"/>
      <c r="AB479" s="114"/>
      <c r="AC479" s="114"/>
      <c r="AD479" s="114"/>
      <c r="AE479" s="114"/>
      <c r="AF479" s="114"/>
      <c r="AG479" s="114"/>
      <c r="AH479" s="114"/>
      <c r="AI479" s="114"/>
      <c r="AJ479" s="114"/>
      <c r="AK479" s="114"/>
      <c r="AL479" s="114"/>
      <c r="AM479" s="114"/>
      <c r="AN479" s="114"/>
      <c r="AO479" s="114"/>
      <c r="AP479" s="114"/>
      <c r="AQ479" s="114"/>
      <c r="AR479" s="114"/>
    </row>
    <row r="480" ht="14.25" spans="1:44">
      <c r="A480" s="114"/>
      <c r="B480" s="114"/>
      <c r="C480" s="114"/>
      <c r="D480" s="114" t="s">
        <v>2831</v>
      </c>
      <c r="E480" s="221" t="s">
        <v>2832</v>
      </c>
      <c r="F480" s="153">
        <v>43749</v>
      </c>
      <c r="G480" s="152">
        <f t="shared" si="12"/>
        <v>3749</v>
      </c>
      <c r="H480" s="114" t="s">
        <v>2833</v>
      </c>
      <c r="I480" s="123" t="s">
        <v>2834</v>
      </c>
      <c r="J480" s="33">
        <v>238</v>
      </c>
      <c r="K480" s="114"/>
      <c r="L480" s="114"/>
      <c r="M480" s="114"/>
      <c r="N480" s="124"/>
      <c r="O480" s="114"/>
      <c r="P480" s="124"/>
      <c r="Q480" s="114"/>
      <c r="R480" s="124"/>
      <c r="S480" s="114"/>
      <c r="T480" s="114"/>
      <c r="U480" s="114"/>
      <c r="V480" s="114"/>
      <c r="W480" s="114"/>
      <c r="X480" s="114"/>
      <c r="Y480" s="114"/>
      <c r="Z480" s="164" t="s">
        <v>2783</v>
      </c>
      <c r="AA480" s="114"/>
      <c r="AB480" s="114"/>
      <c r="AC480" s="114"/>
      <c r="AD480" s="114"/>
      <c r="AE480" s="114"/>
      <c r="AF480" s="114"/>
      <c r="AG480" s="114"/>
      <c r="AH480" s="114"/>
      <c r="AI480" s="114"/>
      <c r="AJ480" s="114"/>
      <c r="AK480" s="114"/>
      <c r="AL480" s="114"/>
      <c r="AM480" s="114"/>
      <c r="AN480" s="114"/>
      <c r="AO480" s="114"/>
      <c r="AP480" s="114"/>
      <c r="AQ480" s="114"/>
      <c r="AR480" s="114"/>
    </row>
    <row r="481" ht="14.25" spans="1:44">
      <c r="A481" s="114"/>
      <c r="B481" s="114"/>
      <c r="C481" s="114"/>
      <c r="D481" s="114" t="s">
        <v>1392</v>
      </c>
      <c r="E481" s="221" t="s">
        <v>2835</v>
      </c>
      <c r="F481" s="167">
        <v>41000</v>
      </c>
      <c r="G481" s="152">
        <f t="shared" si="12"/>
        <v>1000</v>
      </c>
      <c r="H481" s="114" t="s">
        <v>2836</v>
      </c>
      <c r="I481" s="123" t="s">
        <v>2837</v>
      </c>
      <c r="J481" s="33">
        <v>186</v>
      </c>
      <c r="K481" s="114"/>
      <c r="L481" s="114"/>
      <c r="M481" s="114"/>
      <c r="N481" s="124"/>
      <c r="O481" s="114"/>
      <c r="P481" s="124"/>
      <c r="Q481" s="114"/>
      <c r="R481" s="124"/>
      <c r="S481" s="114"/>
      <c r="T481" s="114"/>
      <c r="U481" s="114"/>
      <c r="V481" s="114"/>
      <c r="W481" s="114"/>
      <c r="X481" s="114"/>
      <c r="Y481" s="114"/>
      <c r="Z481" s="164" t="s">
        <v>2783</v>
      </c>
      <c r="AA481" s="114"/>
      <c r="AB481" s="114"/>
      <c r="AC481" s="114"/>
      <c r="AD481" s="114"/>
      <c r="AE481" s="114"/>
      <c r="AF481" s="114"/>
      <c r="AG481" s="114"/>
      <c r="AH481" s="114"/>
      <c r="AI481" s="114"/>
      <c r="AJ481" s="114"/>
      <c r="AK481" s="114"/>
      <c r="AL481" s="114"/>
      <c r="AM481" s="114"/>
      <c r="AN481" s="114"/>
      <c r="AO481" s="114"/>
      <c r="AP481" s="114"/>
      <c r="AQ481" s="114"/>
      <c r="AR481" s="114"/>
    </row>
    <row r="482" ht="14.25" spans="1:44">
      <c r="A482" s="114"/>
      <c r="B482" s="114"/>
      <c r="C482" s="114"/>
      <c r="D482" s="114" t="s">
        <v>2838</v>
      </c>
      <c r="E482" s="221" t="s">
        <v>2839</v>
      </c>
      <c r="F482" s="153">
        <v>43375</v>
      </c>
      <c r="G482" s="152">
        <f t="shared" si="12"/>
        <v>3375</v>
      </c>
      <c r="H482" s="114" t="s">
        <v>2840</v>
      </c>
      <c r="I482" s="123" t="s">
        <v>2841</v>
      </c>
      <c r="J482" s="33">
        <v>103</v>
      </c>
      <c r="K482" s="114"/>
      <c r="L482" s="114"/>
      <c r="M482" s="114"/>
      <c r="N482" s="124"/>
      <c r="O482" s="114"/>
      <c r="P482" s="124"/>
      <c r="Q482" s="114"/>
      <c r="R482" s="124"/>
      <c r="S482" s="114"/>
      <c r="T482" s="114"/>
      <c r="U482" s="114"/>
      <c r="V482" s="114"/>
      <c r="W482" s="114"/>
      <c r="X482" s="114"/>
      <c r="Y482" s="114"/>
      <c r="Z482" s="164" t="s">
        <v>2783</v>
      </c>
      <c r="AA482" s="114"/>
      <c r="AB482" s="114"/>
      <c r="AC482" s="114"/>
      <c r="AD482" s="114"/>
      <c r="AE482" s="114"/>
      <c r="AF482" s="114"/>
      <c r="AG482" s="114"/>
      <c r="AH482" s="114"/>
      <c r="AI482" s="114"/>
      <c r="AJ482" s="114"/>
      <c r="AK482" s="114"/>
      <c r="AL482" s="114"/>
      <c r="AM482" s="114"/>
      <c r="AN482" s="114"/>
      <c r="AO482" s="114"/>
      <c r="AP482" s="114"/>
      <c r="AQ482" s="114"/>
      <c r="AR482" s="114"/>
    </row>
    <row r="483" ht="14.25" spans="1:44">
      <c r="A483" s="114"/>
      <c r="B483" s="114"/>
      <c r="C483" s="114"/>
      <c r="D483" s="114" t="s">
        <v>2842</v>
      </c>
      <c r="E483" s="114" t="s">
        <v>2843</v>
      </c>
      <c r="F483" s="153">
        <v>39989</v>
      </c>
      <c r="G483" s="152">
        <f t="shared" si="12"/>
        <v>9989</v>
      </c>
      <c r="H483" s="114" t="s">
        <v>2844</v>
      </c>
      <c r="I483" s="123" t="s">
        <v>2845</v>
      </c>
      <c r="J483" s="33">
        <v>1</v>
      </c>
      <c r="K483" s="114"/>
      <c r="L483" s="114"/>
      <c r="M483" s="114"/>
      <c r="N483" s="124"/>
      <c r="O483" s="114"/>
      <c r="P483" s="124"/>
      <c r="Q483" s="114"/>
      <c r="R483" s="124"/>
      <c r="S483" s="114"/>
      <c r="T483" s="114"/>
      <c r="U483" s="114"/>
      <c r="V483" s="114"/>
      <c r="W483" s="114"/>
      <c r="X483" s="114"/>
      <c r="Y483" s="114"/>
      <c r="Z483" s="164" t="s">
        <v>2783</v>
      </c>
      <c r="AA483" s="114"/>
      <c r="AB483" s="114"/>
      <c r="AC483" s="114"/>
      <c r="AD483" s="114"/>
      <c r="AE483" s="114"/>
      <c r="AF483" s="114"/>
      <c r="AG483" s="114"/>
      <c r="AH483" s="114"/>
      <c r="AI483" s="114"/>
      <c r="AJ483" s="114"/>
      <c r="AK483" s="114"/>
      <c r="AL483" s="114"/>
      <c r="AM483" s="114"/>
      <c r="AN483" s="114"/>
      <c r="AO483" s="114"/>
      <c r="AP483" s="114"/>
      <c r="AQ483" s="114"/>
      <c r="AR483" s="114"/>
    </row>
    <row r="484" ht="14.25" spans="1:44">
      <c r="A484" s="114"/>
      <c r="B484" s="114"/>
      <c r="C484" s="114"/>
      <c r="D484" s="114" t="s">
        <v>2342</v>
      </c>
      <c r="E484" s="170" t="s">
        <v>2846</v>
      </c>
      <c r="F484" s="154">
        <v>39989</v>
      </c>
      <c r="G484" s="152">
        <f t="shared" si="12"/>
        <v>9989</v>
      </c>
      <c r="H484" s="114" t="s">
        <v>2847</v>
      </c>
      <c r="I484" s="123" t="s">
        <v>2848</v>
      </c>
      <c r="J484" s="33">
        <v>34322</v>
      </c>
      <c r="K484" s="114"/>
      <c r="L484" s="114"/>
      <c r="M484" s="114"/>
      <c r="N484" s="124"/>
      <c r="O484" s="114"/>
      <c r="P484" s="124"/>
      <c r="Q484" s="114"/>
      <c r="R484" s="124"/>
      <c r="S484" s="114"/>
      <c r="T484" s="114"/>
      <c r="U484" s="114"/>
      <c r="V484" s="114"/>
      <c r="W484" s="114"/>
      <c r="X484" s="114"/>
      <c r="Y484" s="114"/>
      <c r="Z484" s="164" t="s">
        <v>2783</v>
      </c>
      <c r="AA484" s="114"/>
      <c r="AB484" s="114"/>
      <c r="AC484" s="114"/>
      <c r="AD484" s="114"/>
      <c r="AE484" s="114"/>
      <c r="AF484" s="114"/>
      <c r="AG484" s="114"/>
      <c r="AH484" s="114"/>
      <c r="AI484" s="114"/>
      <c r="AJ484" s="114"/>
      <c r="AK484" s="114"/>
      <c r="AL484" s="114"/>
      <c r="AM484" s="114"/>
      <c r="AN484" s="114"/>
      <c r="AO484" s="114"/>
      <c r="AP484" s="114"/>
      <c r="AQ484" s="114"/>
      <c r="AR484" s="114"/>
    </row>
    <row r="485" ht="14.25" spans="1:44">
      <c r="A485" s="114"/>
      <c r="B485" s="114"/>
      <c r="C485" s="114"/>
      <c r="D485" s="114" t="s">
        <v>2849</v>
      </c>
      <c r="E485" s="221" t="s">
        <v>2850</v>
      </c>
      <c r="F485" s="153">
        <v>42870</v>
      </c>
      <c r="G485" s="152">
        <f t="shared" si="12"/>
        <v>2870</v>
      </c>
      <c r="H485" s="114" t="s">
        <v>4434</v>
      </c>
      <c r="I485" s="123" t="s">
        <v>2852</v>
      </c>
      <c r="J485" s="33">
        <v>186</v>
      </c>
      <c r="K485" s="114"/>
      <c r="L485" s="114"/>
      <c r="M485" s="114"/>
      <c r="N485" s="124"/>
      <c r="O485" s="114"/>
      <c r="P485" s="124"/>
      <c r="Q485" s="114"/>
      <c r="R485" s="124"/>
      <c r="S485" s="114"/>
      <c r="T485" s="114"/>
      <c r="U485" s="114"/>
      <c r="V485" s="114"/>
      <c r="W485" s="114"/>
      <c r="X485" s="114"/>
      <c r="Y485" s="114"/>
      <c r="Z485" s="164" t="s">
        <v>2783</v>
      </c>
      <c r="AA485" s="114"/>
      <c r="AB485" s="114"/>
      <c r="AC485" s="114"/>
      <c r="AD485" s="114"/>
      <c r="AE485" s="114"/>
      <c r="AF485" s="114"/>
      <c r="AG485" s="114"/>
      <c r="AH485" s="114"/>
      <c r="AI485" s="114"/>
      <c r="AJ485" s="114"/>
      <c r="AK485" s="114"/>
      <c r="AL485" s="114"/>
      <c r="AM485" s="114"/>
      <c r="AN485" s="114"/>
      <c r="AO485" s="114"/>
      <c r="AP485" s="114"/>
      <c r="AQ485" s="114"/>
      <c r="AR485" s="114"/>
    </row>
    <row r="486" ht="14.25" spans="1:44">
      <c r="A486" s="114"/>
      <c r="B486" s="114"/>
      <c r="C486" s="114"/>
      <c r="D486" s="114" t="s">
        <v>2853</v>
      </c>
      <c r="E486" s="221" t="s">
        <v>2854</v>
      </c>
      <c r="F486" s="153">
        <v>42594</v>
      </c>
      <c r="G486" s="152">
        <f t="shared" si="12"/>
        <v>2594</v>
      </c>
      <c r="H486" s="114" t="s">
        <v>2855</v>
      </c>
      <c r="I486" s="123" t="s">
        <v>2856</v>
      </c>
      <c r="J486" s="33">
        <v>381</v>
      </c>
      <c r="K486" s="114"/>
      <c r="L486" s="114"/>
      <c r="M486" s="114"/>
      <c r="N486" s="124"/>
      <c r="O486" s="114"/>
      <c r="P486" s="124"/>
      <c r="Q486" s="114"/>
      <c r="R486" s="124"/>
      <c r="S486" s="114"/>
      <c r="T486" s="114"/>
      <c r="U486" s="114"/>
      <c r="V486" s="114"/>
      <c r="W486" s="114"/>
      <c r="X486" s="114"/>
      <c r="Y486" s="114"/>
      <c r="Z486" s="164" t="s">
        <v>2783</v>
      </c>
      <c r="AA486" s="114"/>
      <c r="AB486" s="114"/>
      <c r="AC486" s="114"/>
      <c r="AD486" s="114"/>
      <c r="AE486" s="114"/>
      <c r="AF486" s="114"/>
      <c r="AG486" s="114"/>
      <c r="AH486" s="114"/>
      <c r="AI486" s="114"/>
      <c r="AJ486" s="114"/>
      <c r="AK486" s="114"/>
      <c r="AL486" s="114"/>
      <c r="AM486" s="114"/>
      <c r="AN486" s="114"/>
      <c r="AO486" s="114"/>
      <c r="AP486" s="114"/>
      <c r="AQ486" s="114"/>
      <c r="AR486" s="114"/>
    </row>
    <row r="487" ht="14.25" spans="1:44">
      <c r="A487" s="114"/>
      <c r="B487" s="114"/>
      <c r="C487" s="114"/>
      <c r="D487" s="156" t="s">
        <v>2857</v>
      </c>
      <c r="E487" s="170" t="s">
        <v>2858</v>
      </c>
      <c r="F487" s="153">
        <v>41085</v>
      </c>
      <c r="G487" s="152">
        <f t="shared" si="12"/>
        <v>1085</v>
      </c>
      <c r="H487" s="114" t="s">
        <v>2859</v>
      </c>
      <c r="I487" s="123" t="s">
        <v>2860</v>
      </c>
      <c r="J487" s="33">
        <v>120</v>
      </c>
      <c r="K487" s="114"/>
      <c r="L487" s="114"/>
      <c r="M487" s="114"/>
      <c r="N487" s="124"/>
      <c r="O487" s="114"/>
      <c r="P487" s="124"/>
      <c r="Q487" s="114"/>
      <c r="R487" s="124"/>
      <c r="S487" s="114"/>
      <c r="T487" s="114"/>
      <c r="U487" s="114"/>
      <c r="V487" s="114"/>
      <c r="W487" s="114"/>
      <c r="X487" s="114"/>
      <c r="Y487" s="114"/>
      <c r="Z487" s="164" t="s">
        <v>2783</v>
      </c>
      <c r="AA487" s="114"/>
      <c r="AB487" s="114"/>
      <c r="AC487" s="114"/>
      <c r="AD487" s="114"/>
      <c r="AE487" s="114"/>
      <c r="AF487" s="114"/>
      <c r="AG487" s="114"/>
      <c r="AH487" s="114"/>
      <c r="AI487" s="114"/>
      <c r="AJ487" s="114"/>
      <c r="AK487" s="114"/>
      <c r="AL487" s="114"/>
      <c r="AM487" s="114"/>
      <c r="AN487" s="114"/>
      <c r="AO487" s="114"/>
      <c r="AP487" s="114"/>
      <c r="AQ487" s="114"/>
      <c r="AR487" s="114"/>
    </row>
    <row r="488" ht="14.25" spans="1:44">
      <c r="A488" s="114"/>
      <c r="B488" s="114"/>
      <c r="C488" s="114"/>
      <c r="D488" s="156" t="s">
        <v>2861</v>
      </c>
      <c r="E488" s="170" t="s">
        <v>2862</v>
      </c>
      <c r="F488" s="114">
        <v>2003</v>
      </c>
      <c r="G488" s="152">
        <f t="shared" si="12"/>
        <v>2003</v>
      </c>
      <c r="H488" s="114" t="s">
        <v>2863</v>
      </c>
      <c r="I488" s="123" t="s">
        <v>2864</v>
      </c>
      <c r="J488" s="33">
        <v>667</v>
      </c>
      <c r="K488" s="114"/>
      <c r="L488" s="114"/>
      <c r="M488" s="114"/>
      <c r="N488" s="124"/>
      <c r="O488" s="114"/>
      <c r="P488" s="124"/>
      <c r="Q488" s="114"/>
      <c r="R488" s="124"/>
      <c r="S488" s="114"/>
      <c r="T488" s="114"/>
      <c r="U488" s="114"/>
      <c r="V488" s="114"/>
      <c r="W488" s="114"/>
      <c r="X488" s="114"/>
      <c r="Y488" s="114"/>
      <c r="Z488" s="164" t="s">
        <v>2783</v>
      </c>
      <c r="AA488" s="114"/>
      <c r="AB488" s="114"/>
      <c r="AC488" s="114"/>
      <c r="AD488" s="114"/>
      <c r="AE488" s="114"/>
      <c r="AF488" s="114"/>
      <c r="AG488" s="114"/>
      <c r="AH488" s="114"/>
      <c r="AI488" s="114"/>
      <c r="AJ488" s="114"/>
      <c r="AK488" s="114"/>
      <c r="AL488" s="114"/>
      <c r="AM488" s="114"/>
      <c r="AN488" s="114"/>
      <c r="AO488" s="114"/>
      <c r="AP488" s="114"/>
      <c r="AQ488" s="114"/>
      <c r="AR488" s="114"/>
    </row>
    <row r="489" ht="14.25" spans="1:44">
      <c r="A489" s="114"/>
      <c r="B489" s="114"/>
      <c r="C489" s="114"/>
      <c r="D489" s="114" t="s">
        <v>2865</v>
      </c>
      <c r="E489" s="170" t="s">
        <v>2866</v>
      </c>
      <c r="F489" s="153">
        <v>42934</v>
      </c>
      <c r="G489" s="152">
        <f t="shared" si="12"/>
        <v>2934</v>
      </c>
      <c r="H489" s="114" t="s">
        <v>2867</v>
      </c>
      <c r="I489" s="123" t="s">
        <v>2868</v>
      </c>
      <c r="J489" s="33">
        <v>4923</v>
      </c>
      <c r="K489" s="114"/>
      <c r="L489" s="114"/>
      <c r="M489" s="114"/>
      <c r="N489" s="124"/>
      <c r="O489" s="114"/>
      <c r="P489" s="124"/>
      <c r="Q489" s="114"/>
      <c r="R489" s="124"/>
      <c r="S489" s="114"/>
      <c r="T489" s="114"/>
      <c r="U489" s="114"/>
      <c r="V489" s="114"/>
      <c r="W489" s="114"/>
      <c r="X489" s="114"/>
      <c r="Y489" s="114"/>
      <c r="Z489" s="164" t="s">
        <v>2783</v>
      </c>
      <c r="AA489" s="114"/>
      <c r="AB489" s="114"/>
      <c r="AC489" s="114"/>
      <c r="AD489" s="114"/>
      <c r="AE489" s="114"/>
      <c r="AF489" s="114"/>
      <c r="AG489" s="114"/>
      <c r="AH489" s="114"/>
      <c r="AI489" s="114"/>
      <c r="AJ489" s="114"/>
      <c r="AK489" s="114"/>
      <c r="AL489" s="114"/>
      <c r="AM489" s="114"/>
      <c r="AN489" s="114"/>
      <c r="AO489" s="114"/>
      <c r="AP489" s="114"/>
      <c r="AQ489" s="114"/>
      <c r="AR489" s="114"/>
    </row>
    <row r="490" ht="14.25" spans="1:44">
      <c r="A490" s="114"/>
      <c r="B490" s="114"/>
      <c r="C490" s="114"/>
      <c r="D490" s="114" t="s">
        <v>2869</v>
      </c>
      <c r="E490" s="170" t="s">
        <v>2870</v>
      </c>
      <c r="F490" s="169">
        <v>43528</v>
      </c>
      <c r="G490" s="152">
        <f t="shared" si="12"/>
        <v>3528</v>
      </c>
      <c r="H490" s="114" t="s">
        <v>2871</v>
      </c>
      <c r="I490" s="123" t="s">
        <v>2872</v>
      </c>
      <c r="J490" s="33">
        <v>16</v>
      </c>
      <c r="K490" s="114"/>
      <c r="L490" s="114"/>
      <c r="M490" s="114"/>
      <c r="N490" s="124"/>
      <c r="O490" s="114"/>
      <c r="P490" s="124"/>
      <c r="Q490" s="114"/>
      <c r="R490" s="124"/>
      <c r="S490" s="114"/>
      <c r="T490" s="114"/>
      <c r="U490" s="114"/>
      <c r="V490" s="114"/>
      <c r="W490" s="114"/>
      <c r="X490" s="114"/>
      <c r="Y490" s="114"/>
      <c r="Z490" s="164" t="s">
        <v>2783</v>
      </c>
      <c r="AA490" s="114"/>
      <c r="AB490" s="114"/>
      <c r="AC490" s="114"/>
      <c r="AD490" s="114"/>
      <c r="AE490" s="114"/>
      <c r="AF490" s="114"/>
      <c r="AG490" s="114"/>
      <c r="AH490" s="114"/>
      <c r="AI490" s="114"/>
      <c r="AJ490" s="114"/>
      <c r="AK490" s="114"/>
      <c r="AL490" s="114"/>
      <c r="AM490" s="114"/>
      <c r="AN490" s="114"/>
      <c r="AO490" s="114"/>
      <c r="AP490" s="114"/>
      <c r="AQ490" s="114"/>
      <c r="AR490" s="114"/>
    </row>
    <row r="491" ht="14.25" spans="1:44">
      <c r="A491" s="114"/>
      <c r="B491" s="114"/>
      <c r="C491" s="114"/>
      <c r="D491" s="114" t="s">
        <v>2873</v>
      </c>
      <c r="E491" s="241" t="s">
        <v>2874</v>
      </c>
      <c r="F491" s="114">
        <v>2014</v>
      </c>
      <c r="G491" s="152">
        <f t="shared" si="12"/>
        <v>2014</v>
      </c>
      <c r="H491" s="114" t="s">
        <v>2875</v>
      </c>
      <c r="I491" s="123" t="s">
        <v>2876</v>
      </c>
      <c r="J491" s="33">
        <v>2141</v>
      </c>
      <c r="K491" s="114"/>
      <c r="L491" s="114"/>
      <c r="M491" s="114"/>
      <c r="N491" s="124"/>
      <c r="O491" s="114"/>
      <c r="P491" s="124"/>
      <c r="Q491" s="114"/>
      <c r="R491" s="124"/>
      <c r="S491" s="114"/>
      <c r="T491" s="114"/>
      <c r="U491" s="114"/>
      <c r="V491" s="114"/>
      <c r="W491" s="114"/>
      <c r="X491" s="114"/>
      <c r="Y491" s="114"/>
      <c r="Z491" s="164" t="s">
        <v>2783</v>
      </c>
      <c r="AA491" s="114"/>
      <c r="AB491" s="114"/>
      <c r="AC491" s="114"/>
      <c r="AD491" s="114"/>
      <c r="AE491" s="114"/>
      <c r="AF491" s="114"/>
      <c r="AG491" s="114"/>
      <c r="AH491" s="114"/>
      <c r="AI491" s="114"/>
      <c r="AJ491" s="114"/>
      <c r="AK491" s="114"/>
      <c r="AL491" s="114"/>
      <c r="AM491" s="114"/>
      <c r="AN491" s="114"/>
      <c r="AO491" s="114"/>
      <c r="AP491" s="114"/>
      <c r="AQ491" s="114"/>
      <c r="AR491" s="114"/>
    </row>
    <row r="492" ht="14.25" spans="1:44">
      <c r="A492" s="114"/>
      <c r="B492" s="114"/>
      <c r="C492" s="114"/>
      <c r="D492" s="156" t="s">
        <v>2877</v>
      </c>
      <c r="E492" s="170" t="s">
        <v>2878</v>
      </c>
      <c r="F492" s="153">
        <v>42844</v>
      </c>
      <c r="G492" s="152">
        <f t="shared" si="12"/>
        <v>2844</v>
      </c>
      <c r="H492" s="114" t="s">
        <v>2879</v>
      </c>
      <c r="I492" s="123" t="s">
        <v>2880</v>
      </c>
      <c r="J492" s="33">
        <v>2397</v>
      </c>
      <c r="K492" s="114"/>
      <c r="L492" s="114"/>
      <c r="M492" s="114"/>
      <c r="N492" s="124"/>
      <c r="O492" s="114"/>
      <c r="P492" s="124"/>
      <c r="Q492" s="114"/>
      <c r="R492" s="124"/>
      <c r="S492" s="114"/>
      <c r="T492" s="114"/>
      <c r="U492" s="114"/>
      <c r="V492" s="114"/>
      <c r="W492" s="114"/>
      <c r="X492" s="114"/>
      <c r="Y492" s="114"/>
      <c r="Z492" s="164" t="s">
        <v>2783</v>
      </c>
      <c r="AA492" s="114"/>
      <c r="AB492" s="114"/>
      <c r="AC492" s="114"/>
      <c r="AD492" s="114"/>
      <c r="AE492" s="114"/>
      <c r="AF492" s="114"/>
      <c r="AG492" s="114"/>
      <c r="AH492" s="114"/>
      <c r="AI492" s="114"/>
      <c r="AJ492" s="114"/>
      <c r="AK492" s="114"/>
      <c r="AL492" s="114"/>
      <c r="AM492" s="114"/>
      <c r="AN492" s="114"/>
      <c r="AO492" s="114"/>
      <c r="AP492" s="114"/>
      <c r="AQ492" s="114"/>
      <c r="AR492" s="114"/>
    </row>
    <row r="493" ht="14.25" spans="1:44">
      <c r="A493" s="114"/>
      <c r="B493" s="114"/>
      <c r="C493" s="114"/>
      <c r="D493" s="114" t="s">
        <v>2881</v>
      </c>
      <c r="E493" s="170" t="s">
        <v>2882</v>
      </c>
      <c r="F493" s="153">
        <v>42415</v>
      </c>
      <c r="G493" s="152">
        <f t="shared" si="12"/>
        <v>2415</v>
      </c>
      <c r="H493" s="114" t="s">
        <v>2883</v>
      </c>
      <c r="I493" s="123" t="s">
        <v>2884</v>
      </c>
      <c r="J493" s="33">
        <v>6103</v>
      </c>
      <c r="K493" s="114"/>
      <c r="L493" s="114"/>
      <c r="M493" s="114"/>
      <c r="N493" s="124"/>
      <c r="O493" s="114"/>
      <c r="P493" s="124"/>
      <c r="Q493" s="114"/>
      <c r="R493" s="124"/>
      <c r="S493" s="114"/>
      <c r="T493" s="114"/>
      <c r="U493" s="114"/>
      <c r="V493" s="114"/>
      <c r="W493" s="114"/>
      <c r="X493" s="114"/>
      <c r="Y493" s="114"/>
      <c r="Z493" s="164" t="s">
        <v>2783</v>
      </c>
      <c r="AA493" s="114"/>
      <c r="AB493" s="114"/>
      <c r="AC493" s="114"/>
      <c r="AD493" s="114"/>
      <c r="AE493" s="114"/>
      <c r="AF493" s="114"/>
      <c r="AG493" s="114"/>
      <c r="AH493" s="114"/>
      <c r="AI493" s="114"/>
      <c r="AJ493" s="114"/>
      <c r="AK493" s="114"/>
      <c r="AL493" s="114"/>
      <c r="AM493" s="114"/>
      <c r="AN493" s="114"/>
      <c r="AO493" s="114"/>
      <c r="AP493" s="114"/>
      <c r="AQ493" s="114"/>
      <c r="AR493" s="114"/>
    </row>
    <row r="494" ht="14.25" spans="1:44">
      <c r="A494" s="114"/>
      <c r="B494" s="114"/>
      <c r="C494" s="114"/>
      <c r="D494" s="114" t="s">
        <v>2885</v>
      </c>
      <c r="E494" s="170" t="s">
        <v>2886</v>
      </c>
      <c r="F494" s="153">
        <v>43476</v>
      </c>
      <c r="G494" s="152">
        <f t="shared" si="12"/>
        <v>3476</v>
      </c>
      <c r="H494" s="114" t="s">
        <v>2887</v>
      </c>
      <c r="I494" s="123" t="s">
        <v>2888</v>
      </c>
      <c r="J494" s="33">
        <v>51</v>
      </c>
      <c r="K494" s="114"/>
      <c r="L494" s="114"/>
      <c r="M494" s="114"/>
      <c r="N494" s="124"/>
      <c r="O494" s="114"/>
      <c r="P494" s="124"/>
      <c r="Q494" s="114"/>
      <c r="R494" s="124"/>
      <c r="S494" s="114"/>
      <c r="T494" s="114"/>
      <c r="U494" s="114"/>
      <c r="V494" s="114"/>
      <c r="W494" s="114"/>
      <c r="X494" s="114"/>
      <c r="Y494" s="114"/>
      <c r="Z494" s="164" t="s">
        <v>2783</v>
      </c>
      <c r="AA494" s="114"/>
      <c r="AB494" s="114"/>
      <c r="AC494" s="114"/>
      <c r="AD494" s="114"/>
      <c r="AE494" s="114"/>
      <c r="AF494" s="114"/>
      <c r="AG494" s="114"/>
      <c r="AH494" s="114"/>
      <c r="AI494" s="114"/>
      <c r="AJ494" s="114"/>
      <c r="AK494" s="114"/>
      <c r="AL494" s="114"/>
      <c r="AM494" s="114"/>
      <c r="AN494" s="114"/>
      <c r="AO494" s="114"/>
      <c r="AP494" s="114"/>
      <c r="AQ494" s="114"/>
      <c r="AR494" s="114"/>
    </row>
    <row r="495" ht="14.25" spans="1:44">
      <c r="A495" s="114"/>
      <c r="B495" s="114"/>
      <c r="C495" s="114"/>
      <c r="D495" s="114" t="s">
        <v>2889</v>
      </c>
      <c r="E495" s="170" t="s">
        <v>2890</v>
      </c>
      <c r="F495" s="114">
        <v>1989</v>
      </c>
      <c r="G495" s="152">
        <f t="shared" si="12"/>
        <v>1989</v>
      </c>
      <c r="H495" s="114" t="s">
        <v>2891</v>
      </c>
      <c r="I495" s="123" t="s">
        <v>2892</v>
      </c>
      <c r="J495" s="33">
        <v>16900</v>
      </c>
      <c r="K495" s="114"/>
      <c r="L495" s="114"/>
      <c r="M495" s="114"/>
      <c r="N495" s="124"/>
      <c r="O495" s="114"/>
      <c r="P495" s="124"/>
      <c r="Q495" s="114"/>
      <c r="R495" s="124"/>
      <c r="S495" s="114"/>
      <c r="T495" s="114"/>
      <c r="U495" s="114"/>
      <c r="V495" s="114"/>
      <c r="W495" s="114"/>
      <c r="X495" s="114"/>
      <c r="Y495" s="114"/>
      <c r="Z495" s="164" t="s">
        <v>2783</v>
      </c>
      <c r="AA495" s="114"/>
      <c r="AB495" s="114"/>
      <c r="AC495" s="114"/>
      <c r="AD495" s="114"/>
      <c r="AE495" s="114"/>
      <c r="AF495" s="114"/>
      <c r="AG495" s="114"/>
      <c r="AH495" s="114"/>
      <c r="AI495" s="114"/>
      <c r="AJ495" s="114"/>
      <c r="AK495" s="114"/>
      <c r="AL495" s="114"/>
      <c r="AM495" s="114"/>
      <c r="AN495" s="114"/>
      <c r="AO495" s="114"/>
      <c r="AP495" s="114"/>
      <c r="AQ495" s="114"/>
      <c r="AR495" s="114"/>
    </row>
    <row r="496" ht="14.25" spans="1:44">
      <c r="A496" s="114"/>
      <c r="B496" s="114"/>
      <c r="C496" s="114"/>
      <c r="D496" s="156" t="s">
        <v>379</v>
      </c>
      <c r="E496" s="170" t="s">
        <v>2893</v>
      </c>
      <c r="F496" s="153">
        <v>43956</v>
      </c>
      <c r="G496" s="152">
        <f t="shared" si="12"/>
        <v>3956</v>
      </c>
      <c r="H496" s="114" t="s">
        <v>2894</v>
      </c>
      <c r="I496" s="123" t="s">
        <v>2574</v>
      </c>
      <c r="J496" s="33">
        <v>50</v>
      </c>
      <c r="K496" s="114"/>
      <c r="L496" s="114"/>
      <c r="M496" s="114"/>
      <c r="N496" s="124"/>
      <c r="O496" s="114"/>
      <c r="P496" s="124"/>
      <c r="Q496" s="114"/>
      <c r="R496" s="124"/>
      <c r="S496" s="114"/>
      <c r="T496" s="114"/>
      <c r="U496" s="114"/>
      <c r="V496" s="114"/>
      <c r="W496" s="114"/>
      <c r="X496" s="114"/>
      <c r="Y496" s="114"/>
      <c r="Z496" s="164" t="s">
        <v>2783</v>
      </c>
      <c r="AA496" s="114"/>
      <c r="AB496" s="114"/>
      <c r="AC496" s="114"/>
      <c r="AD496" s="114"/>
      <c r="AE496" s="114"/>
      <c r="AF496" s="114"/>
      <c r="AG496" s="114"/>
      <c r="AH496" s="114"/>
      <c r="AI496" s="114"/>
      <c r="AJ496" s="114"/>
      <c r="AK496" s="114"/>
      <c r="AL496" s="114"/>
      <c r="AM496" s="114"/>
      <c r="AN496" s="114"/>
      <c r="AO496" s="114"/>
      <c r="AP496" s="114"/>
      <c r="AQ496" s="114"/>
      <c r="AR496" s="114"/>
    </row>
    <row r="497" ht="14.25" spans="1:44">
      <c r="A497" s="114"/>
      <c r="B497" s="114"/>
      <c r="C497" s="114"/>
      <c r="D497" s="114" t="s">
        <v>2895</v>
      </c>
      <c r="E497" s="221" t="s">
        <v>2896</v>
      </c>
      <c r="F497" s="114">
        <v>2019</v>
      </c>
      <c r="G497" s="152">
        <f t="shared" si="12"/>
        <v>2019</v>
      </c>
      <c r="H497" s="114" t="s">
        <v>2897</v>
      </c>
      <c r="I497" s="123" t="s">
        <v>2898</v>
      </c>
      <c r="J497" s="33">
        <v>1422</v>
      </c>
      <c r="K497" s="114"/>
      <c r="L497" s="114"/>
      <c r="M497" s="114"/>
      <c r="N497" s="124"/>
      <c r="O497" s="114"/>
      <c r="P497" s="124"/>
      <c r="Q497" s="114"/>
      <c r="R497" s="124"/>
      <c r="S497" s="114"/>
      <c r="T497" s="114"/>
      <c r="U497" s="114"/>
      <c r="V497" s="114"/>
      <c r="W497" s="114"/>
      <c r="X497" s="114"/>
      <c r="Y497" s="114"/>
      <c r="Z497" s="164" t="s">
        <v>2783</v>
      </c>
      <c r="AA497" s="114"/>
      <c r="AB497" s="114"/>
      <c r="AC497" s="114"/>
      <c r="AD497" s="114"/>
      <c r="AE497" s="114"/>
      <c r="AF497" s="114"/>
      <c r="AG497" s="114"/>
      <c r="AH497" s="114"/>
      <c r="AI497" s="114"/>
      <c r="AJ497" s="114"/>
      <c r="AK497" s="114"/>
      <c r="AL497" s="114"/>
      <c r="AM497" s="114"/>
      <c r="AN497" s="114"/>
      <c r="AO497" s="114"/>
      <c r="AP497" s="114"/>
      <c r="AQ497" s="114"/>
      <c r="AR497" s="114"/>
    </row>
    <row r="498" ht="14.25" spans="1:44">
      <c r="A498" s="114"/>
      <c r="B498" s="114"/>
      <c r="C498" s="114"/>
      <c r="D498" s="114" t="s">
        <v>815</v>
      </c>
      <c r="E498" s="114" t="s">
        <v>2899</v>
      </c>
      <c r="F498" s="153">
        <v>27851</v>
      </c>
      <c r="G498" s="152">
        <f t="shared" si="12"/>
        <v>7851</v>
      </c>
      <c r="H498" s="114" t="s">
        <v>2900</v>
      </c>
      <c r="I498" s="123" t="s">
        <v>2901</v>
      </c>
      <c r="J498" s="33">
        <v>1498</v>
      </c>
      <c r="K498" s="114"/>
      <c r="L498" s="114"/>
      <c r="M498" s="114"/>
      <c r="N498" s="124"/>
      <c r="O498" s="114"/>
      <c r="P498" s="124"/>
      <c r="Q498" s="114"/>
      <c r="R498" s="124"/>
      <c r="S498" s="114"/>
      <c r="T498" s="114"/>
      <c r="U498" s="114"/>
      <c r="V498" s="114"/>
      <c r="W498" s="114"/>
      <c r="X498" s="114"/>
      <c r="Y498" s="114"/>
      <c r="Z498" s="164" t="s">
        <v>2783</v>
      </c>
      <c r="AA498" s="114"/>
      <c r="AB498" s="114"/>
      <c r="AC498" s="114"/>
      <c r="AD498" s="114"/>
      <c r="AE498" s="114"/>
      <c r="AF498" s="114"/>
      <c r="AG498" s="114"/>
      <c r="AH498" s="114"/>
      <c r="AI498" s="114"/>
      <c r="AJ498" s="114"/>
      <c r="AK498" s="114"/>
      <c r="AL498" s="114"/>
      <c r="AM498" s="114"/>
      <c r="AN498" s="114"/>
      <c r="AO498" s="114"/>
      <c r="AP498" s="114"/>
      <c r="AQ498" s="114"/>
      <c r="AR498" s="114"/>
    </row>
    <row r="499" ht="14.25" spans="1:44">
      <c r="A499" s="114"/>
      <c r="B499" s="114"/>
      <c r="C499" s="114"/>
      <c r="D499" s="114" t="s">
        <v>2265</v>
      </c>
      <c r="E499" s="221" t="s">
        <v>2902</v>
      </c>
      <c r="F499" s="153">
        <v>43625</v>
      </c>
      <c r="G499" s="152">
        <f t="shared" si="12"/>
        <v>3625</v>
      </c>
      <c r="H499" s="114" t="s">
        <v>2903</v>
      </c>
      <c r="I499" s="123" t="s">
        <v>2904</v>
      </c>
      <c r="J499" s="33">
        <v>34</v>
      </c>
      <c r="K499" s="114"/>
      <c r="L499" s="114"/>
      <c r="M499" s="114"/>
      <c r="N499" s="124"/>
      <c r="O499" s="114"/>
      <c r="P499" s="124"/>
      <c r="Q499" s="114"/>
      <c r="R499" s="124"/>
      <c r="S499" s="114"/>
      <c r="T499" s="114"/>
      <c r="U499" s="114"/>
      <c r="V499" s="114"/>
      <c r="W499" s="114"/>
      <c r="X499" s="114"/>
      <c r="Y499" s="114"/>
      <c r="Z499" s="164" t="s">
        <v>2783</v>
      </c>
      <c r="AA499" s="114"/>
      <c r="AB499" s="114"/>
      <c r="AC499" s="114"/>
      <c r="AD499" s="114"/>
      <c r="AE499" s="114"/>
      <c r="AF499" s="114"/>
      <c r="AG499" s="114"/>
      <c r="AH499" s="114"/>
      <c r="AI499" s="114"/>
      <c r="AJ499" s="114"/>
      <c r="AK499" s="114"/>
      <c r="AL499" s="114"/>
      <c r="AM499" s="114"/>
      <c r="AN499" s="114"/>
      <c r="AO499" s="114"/>
      <c r="AP499" s="114"/>
      <c r="AQ499" s="114"/>
      <c r="AR499" s="114"/>
    </row>
    <row r="500" ht="14.25" spans="1:44">
      <c r="A500" s="114"/>
      <c r="B500" s="114"/>
      <c r="C500" s="114"/>
      <c r="D500" s="114" t="s">
        <v>2905</v>
      </c>
      <c r="E500" s="221" t="s">
        <v>2906</v>
      </c>
      <c r="F500" s="114">
        <v>2013</v>
      </c>
      <c r="G500" s="152">
        <f t="shared" si="12"/>
        <v>2013</v>
      </c>
      <c r="H500" s="114" t="s">
        <v>2907</v>
      </c>
      <c r="I500" s="123" t="s">
        <v>2908</v>
      </c>
      <c r="J500" s="33">
        <v>57</v>
      </c>
      <c r="K500" s="114"/>
      <c r="L500" s="114"/>
      <c r="M500" s="114"/>
      <c r="N500" s="124"/>
      <c r="O500" s="114"/>
      <c r="P500" s="124"/>
      <c r="Q500" s="114"/>
      <c r="R500" s="124"/>
      <c r="S500" s="114"/>
      <c r="T500" s="114"/>
      <c r="U500" s="114"/>
      <c r="V500" s="114"/>
      <c r="W500" s="114"/>
      <c r="X500" s="114"/>
      <c r="Y500" s="114"/>
      <c r="Z500" s="164" t="s">
        <v>2783</v>
      </c>
      <c r="AA500" s="114"/>
      <c r="AB500" s="114"/>
      <c r="AC500" s="114"/>
      <c r="AD500" s="114"/>
      <c r="AE500" s="114"/>
      <c r="AF500" s="114"/>
      <c r="AG500" s="114"/>
      <c r="AH500" s="114"/>
      <c r="AI500" s="114"/>
      <c r="AJ500" s="114"/>
      <c r="AK500" s="114"/>
      <c r="AL500" s="114"/>
      <c r="AM500" s="114"/>
      <c r="AN500" s="114"/>
      <c r="AO500" s="114"/>
      <c r="AP500" s="114"/>
      <c r="AQ500" s="114"/>
      <c r="AR500" s="114"/>
    </row>
    <row r="501" ht="14.25" spans="1:44">
      <c r="A501" s="114"/>
      <c r="B501" s="114"/>
      <c r="C501" s="114"/>
      <c r="D501" s="114" t="s">
        <v>1660</v>
      </c>
      <c r="E501" s="221" t="s">
        <v>2909</v>
      </c>
      <c r="F501" s="153">
        <v>41030</v>
      </c>
      <c r="G501" s="152">
        <f t="shared" si="12"/>
        <v>1030</v>
      </c>
      <c r="H501" s="114" t="s">
        <v>2910</v>
      </c>
      <c r="I501" s="123" t="s">
        <v>2911</v>
      </c>
      <c r="J501" s="33">
        <v>559</v>
      </c>
      <c r="K501" s="114"/>
      <c r="L501" s="114"/>
      <c r="M501" s="114"/>
      <c r="N501" s="124"/>
      <c r="O501" s="114"/>
      <c r="P501" s="124"/>
      <c r="Q501" s="114"/>
      <c r="R501" s="124"/>
      <c r="S501" s="114"/>
      <c r="T501" s="114"/>
      <c r="U501" s="114"/>
      <c r="V501" s="114"/>
      <c r="W501" s="114"/>
      <c r="X501" s="114"/>
      <c r="Y501" s="114"/>
      <c r="Z501" s="164" t="s">
        <v>2783</v>
      </c>
      <c r="AA501" s="114"/>
      <c r="AB501" s="114"/>
      <c r="AC501" s="114"/>
      <c r="AD501" s="114"/>
      <c r="AE501" s="114"/>
      <c r="AF501" s="114"/>
      <c r="AG501" s="114"/>
      <c r="AH501" s="114"/>
      <c r="AI501" s="114"/>
      <c r="AJ501" s="114"/>
      <c r="AK501" s="114"/>
      <c r="AL501" s="114"/>
      <c r="AM501" s="114"/>
      <c r="AN501" s="114"/>
      <c r="AO501" s="114"/>
      <c r="AP501" s="114"/>
      <c r="AQ501" s="114"/>
      <c r="AR501" s="114"/>
    </row>
    <row r="502" ht="14.25" spans="1:44">
      <c r="A502" s="114"/>
      <c r="B502" s="114"/>
      <c r="C502" s="114"/>
      <c r="D502" s="114" t="s">
        <v>1267</v>
      </c>
      <c r="E502" s="221" t="s">
        <v>2912</v>
      </c>
      <c r="F502" s="153">
        <v>41030</v>
      </c>
      <c r="G502" s="152">
        <f t="shared" si="12"/>
        <v>1030</v>
      </c>
      <c r="H502" s="114" t="s">
        <v>2913</v>
      </c>
      <c r="I502" s="123" t="s">
        <v>2914</v>
      </c>
      <c r="J502" s="33">
        <v>13479</v>
      </c>
      <c r="K502" s="114"/>
      <c r="L502" s="114"/>
      <c r="M502" s="114"/>
      <c r="N502" s="124"/>
      <c r="O502" s="114"/>
      <c r="P502" s="124"/>
      <c r="Q502" s="114"/>
      <c r="R502" s="124"/>
      <c r="S502" s="114"/>
      <c r="T502" s="114"/>
      <c r="U502" s="114"/>
      <c r="V502" s="114"/>
      <c r="W502" s="114"/>
      <c r="X502" s="114"/>
      <c r="Y502" s="114"/>
      <c r="Z502" s="164" t="s">
        <v>2783</v>
      </c>
      <c r="AA502" s="114"/>
      <c r="AB502" s="114"/>
      <c r="AC502" s="114"/>
      <c r="AD502" s="114"/>
      <c r="AE502" s="114"/>
      <c r="AF502" s="114"/>
      <c r="AG502" s="114"/>
      <c r="AH502" s="114"/>
      <c r="AI502" s="114"/>
      <c r="AJ502" s="114"/>
      <c r="AK502" s="114"/>
      <c r="AL502" s="114"/>
      <c r="AM502" s="114"/>
      <c r="AN502" s="114"/>
      <c r="AO502" s="114"/>
      <c r="AP502" s="114"/>
      <c r="AQ502" s="114"/>
      <c r="AR502" s="114"/>
    </row>
    <row r="503" ht="14.25" spans="1:44">
      <c r="A503" s="114"/>
      <c r="B503" s="114"/>
      <c r="C503" s="114"/>
      <c r="D503" s="114" t="s">
        <v>1267</v>
      </c>
      <c r="E503" s="221" t="s">
        <v>2915</v>
      </c>
      <c r="F503" s="153"/>
      <c r="G503" s="152"/>
      <c r="H503" s="114" t="s">
        <v>2916</v>
      </c>
      <c r="I503" s="123" t="s">
        <v>2917</v>
      </c>
      <c r="J503" s="33">
        <v>190</v>
      </c>
      <c r="K503" s="114"/>
      <c r="L503" s="114"/>
      <c r="M503" s="114"/>
      <c r="N503" s="124"/>
      <c r="O503" s="114"/>
      <c r="P503" s="124"/>
      <c r="Q503" s="114"/>
      <c r="R503" s="124"/>
      <c r="S503" s="114"/>
      <c r="T503" s="114"/>
      <c r="U503" s="114"/>
      <c r="V503" s="114"/>
      <c r="W503" s="114"/>
      <c r="X503" s="114"/>
      <c r="Y503" s="114"/>
      <c r="Z503" s="164" t="s">
        <v>2783</v>
      </c>
      <c r="AA503" s="114"/>
      <c r="AB503" s="114"/>
      <c r="AC503" s="114"/>
      <c r="AD503" s="114"/>
      <c r="AE503" s="114"/>
      <c r="AF503" s="114"/>
      <c r="AG503" s="114"/>
      <c r="AH503" s="114"/>
      <c r="AI503" s="114"/>
      <c r="AJ503" s="114"/>
      <c r="AK503" s="114"/>
      <c r="AL503" s="114"/>
      <c r="AM503" s="114"/>
      <c r="AN503" s="114"/>
      <c r="AO503" s="114"/>
      <c r="AP503" s="114"/>
      <c r="AQ503" s="114"/>
      <c r="AR503" s="114"/>
    </row>
    <row r="504" ht="14.25" spans="1:44">
      <c r="A504" s="114"/>
      <c r="B504" s="114"/>
      <c r="C504" s="114"/>
      <c r="D504" s="114" t="s">
        <v>2918</v>
      </c>
      <c r="E504" s="114" t="s">
        <v>2919</v>
      </c>
      <c r="F504" s="153">
        <v>43243</v>
      </c>
      <c r="G504" s="152">
        <f t="shared" ref="G504:G789" si="13">IF(INT(RIGHT(F504,4))&lt;1,"",INT(RIGHT(F504,4)))</f>
        <v>3243</v>
      </c>
      <c r="H504" s="114" t="s">
        <v>2920</v>
      </c>
      <c r="I504" s="123" t="s">
        <v>2921</v>
      </c>
      <c r="J504" s="33">
        <v>1109</v>
      </c>
      <c r="K504" s="114"/>
      <c r="L504" s="114"/>
      <c r="M504" s="114"/>
      <c r="N504" s="124"/>
      <c r="O504" s="114"/>
      <c r="P504" s="124"/>
      <c r="Q504" s="114"/>
      <c r="R504" s="124"/>
      <c r="S504" s="114"/>
      <c r="T504" s="114"/>
      <c r="U504" s="114"/>
      <c r="V504" s="114"/>
      <c r="W504" s="114"/>
      <c r="X504" s="114"/>
      <c r="Y504" s="114"/>
      <c r="Z504" s="164" t="s">
        <v>2783</v>
      </c>
      <c r="AA504" s="114"/>
      <c r="AB504" s="114"/>
      <c r="AC504" s="114"/>
      <c r="AD504" s="114"/>
      <c r="AE504" s="114"/>
      <c r="AF504" s="114"/>
      <c r="AG504" s="114"/>
      <c r="AH504" s="114"/>
      <c r="AI504" s="114"/>
      <c r="AJ504" s="114"/>
      <c r="AK504" s="114"/>
      <c r="AL504" s="114"/>
      <c r="AM504" s="114"/>
      <c r="AN504" s="114"/>
      <c r="AO504" s="114"/>
      <c r="AP504" s="114"/>
      <c r="AQ504" s="114"/>
      <c r="AR504" s="114"/>
    </row>
    <row r="505" ht="14.25" spans="1:44">
      <c r="A505" s="114"/>
      <c r="B505" s="114"/>
      <c r="C505" s="114"/>
      <c r="D505" s="114" t="s">
        <v>2922</v>
      </c>
      <c r="E505" s="221" t="s">
        <v>2923</v>
      </c>
      <c r="F505" s="153">
        <v>43437</v>
      </c>
      <c r="G505" s="152">
        <f t="shared" si="13"/>
        <v>3437</v>
      </c>
      <c r="H505" s="114" t="s">
        <v>2924</v>
      </c>
      <c r="I505" s="123" t="s">
        <v>2925</v>
      </c>
      <c r="J505" s="33">
        <v>242</v>
      </c>
      <c r="K505" s="114"/>
      <c r="L505" s="114"/>
      <c r="M505" s="114"/>
      <c r="N505" s="124"/>
      <c r="O505" s="114"/>
      <c r="P505" s="124"/>
      <c r="Q505" s="114"/>
      <c r="R505" s="124"/>
      <c r="S505" s="114"/>
      <c r="T505" s="114"/>
      <c r="U505" s="114"/>
      <c r="V505" s="114"/>
      <c r="W505" s="114"/>
      <c r="X505" s="114"/>
      <c r="Y505" s="114"/>
      <c r="Z505" s="164" t="s">
        <v>2783</v>
      </c>
      <c r="AA505" s="114"/>
      <c r="AB505" s="114"/>
      <c r="AC505" s="114"/>
      <c r="AD505" s="114"/>
      <c r="AE505" s="114"/>
      <c r="AF505" s="114"/>
      <c r="AG505" s="114"/>
      <c r="AH505" s="114"/>
      <c r="AI505" s="114"/>
      <c r="AJ505" s="114"/>
      <c r="AK505" s="114"/>
      <c r="AL505" s="114"/>
      <c r="AM505" s="114"/>
      <c r="AN505" s="114"/>
      <c r="AO505" s="114"/>
      <c r="AP505" s="114"/>
      <c r="AQ505" s="114"/>
      <c r="AR505" s="114"/>
    </row>
    <row r="506" ht="14.25" spans="1:44">
      <c r="A506" s="114"/>
      <c r="B506" s="114"/>
      <c r="C506" s="114"/>
      <c r="D506" s="114" t="s">
        <v>2926</v>
      </c>
      <c r="E506" s="221" t="s">
        <v>2927</v>
      </c>
      <c r="F506" s="153">
        <v>41197</v>
      </c>
      <c r="G506" s="152">
        <f t="shared" si="13"/>
        <v>1197</v>
      </c>
      <c r="H506" s="114" t="s">
        <v>2928</v>
      </c>
      <c r="I506" s="123" t="s">
        <v>2611</v>
      </c>
      <c r="J506" s="33">
        <v>4757</v>
      </c>
      <c r="K506" s="114"/>
      <c r="L506" s="114"/>
      <c r="M506" s="114"/>
      <c r="N506" s="124"/>
      <c r="O506" s="114"/>
      <c r="P506" s="124"/>
      <c r="Q506" s="114"/>
      <c r="R506" s="124"/>
      <c r="S506" s="114"/>
      <c r="T506" s="114"/>
      <c r="U506" s="114"/>
      <c r="V506" s="114"/>
      <c r="W506" s="114"/>
      <c r="X506" s="114"/>
      <c r="Y506" s="114"/>
      <c r="Z506" s="164" t="s">
        <v>2783</v>
      </c>
      <c r="AA506" s="114"/>
      <c r="AB506" s="114"/>
      <c r="AC506" s="114"/>
      <c r="AD506" s="114"/>
      <c r="AE506" s="114"/>
      <c r="AF506" s="114"/>
      <c r="AG506" s="114"/>
      <c r="AH506" s="114"/>
      <c r="AI506" s="114"/>
      <c r="AJ506" s="114"/>
      <c r="AK506" s="114"/>
      <c r="AL506" s="114"/>
      <c r="AM506" s="114"/>
      <c r="AN506" s="114"/>
      <c r="AO506" s="114"/>
      <c r="AP506" s="114"/>
      <c r="AQ506" s="114"/>
      <c r="AR506" s="114"/>
    </row>
    <row r="507" ht="14.25" spans="1:44">
      <c r="A507" s="114"/>
      <c r="B507" s="114"/>
      <c r="C507" s="114"/>
      <c r="D507" s="114" t="s">
        <v>2929</v>
      </c>
      <c r="E507" s="221" t="s">
        <v>2930</v>
      </c>
      <c r="F507" s="153">
        <v>43987</v>
      </c>
      <c r="G507" s="152">
        <f t="shared" si="13"/>
        <v>3987</v>
      </c>
      <c r="H507" s="114" t="s">
        <v>2931</v>
      </c>
      <c r="I507" s="123" t="s">
        <v>2932</v>
      </c>
      <c r="J507" s="33">
        <v>89</v>
      </c>
      <c r="K507" s="114"/>
      <c r="L507" s="114"/>
      <c r="M507" s="114"/>
      <c r="N507" s="124"/>
      <c r="O507" s="114"/>
      <c r="P507" s="124"/>
      <c r="Q507" s="114"/>
      <c r="R507" s="124"/>
      <c r="S507" s="114"/>
      <c r="T507" s="114"/>
      <c r="U507" s="114"/>
      <c r="V507" s="114"/>
      <c r="W507" s="114"/>
      <c r="X507" s="114"/>
      <c r="Y507" s="114"/>
      <c r="Z507" s="164" t="s">
        <v>2783</v>
      </c>
      <c r="AA507" s="114"/>
      <c r="AB507" s="114"/>
      <c r="AC507" s="114"/>
      <c r="AD507" s="114"/>
      <c r="AE507" s="114"/>
      <c r="AF507" s="114"/>
      <c r="AG507" s="114"/>
      <c r="AH507" s="114"/>
      <c r="AI507" s="114"/>
      <c r="AJ507" s="114"/>
      <c r="AK507" s="114"/>
      <c r="AL507" s="114"/>
      <c r="AM507" s="114"/>
      <c r="AN507" s="114"/>
      <c r="AO507" s="114"/>
      <c r="AP507" s="114"/>
      <c r="AQ507" s="114"/>
      <c r="AR507" s="114"/>
    </row>
    <row r="508" ht="14.25" spans="1:44">
      <c r="A508" s="114"/>
      <c r="B508" s="114"/>
      <c r="C508" s="114"/>
      <c r="D508" s="114" t="s">
        <v>2933</v>
      </c>
      <c r="E508" s="221" t="s">
        <v>2934</v>
      </c>
      <c r="F508" s="153">
        <v>42056</v>
      </c>
      <c r="G508" s="152">
        <f t="shared" si="13"/>
        <v>2056</v>
      </c>
      <c r="H508" s="114" t="s">
        <v>2935</v>
      </c>
      <c r="I508" s="123" t="s">
        <v>2936</v>
      </c>
      <c r="J508" s="33">
        <v>20005</v>
      </c>
      <c r="K508" s="114"/>
      <c r="L508" s="114"/>
      <c r="M508" s="114"/>
      <c r="N508" s="124"/>
      <c r="O508" s="114"/>
      <c r="P508" s="124"/>
      <c r="Q508" s="114"/>
      <c r="R508" s="124"/>
      <c r="S508" s="114"/>
      <c r="T508" s="114"/>
      <c r="U508" s="114"/>
      <c r="V508" s="114"/>
      <c r="W508" s="114"/>
      <c r="X508" s="114"/>
      <c r="Y508" s="114"/>
      <c r="Z508" s="164" t="s">
        <v>2783</v>
      </c>
      <c r="AA508" s="114"/>
      <c r="AB508" s="114"/>
      <c r="AC508" s="114"/>
      <c r="AD508" s="114"/>
      <c r="AE508" s="114"/>
      <c r="AF508" s="114"/>
      <c r="AG508" s="114"/>
      <c r="AH508" s="114"/>
      <c r="AI508" s="114"/>
      <c r="AJ508" s="114"/>
      <c r="AK508" s="114"/>
      <c r="AL508" s="114"/>
      <c r="AM508" s="114"/>
      <c r="AN508" s="114"/>
      <c r="AO508" s="114"/>
      <c r="AP508" s="114"/>
      <c r="AQ508" s="114"/>
      <c r="AR508" s="114"/>
    </row>
    <row r="509" ht="14.25" spans="1:44">
      <c r="A509" s="114"/>
      <c r="B509" s="114"/>
      <c r="C509" s="114"/>
      <c r="D509" s="114" t="s">
        <v>2885</v>
      </c>
      <c r="E509" s="221" t="s">
        <v>2937</v>
      </c>
      <c r="F509" s="153">
        <v>43375</v>
      </c>
      <c r="G509" s="152">
        <f t="shared" si="13"/>
        <v>3375</v>
      </c>
      <c r="H509" s="114" t="s">
        <v>2938</v>
      </c>
      <c r="I509" s="123" t="s">
        <v>2939</v>
      </c>
      <c r="J509" s="33">
        <v>605</v>
      </c>
      <c r="K509" s="114"/>
      <c r="L509" s="114"/>
      <c r="M509" s="114"/>
      <c r="N509" s="124"/>
      <c r="O509" s="114"/>
      <c r="P509" s="124"/>
      <c r="Q509" s="114"/>
      <c r="R509" s="124"/>
      <c r="S509" s="114"/>
      <c r="T509" s="114"/>
      <c r="U509" s="114"/>
      <c r="V509" s="114"/>
      <c r="W509" s="114"/>
      <c r="X509" s="114"/>
      <c r="Y509" s="114"/>
      <c r="Z509" s="164" t="s">
        <v>2783</v>
      </c>
      <c r="AA509" s="114"/>
      <c r="AB509" s="114"/>
      <c r="AC509" s="114"/>
      <c r="AD509" s="114"/>
      <c r="AE509" s="114"/>
      <c r="AF509" s="114"/>
      <c r="AG509" s="114"/>
      <c r="AH509" s="114"/>
      <c r="AI509" s="114"/>
      <c r="AJ509" s="114"/>
      <c r="AK509" s="114"/>
      <c r="AL509" s="114"/>
      <c r="AM509" s="114"/>
      <c r="AN509" s="114"/>
      <c r="AO509" s="114"/>
      <c r="AP509" s="114"/>
      <c r="AQ509" s="114"/>
      <c r="AR509" s="114"/>
    </row>
    <row r="510" ht="14.25" spans="1:44">
      <c r="A510" s="114"/>
      <c r="B510" s="114"/>
      <c r="C510" s="114"/>
      <c r="D510" s="114" t="s">
        <v>2940</v>
      </c>
      <c r="E510" s="221" t="s">
        <v>2941</v>
      </c>
      <c r="F510" s="169">
        <v>40719</v>
      </c>
      <c r="G510" s="152">
        <f t="shared" si="13"/>
        <v>719</v>
      </c>
      <c r="H510" s="114" t="s">
        <v>2942</v>
      </c>
      <c r="I510" s="123" t="s">
        <v>2943</v>
      </c>
      <c r="J510" s="33">
        <v>478</v>
      </c>
      <c r="K510" s="114"/>
      <c r="L510" s="114"/>
      <c r="M510" s="114"/>
      <c r="N510" s="124"/>
      <c r="O510" s="114"/>
      <c r="P510" s="124"/>
      <c r="Q510" s="114"/>
      <c r="R510" s="124"/>
      <c r="S510" s="114"/>
      <c r="T510" s="114"/>
      <c r="U510" s="114"/>
      <c r="V510" s="114"/>
      <c r="W510" s="114"/>
      <c r="X510" s="114"/>
      <c r="Y510" s="114"/>
      <c r="Z510" s="164" t="s">
        <v>2783</v>
      </c>
      <c r="AA510" s="114"/>
      <c r="AB510" s="114"/>
      <c r="AC510" s="114"/>
      <c r="AD510" s="114"/>
      <c r="AE510" s="114"/>
      <c r="AF510" s="114"/>
      <c r="AG510" s="114"/>
      <c r="AH510" s="114"/>
      <c r="AI510" s="114"/>
      <c r="AJ510" s="114"/>
      <c r="AK510" s="114"/>
      <c r="AL510" s="114"/>
      <c r="AM510" s="114"/>
      <c r="AN510" s="114"/>
      <c r="AO510" s="114"/>
      <c r="AP510" s="114"/>
      <c r="AQ510" s="114"/>
      <c r="AR510" s="114"/>
    </row>
    <row r="511" ht="14.25" spans="1:44">
      <c r="A511" s="114"/>
      <c r="B511" s="114"/>
      <c r="C511" s="114"/>
      <c r="D511" s="114" t="s">
        <v>215</v>
      </c>
      <c r="E511" s="114" t="s">
        <v>2944</v>
      </c>
      <c r="F511" s="169">
        <v>42964</v>
      </c>
      <c r="G511" s="152">
        <f t="shared" si="13"/>
        <v>2964</v>
      </c>
      <c r="H511" s="114" t="s">
        <v>2945</v>
      </c>
      <c r="I511" s="123" t="s">
        <v>2946</v>
      </c>
      <c r="J511" s="33">
        <v>1261</v>
      </c>
      <c r="K511" s="114"/>
      <c r="L511" s="114"/>
      <c r="M511" s="114"/>
      <c r="N511" s="124"/>
      <c r="O511" s="114"/>
      <c r="P511" s="124"/>
      <c r="Q511" s="114"/>
      <c r="R511" s="124"/>
      <c r="S511" s="114"/>
      <c r="T511" s="114"/>
      <c r="U511" s="114"/>
      <c r="V511" s="114"/>
      <c r="W511" s="114"/>
      <c r="X511" s="114"/>
      <c r="Y511" s="114"/>
      <c r="Z511" s="164" t="s">
        <v>2783</v>
      </c>
      <c r="AA511" s="114"/>
      <c r="AB511" s="114"/>
      <c r="AC511" s="114"/>
      <c r="AD511" s="114"/>
      <c r="AE511" s="114"/>
      <c r="AF511" s="114"/>
      <c r="AG511" s="114"/>
      <c r="AH511" s="114"/>
      <c r="AI511" s="114"/>
      <c r="AJ511" s="114"/>
      <c r="AK511" s="114"/>
      <c r="AL511" s="114"/>
      <c r="AM511" s="114"/>
      <c r="AN511" s="114"/>
      <c r="AO511" s="114"/>
      <c r="AP511" s="114"/>
      <c r="AQ511" s="114"/>
      <c r="AR511" s="114"/>
    </row>
    <row r="512" ht="14.25" spans="1:44">
      <c r="A512" s="114"/>
      <c r="B512" s="114"/>
      <c r="C512" s="114"/>
      <c r="D512" s="114" t="s">
        <v>2947</v>
      </c>
      <c r="E512" s="114" t="s">
        <v>2948</v>
      </c>
      <c r="F512" s="114">
        <v>2004</v>
      </c>
      <c r="G512" s="152">
        <f t="shared" si="13"/>
        <v>2004</v>
      </c>
      <c r="H512" s="114" t="s">
        <v>2949</v>
      </c>
      <c r="I512" s="123" t="s">
        <v>2950</v>
      </c>
      <c r="J512" s="33">
        <v>64552</v>
      </c>
      <c r="K512" s="114"/>
      <c r="L512" s="114"/>
      <c r="M512" s="114"/>
      <c r="N512" s="124"/>
      <c r="O512" s="114"/>
      <c r="P512" s="124"/>
      <c r="Q512" s="114"/>
      <c r="R512" s="124"/>
      <c r="S512" s="114"/>
      <c r="T512" s="114"/>
      <c r="U512" s="114"/>
      <c r="V512" s="114"/>
      <c r="W512" s="114"/>
      <c r="X512" s="114"/>
      <c r="Y512" s="114"/>
      <c r="Z512" s="164" t="s">
        <v>2783</v>
      </c>
      <c r="AA512" s="114"/>
      <c r="AB512" s="114"/>
      <c r="AC512" s="114"/>
      <c r="AD512" s="114"/>
      <c r="AE512" s="114"/>
      <c r="AF512" s="114"/>
      <c r="AG512" s="114"/>
      <c r="AH512" s="114"/>
      <c r="AI512" s="114"/>
      <c r="AJ512" s="114"/>
      <c r="AK512" s="114"/>
      <c r="AL512" s="114"/>
      <c r="AM512" s="114"/>
      <c r="AN512" s="114"/>
      <c r="AO512" s="114"/>
      <c r="AP512" s="114"/>
      <c r="AQ512" s="114"/>
      <c r="AR512" s="114"/>
    </row>
    <row r="513" ht="14.25" spans="1:44">
      <c r="A513" s="114"/>
      <c r="B513" s="114"/>
      <c r="C513" s="114"/>
      <c r="D513" s="114" t="s">
        <v>2951</v>
      </c>
      <c r="E513" s="114" t="s">
        <v>2952</v>
      </c>
      <c r="F513" s="169">
        <v>43581</v>
      </c>
      <c r="G513" s="152">
        <f t="shared" si="13"/>
        <v>3581</v>
      </c>
      <c r="H513" s="114" t="s">
        <v>2953</v>
      </c>
      <c r="I513" s="123" t="s">
        <v>2954</v>
      </c>
      <c r="J513" s="33">
        <v>306</v>
      </c>
      <c r="K513" s="114"/>
      <c r="L513" s="114"/>
      <c r="M513" s="114"/>
      <c r="N513" s="124"/>
      <c r="O513" s="114"/>
      <c r="P513" s="124"/>
      <c r="Q513" s="114"/>
      <c r="R513" s="124"/>
      <c r="S513" s="114"/>
      <c r="T513" s="114"/>
      <c r="U513" s="114"/>
      <c r="V513" s="114"/>
      <c r="W513" s="114"/>
      <c r="X513" s="114"/>
      <c r="Y513" s="114"/>
      <c r="Z513" s="164" t="s">
        <v>2783</v>
      </c>
      <c r="AA513" s="114"/>
      <c r="AB513" s="114"/>
      <c r="AC513" s="114"/>
      <c r="AD513" s="114"/>
      <c r="AE513" s="114"/>
      <c r="AF513" s="114"/>
      <c r="AG513" s="114"/>
      <c r="AH513" s="114"/>
      <c r="AI513" s="114"/>
      <c r="AJ513" s="114"/>
      <c r="AK513" s="114"/>
      <c r="AL513" s="114"/>
      <c r="AM513" s="114"/>
      <c r="AN513" s="114"/>
      <c r="AO513" s="114"/>
      <c r="AP513" s="114"/>
      <c r="AQ513" s="114"/>
      <c r="AR513" s="114"/>
    </row>
    <row r="514" ht="14.25" spans="1:44">
      <c r="A514" s="114"/>
      <c r="B514" s="114"/>
      <c r="C514" s="114"/>
      <c r="D514" s="114" t="s">
        <v>2955</v>
      </c>
      <c r="E514" s="114" t="s">
        <v>2956</v>
      </c>
      <c r="F514" s="153">
        <v>39874</v>
      </c>
      <c r="G514" s="152">
        <f t="shared" si="13"/>
        <v>9874</v>
      </c>
      <c r="H514" s="114" t="s">
        <v>2957</v>
      </c>
      <c r="I514" s="123" t="s">
        <v>2958</v>
      </c>
      <c r="J514" s="33">
        <v>914</v>
      </c>
      <c r="K514" s="114"/>
      <c r="L514" s="114"/>
      <c r="M514" s="114"/>
      <c r="N514" s="124"/>
      <c r="O514" s="114"/>
      <c r="P514" s="124"/>
      <c r="Q514" s="114"/>
      <c r="R514" s="124"/>
      <c r="S514" s="114"/>
      <c r="T514" s="114"/>
      <c r="U514" s="114"/>
      <c r="V514" s="114"/>
      <c r="W514" s="114"/>
      <c r="X514" s="114"/>
      <c r="Y514" s="114"/>
      <c r="Z514" s="164" t="s">
        <v>2783</v>
      </c>
      <c r="AA514" s="114"/>
      <c r="AB514" s="114"/>
      <c r="AC514" s="114"/>
      <c r="AD514" s="114"/>
      <c r="AE514" s="114"/>
      <c r="AF514" s="114"/>
      <c r="AG514" s="114"/>
      <c r="AH514" s="114"/>
      <c r="AI514" s="114"/>
      <c r="AJ514" s="114"/>
      <c r="AK514" s="114"/>
      <c r="AL514" s="114"/>
      <c r="AM514" s="114"/>
      <c r="AN514" s="114"/>
      <c r="AO514" s="114"/>
      <c r="AP514" s="114"/>
      <c r="AQ514" s="114"/>
      <c r="AR514" s="114"/>
    </row>
    <row r="515" ht="14.25" spans="1:44">
      <c r="A515" s="114"/>
      <c r="B515" s="114"/>
      <c r="C515" s="114"/>
      <c r="D515" s="114" t="s">
        <v>815</v>
      </c>
      <c r="E515" s="222" t="s">
        <v>2959</v>
      </c>
      <c r="F515" s="169">
        <v>25204</v>
      </c>
      <c r="G515" s="152">
        <f t="shared" si="13"/>
        <v>5204</v>
      </c>
      <c r="H515" s="114" t="s">
        <v>2960</v>
      </c>
      <c r="I515" s="123" t="s">
        <v>2961</v>
      </c>
      <c r="J515" s="33">
        <v>10461</v>
      </c>
      <c r="K515" s="114"/>
      <c r="L515" s="114"/>
      <c r="M515" s="114"/>
      <c r="N515" s="124"/>
      <c r="O515" s="114"/>
      <c r="P515" s="124"/>
      <c r="Q515" s="114"/>
      <c r="R515" s="124"/>
      <c r="S515" s="114"/>
      <c r="T515" s="114"/>
      <c r="U515" s="114"/>
      <c r="V515" s="114"/>
      <c r="W515" s="114"/>
      <c r="X515" s="114"/>
      <c r="Y515" s="114"/>
      <c r="Z515" s="164" t="s">
        <v>2783</v>
      </c>
      <c r="AA515" s="114"/>
      <c r="AB515" s="114"/>
      <c r="AC515" s="114"/>
      <c r="AD515" s="114"/>
      <c r="AE515" s="114"/>
      <c r="AF515" s="114"/>
      <c r="AG515" s="114"/>
      <c r="AH515" s="114"/>
      <c r="AI515" s="114"/>
      <c r="AJ515" s="114"/>
      <c r="AK515" s="114"/>
      <c r="AL515" s="114"/>
      <c r="AM515" s="114"/>
      <c r="AN515" s="114"/>
      <c r="AO515" s="114"/>
      <c r="AP515" s="114"/>
      <c r="AQ515" s="114"/>
      <c r="AR515" s="114"/>
    </row>
    <row r="516" ht="14.25" spans="1:44">
      <c r="A516" s="114"/>
      <c r="B516" s="114"/>
      <c r="C516" s="114"/>
      <c r="D516" s="114" t="s">
        <v>1392</v>
      </c>
      <c r="E516" s="221" t="s">
        <v>2962</v>
      </c>
      <c r="F516" s="153">
        <v>43231</v>
      </c>
      <c r="G516" s="152">
        <f t="shared" si="13"/>
        <v>3231</v>
      </c>
      <c r="H516" s="114" t="s">
        <v>2963</v>
      </c>
      <c r="I516" s="123" t="s">
        <v>2964</v>
      </c>
      <c r="J516" s="33">
        <v>13</v>
      </c>
      <c r="K516" s="114"/>
      <c r="L516" s="114"/>
      <c r="M516" s="114"/>
      <c r="N516" s="124"/>
      <c r="O516" s="114"/>
      <c r="P516" s="124"/>
      <c r="Q516" s="114"/>
      <c r="R516" s="124"/>
      <c r="S516" s="114"/>
      <c r="T516" s="114"/>
      <c r="U516" s="114"/>
      <c r="V516" s="114"/>
      <c r="W516" s="114"/>
      <c r="X516" s="114"/>
      <c r="Y516" s="114"/>
      <c r="Z516" s="164" t="s">
        <v>2783</v>
      </c>
      <c r="AA516" s="114"/>
      <c r="AB516" s="114"/>
      <c r="AC516" s="114"/>
      <c r="AD516" s="114"/>
      <c r="AE516" s="114"/>
      <c r="AF516" s="114"/>
      <c r="AG516" s="114"/>
      <c r="AH516" s="114"/>
      <c r="AI516" s="114"/>
      <c r="AJ516" s="114"/>
      <c r="AK516" s="114"/>
      <c r="AL516" s="114"/>
      <c r="AM516" s="114"/>
      <c r="AN516" s="114"/>
      <c r="AO516" s="114"/>
      <c r="AP516" s="114"/>
      <c r="AQ516" s="114"/>
      <c r="AR516" s="114"/>
    </row>
    <row r="517" ht="14.25" spans="1:44">
      <c r="A517" s="114"/>
      <c r="B517" s="114"/>
      <c r="C517" s="114"/>
      <c r="D517" s="114" t="s">
        <v>2965</v>
      </c>
      <c r="E517" s="221" t="s">
        <v>2966</v>
      </c>
      <c r="F517" s="153">
        <v>44064</v>
      </c>
      <c r="G517" s="152">
        <f t="shared" si="13"/>
        <v>4064</v>
      </c>
      <c r="H517" s="114" t="s">
        <v>2967</v>
      </c>
      <c r="I517" s="123" t="s">
        <v>2968</v>
      </c>
      <c r="J517" s="33">
        <v>175</v>
      </c>
      <c r="K517" s="114"/>
      <c r="L517" s="114"/>
      <c r="M517" s="114"/>
      <c r="N517" s="124"/>
      <c r="O517" s="114"/>
      <c r="P517" s="124"/>
      <c r="Q517" s="114"/>
      <c r="R517" s="124"/>
      <c r="S517" s="114"/>
      <c r="T517" s="114"/>
      <c r="U517" s="114"/>
      <c r="V517" s="114"/>
      <c r="W517" s="114"/>
      <c r="X517" s="114"/>
      <c r="Y517" s="114"/>
      <c r="Z517" s="164" t="s">
        <v>2783</v>
      </c>
      <c r="AA517" s="114"/>
      <c r="AB517" s="114"/>
      <c r="AC517" s="114"/>
      <c r="AD517" s="114"/>
      <c r="AE517" s="114"/>
      <c r="AF517" s="114"/>
      <c r="AG517" s="114"/>
      <c r="AH517" s="114"/>
      <c r="AI517" s="114"/>
      <c r="AJ517" s="114"/>
      <c r="AK517" s="114"/>
      <c r="AL517" s="114"/>
      <c r="AM517" s="114"/>
      <c r="AN517" s="114"/>
      <c r="AO517" s="114"/>
      <c r="AP517" s="114"/>
      <c r="AQ517" s="114"/>
      <c r="AR517" s="114"/>
    </row>
    <row r="518" ht="14.25" spans="1:44">
      <c r="A518" s="114"/>
      <c r="B518" s="114"/>
      <c r="C518" s="114"/>
      <c r="D518" s="114" t="s">
        <v>2969</v>
      </c>
      <c r="E518" s="221" t="s">
        <v>2970</v>
      </c>
      <c r="F518" s="153">
        <v>39250</v>
      </c>
      <c r="G518" s="152">
        <f t="shared" si="13"/>
        <v>9250</v>
      </c>
      <c r="H518" s="114" t="s">
        <v>2971</v>
      </c>
      <c r="I518" s="123" t="s">
        <v>2972</v>
      </c>
      <c r="J518" s="33">
        <v>1915</v>
      </c>
      <c r="K518" s="114"/>
      <c r="L518" s="114"/>
      <c r="M518" s="114"/>
      <c r="N518" s="124"/>
      <c r="O518" s="114"/>
      <c r="P518" s="124"/>
      <c r="Q518" s="114"/>
      <c r="R518" s="124"/>
      <c r="S518" s="114"/>
      <c r="T518" s="114"/>
      <c r="U518" s="114"/>
      <c r="V518" s="114"/>
      <c r="W518" s="114"/>
      <c r="X518" s="114"/>
      <c r="Y518" s="114"/>
      <c r="Z518" s="164" t="s">
        <v>2783</v>
      </c>
      <c r="AA518" s="114"/>
      <c r="AB518" s="114"/>
      <c r="AC518" s="114"/>
      <c r="AD518" s="114"/>
      <c r="AE518" s="114"/>
      <c r="AF518" s="114"/>
      <c r="AG518" s="114"/>
      <c r="AH518" s="114"/>
      <c r="AI518" s="114"/>
      <c r="AJ518" s="114"/>
      <c r="AK518" s="114"/>
      <c r="AL518" s="114"/>
      <c r="AM518" s="114"/>
      <c r="AN518" s="114"/>
      <c r="AO518" s="114"/>
      <c r="AP518" s="114"/>
      <c r="AQ518" s="114"/>
      <c r="AR518" s="114"/>
    </row>
    <row r="519" ht="14.25" spans="1:44">
      <c r="A519" s="114"/>
      <c r="B519" s="114"/>
      <c r="C519" s="114"/>
      <c r="D519" s="114" t="s">
        <v>2973</v>
      </c>
      <c r="E519" s="221" t="s">
        <v>2974</v>
      </c>
      <c r="F519" s="153">
        <v>43143</v>
      </c>
      <c r="G519" s="152">
        <f t="shared" si="13"/>
        <v>3143</v>
      </c>
      <c r="H519" s="114" t="s">
        <v>2975</v>
      </c>
      <c r="I519" s="123" t="s">
        <v>2976</v>
      </c>
      <c r="J519" s="33">
        <v>1653</v>
      </c>
      <c r="K519" s="114"/>
      <c r="L519" s="114"/>
      <c r="M519" s="114"/>
      <c r="N519" s="124"/>
      <c r="O519" s="114"/>
      <c r="P519" s="124"/>
      <c r="Q519" s="114"/>
      <c r="R519" s="124"/>
      <c r="S519" s="114"/>
      <c r="T519" s="114"/>
      <c r="U519" s="114"/>
      <c r="V519" s="114"/>
      <c r="W519" s="114"/>
      <c r="X519" s="114"/>
      <c r="Y519" s="114"/>
      <c r="Z519" s="164" t="s">
        <v>2783</v>
      </c>
      <c r="AA519" s="114"/>
      <c r="AB519" s="114"/>
      <c r="AC519" s="114"/>
      <c r="AD519" s="114"/>
      <c r="AE519" s="114"/>
      <c r="AF519" s="114"/>
      <c r="AG519" s="114"/>
      <c r="AH519" s="114"/>
      <c r="AI519" s="114"/>
      <c r="AJ519" s="114"/>
      <c r="AK519" s="114"/>
      <c r="AL519" s="114"/>
      <c r="AM519" s="114"/>
      <c r="AN519" s="114"/>
      <c r="AO519" s="114"/>
      <c r="AP519" s="114"/>
      <c r="AQ519" s="114"/>
      <c r="AR519" s="114"/>
    </row>
    <row r="520" ht="14.25" spans="1:44">
      <c r="A520" s="114"/>
      <c r="B520" s="114"/>
      <c r="C520" s="114"/>
      <c r="D520" s="114" t="s">
        <v>2977</v>
      </c>
      <c r="E520" s="222" t="s">
        <v>2978</v>
      </c>
      <c r="F520" s="153">
        <v>43427</v>
      </c>
      <c r="G520" s="152">
        <f t="shared" si="13"/>
        <v>3427</v>
      </c>
      <c r="H520" s="114" t="s">
        <v>2979</v>
      </c>
      <c r="I520" s="123" t="s">
        <v>2980</v>
      </c>
      <c r="J520" s="33">
        <v>52</v>
      </c>
      <c r="K520" s="114"/>
      <c r="L520" s="114"/>
      <c r="M520" s="114"/>
      <c r="N520" s="124"/>
      <c r="O520" s="114"/>
      <c r="P520" s="124"/>
      <c r="Q520" s="114"/>
      <c r="R520" s="124"/>
      <c r="S520" s="114"/>
      <c r="T520" s="114"/>
      <c r="U520" s="114"/>
      <c r="V520" s="114"/>
      <c r="W520" s="114"/>
      <c r="X520" s="114"/>
      <c r="Y520" s="114"/>
      <c r="Z520" s="164" t="s">
        <v>2783</v>
      </c>
      <c r="AA520" s="114"/>
      <c r="AB520" s="114"/>
      <c r="AC520" s="114"/>
      <c r="AD520" s="114"/>
      <c r="AE520" s="114"/>
      <c r="AF520" s="114"/>
      <c r="AG520" s="114"/>
      <c r="AH520" s="114"/>
      <c r="AI520" s="114"/>
      <c r="AJ520" s="114"/>
      <c r="AK520" s="114"/>
      <c r="AL520" s="114"/>
      <c r="AM520" s="114"/>
      <c r="AN520" s="114"/>
      <c r="AO520" s="114"/>
      <c r="AP520" s="114"/>
      <c r="AQ520" s="114"/>
      <c r="AR520" s="114"/>
    </row>
    <row r="521" ht="14.25" spans="1:44">
      <c r="A521" s="114"/>
      <c r="B521" s="114"/>
      <c r="C521" s="114"/>
      <c r="D521" s="114" t="s">
        <v>2981</v>
      </c>
      <c r="E521" s="221" t="s">
        <v>2982</v>
      </c>
      <c r="F521" s="153">
        <v>42929</v>
      </c>
      <c r="G521" s="152">
        <f t="shared" si="13"/>
        <v>2929</v>
      </c>
      <c r="H521" s="114" t="s">
        <v>2983</v>
      </c>
      <c r="I521" s="123" t="s">
        <v>2984</v>
      </c>
      <c r="J521" s="33">
        <v>61</v>
      </c>
      <c r="K521" s="114"/>
      <c r="L521" s="114"/>
      <c r="M521" s="114"/>
      <c r="N521" s="124"/>
      <c r="O521" s="114"/>
      <c r="P521" s="124"/>
      <c r="Q521" s="114"/>
      <c r="R521" s="124"/>
      <c r="S521" s="114"/>
      <c r="T521" s="114"/>
      <c r="U521" s="114"/>
      <c r="V521" s="114"/>
      <c r="W521" s="114"/>
      <c r="X521" s="114"/>
      <c r="Y521" s="114"/>
      <c r="Z521" s="164" t="s">
        <v>2783</v>
      </c>
      <c r="AA521" s="114"/>
      <c r="AB521" s="114"/>
      <c r="AC521" s="114"/>
      <c r="AD521" s="114"/>
      <c r="AE521" s="114"/>
      <c r="AF521" s="114"/>
      <c r="AG521" s="114"/>
      <c r="AH521" s="114"/>
      <c r="AI521" s="114"/>
      <c r="AJ521" s="114"/>
      <c r="AK521" s="114"/>
      <c r="AL521" s="114"/>
      <c r="AM521" s="114"/>
      <c r="AN521" s="114"/>
      <c r="AO521" s="114"/>
      <c r="AP521" s="114"/>
      <c r="AQ521" s="114"/>
      <c r="AR521" s="114"/>
    </row>
    <row r="522" ht="14.25" spans="1:44">
      <c r="A522" s="114"/>
      <c r="B522" s="114"/>
      <c r="C522" s="114"/>
      <c r="D522" s="114" t="s">
        <v>1392</v>
      </c>
      <c r="E522" s="221" t="s">
        <v>2985</v>
      </c>
      <c r="F522" s="153">
        <v>42654</v>
      </c>
      <c r="G522" s="152">
        <f t="shared" si="13"/>
        <v>2654</v>
      </c>
      <c r="H522" s="114" t="s">
        <v>2986</v>
      </c>
      <c r="I522" s="123" t="s">
        <v>2987</v>
      </c>
      <c r="J522" s="33">
        <v>3849</v>
      </c>
      <c r="K522" s="114"/>
      <c r="L522" s="114"/>
      <c r="M522" s="114"/>
      <c r="N522" s="124"/>
      <c r="O522" s="114"/>
      <c r="P522" s="124"/>
      <c r="Q522" s="114"/>
      <c r="R522" s="124"/>
      <c r="S522" s="114"/>
      <c r="T522" s="114"/>
      <c r="U522" s="114"/>
      <c r="V522" s="114"/>
      <c r="W522" s="114"/>
      <c r="X522" s="114"/>
      <c r="Y522" s="114"/>
      <c r="Z522" s="164" t="s">
        <v>2783</v>
      </c>
      <c r="AA522" s="114"/>
      <c r="AB522" s="114"/>
      <c r="AC522" s="114"/>
      <c r="AD522" s="114"/>
      <c r="AE522" s="114"/>
      <c r="AF522" s="114"/>
      <c r="AG522" s="114"/>
      <c r="AH522" s="114"/>
      <c r="AI522" s="114"/>
      <c r="AJ522" s="114"/>
      <c r="AK522" s="114"/>
      <c r="AL522" s="114"/>
      <c r="AM522" s="114"/>
      <c r="AN522" s="114"/>
      <c r="AO522" s="114"/>
      <c r="AP522" s="114"/>
      <c r="AQ522" s="114"/>
      <c r="AR522" s="114"/>
    </row>
    <row r="523" ht="14.25" spans="1:44">
      <c r="A523" s="114"/>
      <c r="B523" s="114"/>
      <c r="C523" s="114"/>
      <c r="D523" s="114" t="s">
        <v>464</v>
      </c>
      <c r="E523" s="221" t="s">
        <v>2988</v>
      </c>
      <c r="F523" s="153">
        <v>43628</v>
      </c>
      <c r="G523" s="152">
        <f t="shared" si="13"/>
        <v>3628</v>
      </c>
      <c r="H523" s="114" t="s">
        <v>2989</v>
      </c>
      <c r="I523" s="123" t="s">
        <v>2990</v>
      </c>
      <c r="J523" s="33">
        <v>393</v>
      </c>
      <c r="K523" s="114"/>
      <c r="L523" s="114"/>
      <c r="M523" s="114"/>
      <c r="N523" s="124"/>
      <c r="O523" s="114"/>
      <c r="P523" s="124"/>
      <c r="Q523" s="114"/>
      <c r="R523" s="124"/>
      <c r="S523" s="114"/>
      <c r="T523" s="114"/>
      <c r="U523" s="114"/>
      <c r="V523" s="114"/>
      <c r="W523" s="114"/>
      <c r="X523" s="114"/>
      <c r="Y523" s="114"/>
      <c r="Z523" s="164" t="s">
        <v>2783</v>
      </c>
      <c r="AA523" s="114"/>
      <c r="AB523" s="114"/>
      <c r="AC523" s="114"/>
      <c r="AD523" s="114"/>
      <c r="AE523" s="114"/>
      <c r="AF523" s="114"/>
      <c r="AG523" s="114"/>
      <c r="AH523" s="114"/>
      <c r="AI523" s="114"/>
      <c r="AJ523" s="114"/>
      <c r="AK523" s="114"/>
      <c r="AL523" s="114"/>
      <c r="AM523" s="114"/>
      <c r="AN523" s="114"/>
      <c r="AO523" s="114"/>
      <c r="AP523" s="114"/>
      <c r="AQ523" s="114"/>
      <c r="AR523" s="114"/>
    </row>
    <row r="524" ht="14.25" spans="1:44">
      <c r="A524" s="114"/>
      <c r="B524" s="114"/>
      <c r="C524" s="114"/>
      <c r="D524" s="114" t="s">
        <v>2991</v>
      </c>
      <c r="E524" s="114" t="s">
        <v>2992</v>
      </c>
      <c r="F524" s="153">
        <v>21976</v>
      </c>
      <c r="G524" s="152">
        <f t="shared" si="13"/>
        <v>1976</v>
      </c>
      <c r="H524" s="114" t="s">
        <v>2993</v>
      </c>
      <c r="I524" s="123" t="s">
        <v>2994</v>
      </c>
      <c r="J524" s="33">
        <v>243</v>
      </c>
      <c r="K524" s="114"/>
      <c r="L524" s="114"/>
      <c r="M524" s="114"/>
      <c r="N524" s="124"/>
      <c r="O524" s="114"/>
      <c r="P524" s="124"/>
      <c r="Q524" s="114"/>
      <c r="R524" s="124"/>
      <c r="S524" s="114"/>
      <c r="T524" s="114"/>
      <c r="U524" s="114"/>
      <c r="V524" s="114"/>
      <c r="W524" s="114"/>
      <c r="X524" s="114"/>
      <c r="Y524" s="114"/>
      <c r="Z524" s="164" t="s">
        <v>2783</v>
      </c>
      <c r="AA524" s="114"/>
      <c r="AB524" s="114"/>
      <c r="AC524" s="114"/>
      <c r="AD524" s="114"/>
      <c r="AE524" s="114"/>
      <c r="AF524" s="114"/>
      <c r="AG524" s="114"/>
      <c r="AH524" s="114"/>
      <c r="AI524" s="114"/>
      <c r="AJ524" s="114"/>
      <c r="AK524" s="114"/>
      <c r="AL524" s="114"/>
      <c r="AM524" s="114"/>
      <c r="AN524" s="114"/>
      <c r="AO524" s="114"/>
      <c r="AP524" s="114"/>
      <c r="AQ524" s="114"/>
      <c r="AR524" s="114"/>
    </row>
    <row r="525" ht="14.25" spans="1:44">
      <c r="A525" s="114"/>
      <c r="B525" s="114"/>
      <c r="C525" s="114"/>
      <c r="D525" s="114" t="s">
        <v>2995</v>
      </c>
      <c r="E525" s="221" t="s">
        <v>2996</v>
      </c>
      <c r="F525" s="153">
        <v>42034</v>
      </c>
      <c r="G525" s="152">
        <f t="shared" si="13"/>
        <v>2034</v>
      </c>
      <c r="H525" s="114" t="s">
        <v>2997</v>
      </c>
      <c r="I525" s="123" t="s">
        <v>2998</v>
      </c>
      <c r="J525" s="33">
        <v>27033</v>
      </c>
      <c r="K525" s="114"/>
      <c r="L525" s="114"/>
      <c r="M525" s="114"/>
      <c r="N525" s="124"/>
      <c r="O525" s="114"/>
      <c r="P525" s="124"/>
      <c r="Q525" s="114"/>
      <c r="R525" s="124"/>
      <c r="S525" s="114"/>
      <c r="T525" s="114"/>
      <c r="U525" s="114"/>
      <c r="V525" s="114"/>
      <c r="W525" s="114"/>
      <c r="X525" s="114"/>
      <c r="Y525" s="114"/>
      <c r="Z525" s="164" t="s">
        <v>2783</v>
      </c>
      <c r="AA525" s="114"/>
      <c r="AB525" s="114"/>
      <c r="AC525" s="114"/>
      <c r="AD525" s="114"/>
      <c r="AE525" s="114"/>
      <c r="AF525" s="114"/>
      <c r="AG525" s="114"/>
      <c r="AH525" s="114"/>
      <c r="AI525" s="114"/>
      <c r="AJ525" s="114"/>
      <c r="AK525" s="114"/>
      <c r="AL525" s="114"/>
      <c r="AM525" s="114"/>
      <c r="AN525" s="114"/>
      <c r="AO525" s="114"/>
      <c r="AP525" s="114"/>
      <c r="AQ525" s="114"/>
      <c r="AR525" s="114"/>
    </row>
    <row r="526" ht="14.25" spans="1:44">
      <c r="A526" s="114"/>
      <c r="B526" s="114"/>
      <c r="C526" s="114"/>
      <c r="D526" s="114" t="s">
        <v>815</v>
      </c>
      <c r="E526" s="221" t="s">
        <v>2999</v>
      </c>
      <c r="F526" s="169">
        <v>44459</v>
      </c>
      <c r="G526" s="152">
        <f t="shared" si="13"/>
        <v>4459</v>
      </c>
      <c r="H526" s="114" t="s">
        <v>3000</v>
      </c>
      <c r="I526" s="123" t="s">
        <v>3001</v>
      </c>
      <c r="J526" s="33">
        <v>2</v>
      </c>
      <c r="K526" s="114"/>
      <c r="L526" s="114"/>
      <c r="M526" s="114"/>
      <c r="N526" s="124"/>
      <c r="O526" s="114"/>
      <c r="P526" s="124"/>
      <c r="Q526" s="114"/>
      <c r="R526" s="124"/>
      <c r="S526" s="114"/>
      <c r="T526" s="114"/>
      <c r="U526" s="114"/>
      <c r="V526" s="114"/>
      <c r="W526" s="114"/>
      <c r="X526" s="114"/>
      <c r="Y526" s="114"/>
      <c r="Z526" s="164" t="s">
        <v>2783</v>
      </c>
      <c r="AA526" s="114"/>
      <c r="AB526" s="114"/>
      <c r="AC526" s="114"/>
      <c r="AD526" s="114"/>
      <c r="AE526" s="114"/>
      <c r="AF526" s="114"/>
      <c r="AG526" s="114"/>
      <c r="AH526" s="114"/>
      <c r="AI526" s="114"/>
      <c r="AJ526" s="114"/>
      <c r="AK526" s="114"/>
      <c r="AL526" s="114"/>
      <c r="AM526" s="114"/>
      <c r="AN526" s="114"/>
      <c r="AO526" s="114"/>
      <c r="AP526" s="114"/>
      <c r="AQ526" s="114"/>
      <c r="AR526" s="114"/>
    </row>
    <row r="527" ht="14.25" spans="1:44">
      <c r="A527" s="114"/>
      <c r="B527" s="114"/>
      <c r="C527" s="114"/>
      <c r="D527" s="114" t="s">
        <v>3002</v>
      </c>
      <c r="E527" s="221" t="s">
        <v>3003</v>
      </c>
      <c r="F527" s="153">
        <v>43602</v>
      </c>
      <c r="G527" s="152">
        <f t="shared" si="13"/>
        <v>3602</v>
      </c>
      <c r="H527" s="114" t="s">
        <v>3004</v>
      </c>
      <c r="I527" s="123" t="s">
        <v>3005</v>
      </c>
      <c r="J527" s="33">
        <v>240</v>
      </c>
      <c r="K527" s="114"/>
      <c r="L527" s="114"/>
      <c r="M527" s="114"/>
      <c r="N527" s="124"/>
      <c r="O527" s="114"/>
      <c r="P527" s="124"/>
      <c r="Q527" s="114"/>
      <c r="R527" s="124"/>
      <c r="S527" s="114"/>
      <c r="T527" s="114"/>
      <c r="U527" s="114"/>
      <c r="V527" s="114"/>
      <c r="W527" s="114"/>
      <c r="X527" s="114"/>
      <c r="Y527" s="114"/>
      <c r="Z527" s="164" t="s">
        <v>2783</v>
      </c>
      <c r="AA527" s="114"/>
      <c r="AB527" s="114"/>
      <c r="AC527" s="114"/>
      <c r="AD527" s="114"/>
      <c r="AE527" s="114"/>
      <c r="AF527" s="114"/>
      <c r="AG527" s="114"/>
      <c r="AH527" s="114"/>
      <c r="AI527" s="114"/>
      <c r="AJ527" s="114"/>
      <c r="AK527" s="114"/>
      <c r="AL527" s="114"/>
      <c r="AM527" s="114"/>
      <c r="AN527" s="114"/>
      <c r="AO527" s="114"/>
      <c r="AP527" s="114"/>
      <c r="AQ527" s="114"/>
      <c r="AR527" s="114"/>
    </row>
    <row r="528" ht="14.25" spans="1:44">
      <c r="A528" s="114"/>
      <c r="B528" s="114"/>
      <c r="C528" s="114"/>
      <c r="D528" s="114" t="s">
        <v>3006</v>
      </c>
      <c r="E528" s="222" t="s">
        <v>3007</v>
      </c>
      <c r="F528" s="153">
        <v>43412</v>
      </c>
      <c r="G528" s="152">
        <f t="shared" si="13"/>
        <v>3412</v>
      </c>
      <c r="H528" s="114" t="s">
        <v>3008</v>
      </c>
      <c r="I528" s="123" t="s">
        <v>3009</v>
      </c>
      <c r="J528" s="33">
        <v>300</v>
      </c>
      <c r="K528" s="114"/>
      <c r="L528" s="114"/>
      <c r="M528" s="114"/>
      <c r="N528" s="124"/>
      <c r="O528" s="114"/>
      <c r="P528" s="124"/>
      <c r="Q528" s="114"/>
      <c r="R528" s="124"/>
      <c r="S528" s="114"/>
      <c r="T528" s="114"/>
      <c r="U528" s="114"/>
      <c r="V528" s="114"/>
      <c r="W528" s="114"/>
      <c r="X528" s="114"/>
      <c r="Y528" s="114"/>
      <c r="Z528" s="164" t="s">
        <v>2783</v>
      </c>
      <c r="AA528" s="114"/>
      <c r="AB528" s="114"/>
      <c r="AC528" s="114"/>
      <c r="AD528" s="114"/>
      <c r="AE528" s="114"/>
      <c r="AF528" s="114"/>
      <c r="AG528" s="114"/>
      <c r="AH528" s="114"/>
      <c r="AI528" s="114"/>
      <c r="AJ528" s="114"/>
      <c r="AK528" s="114"/>
      <c r="AL528" s="114"/>
      <c r="AM528" s="114"/>
      <c r="AN528" s="114"/>
      <c r="AO528" s="114"/>
      <c r="AP528" s="114"/>
      <c r="AQ528" s="114"/>
      <c r="AR528" s="114"/>
    </row>
    <row r="529" ht="14.25" spans="1:44">
      <c r="A529" s="114"/>
      <c r="B529" s="114"/>
      <c r="C529" s="114"/>
      <c r="D529" s="114" t="s">
        <v>3010</v>
      </c>
      <c r="E529" s="221" t="s">
        <v>3011</v>
      </c>
      <c r="F529" s="153">
        <v>43621</v>
      </c>
      <c r="G529" s="152">
        <f t="shared" si="13"/>
        <v>3621</v>
      </c>
      <c r="H529" s="114" t="s">
        <v>3012</v>
      </c>
      <c r="I529" s="123" t="s">
        <v>3013</v>
      </c>
      <c r="J529" s="33">
        <v>1013</v>
      </c>
      <c r="K529" s="114"/>
      <c r="L529" s="114"/>
      <c r="M529" s="114"/>
      <c r="N529" s="124"/>
      <c r="O529" s="114"/>
      <c r="P529" s="124"/>
      <c r="Q529" s="114"/>
      <c r="R529" s="124"/>
      <c r="S529" s="114"/>
      <c r="T529" s="114"/>
      <c r="U529" s="114"/>
      <c r="V529" s="114"/>
      <c r="W529" s="114"/>
      <c r="X529" s="114"/>
      <c r="Y529" s="114"/>
      <c r="Z529" s="164" t="s">
        <v>2783</v>
      </c>
      <c r="AA529" s="114"/>
      <c r="AB529" s="114"/>
      <c r="AC529" s="114"/>
      <c r="AD529" s="114"/>
      <c r="AE529" s="114"/>
      <c r="AF529" s="114"/>
      <c r="AG529" s="114"/>
      <c r="AH529" s="114"/>
      <c r="AI529" s="114"/>
      <c r="AJ529" s="114"/>
      <c r="AK529" s="114"/>
      <c r="AL529" s="114"/>
      <c r="AM529" s="114"/>
      <c r="AN529" s="114"/>
      <c r="AO529" s="114"/>
      <c r="AP529" s="114"/>
      <c r="AQ529" s="114"/>
      <c r="AR529" s="114"/>
    </row>
    <row r="530" ht="14.25" spans="1:44">
      <c r="A530" s="114"/>
      <c r="B530" s="114"/>
      <c r="C530" s="114"/>
      <c r="D530" s="114" t="s">
        <v>815</v>
      </c>
      <c r="E530" s="221" t="s">
        <v>3014</v>
      </c>
      <c r="F530" s="153">
        <v>43621</v>
      </c>
      <c r="G530" s="152">
        <f t="shared" si="13"/>
        <v>3621</v>
      </c>
      <c r="H530" s="114" t="s">
        <v>3012</v>
      </c>
      <c r="I530" s="114"/>
      <c r="J530" s="33">
        <v>1013</v>
      </c>
      <c r="K530" s="114"/>
      <c r="L530" s="114"/>
      <c r="M530" s="114"/>
      <c r="N530" s="124"/>
      <c r="O530" s="114"/>
      <c r="P530" s="124"/>
      <c r="Q530" s="114"/>
      <c r="R530" s="124"/>
      <c r="S530" s="114"/>
      <c r="T530" s="114"/>
      <c r="U530" s="114"/>
      <c r="V530" s="114"/>
      <c r="W530" s="114"/>
      <c r="X530" s="114"/>
      <c r="Y530" s="114"/>
      <c r="Z530" s="164" t="s">
        <v>2783</v>
      </c>
      <c r="AA530" s="114"/>
      <c r="AB530" s="114"/>
      <c r="AC530" s="114"/>
      <c r="AD530" s="114"/>
      <c r="AE530" s="114"/>
      <c r="AF530" s="114"/>
      <c r="AG530" s="114"/>
      <c r="AH530" s="114"/>
      <c r="AI530" s="114"/>
      <c r="AJ530" s="114"/>
      <c r="AK530" s="114"/>
      <c r="AL530" s="114"/>
      <c r="AM530" s="114"/>
      <c r="AN530" s="114"/>
      <c r="AO530" s="114"/>
      <c r="AP530" s="114"/>
      <c r="AQ530" s="114"/>
      <c r="AR530" s="114"/>
    </row>
    <row r="531" ht="14.25" spans="1:44">
      <c r="A531" s="114"/>
      <c r="B531" s="114"/>
      <c r="C531" s="114"/>
      <c r="D531" s="114" t="s">
        <v>815</v>
      </c>
      <c r="E531" s="221" t="s">
        <v>3015</v>
      </c>
      <c r="F531" s="169">
        <v>43446</v>
      </c>
      <c r="G531" s="152">
        <f t="shared" si="13"/>
        <v>3446</v>
      </c>
      <c r="H531" s="114" t="s">
        <v>3016</v>
      </c>
      <c r="I531" s="123" t="s">
        <v>3017</v>
      </c>
      <c r="J531" s="33">
        <v>28</v>
      </c>
      <c r="K531" s="114"/>
      <c r="L531" s="114"/>
      <c r="M531" s="114"/>
      <c r="N531" s="124"/>
      <c r="O531" s="114"/>
      <c r="P531" s="124"/>
      <c r="Q531" s="114"/>
      <c r="R531" s="124"/>
      <c r="S531" s="114"/>
      <c r="T531" s="114"/>
      <c r="U531" s="114"/>
      <c r="V531" s="114"/>
      <c r="W531" s="114"/>
      <c r="X531" s="114"/>
      <c r="Y531" s="114"/>
      <c r="Z531" s="164" t="s">
        <v>2783</v>
      </c>
      <c r="AA531" s="114"/>
      <c r="AB531" s="114"/>
      <c r="AC531" s="114"/>
      <c r="AD531" s="114"/>
      <c r="AE531" s="114"/>
      <c r="AF531" s="114"/>
      <c r="AG531" s="114"/>
      <c r="AH531" s="114"/>
      <c r="AI531" s="114"/>
      <c r="AJ531" s="114"/>
      <c r="AK531" s="114"/>
      <c r="AL531" s="114"/>
      <c r="AM531" s="114"/>
      <c r="AN531" s="114"/>
      <c r="AO531" s="114"/>
      <c r="AP531" s="114"/>
      <c r="AQ531" s="114"/>
      <c r="AR531" s="114"/>
    </row>
    <row r="532" ht="14.25" spans="1:44">
      <c r="A532" s="114"/>
      <c r="B532" s="114"/>
      <c r="C532" s="114"/>
      <c r="D532" s="114" t="s">
        <v>1267</v>
      </c>
      <c r="E532" s="221" t="s">
        <v>3018</v>
      </c>
      <c r="F532" s="153">
        <v>34335</v>
      </c>
      <c r="G532" s="152">
        <f t="shared" si="13"/>
        <v>4335</v>
      </c>
      <c r="H532" s="114" t="s">
        <v>3019</v>
      </c>
      <c r="I532" s="123" t="s">
        <v>3020</v>
      </c>
      <c r="J532" s="33">
        <v>42790</v>
      </c>
      <c r="K532" s="114"/>
      <c r="L532" s="114"/>
      <c r="M532" s="114"/>
      <c r="N532" s="124"/>
      <c r="O532" s="114"/>
      <c r="P532" s="124"/>
      <c r="Q532" s="114"/>
      <c r="R532" s="124"/>
      <c r="S532" s="114"/>
      <c r="T532" s="114"/>
      <c r="U532" s="114"/>
      <c r="V532" s="114"/>
      <c r="W532" s="114"/>
      <c r="X532" s="114"/>
      <c r="Y532" s="114"/>
      <c r="Z532" s="164" t="s">
        <v>2783</v>
      </c>
      <c r="AA532" s="114"/>
      <c r="AB532" s="114"/>
      <c r="AC532" s="114"/>
      <c r="AD532" s="114"/>
      <c r="AE532" s="114"/>
      <c r="AF532" s="114"/>
      <c r="AG532" s="114"/>
      <c r="AH532" s="114"/>
      <c r="AI532" s="114"/>
      <c r="AJ532" s="114"/>
      <c r="AK532" s="114"/>
      <c r="AL532" s="114"/>
      <c r="AM532" s="114"/>
      <c r="AN532" s="114"/>
      <c r="AO532" s="114"/>
      <c r="AP532" s="114"/>
      <c r="AQ532" s="114"/>
      <c r="AR532" s="114"/>
    </row>
    <row r="533" ht="14.25" spans="1:44">
      <c r="A533" s="114"/>
      <c r="B533" s="114"/>
      <c r="C533" s="114"/>
      <c r="D533" s="114" t="s">
        <v>815</v>
      </c>
      <c r="E533" s="222" t="s">
        <v>3021</v>
      </c>
      <c r="F533" s="153">
        <v>43675</v>
      </c>
      <c r="G533" s="152">
        <f t="shared" si="13"/>
        <v>3675</v>
      </c>
      <c r="H533" s="114" t="s">
        <v>3022</v>
      </c>
      <c r="I533" s="123" t="s">
        <v>3023</v>
      </c>
      <c r="J533" s="33">
        <v>17</v>
      </c>
      <c r="K533" s="114"/>
      <c r="L533" s="114"/>
      <c r="M533" s="114"/>
      <c r="N533" s="124"/>
      <c r="O533" s="114"/>
      <c r="P533" s="124"/>
      <c r="Q533" s="114"/>
      <c r="R533" s="124"/>
      <c r="S533" s="114"/>
      <c r="T533" s="114"/>
      <c r="U533" s="114"/>
      <c r="V533" s="114"/>
      <c r="W533" s="114"/>
      <c r="X533" s="114"/>
      <c r="Y533" s="114"/>
      <c r="Z533" s="164" t="s">
        <v>2783</v>
      </c>
      <c r="AA533" s="114"/>
      <c r="AB533" s="114"/>
      <c r="AC533" s="114"/>
      <c r="AD533" s="114"/>
      <c r="AE533" s="114"/>
      <c r="AF533" s="114"/>
      <c r="AG533" s="114"/>
      <c r="AH533" s="114"/>
      <c r="AI533" s="114"/>
      <c r="AJ533" s="114"/>
      <c r="AK533" s="114"/>
      <c r="AL533" s="114"/>
      <c r="AM533" s="114"/>
      <c r="AN533" s="114"/>
      <c r="AO533" s="114"/>
      <c r="AP533" s="114"/>
      <c r="AQ533" s="114"/>
      <c r="AR533" s="114"/>
    </row>
    <row r="534" ht="14.25" spans="1:44">
      <c r="A534" s="114"/>
      <c r="B534" s="114"/>
      <c r="C534" s="114"/>
      <c r="D534" s="114" t="s">
        <v>3024</v>
      </c>
      <c r="E534" s="221" t="s">
        <v>3025</v>
      </c>
      <c r="F534" s="153">
        <v>43936</v>
      </c>
      <c r="G534" s="152">
        <f t="shared" si="13"/>
        <v>3936</v>
      </c>
      <c r="H534" s="114" t="s">
        <v>3026</v>
      </c>
      <c r="I534" s="123" t="s">
        <v>3027</v>
      </c>
      <c r="J534" s="33">
        <v>149</v>
      </c>
      <c r="K534" s="114"/>
      <c r="L534" s="114"/>
      <c r="M534" s="114"/>
      <c r="N534" s="124"/>
      <c r="O534" s="114"/>
      <c r="P534" s="124"/>
      <c r="Q534" s="114"/>
      <c r="R534" s="124"/>
      <c r="S534" s="114"/>
      <c r="T534" s="114"/>
      <c r="U534" s="114"/>
      <c r="V534" s="114"/>
      <c r="W534" s="114"/>
      <c r="X534" s="114"/>
      <c r="Y534" s="114"/>
      <c r="Z534" s="164" t="s">
        <v>2783</v>
      </c>
      <c r="AA534" s="114"/>
      <c r="AB534" s="114"/>
      <c r="AC534" s="114"/>
      <c r="AD534" s="114"/>
      <c r="AE534" s="114"/>
      <c r="AF534" s="114"/>
      <c r="AG534" s="114"/>
      <c r="AH534" s="114"/>
      <c r="AI534" s="114"/>
      <c r="AJ534" s="114"/>
      <c r="AK534" s="114"/>
      <c r="AL534" s="114"/>
      <c r="AM534" s="114"/>
      <c r="AN534" s="114"/>
      <c r="AO534" s="114"/>
      <c r="AP534" s="114"/>
      <c r="AQ534" s="114"/>
      <c r="AR534" s="114"/>
    </row>
    <row r="535" ht="14.25" spans="1:44">
      <c r="A535" s="114"/>
      <c r="B535" s="114"/>
      <c r="C535" s="114"/>
      <c r="D535" s="114" t="s">
        <v>3028</v>
      </c>
      <c r="E535" s="221" t="s">
        <v>3029</v>
      </c>
      <c r="F535" s="153">
        <v>43200</v>
      </c>
      <c r="G535" s="152">
        <f t="shared" si="13"/>
        <v>3200</v>
      </c>
      <c r="H535" s="114" t="s">
        <v>3030</v>
      </c>
      <c r="I535" s="123" t="s">
        <v>3031</v>
      </c>
      <c r="J535" s="33">
        <v>261</v>
      </c>
      <c r="K535" s="114"/>
      <c r="L535" s="114"/>
      <c r="M535" s="114"/>
      <c r="N535" s="124"/>
      <c r="O535" s="114"/>
      <c r="P535" s="124"/>
      <c r="Q535" s="114"/>
      <c r="R535" s="124"/>
      <c r="S535" s="114"/>
      <c r="T535" s="114"/>
      <c r="U535" s="114"/>
      <c r="V535" s="114"/>
      <c r="W535" s="114"/>
      <c r="X535" s="114"/>
      <c r="Y535" s="114"/>
      <c r="Z535" s="164" t="s">
        <v>2783</v>
      </c>
      <c r="AA535" s="114"/>
      <c r="AB535" s="114"/>
      <c r="AC535" s="114"/>
      <c r="AD535" s="114"/>
      <c r="AE535" s="114"/>
      <c r="AF535" s="114"/>
      <c r="AG535" s="114"/>
      <c r="AH535" s="114"/>
      <c r="AI535" s="114"/>
      <c r="AJ535" s="114"/>
      <c r="AK535" s="114"/>
      <c r="AL535" s="114"/>
      <c r="AM535" s="114"/>
      <c r="AN535" s="114"/>
      <c r="AO535" s="114"/>
      <c r="AP535" s="114"/>
      <c r="AQ535" s="114"/>
      <c r="AR535" s="114"/>
    </row>
    <row r="536" ht="14.25" spans="1:44">
      <c r="A536" s="114"/>
      <c r="B536" s="114"/>
      <c r="C536" s="114"/>
      <c r="D536" s="114" t="s">
        <v>3032</v>
      </c>
      <c r="E536" s="221" t="s">
        <v>3033</v>
      </c>
      <c r="F536" s="153">
        <v>43995</v>
      </c>
      <c r="G536" s="152">
        <f t="shared" si="13"/>
        <v>3995</v>
      </c>
      <c r="H536" s="114" t="s">
        <v>3034</v>
      </c>
      <c r="I536" s="123" t="s">
        <v>3035</v>
      </c>
      <c r="J536" s="33">
        <v>3840</v>
      </c>
      <c r="K536" s="114"/>
      <c r="L536" s="114"/>
      <c r="M536" s="114"/>
      <c r="N536" s="124"/>
      <c r="O536" s="114"/>
      <c r="P536" s="124"/>
      <c r="Q536" s="114"/>
      <c r="R536" s="124"/>
      <c r="S536" s="114"/>
      <c r="T536" s="114"/>
      <c r="U536" s="114"/>
      <c r="V536" s="114"/>
      <c r="W536" s="114"/>
      <c r="X536" s="114"/>
      <c r="Y536" s="114"/>
      <c r="Z536" s="164" t="s">
        <v>2783</v>
      </c>
      <c r="AA536" s="114"/>
      <c r="AB536" s="114"/>
      <c r="AC536" s="114"/>
      <c r="AD536" s="114"/>
      <c r="AE536" s="114"/>
      <c r="AF536" s="114"/>
      <c r="AG536" s="114"/>
      <c r="AH536" s="114"/>
      <c r="AI536" s="114"/>
      <c r="AJ536" s="114"/>
      <c r="AK536" s="114"/>
      <c r="AL536" s="114"/>
      <c r="AM536" s="114"/>
      <c r="AN536" s="114"/>
      <c r="AO536" s="114"/>
      <c r="AP536" s="114"/>
      <c r="AQ536" s="114"/>
      <c r="AR536" s="114"/>
    </row>
    <row r="537" ht="14.25" spans="1:44">
      <c r="A537" s="114"/>
      <c r="B537" s="114"/>
      <c r="C537" s="114"/>
      <c r="D537" s="114" t="s">
        <v>2779</v>
      </c>
      <c r="E537" s="221" t="s">
        <v>3036</v>
      </c>
      <c r="F537" s="153">
        <v>43435</v>
      </c>
      <c r="G537" s="152">
        <f t="shared" si="13"/>
        <v>3435</v>
      </c>
      <c r="H537" s="114" t="s">
        <v>3037</v>
      </c>
      <c r="I537" s="123" t="s">
        <v>3038</v>
      </c>
      <c r="J537" s="33">
        <v>12</v>
      </c>
      <c r="K537" s="114"/>
      <c r="L537" s="114"/>
      <c r="M537" s="114"/>
      <c r="N537" s="124"/>
      <c r="O537" s="114"/>
      <c r="P537" s="124"/>
      <c r="Q537" s="114"/>
      <c r="R537" s="124"/>
      <c r="S537" s="114"/>
      <c r="T537" s="114"/>
      <c r="U537" s="114"/>
      <c r="V537" s="114"/>
      <c r="W537" s="114"/>
      <c r="X537" s="114"/>
      <c r="Y537" s="114"/>
      <c r="Z537" s="164" t="s">
        <v>2783</v>
      </c>
      <c r="AA537" s="114"/>
      <c r="AB537" s="114"/>
      <c r="AC537" s="114"/>
      <c r="AD537" s="114"/>
      <c r="AE537" s="114"/>
      <c r="AF537" s="114"/>
      <c r="AG537" s="114"/>
      <c r="AH537" s="114"/>
      <c r="AI537" s="114"/>
      <c r="AJ537" s="114"/>
      <c r="AK537" s="114"/>
      <c r="AL537" s="114"/>
      <c r="AM537" s="114"/>
      <c r="AN537" s="114"/>
      <c r="AO537" s="114"/>
      <c r="AP537" s="114"/>
      <c r="AQ537" s="114"/>
      <c r="AR537" s="114"/>
    </row>
    <row r="538" ht="14.25" spans="1:44">
      <c r="A538" s="114"/>
      <c r="B538" s="114"/>
      <c r="C538" s="114"/>
      <c r="D538" s="114" t="s">
        <v>3039</v>
      </c>
      <c r="E538" s="221" t="s">
        <v>3040</v>
      </c>
      <c r="F538" s="153">
        <v>42941</v>
      </c>
      <c r="G538" s="152">
        <f t="shared" si="13"/>
        <v>2941</v>
      </c>
      <c r="H538" s="114" t="s">
        <v>3041</v>
      </c>
      <c r="I538" s="123" t="s">
        <v>3042</v>
      </c>
      <c r="J538" s="33">
        <v>118</v>
      </c>
      <c r="K538" s="114"/>
      <c r="L538" s="114"/>
      <c r="M538" s="114"/>
      <c r="N538" s="124"/>
      <c r="O538" s="114"/>
      <c r="P538" s="124"/>
      <c r="Q538" s="114"/>
      <c r="R538" s="124"/>
      <c r="S538" s="114"/>
      <c r="T538" s="114"/>
      <c r="U538" s="114"/>
      <c r="V538" s="114"/>
      <c r="W538" s="114"/>
      <c r="X538" s="114"/>
      <c r="Y538" s="114"/>
      <c r="Z538" s="164" t="s">
        <v>2783</v>
      </c>
      <c r="AA538" s="114"/>
      <c r="AB538" s="114"/>
      <c r="AC538" s="114"/>
      <c r="AD538" s="114"/>
      <c r="AE538" s="114"/>
      <c r="AF538" s="114"/>
      <c r="AG538" s="114"/>
      <c r="AH538" s="114"/>
      <c r="AI538" s="114"/>
      <c r="AJ538" s="114"/>
      <c r="AK538" s="114"/>
      <c r="AL538" s="114"/>
      <c r="AM538" s="114"/>
      <c r="AN538" s="114"/>
      <c r="AO538" s="114"/>
      <c r="AP538" s="114"/>
      <c r="AQ538" s="114"/>
      <c r="AR538" s="114"/>
    </row>
    <row r="539" ht="14.25" spans="1:44">
      <c r="A539" s="114"/>
      <c r="B539" s="114"/>
      <c r="C539" s="114"/>
      <c r="D539" s="114" t="s">
        <v>3043</v>
      </c>
      <c r="E539" s="221" t="s">
        <v>3044</v>
      </c>
      <c r="F539" s="153">
        <v>43945</v>
      </c>
      <c r="G539" s="152">
        <f t="shared" si="13"/>
        <v>3945</v>
      </c>
      <c r="H539" s="114" t="s">
        <v>3045</v>
      </c>
      <c r="I539" s="123" t="s">
        <v>3046</v>
      </c>
      <c r="J539" s="33">
        <v>75</v>
      </c>
      <c r="K539" s="114"/>
      <c r="L539" s="114"/>
      <c r="M539" s="114"/>
      <c r="N539" s="124"/>
      <c r="O539" s="114"/>
      <c r="P539" s="124"/>
      <c r="Q539" s="114"/>
      <c r="R539" s="124"/>
      <c r="S539" s="114"/>
      <c r="T539" s="114"/>
      <c r="U539" s="114"/>
      <c r="V539" s="114"/>
      <c r="W539" s="114"/>
      <c r="X539" s="114"/>
      <c r="Y539" s="114"/>
      <c r="Z539" s="164" t="s">
        <v>2783</v>
      </c>
      <c r="AA539" s="114"/>
      <c r="AB539" s="114"/>
      <c r="AC539" s="114"/>
      <c r="AD539" s="114"/>
      <c r="AE539" s="114"/>
      <c r="AF539" s="114"/>
      <c r="AG539" s="114"/>
      <c r="AH539" s="114"/>
      <c r="AI539" s="114"/>
      <c r="AJ539" s="114"/>
      <c r="AK539" s="114"/>
      <c r="AL539" s="114"/>
      <c r="AM539" s="114"/>
      <c r="AN539" s="114"/>
      <c r="AO539" s="114"/>
      <c r="AP539" s="114"/>
      <c r="AQ539" s="114"/>
      <c r="AR539" s="114"/>
    </row>
    <row r="540" ht="14.25" spans="1:44">
      <c r="A540" s="114"/>
      <c r="B540" s="114"/>
      <c r="C540" s="114"/>
      <c r="D540" s="114" t="s">
        <v>3047</v>
      </c>
      <c r="E540" s="221" t="s">
        <v>3048</v>
      </c>
      <c r="F540" s="153">
        <v>42993</v>
      </c>
      <c r="G540" s="152">
        <f t="shared" si="13"/>
        <v>2993</v>
      </c>
      <c r="H540" s="114" t="s">
        <v>3049</v>
      </c>
      <c r="I540" s="123" t="s">
        <v>3050</v>
      </c>
      <c r="J540" s="33">
        <v>3157</v>
      </c>
      <c r="K540" s="114"/>
      <c r="L540" s="114"/>
      <c r="M540" s="114"/>
      <c r="N540" s="124"/>
      <c r="O540" s="114"/>
      <c r="P540" s="124"/>
      <c r="Q540" s="114"/>
      <c r="R540" s="124"/>
      <c r="S540" s="114"/>
      <c r="T540" s="114"/>
      <c r="U540" s="114"/>
      <c r="V540" s="114"/>
      <c r="W540" s="114"/>
      <c r="X540" s="114"/>
      <c r="Y540" s="114"/>
      <c r="Z540" s="164" t="s">
        <v>2783</v>
      </c>
      <c r="AA540" s="114"/>
      <c r="AB540" s="114"/>
      <c r="AC540" s="114"/>
      <c r="AD540" s="114"/>
      <c r="AE540" s="114"/>
      <c r="AF540" s="114"/>
      <c r="AG540" s="114"/>
      <c r="AH540" s="114"/>
      <c r="AI540" s="114"/>
      <c r="AJ540" s="114"/>
      <c r="AK540" s="114"/>
      <c r="AL540" s="114"/>
      <c r="AM540" s="114"/>
      <c r="AN540" s="114"/>
      <c r="AO540" s="114"/>
      <c r="AP540" s="114"/>
      <c r="AQ540" s="114"/>
      <c r="AR540" s="114"/>
    </row>
    <row r="541" ht="14.25" spans="1:44">
      <c r="A541" s="114"/>
      <c r="B541" s="114"/>
      <c r="C541" s="114"/>
      <c r="D541" s="114" t="s">
        <v>3051</v>
      </c>
      <c r="E541" s="221" t="s">
        <v>3052</v>
      </c>
      <c r="F541" s="153">
        <v>43479</v>
      </c>
      <c r="G541" s="152">
        <f t="shared" si="13"/>
        <v>3479</v>
      </c>
      <c r="H541" s="114" t="s">
        <v>3053</v>
      </c>
      <c r="I541" s="123" t="s">
        <v>3054</v>
      </c>
      <c r="J541" s="33">
        <v>282</v>
      </c>
      <c r="K541" s="114"/>
      <c r="L541" s="114"/>
      <c r="M541" s="114"/>
      <c r="N541" s="124"/>
      <c r="O541" s="114"/>
      <c r="P541" s="124"/>
      <c r="Q541" s="114"/>
      <c r="R541" s="124"/>
      <c r="S541" s="114"/>
      <c r="T541" s="114"/>
      <c r="U541" s="114"/>
      <c r="V541" s="114"/>
      <c r="W541" s="114"/>
      <c r="X541" s="114"/>
      <c r="Y541" s="114"/>
      <c r="Z541" s="164" t="s">
        <v>2783</v>
      </c>
      <c r="AA541" s="114"/>
      <c r="AB541" s="114"/>
      <c r="AC541" s="114"/>
      <c r="AD541" s="114"/>
      <c r="AE541" s="114"/>
      <c r="AF541" s="114"/>
      <c r="AG541" s="114"/>
      <c r="AH541" s="114"/>
      <c r="AI541" s="114"/>
      <c r="AJ541" s="114"/>
      <c r="AK541" s="114"/>
      <c r="AL541" s="114"/>
      <c r="AM541" s="114"/>
      <c r="AN541" s="114"/>
      <c r="AO541" s="114"/>
      <c r="AP541" s="114"/>
      <c r="AQ541" s="114"/>
      <c r="AR541" s="114"/>
    </row>
    <row r="542" ht="14.25" spans="1:44">
      <c r="A542" s="114"/>
      <c r="B542" s="114"/>
      <c r="C542" s="114"/>
      <c r="D542" s="114" t="s">
        <v>3055</v>
      </c>
      <c r="E542" s="221" t="s">
        <v>3056</v>
      </c>
      <c r="F542" s="153">
        <v>40431</v>
      </c>
      <c r="G542" s="152">
        <f t="shared" si="13"/>
        <v>431</v>
      </c>
      <c r="H542" s="114" t="s">
        <v>3057</v>
      </c>
      <c r="I542" s="123" t="s">
        <v>3058</v>
      </c>
      <c r="J542" s="33">
        <v>685</v>
      </c>
      <c r="K542" s="114"/>
      <c r="L542" s="114"/>
      <c r="M542" s="114"/>
      <c r="N542" s="124"/>
      <c r="O542" s="114"/>
      <c r="P542" s="124"/>
      <c r="Q542" s="114"/>
      <c r="R542" s="124"/>
      <c r="S542" s="114"/>
      <c r="T542" s="114"/>
      <c r="U542" s="114"/>
      <c r="V542" s="114"/>
      <c r="W542" s="114"/>
      <c r="X542" s="114"/>
      <c r="Y542" s="114"/>
      <c r="Z542" s="164" t="s">
        <v>2783</v>
      </c>
      <c r="AA542" s="114"/>
      <c r="AB542" s="114"/>
      <c r="AC542" s="114"/>
      <c r="AD542" s="114"/>
      <c r="AE542" s="114"/>
      <c r="AF542" s="114"/>
      <c r="AG542" s="114"/>
      <c r="AH542" s="114"/>
      <c r="AI542" s="114"/>
      <c r="AJ542" s="114"/>
      <c r="AK542" s="114"/>
      <c r="AL542" s="114"/>
      <c r="AM542" s="114"/>
      <c r="AN542" s="114"/>
      <c r="AO542" s="114"/>
      <c r="AP542" s="114"/>
      <c r="AQ542" s="114"/>
      <c r="AR542" s="114"/>
    </row>
    <row r="543" ht="14.25" spans="1:44">
      <c r="A543" s="114"/>
      <c r="B543" s="114"/>
      <c r="C543" s="114"/>
      <c r="D543" s="114"/>
      <c r="E543" s="221"/>
      <c r="F543" s="114"/>
      <c r="G543" s="152" t="e">
        <f t="shared" si="13"/>
        <v>#VALUE!</v>
      </c>
      <c r="H543" s="114"/>
      <c r="I543" s="114"/>
      <c r="J543" s="33"/>
      <c r="K543" s="114"/>
      <c r="L543" s="114"/>
      <c r="M543" s="114"/>
      <c r="N543" s="124"/>
      <c r="O543" s="114"/>
      <c r="P543" s="124"/>
      <c r="Q543" s="114"/>
      <c r="R543" s="124"/>
      <c r="S543" s="114"/>
      <c r="T543" s="114"/>
      <c r="U543" s="114"/>
      <c r="V543" s="114"/>
      <c r="W543" s="114"/>
      <c r="X543" s="114"/>
      <c r="Y543" s="114"/>
      <c r="Z543" s="164"/>
      <c r="AA543" s="114"/>
      <c r="AB543" s="114"/>
      <c r="AC543" s="114"/>
      <c r="AD543" s="114"/>
      <c r="AE543" s="114"/>
      <c r="AF543" s="114"/>
      <c r="AG543" s="114"/>
      <c r="AH543" s="114"/>
      <c r="AI543" s="114"/>
      <c r="AJ543" s="114"/>
      <c r="AK543" s="114"/>
      <c r="AL543" s="114"/>
      <c r="AM543" s="114"/>
      <c r="AN543" s="114"/>
      <c r="AO543" s="114"/>
      <c r="AP543" s="114"/>
      <c r="AQ543" s="114"/>
      <c r="AR543" s="114"/>
    </row>
    <row r="544" ht="14.25" spans="1:44">
      <c r="A544" s="114" t="s">
        <v>3059</v>
      </c>
      <c r="B544" s="114"/>
      <c r="C544" s="114"/>
      <c r="D544" s="123" t="s">
        <v>3060</v>
      </c>
      <c r="E544" s="114"/>
      <c r="F544" s="239"/>
      <c r="G544" s="152" t="e">
        <f t="shared" si="13"/>
        <v>#VALUE!</v>
      </c>
      <c r="H544" s="114"/>
      <c r="I544" s="114"/>
      <c r="J544" s="33"/>
      <c r="K544" s="114"/>
      <c r="L544" s="114"/>
      <c r="M544" s="114"/>
      <c r="N544" s="124"/>
      <c r="O544" s="114"/>
      <c r="P544" s="124"/>
      <c r="Q544" s="114"/>
      <c r="R544" s="124"/>
      <c r="S544" s="114"/>
      <c r="T544" s="114"/>
      <c r="U544" s="114"/>
      <c r="V544" s="114"/>
      <c r="W544" s="114"/>
      <c r="X544" s="114"/>
      <c r="Y544" s="114"/>
      <c r="Z544" s="164" t="s">
        <v>428</v>
      </c>
      <c r="AA544" s="114"/>
      <c r="AB544" s="114"/>
      <c r="AC544" s="114"/>
      <c r="AD544" s="114"/>
      <c r="AE544" s="114"/>
      <c r="AF544" s="114"/>
      <c r="AG544" s="114"/>
      <c r="AH544" s="114"/>
      <c r="AI544" s="114"/>
      <c r="AJ544" s="114"/>
      <c r="AK544" s="114"/>
      <c r="AL544" s="114"/>
      <c r="AM544" s="114"/>
      <c r="AN544" s="114"/>
      <c r="AO544" s="114"/>
      <c r="AP544" s="114"/>
      <c r="AQ544" s="114"/>
      <c r="AR544" s="114"/>
    </row>
    <row r="545" ht="14.25" spans="1:44">
      <c r="A545" s="114"/>
      <c r="B545" s="114"/>
      <c r="C545" s="114"/>
      <c r="D545" s="114"/>
      <c r="E545" s="221"/>
      <c r="F545" s="114"/>
      <c r="G545" s="152" t="e">
        <f t="shared" si="13"/>
        <v>#VALUE!</v>
      </c>
      <c r="H545" s="114"/>
      <c r="I545" s="114"/>
      <c r="J545" s="33"/>
      <c r="K545" s="114"/>
      <c r="L545" s="114"/>
      <c r="M545" s="114"/>
      <c r="N545" s="124"/>
      <c r="O545" s="114"/>
      <c r="P545" s="124"/>
      <c r="Q545" s="114"/>
      <c r="R545" s="124"/>
      <c r="S545" s="114"/>
      <c r="T545" s="114"/>
      <c r="U545" s="114"/>
      <c r="V545" s="114"/>
      <c r="W545" s="114"/>
      <c r="X545" s="114"/>
      <c r="Y545" s="114"/>
      <c r="Z545" s="164" t="s">
        <v>428</v>
      </c>
      <c r="AA545" s="114"/>
      <c r="AB545" s="114"/>
      <c r="AC545" s="114"/>
      <c r="AD545" s="114"/>
      <c r="AE545" s="114"/>
      <c r="AF545" s="114"/>
      <c r="AG545" s="114"/>
      <c r="AH545" s="114"/>
      <c r="AI545" s="114"/>
      <c r="AJ545" s="114"/>
      <c r="AK545" s="114"/>
      <c r="AL545" s="114"/>
      <c r="AM545" s="114"/>
      <c r="AN545" s="114"/>
      <c r="AO545" s="114"/>
      <c r="AP545" s="114"/>
      <c r="AQ545" s="114"/>
      <c r="AR545" s="114"/>
    </row>
    <row r="546" ht="14.25" spans="1:44">
      <c r="A546" s="114"/>
      <c r="B546" s="114"/>
      <c r="C546" s="114"/>
      <c r="D546" s="114" t="s">
        <v>262</v>
      </c>
      <c r="E546" s="221" t="s">
        <v>3061</v>
      </c>
      <c r="F546" s="153">
        <v>44268</v>
      </c>
      <c r="G546" s="152">
        <f t="shared" si="13"/>
        <v>4268</v>
      </c>
      <c r="H546" s="114" t="s">
        <v>3062</v>
      </c>
      <c r="I546" s="123" t="s">
        <v>3063</v>
      </c>
      <c r="J546" s="33">
        <v>31</v>
      </c>
      <c r="K546" s="114"/>
      <c r="L546" s="114"/>
      <c r="M546" s="114"/>
      <c r="N546" s="124"/>
      <c r="O546" s="114"/>
      <c r="P546" s="124"/>
      <c r="Q546" s="114"/>
      <c r="R546" s="124"/>
      <c r="S546" s="114"/>
      <c r="T546" s="114"/>
      <c r="U546" s="114"/>
      <c r="V546" s="114"/>
      <c r="W546" s="114"/>
      <c r="X546" s="114"/>
      <c r="Y546" s="114"/>
      <c r="Z546" s="164" t="s">
        <v>428</v>
      </c>
      <c r="AA546" s="114"/>
      <c r="AB546" s="114"/>
      <c r="AC546" s="114"/>
      <c r="AD546" s="114"/>
      <c r="AE546" s="114"/>
      <c r="AF546" s="114"/>
      <c r="AG546" s="114"/>
      <c r="AH546" s="114"/>
      <c r="AI546" s="114"/>
      <c r="AJ546" s="114"/>
      <c r="AK546" s="114"/>
      <c r="AL546" s="114"/>
      <c r="AM546" s="114"/>
      <c r="AN546" s="114"/>
      <c r="AO546" s="114"/>
      <c r="AP546" s="114"/>
      <c r="AQ546" s="114"/>
      <c r="AR546" s="114"/>
    </row>
    <row r="547" ht="14.25" spans="1:44">
      <c r="A547" s="114"/>
      <c r="B547" s="114"/>
      <c r="C547" s="114"/>
      <c r="D547" s="114" t="s">
        <v>3064</v>
      </c>
      <c r="E547" s="221" t="s">
        <v>3065</v>
      </c>
      <c r="F547" s="169">
        <v>44116</v>
      </c>
      <c r="G547" s="152">
        <f t="shared" si="13"/>
        <v>4116</v>
      </c>
      <c r="H547" s="114" t="s">
        <v>3066</v>
      </c>
      <c r="I547" s="123" t="s">
        <v>3067</v>
      </c>
      <c r="J547" s="33">
        <v>63</v>
      </c>
      <c r="K547" s="114"/>
      <c r="L547" s="114"/>
      <c r="M547" s="114"/>
      <c r="N547" s="124"/>
      <c r="O547" s="114"/>
      <c r="P547" s="124"/>
      <c r="Q547" s="114"/>
      <c r="R547" s="124"/>
      <c r="S547" s="114"/>
      <c r="T547" s="114"/>
      <c r="U547" s="114"/>
      <c r="V547" s="114"/>
      <c r="W547" s="114"/>
      <c r="X547" s="114"/>
      <c r="Y547" s="114"/>
      <c r="Z547" s="164" t="s">
        <v>428</v>
      </c>
      <c r="AA547" s="114"/>
      <c r="AB547" s="114"/>
      <c r="AC547" s="114"/>
      <c r="AD547" s="114"/>
      <c r="AE547" s="114"/>
      <c r="AF547" s="114"/>
      <c r="AG547" s="114"/>
      <c r="AH547" s="114"/>
      <c r="AI547" s="114"/>
      <c r="AJ547" s="114"/>
      <c r="AK547" s="114"/>
      <c r="AL547" s="114"/>
      <c r="AM547" s="114"/>
      <c r="AN547" s="114"/>
      <c r="AO547" s="114"/>
      <c r="AP547" s="114"/>
      <c r="AQ547" s="114"/>
      <c r="AR547" s="114"/>
    </row>
    <row r="548" ht="14.25" spans="1:44">
      <c r="A548" s="114"/>
      <c r="B548" s="114"/>
      <c r="C548" s="114"/>
      <c r="D548" s="114" t="s">
        <v>504</v>
      </c>
      <c r="E548" s="221" t="s">
        <v>3068</v>
      </c>
      <c r="F548" s="153">
        <v>43979</v>
      </c>
      <c r="G548" s="152">
        <f t="shared" si="13"/>
        <v>3979</v>
      </c>
      <c r="H548" s="114" t="s">
        <v>3069</v>
      </c>
      <c r="I548" s="123" t="s">
        <v>3070</v>
      </c>
      <c r="J548" s="33">
        <v>1142</v>
      </c>
      <c r="K548" s="114"/>
      <c r="L548" s="114"/>
      <c r="M548" s="114"/>
      <c r="N548" s="124"/>
      <c r="O548" s="114"/>
      <c r="P548" s="124"/>
      <c r="Q548" s="114"/>
      <c r="R548" s="124"/>
      <c r="S548" s="114"/>
      <c r="T548" s="114"/>
      <c r="U548" s="114"/>
      <c r="V548" s="114"/>
      <c r="W548" s="114"/>
      <c r="X548" s="114"/>
      <c r="Y548" s="114"/>
      <c r="Z548" s="164" t="s">
        <v>428</v>
      </c>
      <c r="AA548" s="114"/>
      <c r="AB548" s="114"/>
      <c r="AC548" s="114"/>
      <c r="AD548" s="114"/>
      <c r="AE548" s="114"/>
      <c r="AF548" s="114"/>
      <c r="AG548" s="114"/>
      <c r="AH548" s="114"/>
      <c r="AI548" s="114"/>
      <c r="AJ548" s="114"/>
      <c r="AK548" s="114"/>
      <c r="AL548" s="114"/>
      <c r="AM548" s="114"/>
      <c r="AN548" s="114"/>
      <c r="AO548" s="114"/>
      <c r="AP548" s="114"/>
      <c r="AQ548" s="114"/>
      <c r="AR548" s="114"/>
    </row>
    <row r="549" ht="14.25" spans="1:44">
      <c r="A549" s="114"/>
      <c r="B549" s="114"/>
      <c r="C549" s="114"/>
      <c r="D549" s="114" t="s">
        <v>739</v>
      </c>
      <c r="E549" s="221" t="s">
        <v>740</v>
      </c>
      <c r="F549" s="169">
        <v>44130</v>
      </c>
      <c r="G549" s="152">
        <f t="shared" si="13"/>
        <v>4130</v>
      </c>
      <c r="H549" s="114" t="s">
        <v>741</v>
      </c>
      <c r="I549" s="123" t="s">
        <v>4435</v>
      </c>
      <c r="J549" s="33">
        <v>457</v>
      </c>
      <c r="K549" s="114"/>
      <c r="L549" s="114"/>
      <c r="M549" s="114"/>
      <c r="N549" s="124"/>
      <c r="O549" s="114"/>
      <c r="P549" s="124"/>
      <c r="Q549" s="114"/>
      <c r="R549" s="124"/>
      <c r="S549" s="114"/>
      <c r="T549" s="114"/>
      <c r="U549" s="114"/>
      <c r="V549" s="114"/>
      <c r="W549" s="114"/>
      <c r="X549" s="114"/>
      <c r="Y549" s="114"/>
      <c r="Z549" s="164" t="s">
        <v>428</v>
      </c>
      <c r="AA549" s="114"/>
      <c r="AB549" s="114"/>
      <c r="AC549" s="114"/>
      <c r="AD549" s="114"/>
      <c r="AE549" s="114"/>
      <c r="AF549" s="114"/>
      <c r="AG549" s="114"/>
      <c r="AH549" s="114"/>
      <c r="AI549" s="114"/>
      <c r="AJ549" s="114"/>
      <c r="AK549" s="114"/>
      <c r="AL549" s="114"/>
      <c r="AM549" s="114"/>
      <c r="AN549" s="114"/>
      <c r="AO549" s="114"/>
      <c r="AP549" s="114"/>
      <c r="AQ549" s="114"/>
      <c r="AR549" s="114"/>
    </row>
    <row r="550" ht="14.25" spans="1:44">
      <c r="A550" s="114"/>
      <c r="B550" s="114"/>
      <c r="C550" s="114"/>
      <c r="D550" s="114" t="s">
        <v>3071</v>
      </c>
      <c r="E550" s="221" t="s">
        <v>3072</v>
      </c>
      <c r="F550" s="153">
        <v>43840</v>
      </c>
      <c r="G550" s="152">
        <f t="shared" si="13"/>
        <v>3840</v>
      </c>
      <c r="H550" s="114" t="s">
        <v>3073</v>
      </c>
      <c r="I550" s="123" t="s">
        <v>3074</v>
      </c>
      <c r="J550" s="33">
        <v>136</v>
      </c>
      <c r="K550" s="114"/>
      <c r="L550" s="114"/>
      <c r="M550" s="114"/>
      <c r="N550" s="124"/>
      <c r="O550" s="114"/>
      <c r="P550" s="124"/>
      <c r="Q550" s="114"/>
      <c r="R550" s="124"/>
      <c r="S550" s="114"/>
      <c r="T550" s="114"/>
      <c r="U550" s="114"/>
      <c r="V550" s="114"/>
      <c r="W550" s="114"/>
      <c r="X550" s="114"/>
      <c r="Y550" s="114"/>
      <c r="Z550" s="164" t="s">
        <v>428</v>
      </c>
      <c r="AA550" s="114"/>
      <c r="AB550" s="114"/>
      <c r="AC550" s="114"/>
      <c r="AD550" s="114"/>
      <c r="AE550" s="114"/>
      <c r="AF550" s="114"/>
      <c r="AG550" s="114"/>
      <c r="AH550" s="114"/>
      <c r="AI550" s="114"/>
      <c r="AJ550" s="114"/>
      <c r="AK550" s="114"/>
      <c r="AL550" s="114"/>
      <c r="AM550" s="114"/>
      <c r="AN550" s="114"/>
      <c r="AO550" s="114"/>
      <c r="AP550" s="114"/>
      <c r="AQ550" s="114"/>
      <c r="AR550" s="114"/>
    </row>
    <row r="551" ht="14.25" spans="1:44">
      <c r="A551" s="114"/>
      <c r="B551" s="114"/>
      <c r="C551" s="114"/>
      <c r="D551" s="114" t="s">
        <v>3075</v>
      </c>
      <c r="E551" s="221" t="s">
        <v>3076</v>
      </c>
      <c r="F551" s="154">
        <v>34943</v>
      </c>
      <c r="G551" s="152">
        <f t="shared" si="13"/>
        <v>4943</v>
      </c>
      <c r="H551" s="114" t="s">
        <v>3077</v>
      </c>
      <c r="I551" s="123" t="s">
        <v>2247</v>
      </c>
      <c r="J551" s="33">
        <v>50986</v>
      </c>
      <c r="K551" s="114"/>
      <c r="L551" s="114"/>
      <c r="M551" s="114"/>
      <c r="N551" s="124"/>
      <c r="O551" s="114"/>
      <c r="P551" s="124"/>
      <c r="Q551" s="114"/>
      <c r="R551" s="124"/>
      <c r="S551" s="114"/>
      <c r="T551" s="114"/>
      <c r="U551" s="114"/>
      <c r="V551" s="114"/>
      <c r="W551" s="114"/>
      <c r="X551" s="114"/>
      <c r="Y551" s="114"/>
      <c r="Z551" s="164" t="s">
        <v>428</v>
      </c>
      <c r="AA551" s="114"/>
      <c r="AB551" s="114"/>
      <c r="AC551" s="114"/>
      <c r="AD551" s="114"/>
      <c r="AE551" s="114"/>
      <c r="AF551" s="114"/>
      <c r="AG551" s="114"/>
      <c r="AH551" s="114"/>
      <c r="AI551" s="114"/>
      <c r="AJ551" s="114"/>
      <c r="AK551" s="114"/>
      <c r="AL551" s="114"/>
      <c r="AM551" s="114"/>
      <c r="AN551" s="114"/>
      <c r="AO551" s="114"/>
      <c r="AP551" s="114"/>
      <c r="AQ551" s="114"/>
      <c r="AR551" s="114"/>
    </row>
    <row r="552" ht="14.25" spans="1:44">
      <c r="A552" s="114"/>
      <c r="B552" s="114"/>
      <c r="C552" s="114"/>
      <c r="D552" s="114" t="s">
        <v>3078</v>
      </c>
      <c r="E552" s="222" t="s">
        <v>3079</v>
      </c>
      <c r="F552" s="153">
        <v>44084</v>
      </c>
      <c r="G552" s="152">
        <f t="shared" si="13"/>
        <v>4084</v>
      </c>
      <c r="H552" s="221" t="s">
        <v>3080</v>
      </c>
      <c r="I552" s="123" t="s">
        <v>3081</v>
      </c>
      <c r="J552" s="33">
        <v>737</v>
      </c>
      <c r="K552" s="114"/>
      <c r="L552" s="114"/>
      <c r="M552" s="114"/>
      <c r="N552" s="124"/>
      <c r="O552" s="114"/>
      <c r="P552" s="124"/>
      <c r="Q552" s="114"/>
      <c r="R552" s="124"/>
      <c r="S552" s="114"/>
      <c r="T552" s="114"/>
      <c r="U552" s="114"/>
      <c r="V552" s="114"/>
      <c r="W552" s="114"/>
      <c r="X552" s="114"/>
      <c r="Y552" s="114"/>
      <c r="Z552" s="164" t="s">
        <v>428</v>
      </c>
      <c r="AA552" s="114"/>
      <c r="AB552" s="114"/>
      <c r="AC552" s="114"/>
      <c r="AD552" s="114"/>
      <c r="AE552" s="114"/>
      <c r="AF552" s="114"/>
      <c r="AG552" s="114"/>
      <c r="AH552" s="114"/>
      <c r="AI552" s="114"/>
      <c r="AJ552" s="114"/>
      <c r="AK552" s="114"/>
      <c r="AL552" s="114"/>
      <c r="AM552" s="114"/>
      <c r="AN552" s="114"/>
      <c r="AO552" s="114"/>
      <c r="AP552" s="114"/>
      <c r="AQ552" s="114"/>
      <c r="AR552" s="114"/>
    </row>
    <row r="553" ht="14.25" spans="1:44">
      <c r="A553" s="114"/>
      <c r="B553" s="114"/>
      <c r="C553" s="114"/>
      <c r="D553" s="114" t="s">
        <v>34</v>
      </c>
      <c r="E553" s="221" t="s">
        <v>3082</v>
      </c>
      <c r="F553" s="153">
        <v>44141</v>
      </c>
      <c r="G553" s="152">
        <f t="shared" si="13"/>
        <v>4141</v>
      </c>
      <c r="H553" s="221" t="s">
        <v>3083</v>
      </c>
      <c r="I553" s="123" t="s">
        <v>3084</v>
      </c>
      <c r="J553" s="33">
        <v>46</v>
      </c>
      <c r="K553" s="114"/>
      <c r="L553" s="114"/>
      <c r="M553" s="114"/>
      <c r="N553" s="124"/>
      <c r="O553" s="114"/>
      <c r="P553" s="124"/>
      <c r="Q553" s="114"/>
      <c r="R553" s="124"/>
      <c r="S553" s="114"/>
      <c r="T553" s="114"/>
      <c r="U553" s="114"/>
      <c r="V553" s="114"/>
      <c r="W553" s="114"/>
      <c r="X553" s="114"/>
      <c r="Y553" s="114"/>
      <c r="Z553" s="164" t="s">
        <v>428</v>
      </c>
      <c r="AA553" s="114"/>
      <c r="AB553" s="114"/>
      <c r="AC553" s="114"/>
      <c r="AD553" s="114"/>
      <c r="AE553" s="114"/>
      <c r="AF553" s="114"/>
      <c r="AG553" s="114"/>
      <c r="AH553" s="114"/>
      <c r="AI553" s="114"/>
      <c r="AJ553" s="114"/>
      <c r="AK553" s="114"/>
      <c r="AL553" s="114"/>
      <c r="AM553" s="114"/>
      <c r="AN553" s="114"/>
      <c r="AO553" s="114"/>
      <c r="AP553" s="114"/>
      <c r="AQ553" s="114"/>
      <c r="AR553" s="114"/>
    </row>
    <row r="554" ht="14.25" spans="1:44">
      <c r="A554" s="114"/>
      <c r="B554" s="114"/>
      <c r="C554" s="114"/>
      <c r="D554" s="114" t="s">
        <v>299</v>
      </c>
      <c r="E554" s="221" t="s">
        <v>300</v>
      </c>
      <c r="F554" s="153">
        <v>44358</v>
      </c>
      <c r="G554" s="152">
        <f t="shared" si="13"/>
        <v>4358</v>
      </c>
      <c r="H554" s="221" t="s">
        <v>301</v>
      </c>
      <c r="I554" s="123" t="s">
        <v>4436</v>
      </c>
      <c r="J554" s="33">
        <v>75</v>
      </c>
      <c r="K554" s="114"/>
      <c r="L554" s="114"/>
      <c r="M554" s="114"/>
      <c r="N554" s="124"/>
      <c r="O554" s="114"/>
      <c r="P554" s="124"/>
      <c r="Q554" s="114"/>
      <c r="R554" s="124"/>
      <c r="S554" s="114"/>
      <c r="T554" s="114"/>
      <c r="U554" s="114"/>
      <c r="V554" s="114"/>
      <c r="W554" s="114"/>
      <c r="X554" s="114"/>
      <c r="Y554" s="114"/>
      <c r="Z554" s="164" t="s">
        <v>428</v>
      </c>
      <c r="AA554" s="114"/>
      <c r="AB554" s="114"/>
      <c r="AC554" s="114"/>
      <c r="AD554" s="114"/>
      <c r="AE554" s="114"/>
      <c r="AF554" s="114"/>
      <c r="AG554" s="114"/>
      <c r="AH554" s="114"/>
      <c r="AI554" s="114"/>
      <c r="AJ554" s="114"/>
      <c r="AK554" s="114"/>
      <c r="AL554" s="114"/>
      <c r="AM554" s="114"/>
      <c r="AN554" s="114"/>
      <c r="AO554" s="114"/>
      <c r="AP554" s="114"/>
      <c r="AQ554" s="114"/>
      <c r="AR554" s="114"/>
    </row>
    <row r="555" ht="14.25" spans="1:44">
      <c r="A555" s="114"/>
      <c r="B555" s="114"/>
      <c r="C555" s="114"/>
      <c r="D555" s="114" t="s">
        <v>3085</v>
      </c>
      <c r="E555" s="221" t="s">
        <v>3086</v>
      </c>
      <c r="F555" s="244">
        <v>43853</v>
      </c>
      <c r="G555" s="152">
        <f t="shared" si="13"/>
        <v>3853</v>
      </c>
      <c r="H555" s="221" t="s">
        <v>3087</v>
      </c>
      <c r="I555" s="123" t="s">
        <v>3088</v>
      </c>
      <c r="J555" s="33">
        <v>137</v>
      </c>
      <c r="K555" s="114"/>
      <c r="L555" s="114"/>
      <c r="M555" s="114"/>
      <c r="N555" s="124"/>
      <c r="O555" s="114"/>
      <c r="P555" s="124"/>
      <c r="Q555" s="114"/>
      <c r="R555" s="124"/>
      <c r="S555" s="114"/>
      <c r="T555" s="114"/>
      <c r="U555" s="114"/>
      <c r="V555" s="114"/>
      <c r="W555" s="114"/>
      <c r="X555" s="114"/>
      <c r="Y555" s="114"/>
      <c r="Z555" s="164" t="s">
        <v>428</v>
      </c>
      <c r="AA555" s="114"/>
      <c r="AB555" s="114"/>
      <c r="AC555" s="114"/>
      <c r="AD555" s="114"/>
      <c r="AE555" s="114"/>
      <c r="AF555" s="114"/>
      <c r="AG555" s="114"/>
      <c r="AH555" s="114"/>
      <c r="AI555" s="114"/>
      <c r="AJ555" s="114"/>
      <c r="AK555" s="114"/>
      <c r="AL555" s="114"/>
      <c r="AM555" s="114"/>
      <c r="AN555" s="114"/>
      <c r="AO555" s="114"/>
      <c r="AP555" s="114"/>
      <c r="AQ555" s="114"/>
      <c r="AR555" s="114"/>
    </row>
    <row r="556" ht="14.25" spans="1:44">
      <c r="A556" s="114"/>
      <c r="B556" s="114"/>
      <c r="C556" s="114"/>
      <c r="D556" s="114" t="s">
        <v>3089</v>
      </c>
      <c r="E556" s="221" t="s">
        <v>3090</v>
      </c>
      <c r="F556" s="153">
        <v>43956</v>
      </c>
      <c r="G556" s="152">
        <f t="shared" si="13"/>
        <v>3956</v>
      </c>
      <c r="H556" s="221" t="s">
        <v>3091</v>
      </c>
      <c r="I556" s="123" t="s">
        <v>3092</v>
      </c>
      <c r="J556" s="33">
        <v>280</v>
      </c>
      <c r="K556" s="114"/>
      <c r="L556" s="114"/>
      <c r="M556" s="114"/>
      <c r="N556" s="124"/>
      <c r="O556" s="114"/>
      <c r="P556" s="124"/>
      <c r="Q556" s="114"/>
      <c r="R556" s="124"/>
      <c r="S556" s="114"/>
      <c r="T556" s="114"/>
      <c r="U556" s="114"/>
      <c r="V556" s="114"/>
      <c r="W556" s="114"/>
      <c r="X556" s="114"/>
      <c r="Y556" s="114"/>
      <c r="Z556" s="164" t="s">
        <v>428</v>
      </c>
      <c r="AA556" s="114"/>
      <c r="AB556" s="114"/>
      <c r="AC556" s="114"/>
      <c r="AD556" s="114"/>
      <c r="AE556" s="114"/>
      <c r="AF556" s="114"/>
      <c r="AG556" s="114"/>
      <c r="AH556" s="114"/>
      <c r="AI556" s="114"/>
      <c r="AJ556" s="114"/>
      <c r="AK556" s="114"/>
      <c r="AL556" s="114"/>
      <c r="AM556" s="114"/>
      <c r="AN556" s="114"/>
      <c r="AO556" s="114"/>
      <c r="AP556" s="114"/>
      <c r="AQ556" s="114"/>
      <c r="AR556" s="114"/>
    </row>
    <row r="557" ht="14.25" spans="1:44">
      <c r="A557" s="114"/>
      <c r="B557" s="114"/>
      <c r="C557" s="114"/>
      <c r="D557" s="114" t="s">
        <v>3093</v>
      </c>
      <c r="E557" s="221" t="s">
        <v>3094</v>
      </c>
      <c r="F557" s="153">
        <v>43611</v>
      </c>
      <c r="G557" s="152">
        <f t="shared" si="13"/>
        <v>3611</v>
      </c>
      <c r="H557" s="222" t="s">
        <v>3095</v>
      </c>
      <c r="I557" s="123" t="s">
        <v>3096</v>
      </c>
      <c r="J557" s="33">
        <v>311</v>
      </c>
      <c r="K557" s="114"/>
      <c r="L557" s="114"/>
      <c r="M557" s="114"/>
      <c r="N557" s="124"/>
      <c r="O557" s="114"/>
      <c r="P557" s="124"/>
      <c r="Q557" s="114"/>
      <c r="R557" s="124"/>
      <c r="S557" s="114"/>
      <c r="T557" s="114"/>
      <c r="U557" s="114"/>
      <c r="V557" s="114"/>
      <c r="W557" s="114"/>
      <c r="X557" s="114"/>
      <c r="Y557" s="114"/>
      <c r="Z557" s="164" t="s">
        <v>428</v>
      </c>
      <c r="AA557" s="114"/>
      <c r="AB557" s="114"/>
      <c r="AC557" s="114"/>
      <c r="AD557" s="114"/>
      <c r="AE557" s="114"/>
      <c r="AF557" s="114"/>
      <c r="AG557" s="114"/>
      <c r="AH557" s="114"/>
      <c r="AI557" s="114"/>
      <c r="AJ557" s="114"/>
      <c r="AK557" s="114"/>
      <c r="AL557" s="114"/>
      <c r="AM557" s="114"/>
      <c r="AN557" s="114"/>
      <c r="AO557" s="114"/>
      <c r="AP557" s="114"/>
      <c r="AQ557" s="114"/>
      <c r="AR557" s="114"/>
    </row>
    <row r="558" ht="14.25" spans="1:44">
      <c r="A558" s="114"/>
      <c r="B558" s="114"/>
      <c r="C558" s="114"/>
      <c r="D558" s="114" t="s">
        <v>85</v>
      </c>
      <c r="E558" s="221" t="s">
        <v>3097</v>
      </c>
      <c r="F558" s="153">
        <v>44012</v>
      </c>
      <c r="G558" s="152">
        <f t="shared" si="13"/>
        <v>4012</v>
      </c>
      <c r="H558" s="222" t="s">
        <v>3098</v>
      </c>
      <c r="I558" s="123" t="s">
        <v>3099</v>
      </c>
      <c r="J558" s="33">
        <v>132</v>
      </c>
      <c r="K558" s="114"/>
      <c r="L558" s="114"/>
      <c r="M558" s="114"/>
      <c r="N558" s="124"/>
      <c r="O558" s="114"/>
      <c r="P558" s="124"/>
      <c r="Q558" s="114"/>
      <c r="R558" s="124"/>
      <c r="S558" s="114"/>
      <c r="T558" s="114"/>
      <c r="U558" s="114"/>
      <c r="V558" s="114"/>
      <c r="W558" s="114"/>
      <c r="X558" s="114"/>
      <c r="Y558" s="114"/>
      <c r="Z558" s="164" t="s">
        <v>428</v>
      </c>
      <c r="AA558" s="114"/>
      <c r="AB558" s="114"/>
      <c r="AC558" s="114"/>
      <c r="AD558" s="114"/>
      <c r="AE558" s="114"/>
      <c r="AF558" s="114"/>
      <c r="AG558" s="114"/>
      <c r="AH558" s="114"/>
      <c r="AI558" s="114"/>
      <c r="AJ558" s="114"/>
      <c r="AK558" s="114"/>
      <c r="AL558" s="114"/>
      <c r="AM558" s="114"/>
      <c r="AN558" s="114"/>
      <c r="AO558" s="114"/>
      <c r="AP558" s="114"/>
      <c r="AQ558" s="114"/>
      <c r="AR558" s="114"/>
    </row>
    <row r="559" ht="14.25" spans="1:44">
      <c r="A559" s="114"/>
      <c r="B559" s="114"/>
      <c r="C559" s="114"/>
      <c r="D559" s="114" t="s">
        <v>3100</v>
      </c>
      <c r="E559" s="222" t="s">
        <v>3101</v>
      </c>
      <c r="F559" s="153">
        <v>41081</v>
      </c>
      <c r="G559" s="152">
        <f t="shared" si="13"/>
        <v>1081</v>
      </c>
      <c r="H559" s="245" t="s">
        <v>3102</v>
      </c>
      <c r="I559" s="251" t="s">
        <v>3103</v>
      </c>
      <c r="J559" s="33">
        <v>608</v>
      </c>
      <c r="K559" s="114"/>
      <c r="L559" s="114"/>
      <c r="M559" s="114"/>
      <c r="N559" s="124"/>
      <c r="O559" s="114"/>
      <c r="P559" s="124"/>
      <c r="Q559" s="114"/>
      <c r="R559" s="124"/>
      <c r="S559" s="114"/>
      <c r="T559" s="114"/>
      <c r="U559" s="114"/>
      <c r="V559" s="114"/>
      <c r="W559" s="114"/>
      <c r="X559" s="114"/>
      <c r="Y559" s="114"/>
      <c r="Z559" s="164" t="s">
        <v>428</v>
      </c>
      <c r="AA559" s="114"/>
      <c r="AB559" s="114"/>
      <c r="AC559" s="114"/>
      <c r="AD559" s="114"/>
      <c r="AE559" s="114"/>
      <c r="AF559" s="114"/>
      <c r="AG559" s="114"/>
      <c r="AH559" s="114"/>
      <c r="AI559" s="114"/>
      <c r="AJ559" s="114"/>
      <c r="AK559" s="114"/>
      <c r="AL559" s="114"/>
      <c r="AM559" s="114"/>
      <c r="AN559" s="114"/>
      <c r="AO559" s="114"/>
      <c r="AP559" s="114"/>
      <c r="AQ559" s="114"/>
      <c r="AR559" s="114"/>
    </row>
    <row r="560" ht="14.25" spans="1:44">
      <c r="A560" s="114"/>
      <c r="B560" s="114"/>
      <c r="C560" s="114"/>
      <c r="D560" s="114" t="s">
        <v>306</v>
      </c>
      <c r="E560" s="221" t="s">
        <v>307</v>
      </c>
      <c r="F560" s="153">
        <v>44256</v>
      </c>
      <c r="G560" s="152">
        <f t="shared" si="13"/>
        <v>4256</v>
      </c>
      <c r="H560" s="222" t="s">
        <v>308</v>
      </c>
      <c r="I560" s="123" t="s">
        <v>4437</v>
      </c>
      <c r="J560" s="33">
        <v>131</v>
      </c>
      <c r="K560" s="114"/>
      <c r="L560" s="114"/>
      <c r="M560" s="114"/>
      <c r="N560" s="124"/>
      <c r="O560" s="114"/>
      <c r="P560" s="124"/>
      <c r="Q560" s="114"/>
      <c r="R560" s="124"/>
      <c r="S560" s="114"/>
      <c r="T560" s="114"/>
      <c r="U560" s="114"/>
      <c r="V560" s="114"/>
      <c r="W560" s="114"/>
      <c r="X560" s="114"/>
      <c r="Y560" s="114"/>
      <c r="Z560" s="164" t="s">
        <v>428</v>
      </c>
      <c r="AA560" s="114"/>
      <c r="AB560" s="114"/>
      <c r="AC560" s="114"/>
      <c r="AD560" s="114"/>
      <c r="AE560" s="114"/>
      <c r="AF560" s="114"/>
      <c r="AG560" s="114"/>
      <c r="AH560" s="114"/>
      <c r="AI560" s="114"/>
      <c r="AJ560" s="114"/>
      <c r="AK560" s="114"/>
      <c r="AL560" s="114"/>
      <c r="AM560" s="114"/>
      <c r="AN560" s="114"/>
      <c r="AO560" s="114"/>
      <c r="AP560" s="114"/>
      <c r="AQ560" s="114"/>
      <c r="AR560" s="114"/>
    </row>
    <row r="561" ht="14.25" spans="1:44">
      <c r="A561" s="114"/>
      <c r="B561" s="114"/>
      <c r="C561" s="114"/>
      <c r="D561" s="114" t="s">
        <v>3104</v>
      </c>
      <c r="E561" s="221" t="s">
        <v>3105</v>
      </c>
      <c r="F561" s="153">
        <v>33084</v>
      </c>
      <c r="G561" s="152">
        <f t="shared" si="13"/>
        <v>3084</v>
      </c>
      <c r="H561" s="221" t="s">
        <v>3106</v>
      </c>
      <c r="I561" s="123" t="s">
        <v>3107</v>
      </c>
      <c r="J561" s="33">
        <v>1659</v>
      </c>
      <c r="K561" s="114"/>
      <c r="L561" s="114"/>
      <c r="M561" s="114"/>
      <c r="N561" s="124"/>
      <c r="O561" s="114"/>
      <c r="P561" s="124"/>
      <c r="Q561" s="114"/>
      <c r="R561" s="124"/>
      <c r="S561" s="114"/>
      <c r="T561" s="114"/>
      <c r="U561" s="114"/>
      <c r="V561" s="114"/>
      <c r="W561" s="114"/>
      <c r="X561" s="114"/>
      <c r="Y561" s="114"/>
      <c r="Z561" s="164" t="s">
        <v>428</v>
      </c>
      <c r="AA561" s="114"/>
      <c r="AB561" s="114"/>
      <c r="AC561" s="114"/>
      <c r="AD561" s="114"/>
      <c r="AE561" s="114"/>
      <c r="AF561" s="114"/>
      <c r="AG561" s="114"/>
      <c r="AH561" s="114"/>
      <c r="AI561" s="114"/>
      <c r="AJ561" s="114"/>
      <c r="AK561" s="114"/>
      <c r="AL561" s="114"/>
      <c r="AM561" s="114"/>
      <c r="AN561" s="114"/>
      <c r="AO561" s="114"/>
      <c r="AP561" s="114"/>
      <c r="AQ561" s="114"/>
      <c r="AR561" s="114"/>
    </row>
    <row r="562" ht="14.25" spans="1:44">
      <c r="A562" s="114"/>
      <c r="B562" s="114"/>
      <c r="C562" s="114"/>
      <c r="D562" s="114" t="s">
        <v>464</v>
      </c>
      <c r="E562" s="221" t="s">
        <v>3108</v>
      </c>
      <c r="F562" s="153">
        <v>43201</v>
      </c>
      <c r="G562" s="152">
        <f t="shared" si="13"/>
        <v>3201</v>
      </c>
      <c r="H562" s="221" t="s">
        <v>3109</v>
      </c>
      <c r="I562" s="123" t="s">
        <v>3110</v>
      </c>
      <c r="J562" s="33">
        <v>191</v>
      </c>
      <c r="K562" s="114"/>
      <c r="L562" s="114"/>
      <c r="M562" s="114"/>
      <c r="N562" s="124"/>
      <c r="O562" s="114"/>
      <c r="P562" s="124"/>
      <c r="Q562" s="114"/>
      <c r="R562" s="124"/>
      <c r="S562" s="114"/>
      <c r="T562" s="114"/>
      <c r="U562" s="114"/>
      <c r="V562" s="114"/>
      <c r="W562" s="114"/>
      <c r="X562" s="114"/>
      <c r="Y562" s="114"/>
      <c r="Z562" s="164" t="s">
        <v>428</v>
      </c>
      <c r="AA562" s="114"/>
      <c r="AB562" s="114"/>
      <c r="AC562" s="114"/>
      <c r="AD562" s="114"/>
      <c r="AE562" s="114"/>
      <c r="AF562" s="114"/>
      <c r="AG562" s="114"/>
      <c r="AH562" s="114"/>
      <c r="AI562" s="114"/>
      <c r="AJ562" s="114"/>
      <c r="AK562" s="114"/>
      <c r="AL562" s="114"/>
      <c r="AM562" s="114"/>
      <c r="AN562" s="114"/>
      <c r="AO562" s="114"/>
      <c r="AP562" s="114"/>
      <c r="AQ562" s="114"/>
      <c r="AR562" s="114"/>
    </row>
    <row r="563" ht="14.25" spans="1:44">
      <c r="A563" s="114"/>
      <c r="B563" s="114"/>
      <c r="C563" s="114"/>
      <c r="D563" s="114" t="s">
        <v>3111</v>
      </c>
      <c r="E563" s="221" t="s">
        <v>3112</v>
      </c>
      <c r="F563" s="153">
        <v>44410</v>
      </c>
      <c r="G563" s="152">
        <f t="shared" si="13"/>
        <v>4410</v>
      </c>
      <c r="H563" s="221" t="s">
        <v>3113</v>
      </c>
      <c r="I563" s="123" t="s">
        <v>3114</v>
      </c>
      <c r="J563" s="33">
        <v>125</v>
      </c>
      <c r="K563" s="114"/>
      <c r="L563" s="114"/>
      <c r="M563" s="114"/>
      <c r="N563" s="124"/>
      <c r="O563" s="114"/>
      <c r="P563" s="124"/>
      <c r="Q563" s="114"/>
      <c r="R563" s="124"/>
      <c r="S563" s="114"/>
      <c r="T563" s="114"/>
      <c r="U563" s="114"/>
      <c r="V563" s="114"/>
      <c r="W563" s="114"/>
      <c r="X563" s="114"/>
      <c r="Y563" s="114"/>
      <c r="Z563" s="164" t="s">
        <v>428</v>
      </c>
      <c r="AA563" s="114"/>
      <c r="AB563" s="114"/>
      <c r="AC563" s="114"/>
      <c r="AD563" s="114"/>
      <c r="AE563" s="114"/>
      <c r="AF563" s="114"/>
      <c r="AG563" s="114"/>
      <c r="AH563" s="114"/>
      <c r="AI563" s="114"/>
      <c r="AJ563" s="114"/>
      <c r="AK563" s="114"/>
      <c r="AL563" s="114"/>
      <c r="AM563" s="114"/>
      <c r="AN563" s="114"/>
      <c r="AO563" s="114"/>
      <c r="AP563" s="114"/>
      <c r="AQ563" s="114"/>
      <c r="AR563" s="114"/>
    </row>
    <row r="564" ht="14.25" spans="1:44">
      <c r="A564" s="114"/>
      <c r="B564" s="114"/>
      <c r="C564" s="114"/>
      <c r="D564" s="114" t="s">
        <v>3115</v>
      </c>
      <c r="E564" s="221" t="s">
        <v>3116</v>
      </c>
      <c r="F564" s="153">
        <v>44211</v>
      </c>
      <c r="G564" s="152">
        <f t="shared" si="13"/>
        <v>4211</v>
      </c>
      <c r="H564" s="221" t="s">
        <v>3117</v>
      </c>
      <c r="I564" s="123" t="s">
        <v>3118</v>
      </c>
      <c r="J564" s="33">
        <v>448</v>
      </c>
      <c r="K564" s="114"/>
      <c r="L564" s="114"/>
      <c r="M564" s="114"/>
      <c r="N564" s="124"/>
      <c r="O564" s="114"/>
      <c r="P564" s="124"/>
      <c r="Q564" s="114"/>
      <c r="R564" s="124"/>
      <c r="S564" s="114"/>
      <c r="T564" s="114"/>
      <c r="U564" s="114"/>
      <c r="V564" s="114"/>
      <c r="W564" s="114"/>
      <c r="X564" s="114"/>
      <c r="Y564" s="114"/>
      <c r="Z564" s="164" t="s">
        <v>428</v>
      </c>
      <c r="AA564" s="114"/>
      <c r="AB564" s="114"/>
      <c r="AC564" s="114"/>
      <c r="AD564" s="114"/>
      <c r="AE564" s="114"/>
      <c r="AF564" s="114"/>
      <c r="AG564" s="114"/>
      <c r="AH564" s="114"/>
      <c r="AI564" s="114"/>
      <c r="AJ564" s="114"/>
      <c r="AK564" s="114"/>
      <c r="AL564" s="114"/>
      <c r="AM564" s="114"/>
      <c r="AN564" s="114"/>
      <c r="AO564" s="114"/>
      <c r="AP564" s="114"/>
      <c r="AQ564" s="114"/>
      <c r="AR564" s="114"/>
    </row>
    <row r="565" ht="14.25" spans="1:44">
      <c r="A565" s="114"/>
      <c r="B565" s="114"/>
      <c r="C565" s="114"/>
      <c r="D565" s="114" t="s">
        <v>3119</v>
      </c>
      <c r="E565" s="222" t="s">
        <v>3120</v>
      </c>
      <c r="F565" s="153">
        <v>44354</v>
      </c>
      <c r="G565" s="152">
        <f t="shared" si="13"/>
        <v>4354</v>
      </c>
      <c r="H565" s="222" t="s">
        <v>3121</v>
      </c>
      <c r="I565" s="123" t="s">
        <v>3122</v>
      </c>
      <c r="J565" s="33">
        <v>45</v>
      </c>
      <c r="K565" s="114"/>
      <c r="L565" s="114"/>
      <c r="M565" s="114"/>
      <c r="N565" s="124"/>
      <c r="O565" s="114"/>
      <c r="P565" s="124"/>
      <c r="Q565" s="114"/>
      <c r="R565" s="124"/>
      <c r="S565" s="114"/>
      <c r="T565" s="114"/>
      <c r="U565" s="114"/>
      <c r="V565" s="114"/>
      <c r="W565" s="114"/>
      <c r="X565" s="114"/>
      <c r="Y565" s="114"/>
      <c r="Z565" s="164" t="s">
        <v>428</v>
      </c>
      <c r="AA565" s="114"/>
      <c r="AB565" s="114"/>
      <c r="AC565" s="114"/>
      <c r="AD565" s="114"/>
      <c r="AE565" s="114"/>
      <c r="AF565" s="114"/>
      <c r="AG565" s="114"/>
      <c r="AH565" s="114"/>
      <c r="AI565" s="114"/>
      <c r="AJ565" s="114"/>
      <c r="AK565" s="114"/>
      <c r="AL565" s="114"/>
      <c r="AM565" s="114"/>
      <c r="AN565" s="114"/>
      <c r="AO565" s="114"/>
      <c r="AP565" s="114"/>
      <c r="AQ565" s="114"/>
      <c r="AR565" s="114"/>
    </row>
    <row r="566" ht="14.25" spans="1:44">
      <c r="A566" s="114"/>
      <c r="B566" s="114"/>
      <c r="C566" s="114"/>
      <c r="D566" s="114" t="s">
        <v>3123</v>
      </c>
      <c r="E566" s="221" t="s">
        <v>3124</v>
      </c>
      <c r="F566" s="153">
        <v>44419</v>
      </c>
      <c r="G566" s="152">
        <f t="shared" si="13"/>
        <v>4419</v>
      </c>
      <c r="H566" s="221" t="s">
        <v>3125</v>
      </c>
      <c r="I566" s="123" t="s">
        <v>3126</v>
      </c>
      <c r="J566" s="33">
        <v>183</v>
      </c>
      <c r="K566" s="114"/>
      <c r="L566" s="114"/>
      <c r="M566" s="114"/>
      <c r="N566" s="124"/>
      <c r="O566" s="114"/>
      <c r="P566" s="124"/>
      <c r="Q566" s="114"/>
      <c r="R566" s="124"/>
      <c r="S566" s="114"/>
      <c r="T566" s="114"/>
      <c r="U566" s="114"/>
      <c r="V566" s="114"/>
      <c r="W566" s="114"/>
      <c r="X566" s="114"/>
      <c r="Y566" s="114"/>
      <c r="Z566" s="164" t="s">
        <v>428</v>
      </c>
      <c r="AA566" s="114"/>
      <c r="AB566" s="114"/>
      <c r="AC566" s="114"/>
      <c r="AD566" s="114"/>
      <c r="AE566" s="114"/>
      <c r="AF566" s="114"/>
      <c r="AG566" s="114"/>
      <c r="AH566" s="114"/>
      <c r="AI566" s="114"/>
      <c r="AJ566" s="114"/>
      <c r="AK566" s="114"/>
      <c r="AL566" s="114"/>
      <c r="AM566" s="114"/>
      <c r="AN566" s="114"/>
      <c r="AO566" s="114"/>
      <c r="AP566" s="114"/>
      <c r="AQ566" s="114"/>
      <c r="AR566" s="114"/>
    </row>
    <row r="567" ht="14.25" spans="1:44">
      <c r="A567" s="114"/>
      <c r="B567" s="114"/>
      <c r="C567" s="114"/>
      <c r="D567" s="114" t="s">
        <v>2877</v>
      </c>
      <c r="E567" s="221" t="s">
        <v>3127</v>
      </c>
      <c r="F567" s="169">
        <v>40842</v>
      </c>
      <c r="G567" s="152">
        <f t="shared" si="13"/>
        <v>842</v>
      </c>
      <c r="H567" s="221" t="s">
        <v>3128</v>
      </c>
      <c r="I567" s="123" t="s">
        <v>3129</v>
      </c>
      <c r="J567" s="33">
        <v>11</v>
      </c>
      <c r="K567" s="114"/>
      <c r="L567" s="114"/>
      <c r="M567" s="114"/>
      <c r="N567" s="124"/>
      <c r="O567" s="114"/>
      <c r="P567" s="124"/>
      <c r="Q567" s="114"/>
      <c r="R567" s="124"/>
      <c r="S567" s="114"/>
      <c r="T567" s="114"/>
      <c r="U567" s="114"/>
      <c r="V567" s="114"/>
      <c r="W567" s="114"/>
      <c r="X567" s="114"/>
      <c r="Y567" s="114"/>
      <c r="Z567" s="164" t="s">
        <v>428</v>
      </c>
      <c r="AA567" s="114"/>
      <c r="AB567" s="114"/>
      <c r="AC567" s="114"/>
      <c r="AD567" s="114"/>
      <c r="AE567" s="114"/>
      <c r="AF567" s="114"/>
      <c r="AG567" s="114"/>
      <c r="AH567" s="114"/>
      <c r="AI567" s="114"/>
      <c r="AJ567" s="114"/>
      <c r="AK567" s="114"/>
      <c r="AL567" s="114"/>
      <c r="AM567" s="114"/>
      <c r="AN567" s="114"/>
      <c r="AO567" s="114"/>
      <c r="AP567" s="114"/>
      <c r="AQ567" s="114"/>
      <c r="AR567" s="114"/>
    </row>
    <row r="568" ht="14.25" spans="1:44">
      <c r="A568" s="114"/>
      <c r="B568" s="114"/>
      <c r="C568" s="114"/>
      <c r="D568" s="114" t="s">
        <v>3130</v>
      </c>
      <c r="E568" s="221" t="s">
        <v>3131</v>
      </c>
      <c r="F568" s="153">
        <v>44277</v>
      </c>
      <c r="G568" s="152">
        <f t="shared" si="13"/>
        <v>4277</v>
      </c>
      <c r="H568" s="221" t="s">
        <v>3132</v>
      </c>
      <c r="I568" s="123" t="s">
        <v>3133</v>
      </c>
      <c r="J568" s="33">
        <v>204</v>
      </c>
      <c r="K568" s="114"/>
      <c r="L568" s="114"/>
      <c r="M568" s="114"/>
      <c r="N568" s="124"/>
      <c r="O568" s="114"/>
      <c r="P568" s="124"/>
      <c r="Q568" s="114"/>
      <c r="R568" s="124"/>
      <c r="S568" s="114"/>
      <c r="T568" s="114"/>
      <c r="U568" s="114"/>
      <c r="V568" s="114"/>
      <c r="W568" s="114"/>
      <c r="X568" s="114"/>
      <c r="Y568" s="114"/>
      <c r="Z568" s="164" t="s">
        <v>428</v>
      </c>
      <c r="AA568" s="114"/>
      <c r="AB568" s="114"/>
      <c r="AC568" s="114"/>
      <c r="AD568" s="114"/>
      <c r="AE568" s="114"/>
      <c r="AF568" s="114"/>
      <c r="AG568" s="114"/>
      <c r="AH568" s="114"/>
      <c r="AI568" s="114"/>
      <c r="AJ568" s="114"/>
      <c r="AK568" s="114"/>
      <c r="AL568" s="114"/>
      <c r="AM568" s="114"/>
      <c r="AN568" s="114"/>
      <c r="AO568" s="114"/>
      <c r="AP568" s="114"/>
      <c r="AQ568" s="114"/>
      <c r="AR568" s="114"/>
    </row>
    <row r="569" ht="14.25" spans="1:44">
      <c r="A569" s="114"/>
      <c r="B569" s="114"/>
      <c r="C569" s="114"/>
      <c r="D569" s="114" t="s">
        <v>3134</v>
      </c>
      <c r="E569" s="221" t="s">
        <v>3135</v>
      </c>
      <c r="F569" s="153">
        <v>43669</v>
      </c>
      <c r="G569" s="152">
        <f t="shared" si="13"/>
        <v>3669</v>
      </c>
      <c r="H569" s="222" t="s">
        <v>3136</v>
      </c>
      <c r="I569" s="123" t="s">
        <v>3137</v>
      </c>
      <c r="J569" s="33">
        <v>350</v>
      </c>
      <c r="K569" s="114"/>
      <c r="L569" s="114"/>
      <c r="M569" s="114"/>
      <c r="N569" s="124"/>
      <c r="O569" s="114"/>
      <c r="P569" s="124"/>
      <c r="Q569" s="114"/>
      <c r="R569" s="124"/>
      <c r="S569" s="114"/>
      <c r="T569" s="114"/>
      <c r="U569" s="114"/>
      <c r="V569" s="114"/>
      <c r="W569" s="114"/>
      <c r="X569" s="114"/>
      <c r="Y569" s="114"/>
      <c r="Z569" s="164" t="s">
        <v>428</v>
      </c>
      <c r="AA569" s="114"/>
      <c r="AB569" s="114"/>
      <c r="AC569" s="114"/>
      <c r="AD569" s="114"/>
      <c r="AE569" s="114"/>
      <c r="AF569" s="114"/>
      <c r="AG569" s="114"/>
      <c r="AH569" s="114"/>
      <c r="AI569" s="114"/>
      <c r="AJ569" s="114"/>
      <c r="AK569" s="114"/>
      <c r="AL569" s="114"/>
      <c r="AM569" s="114"/>
      <c r="AN569" s="114"/>
      <c r="AO569" s="114"/>
      <c r="AP569" s="114"/>
      <c r="AQ569" s="114"/>
      <c r="AR569" s="114"/>
    </row>
    <row r="570" ht="14.25" spans="1:44">
      <c r="A570" s="114"/>
      <c r="B570" s="114"/>
      <c r="C570" s="114"/>
      <c r="D570" s="114" t="s">
        <v>3089</v>
      </c>
      <c r="E570" s="221" t="s">
        <v>3138</v>
      </c>
      <c r="F570" s="153">
        <v>43882</v>
      </c>
      <c r="G570" s="152">
        <f t="shared" si="13"/>
        <v>3882</v>
      </c>
      <c r="H570" s="221" t="s">
        <v>3139</v>
      </c>
      <c r="I570" s="123" t="s">
        <v>3140</v>
      </c>
      <c r="J570" s="33">
        <v>48</v>
      </c>
      <c r="K570" s="114"/>
      <c r="L570" s="114"/>
      <c r="M570" s="114"/>
      <c r="N570" s="124"/>
      <c r="O570" s="114"/>
      <c r="P570" s="124"/>
      <c r="Q570" s="114"/>
      <c r="R570" s="124"/>
      <c r="S570" s="114"/>
      <c r="T570" s="114"/>
      <c r="U570" s="114"/>
      <c r="V570" s="114"/>
      <c r="W570" s="114"/>
      <c r="X570" s="114"/>
      <c r="Y570" s="114"/>
      <c r="Z570" s="164" t="s">
        <v>428</v>
      </c>
      <c r="AA570" s="114"/>
      <c r="AB570" s="114"/>
      <c r="AC570" s="114"/>
      <c r="AD570" s="114"/>
      <c r="AE570" s="114"/>
      <c r="AF570" s="114"/>
      <c r="AG570" s="114"/>
      <c r="AH570" s="114"/>
      <c r="AI570" s="114"/>
      <c r="AJ570" s="114"/>
      <c r="AK570" s="114"/>
      <c r="AL570" s="114"/>
      <c r="AM570" s="114"/>
      <c r="AN570" s="114"/>
      <c r="AO570" s="114"/>
      <c r="AP570" s="114"/>
      <c r="AQ570" s="114"/>
      <c r="AR570" s="114"/>
    </row>
    <row r="571" ht="14.25" spans="1:44">
      <c r="A571" s="114"/>
      <c r="B571" s="114"/>
      <c r="C571" s="114"/>
      <c r="D571" s="114"/>
      <c r="E571" s="221"/>
      <c r="F571" s="153"/>
      <c r="G571" s="152" t="e">
        <f t="shared" si="13"/>
        <v>#VALUE!</v>
      </c>
      <c r="H571" s="221"/>
      <c r="I571" s="114"/>
      <c r="J571" s="33"/>
      <c r="K571" s="114"/>
      <c r="L571" s="114"/>
      <c r="M571" s="114"/>
      <c r="N571" s="124"/>
      <c r="O571" s="114"/>
      <c r="P571" s="124"/>
      <c r="Q571" s="114"/>
      <c r="R571" s="124"/>
      <c r="S571" s="114"/>
      <c r="T571" s="114"/>
      <c r="U571" s="114"/>
      <c r="V571" s="114"/>
      <c r="W571" s="114"/>
      <c r="X571" s="114"/>
      <c r="Y571" s="114"/>
      <c r="Z571" s="164"/>
      <c r="AA571" s="114"/>
      <c r="AB571" s="114"/>
      <c r="AC571" s="114"/>
      <c r="AD571" s="114"/>
      <c r="AE571" s="114"/>
      <c r="AF571" s="114"/>
      <c r="AG571" s="114"/>
      <c r="AH571" s="114"/>
      <c r="AI571" s="114"/>
      <c r="AJ571" s="114"/>
      <c r="AK571" s="114"/>
      <c r="AL571" s="114"/>
      <c r="AM571" s="114"/>
      <c r="AN571" s="114"/>
      <c r="AO571" s="114"/>
      <c r="AP571" s="114"/>
      <c r="AQ571" s="114"/>
      <c r="AR571" s="114"/>
    </row>
    <row r="572" ht="14.25" spans="1:44">
      <c r="A572" s="114" t="s">
        <v>3141</v>
      </c>
      <c r="B572" s="114"/>
      <c r="C572" s="246" t="s">
        <v>3142</v>
      </c>
      <c r="D572" s="114"/>
      <c r="E572" s="247"/>
      <c r="F572" s="248"/>
      <c r="G572" s="152" t="e">
        <f t="shared" si="13"/>
        <v>#VALUE!</v>
      </c>
      <c r="H572" s="247" t="s">
        <v>3143</v>
      </c>
      <c r="I572" s="114"/>
      <c r="J572" s="33">
        <v>25</v>
      </c>
      <c r="K572" s="114"/>
      <c r="L572" s="114"/>
      <c r="M572" s="114"/>
      <c r="N572" s="124"/>
      <c r="O572" s="114"/>
      <c r="P572" s="124"/>
      <c r="Q572" s="114"/>
      <c r="R572" s="124"/>
      <c r="S572" s="114"/>
      <c r="T572" s="114"/>
      <c r="U572" s="114"/>
      <c r="V572" s="114"/>
      <c r="W572" s="114"/>
      <c r="X572" s="114"/>
      <c r="Y572" s="114"/>
      <c r="Z572" s="164"/>
      <c r="AA572" s="114"/>
      <c r="AB572" s="114"/>
      <c r="AC572" s="114"/>
      <c r="AD572" s="114"/>
      <c r="AE572" s="114"/>
      <c r="AF572" s="114"/>
      <c r="AG572" s="114"/>
      <c r="AH572" s="114"/>
      <c r="AI572" s="114"/>
      <c r="AJ572" s="114"/>
      <c r="AK572" s="114"/>
      <c r="AL572" s="114"/>
      <c r="AM572" s="114"/>
      <c r="AN572" s="114"/>
      <c r="AO572" s="114"/>
      <c r="AP572" s="114"/>
      <c r="AQ572" s="114"/>
      <c r="AR572" s="114"/>
    </row>
    <row r="573" ht="14.25" spans="1:44">
      <c r="A573" s="114"/>
      <c r="B573" s="114"/>
      <c r="C573" s="114"/>
      <c r="D573" s="114"/>
      <c r="E573" s="226"/>
      <c r="F573" s="153"/>
      <c r="G573" s="152" t="e">
        <f t="shared" si="13"/>
        <v>#VALUE!</v>
      </c>
      <c r="H573" s="226"/>
      <c r="I573" s="114"/>
      <c r="J573" s="33"/>
      <c r="K573" s="114"/>
      <c r="L573" s="114"/>
      <c r="M573" s="114"/>
      <c r="N573" s="124"/>
      <c r="O573" s="114"/>
      <c r="P573" s="124"/>
      <c r="Q573" s="114"/>
      <c r="R573" s="124"/>
      <c r="S573" s="114"/>
      <c r="T573" s="114"/>
      <c r="U573" s="114"/>
      <c r="V573" s="114"/>
      <c r="W573" s="114"/>
      <c r="X573" s="114"/>
      <c r="Y573" s="114"/>
      <c r="Z573" s="164"/>
      <c r="AA573" s="114"/>
      <c r="AB573" s="114"/>
      <c r="AC573" s="114"/>
      <c r="AD573" s="114"/>
      <c r="AE573" s="114"/>
      <c r="AF573" s="114"/>
      <c r="AG573" s="114"/>
      <c r="AH573" s="114"/>
      <c r="AI573" s="114"/>
      <c r="AJ573" s="114"/>
      <c r="AK573" s="114"/>
      <c r="AL573" s="114"/>
      <c r="AM573" s="114"/>
      <c r="AN573" s="114"/>
      <c r="AO573" s="114"/>
      <c r="AP573" s="114"/>
      <c r="AQ573" s="114"/>
      <c r="AR573" s="114"/>
    </row>
    <row r="574" ht="14.25" spans="1:44">
      <c r="A574" s="114"/>
      <c r="B574" s="114"/>
      <c r="C574" s="114"/>
      <c r="D574" s="22" t="s">
        <v>3144</v>
      </c>
      <c r="E574" s="221" t="s">
        <v>3145</v>
      </c>
      <c r="F574" s="153">
        <v>44268</v>
      </c>
      <c r="G574" s="152">
        <f t="shared" si="13"/>
        <v>4268</v>
      </c>
      <c r="H574" s="221" t="s">
        <v>3146</v>
      </c>
      <c r="I574" s="123" t="s">
        <v>3147</v>
      </c>
      <c r="J574" s="33">
        <v>47</v>
      </c>
      <c r="K574" s="114"/>
      <c r="L574" s="114"/>
      <c r="M574" s="114"/>
      <c r="N574" s="124"/>
      <c r="O574" s="114"/>
      <c r="P574" s="124"/>
      <c r="Q574" s="114"/>
      <c r="R574" s="124"/>
      <c r="S574" s="114"/>
      <c r="T574" s="114"/>
      <c r="U574" s="114"/>
      <c r="V574" s="114"/>
      <c r="W574" s="114"/>
      <c r="X574" s="114"/>
      <c r="Y574" s="114"/>
      <c r="Z574" s="164" t="s">
        <v>3142</v>
      </c>
      <c r="AA574" s="114"/>
      <c r="AB574" s="114"/>
      <c r="AC574" s="114"/>
      <c r="AD574" s="114"/>
      <c r="AE574" s="114"/>
      <c r="AF574" s="114"/>
      <c r="AG574" s="114"/>
      <c r="AH574" s="114"/>
      <c r="AI574" s="114"/>
      <c r="AJ574" s="114"/>
      <c r="AK574" s="114"/>
      <c r="AL574" s="114"/>
      <c r="AM574" s="114"/>
      <c r="AN574" s="114"/>
      <c r="AO574" s="114"/>
      <c r="AP574" s="114"/>
      <c r="AQ574" s="114"/>
      <c r="AR574" s="114"/>
    </row>
    <row r="575" ht="14.25" spans="1:44">
      <c r="A575" s="114"/>
      <c r="B575" s="114"/>
      <c r="C575" s="249"/>
      <c r="D575" s="114" t="s">
        <v>299</v>
      </c>
      <c r="E575" s="221" t="s">
        <v>3148</v>
      </c>
      <c r="F575" s="153">
        <v>43347</v>
      </c>
      <c r="G575" s="152">
        <f t="shared" si="13"/>
        <v>3347</v>
      </c>
      <c r="H575" s="222" t="s">
        <v>3149</v>
      </c>
      <c r="I575" s="123" t="s">
        <v>3150</v>
      </c>
      <c r="J575" s="33">
        <v>60</v>
      </c>
      <c r="K575" s="114"/>
      <c r="L575" s="114"/>
      <c r="M575" s="114"/>
      <c r="N575" s="124"/>
      <c r="O575" s="114"/>
      <c r="P575" s="124"/>
      <c r="Q575" s="114"/>
      <c r="R575" s="124"/>
      <c r="S575" s="114"/>
      <c r="T575" s="114"/>
      <c r="U575" s="114"/>
      <c r="V575" s="114"/>
      <c r="W575" s="114"/>
      <c r="X575" s="114"/>
      <c r="Y575" s="114"/>
      <c r="Z575" s="164" t="s">
        <v>3142</v>
      </c>
      <c r="AA575" s="114"/>
      <c r="AB575" s="114"/>
      <c r="AC575" s="114"/>
      <c r="AD575" s="114"/>
      <c r="AE575" s="114"/>
      <c r="AF575" s="114"/>
      <c r="AG575" s="114"/>
      <c r="AH575" s="114"/>
      <c r="AI575" s="114"/>
      <c r="AJ575" s="114"/>
      <c r="AK575" s="114"/>
      <c r="AL575" s="114"/>
      <c r="AM575" s="114"/>
      <c r="AN575" s="114"/>
      <c r="AO575" s="114"/>
      <c r="AP575" s="114"/>
      <c r="AQ575" s="114"/>
      <c r="AR575" s="114"/>
    </row>
    <row r="576" ht="14.25" spans="1:44">
      <c r="A576" s="114"/>
      <c r="B576" s="114"/>
      <c r="C576" s="114"/>
      <c r="D576" s="114" t="s">
        <v>1479</v>
      </c>
      <c r="E576" s="221" t="s">
        <v>3151</v>
      </c>
      <c r="F576" s="154">
        <v>43678</v>
      </c>
      <c r="G576" s="152">
        <f t="shared" si="13"/>
        <v>3678</v>
      </c>
      <c r="H576" s="250" t="s">
        <v>3152</v>
      </c>
      <c r="I576" s="123" t="s">
        <v>3153</v>
      </c>
      <c r="J576" s="33">
        <v>17</v>
      </c>
      <c r="K576" s="114"/>
      <c r="L576" s="114"/>
      <c r="M576" s="114"/>
      <c r="N576" s="124"/>
      <c r="O576" s="114"/>
      <c r="P576" s="124"/>
      <c r="Q576" s="114"/>
      <c r="R576" s="124"/>
      <c r="S576" s="114"/>
      <c r="T576" s="114"/>
      <c r="U576" s="114"/>
      <c r="V576" s="114"/>
      <c r="W576" s="114"/>
      <c r="X576" s="114"/>
      <c r="Y576" s="114"/>
      <c r="Z576" s="164" t="s">
        <v>3142</v>
      </c>
      <c r="AA576" s="114"/>
      <c r="AB576" s="114"/>
      <c r="AC576" s="114"/>
      <c r="AD576" s="114"/>
      <c r="AE576" s="114"/>
      <c r="AF576" s="114"/>
      <c r="AG576" s="114"/>
      <c r="AH576" s="114"/>
      <c r="AI576" s="114"/>
      <c r="AJ576" s="114"/>
      <c r="AK576" s="114"/>
      <c r="AL576" s="114"/>
      <c r="AM576" s="114"/>
      <c r="AN576" s="114"/>
      <c r="AO576" s="114"/>
      <c r="AP576" s="114"/>
      <c r="AQ576" s="114"/>
      <c r="AR576" s="114"/>
    </row>
    <row r="577" ht="14.25" spans="1:44">
      <c r="A577" s="114"/>
      <c r="B577" s="114"/>
      <c r="C577" s="114"/>
      <c r="D577" s="114" t="s">
        <v>3154</v>
      </c>
      <c r="E577" s="221" t="s">
        <v>3155</v>
      </c>
      <c r="F577" s="153">
        <v>43479</v>
      </c>
      <c r="G577" s="152">
        <f t="shared" si="13"/>
        <v>3479</v>
      </c>
      <c r="H577" s="222" t="s">
        <v>3156</v>
      </c>
      <c r="I577" s="123" t="s">
        <v>3157</v>
      </c>
      <c r="J577" s="33">
        <v>275</v>
      </c>
      <c r="K577" s="114"/>
      <c r="L577" s="114"/>
      <c r="M577" s="114"/>
      <c r="N577" s="124"/>
      <c r="O577" s="114"/>
      <c r="P577" s="124"/>
      <c r="Q577" s="114"/>
      <c r="R577" s="124"/>
      <c r="S577" s="114"/>
      <c r="T577" s="114"/>
      <c r="U577" s="114"/>
      <c r="V577" s="114"/>
      <c r="W577" s="114"/>
      <c r="X577" s="114"/>
      <c r="Y577" s="114"/>
      <c r="Z577" s="164" t="s">
        <v>3142</v>
      </c>
      <c r="AA577" s="114"/>
      <c r="AB577" s="114"/>
      <c r="AC577" s="114"/>
      <c r="AD577" s="114"/>
      <c r="AE577" s="114"/>
      <c r="AF577" s="114"/>
      <c r="AG577" s="114"/>
      <c r="AH577" s="114"/>
      <c r="AI577" s="114"/>
      <c r="AJ577" s="114"/>
      <c r="AK577" s="114"/>
      <c r="AL577" s="114"/>
      <c r="AM577" s="114"/>
      <c r="AN577" s="114"/>
      <c r="AO577" s="114"/>
      <c r="AP577" s="114"/>
      <c r="AQ577" s="114"/>
      <c r="AR577" s="114"/>
    </row>
    <row r="578" ht="14.25" spans="1:44">
      <c r="A578" s="114"/>
      <c r="B578" s="114"/>
      <c r="C578" s="114"/>
      <c r="D578" s="114" t="s">
        <v>299</v>
      </c>
      <c r="E578" s="221" t="s">
        <v>3158</v>
      </c>
      <c r="F578" s="153">
        <v>43217</v>
      </c>
      <c r="G578" s="152">
        <f t="shared" si="13"/>
        <v>3217</v>
      </c>
      <c r="H578" s="221" t="s">
        <v>3159</v>
      </c>
      <c r="I578" s="123" t="s">
        <v>3160</v>
      </c>
      <c r="J578" s="33">
        <v>328</v>
      </c>
      <c r="K578" s="114"/>
      <c r="L578" s="114"/>
      <c r="M578" s="114"/>
      <c r="N578" s="124"/>
      <c r="O578" s="114"/>
      <c r="P578" s="124"/>
      <c r="Q578" s="114"/>
      <c r="R578" s="124"/>
      <c r="S578" s="114"/>
      <c r="T578" s="114"/>
      <c r="U578" s="114"/>
      <c r="V578" s="114"/>
      <c r="W578" s="114"/>
      <c r="X578" s="114"/>
      <c r="Y578" s="114"/>
      <c r="Z578" s="164" t="s">
        <v>3142</v>
      </c>
      <c r="AA578" s="114"/>
      <c r="AB578" s="114"/>
      <c r="AC578" s="114"/>
      <c r="AD578" s="114"/>
      <c r="AE578" s="114"/>
      <c r="AF578" s="114"/>
      <c r="AG578" s="114"/>
      <c r="AH578" s="114"/>
      <c r="AI578" s="114"/>
      <c r="AJ578" s="114"/>
      <c r="AK578" s="114"/>
      <c r="AL578" s="114"/>
      <c r="AM578" s="114"/>
      <c r="AN578" s="114"/>
      <c r="AO578" s="114"/>
      <c r="AP578" s="114"/>
      <c r="AQ578" s="114"/>
      <c r="AR578" s="114"/>
    </row>
    <row r="579" ht="14.25" spans="1:44">
      <c r="A579" s="114"/>
      <c r="B579" s="114"/>
      <c r="C579" s="114"/>
      <c r="D579" s="114" t="s">
        <v>299</v>
      </c>
      <c r="E579" s="221" t="s">
        <v>3161</v>
      </c>
      <c r="F579" s="153">
        <v>43622</v>
      </c>
      <c r="G579" s="152">
        <f t="shared" si="13"/>
        <v>3622</v>
      </c>
      <c r="H579" s="221" t="s">
        <v>3162</v>
      </c>
      <c r="I579" s="123" t="s">
        <v>3163</v>
      </c>
      <c r="J579" s="33">
        <v>128</v>
      </c>
      <c r="K579" s="114"/>
      <c r="L579" s="114"/>
      <c r="M579" s="114"/>
      <c r="N579" s="124"/>
      <c r="O579" s="114"/>
      <c r="P579" s="124"/>
      <c r="Q579" s="114"/>
      <c r="R579" s="124"/>
      <c r="S579" s="114"/>
      <c r="T579" s="114"/>
      <c r="U579" s="114"/>
      <c r="V579" s="114"/>
      <c r="W579" s="114"/>
      <c r="X579" s="114"/>
      <c r="Y579" s="114"/>
      <c r="Z579" s="164" t="s">
        <v>3142</v>
      </c>
      <c r="AA579" s="114"/>
      <c r="AB579" s="114"/>
      <c r="AC579" s="114"/>
      <c r="AD579" s="114"/>
      <c r="AE579" s="114"/>
      <c r="AF579" s="114"/>
      <c r="AG579" s="114"/>
      <c r="AH579" s="114"/>
      <c r="AI579" s="114"/>
      <c r="AJ579" s="114"/>
      <c r="AK579" s="114"/>
      <c r="AL579" s="114"/>
      <c r="AM579" s="114"/>
      <c r="AN579" s="114"/>
      <c r="AO579" s="114"/>
      <c r="AP579" s="114"/>
      <c r="AQ579" s="114"/>
      <c r="AR579" s="114"/>
    </row>
    <row r="580" ht="14.25" spans="1:44">
      <c r="A580" s="114"/>
      <c r="B580" s="114"/>
      <c r="C580" s="114"/>
      <c r="D580" s="114" t="s">
        <v>3164</v>
      </c>
      <c r="E580" s="221" t="s">
        <v>3165</v>
      </c>
      <c r="F580" s="153">
        <v>40713</v>
      </c>
      <c r="G580" s="152">
        <f t="shared" si="13"/>
        <v>713</v>
      </c>
      <c r="H580" s="222" t="s">
        <v>3166</v>
      </c>
      <c r="I580" s="123" t="s">
        <v>4438</v>
      </c>
      <c r="J580" s="33">
        <v>495</v>
      </c>
      <c r="K580" s="114"/>
      <c r="L580" s="114"/>
      <c r="M580" s="114"/>
      <c r="N580" s="124"/>
      <c r="O580" s="114"/>
      <c r="P580" s="124"/>
      <c r="Q580" s="114"/>
      <c r="R580" s="124"/>
      <c r="S580" s="114"/>
      <c r="T580" s="114"/>
      <c r="U580" s="114"/>
      <c r="V580" s="114"/>
      <c r="W580" s="114"/>
      <c r="X580" s="114"/>
      <c r="Y580" s="114"/>
      <c r="Z580" s="164" t="s">
        <v>3142</v>
      </c>
      <c r="AA580" s="114"/>
      <c r="AB580" s="114"/>
      <c r="AC580" s="114"/>
      <c r="AD580" s="114"/>
      <c r="AE580" s="114"/>
      <c r="AF580" s="114"/>
      <c r="AG580" s="114"/>
      <c r="AH580" s="114"/>
      <c r="AI580" s="114"/>
      <c r="AJ580" s="114"/>
      <c r="AK580" s="114"/>
      <c r="AL580" s="114"/>
      <c r="AM580" s="114"/>
      <c r="AN580" s="114"/>
      <c r="AO580" s="114"/>
      <c r="AP580" s="114"/>
      <c r="AQ580" s="114"/>
      <c r="AR580" s="114"/>
    </row>
    <row r="581" ht="14.25" spans="1:44">
      <c r="A581" s="114"/>
      <c r="B581" s="114"/>
      <c r="C581" s="114"/>
      <c r="D581" s="114" t="s">
        <v>400</v>
      </c>
      <c r="E581" s="221" t="s">
        <v>3168</v>
      </c>
      <c r="F581" s="153">
        <v>42762</v>
      </c>
      <c r="G581" s="152">
        <f t="shared" si="13"/>
        <v>2762</v>
      </c>
      <c r="H581" s="222" t="s">
        <v>3169</v>
      </c>
      <c r="I581" s="123" t="s">
        <v>3170</v>
      </c>
      <c r="J581" s="33">
        <v>830</v>
      </c>
      <c r="K581" s="114"/>
      <c r="L581" s="114"/>
      <c r="M581" s="114"/>
      <c r="N581" s="124"/>
      <c r="O581" s="114"/>
      <c r="P581" s="124"/>
      <c r="Q581" s="114"/>
      <c r="R581" s="124"/>
      <c r="S581" s="114"/>
      <c r="T581" s="114"/>
      <c r="U581" s="114"/>
      <c r="V581" s="114"/>
      <c r="W581" s="114"/>
      <c r="X581" s="114"/>
      <c r="Y581" s="114"/>
      <c r="Z581" s="164" t="s">
        <v>3142</v>
      </c>
      <c r="AA581" s="114"/>
      <c r="AB581" s="114"/>
      <c r="AC581" s="114"/>
      <c r="AD581" s="114"/>
      <c r="AE581" s="114"/>
      <c r="AF581" s="114"/>
      <c r="AG581" s="114"/>
      <c r="AH581" s="114"/>
      <c r="AI581" s="114"/>
      <c r="AJ581" s="114"/>
      <c r="AK581" s="114"/>
      <c r="AL581" s="114"/>
      <c r="AM581" s="114"/>
      <c r="AN581" s="114"/>
      <c r="AO581" s="114"/>
      <c r="AP581" s="114"/>
      <c r="AQ581" s="114"/>
      <c r="AR581" s="114"/>
    </row>
    <row r="582" ht="14.25" spans="1:44">
      <c r="A582" s="114"/>
      <c r="B582" s="114"/>
      <c r="C582" s="114"/>
      <c r="D582" s="114" t="s">
        <v>97</v>
      </c>
      <c r="E582" s="221" t="s">
        <v>3171</v>
      </c>
      <c r="F582" s="154">
        <v>43282</v>
      </c>
      <c r="G582" s="152">
        <f t="shared" si="13"/>
        <v>3282</v>
      </c>
      <c r="H582" s="252" t="s">
        <v>3172</v>
      </c>
      <c r="I582" s="123" t="s">
        <v>4439</v>
      </c>
      <c r="J582" s="33">
        <v>53</v>
      </c>
      <c r="K582" s="114"/>
      <c r="L582" s="114"/>
      <c r="M582" s="114"/>
      <c r="N582" s="124"/>
      <c r="O582" s="114"/>
      <c r="P582" s="124"/>
      <c r="Q582" s="114"/>
      <c r="R582" s="124"/>
      <c r="S582" s="114"/>
      <c r="T582" s="114"/>
      <c r="U582" s="114"/>
      <c r="V582" s="114"/>
      <c r="W582" s="114"/>
      <c r="X582" s="114"/>
      <c r="Y582" s="114"/>
      <c r="Z582" s="164" t="s">
        <v>3142</v>
      </c>
      <c r="AA582" s="114"/>
      <c r="AB582" s="114"/>
      <c r="AC582" s="114"/>
      <c r="AD582" s="114"/>
      <c r="AE582" s="114"/>
      <c r="AF582" s="114"/>
      <c r="AG582" s="114"/>
      <c r="AH582" s="114"/>
      <c r="AI582" s="114"/>
      <c r="AJ582" s="114"/>
      <c r="AK582" s="114"/>
      <c r="AL582" s="114"/>
      <c r="AM582" s="114"/>
      <c r="AN582" s="114"/>
      <c r="AO582" s="114"/>
      <c r="AP582" s="114"/>
      <c r="AQ582" s="114"/>
      <c r="AR582" s="114"/>
    </row>
    <row r="583" ht="14.25" spans="1:44">
      <c r="A583" s="114"/>
      <c r="B583" s="114"/>
      <c r="C583" s="114"/>
      <c r="D583" s="114" t="s">
        <v>3174</v>
      </c>
      <c r="E583" s="221" t="s">
        <v>3175</v>
      </c>
      <c r="F583" s="153">
        <v>43376</v>
      </c>
      <c r="G583" s="152">
        <f t="shared" si="13"/>
        <v>3376</v>
      </c>
      <c r="H583" s="221" t="s">
        <v>3176</v>
      </c>
      <c r="I583" s="123" t="s">
        <v>3177</v>
      </c>
      <c r="J583" s="33">
        <v>590</v>
      </c>
      <c r="K583" s="114"/>
      <c r="L583" s="114"/>
      <c r="M583" s="114"/>
      <c r="N583" s="124"/>
      <c r="O583" s="114"/>
      <c r="P583" s="124"/>
      <c r="Q583" s="114"/>
      <c r="R583" s="124"/>
      <c r="S583" s="114"/>
      <c r="T583" s="114"/>
      <c r="U583" s="114"/>
      <c r="V583" s="114"/>
      <c r="W583" s="114"/>
      <c r="X583" s="114"/>
      <c r="Y583" s="114"/>
      <c r="Z583" s="164" t="s">
        <v>3142</v>
      </c>
      <c r="AA583" s="114"/>
      <c r="AB583" s="114"/>
      <c r="AC583" s="114"/>
      <c r="AD583" s="114"/>
      <c r="AE583" s="114"/>
      <c r="AF583" s="114"/>
      <c r="AG583" s="114"/>
      <c r="AH583" s="114"/>
      <c r="AI583" s="114"/>
      <c r="AJ583" s="114"/>
      <c r="AK583" s="114"/>
      <c r="AL583" s="114"/>
      <c r="AM583" s="114"/>
      <c r="AN583" s="114"/>
      <c r="AO583" s="114"/>
      <c r="AP583" s="114"/>
      <c r="AQ583" s="114"/>
      <c r="AR583" s="114"/>
    </row>
    <row r="584" ht="14.25" spans="1:44">
      <c r="A584" s="114"/>
      <c r="B584" s="114"/>
      <c r="C584" s="114"/>
      <c r="D584" s="114" t="s">
        <v>400</v>
      </c>
      <c r="E584" s="221" t="s">
        <v>3178</v>
      </c>
      <c r="F584" s="153">
        <v>42941</v>
      </c>
      <c r="G584" s="152">
        <f t="shared" si="13"/>
        <v>2941</v>
      </c>
      <c r="H584" s="221" t="s">
        <v>3179</v>
      </c>
      <c r="I584" s="123" t="s">
        <v>3180</v>
      </c>
      <c r="J584" s="33">
        <v>2532</v>
      </c>
      <c r="K584" s="114"/>
      <c r="L584" s="114"/>
      <c r="M584" s="114"/>
      <c r="N584" s="124"/>
      <c r="O584" s="114"/>
      <c r="P584" s="124"/>
      <c r="Q584" s="114"/>
      <c r="R584" s="124"/>
      <c r="S584" s="114"/>
      <c r="T584" s="114"/>
      <c r="U584" s="114"/>
      <c r="V584" s="114"/>
      <c r="W584" s="114"/>
      <c r="X584" s="114"/>
      <c r="Y584" s="114"/>
      <c r="Z584" s="164" t="s">
        <v>3142</v>
      </c>
      <c r="AA584" s="114"/>
      <c r="AB584" s="114"/>
      <c r="AC584" s="114"/>
      <c r="AD584" s="114"/>
      <c r="AE584" s="114"/>
      <c r="AF584" s="114"/>
      <c r="AG584" s="114"/>
      <c r="AH584" s="114"/>
      <c r="AI584" s="114"/>
      <c r="AJ584" s="114"/>
      <c r="AK584" s="114"/>
      <c r="AL584" s="114"/>
      <c r="AM584" s="114"/>
      <c r="AN584" s="114"/>
      <c r="AO584" s="114"/>
      <c r="AP584" s="114"/>
      <c r="AQ584" s="114"/>
      <c r="AR584" s="114"/>
    </row>
    <row r="585" ht="14.25" spans="1:44">
      <c r="A585" s="114"/>
      <c r="B585" s="114"/>
      <c r="C585" s="114"/>
      <c r="D585" s="114" t="s">
        <v>3181</v>
      </c>
      <c r="E585" s="221" t="s">
        <v>3182</v>
      </c>
      <c r="F585" s="114">
        <v>2018</v>
      </c>
      <c r="G585" s="152">
        <f t="shared" si="13"/>
        <v>2018</v>
      </c>
      <c r="H585" s="222" t="s">
        <v>3183</v>
      </c>
      <c r="I585" s="123" t="s">
        <v>3184</v>
      </c>
      <c r="J585" s="33">
        <v>91</v>
      </c>
      <c r="K585" s="114"/>
      <c r="L585" s="114"/>
      <c r="M585" s="114"/>
      <c r="N585" s="124"/>
      <c r="O585" s="114"/>
      <c r="P585" s="124"/>
      <c r="Q585" s="114"/>
      <c r="R585" s="124"/>
      <c r="S585" s="114"/>
      <c r="T585" s="114"/>
      <c r="U585" s="114"/>
      <c r="V585" s="114"/>
      <c r="W585" s="114"/>
      <c r="X585" s="114"/>
      <c r="Y585" s="114"/>
      <c r="Z585" s="164" t="s">
        <v>3142</v>
      </c>
      <c r="AA585" s="114"/>
      <c r="AB585" s="114"/>
      <c r="AC585" s="114"/>
      <c r="AD585" s="114"/>
      <c r="AE585" s="114"/>
      <c r="AF585" s="114"/>
      <c r="AG585" s="114"/>
      <c r="AH585" s="114"/>
      <c r="AI585" s="114"/>
      <c r="AJ585" s="114"/>
      <c r="AK585" s="114"/>
      <c r="AL585" s="114"/>
      <c r="AM585" s="114"/>
      <c r="AN585" s="114"/>
      <c r="AO585" s="114"/>
      <c r="AP585" s="114"/>
      <c r="AQ585" s="114"/>
      <c r="AR585" s="114"/>
    </row>
    <row r="586" ht="14.25" spans="1:44">
      <c r="A586" s="114"/>
      <c r="B586" s="114"/>
      <c r="C586" s="114"/>
      <c r="D586" s="114" t="s">
        <v>393</v>
      </c>
      <c r="E586" s="221" t="s">
        <v>3185</v>
      </c>
      <c r="F586" s="153">
        <v>43660</v>
      </c>
      <c r="G586" s="152">
        <f t="shared" si="13"/>
        <v>3660</v>
      </c>
      <c r="H586" s="221" t="s">
        <v>3186</v>
      </c>
      <c r="I586" s="123" t="s">
        <v>3187</v>
      </c>
      <c r="J586" s="33">
        <v>71</v>
      </c>
      <c r="K586" s="114"/>
      <c r="L586" s="114"/>
      <c r="M586" s="114"/>
      <c r="N586" s="124"/>
      <c r="O586" s="114"/>
      <c r="P586" s="124"/>
      <c r="Q586" s="114"/>
      <c r="R586" s="124"/>
      <c r="S586" s="114"/>
      <c r="T586" s="114"/>
      <c r="U586" s="114"/>
      <c r="V586" s="114"/>
      <c r="W586" s="114"/>
      <c r="X586" s="114"/>
      <c r="Y586" s="114"/>
      <c r="Z586" s="164" t="s">
        <v>3142</v>
      </c>
      <c r="AA586" s="114"/>
      <c r="AB586" s="114"/>
      <c r="AC586" s="114"/>
      <c r="AD586" s="114"/>
      <c r="AE586" s="114"/>
      <c r="AF586" s="114"/>
      <c r="AG586" s="114"/>
      <c r="AH586" s="114"/>
      <c r="AI586" s="114"/>
      <c r="AJ586" s="114"/>
      <c r="AK586" s="114"/>
      <c r="AL586" s="114"/>
      <c r="AM586" s="114"/>
      <c r="AN586" s="114"/>
      <c r="AO586" s="114"/>
      <c r="AP586" s="114"/>
      <c r="AQ586" s="114"/>
      <c r="AR586" s="114"/>
    </row>
    <row r="587" ht="14.25" spans="1:44">
      <c r="A587" s="114"/>
      <c r="B587" s="114"/>
      <c r="C587" s="114"/>
      <c r="D587" s="114" t="s">
        <v>1822</v>
      </c>
      <c r="E587" s="221" t="s">
        <v>3188</v>
      </c>
      <c r="F587" s="153">
        <v>42635</v>
      </c>
      <c r="G587" s="152">
        <f t="shared" si="13"/>
        <v>2635</v>
      </c>
      <c r="H587" s="221" t="s">
        <v>3189</v>
      </c>
      <c r="I587" s="123" t="s">
        <v>3190</v>
      </c>
      <c r="J587" s="33">
        <v>548</v>
      </c>
      <c r="K587" s="114"/>
      <c r="L587" s="114"/>
      <c r="M587" s="114"/>
      <c r="N587" s="124"/>
      <c r="O587" s="114"/>
      <c r="P587" s="124"/>
      <c r="Q587" s="114"/>
      <c r="R587" s="124"/>
      <c r="S587" s="114"/>
      <c r="T587" s="114"/>
      <c r="U587" s="114"/>
      <c r="V587" s="114"/>
      <c r="W587" s="114"/>
      <c r="X587" s="114"/>
      <c r="Y587" s="114"/>
      <c r="Z587" s="164" t="s">
        <v>3142</v>
      </c>
      <c r="AA587" s="114"/>
      <c r="AB587" s="114"/>
      <c r="AC587" s="114"/>
      <c r="AD587" s="114"/>
      <c r="AE587" s="114"/>
      <c r="AF587" s="114"/>
      <c r="AG587" s="114"/>
      <c r="AH587" s="114"/>
      <c r="AI587" s="114"/>
      <c r="AJ587" s="114"/>
      <c r="AK587" s="114"/>
      <c r="AL587" s="114"/>
      <c r="AM587" s="114"/>
      <c r="AN587" s="114"/>
      <c r="AO587" s="114"/>
      <c r="AP587" s="114"/>
      <c r="AQ587" s="114"/>
      <c r="AR587" s="114"/>
    </row>
    <row r="588" ht="14.25" spans="1:44">
      <c r="A588" s="114"/>
      <c r="B588" s="114"/>
      <c r="C588" s="114"/>
      <c r="D588" s="114" t="s">
        <v>3164</v>
      </c>
      <c r="E588" s="221" t="s">
        <v>3191</v>
      </c>
      <c r="F588" s="114">
        <v>2007</v>
      </c>
      <c r="G588" s="152">
        <f t="shared" si="13"/>
        <v>2007</v>
      </c>
      <c r="H588" s="222" t="s">
        <v>3192</v>
      </c>
      <c r="I588" s="123" t="s">
        <v>4440</v>
      </c>
      <c r="J588" s="33">
        <v>742</v>
      </c>
      <c r="K588" s="114"/>
      <c r="L588" s="114"/>
      <c r="M588" s="114"/>
      <c r="N588" s="124"/>
      <c r="O588" s="114"/>
      <c r="P588" s="124"/>
      <c r="Q588" s="114"/>
      <c r="R588" s="124"/>
      <c r="S588" s="114"/>
      <c r="T588" s="114"/>
      <c r="U588" s="114"/>
      <c r="V588" s="114"/>
      <c r="W588" s="114"/>
      <c r="X588" s="114"/>
      <c r="Y588" s="114"/>
      <c r="Z588" s="164" t="s">
        <v>3142</v>
      </c>
      <c r="AA588" s="114"/>
      <c r="AB588" s="114"/>
      <c r="AC588" s="114"/>
      <c r="AD588" s="114"/>
      <c r="AE588" s="114"/>
      <c r="AF588" s="114"/>
      <c r="AG588" s="114"/>
      <c r="AH588" s="114"/>
      <c r="AI588" s="114"/>
      <c r="AJ588" s="114"/>
      <c r="AK588" s="114"/>
      <c r="AL588" s="114"/>
      <c r="AM588" s="114"/>
      <c r="AN588" s="114"/>
      <c r="AO588" s="114"/>
      <c r="AP588" s="114"/>
      <c r="AQ588" s="114"/>
      <c r="AR588" s="114"/>
    </row>
    <row r="589" ht="14.25" spans="1:44">
      <c r="A589" s="114"/>
      <c r="B589" s="114"/>
      <c r="C589" s="114"/>
      <c r="D589" s="114" t="s">
        <v>3194</v>
      </c>
      <c r="E589" s="221" t="s">
        <v>3195</v>
      </c>
      <c r="F589" s="153">
        <v>44495</v>
      </c>
      <c r="G589" s="152">
        <f t="shared" si="13"/>
        <v>4495</v>
      </c>
      <c r="H589" s="221" t="s">
        <v>3196</v>
      </c>
      <c r="I589" s="123" t="s">
        <v>3197</v>
      </c>
      <c r="J589" s="33">
        <v>741</v>
      </c>
      <c r="K589" s="114"/>
      <c r="L589" s="114"/>
      <c r="M589" s="114"/>
      <c r="N589" s="124"/>
      <c r="O589" s="114"/>
      <c r="P589" s="124"/>
      <c r="Q589" s="114"/>
      <c r="R589" s="124"/>
      <c r="S589" s="114"/>
      <c r="T589" s="114"/>
      <c r="U589" s="114"/>
      <c r="V589" s="114"/>
      <c r="W589" s="114"/>
      <c r="X589" s="114"/>
      <c r="Y589" s="114"/>
      <c r="Z589" s="164" t="s">
        <v>3142</v>
      </c>
      <c r="AA589" s="114"/>
      <c r="AB589" s="114"/>
      <c r="AC589" s="114"/>
      <c r="AD589" s="114"/>
      <c r="AE589" s="114"/>
      <c r="AF589" s="114"/>
      <c r="AG589" s="114"/>
      <c r="AH589" s="114"/>
      <c r="AI589" s="114"/>
      <c r="AJ589" s="114"/>
      <c r="AK589" s="114"/>
      <c r="AL589" s="114"/>
      <c r="AM589" s="114"/>
      <c r="AN589" s="114"/>
      <c r="AO589" s="114"/>
      <c r="AP589" s="114"/>
      <c r="AQ589" s="114"/>
      <c r="AR589" s="114"/>
    </row>
    <row r="590" ht="14.25" spans="1:44">
      <c r="A590" s="114"/>
      <c r="B590" s="114"/>
      <c r="C590" s="114"/>
      <c r="D590" s="114" t="s">
        <v>3198</v>
      </c>
      <c r="E590" s="221" t="s">
        <v>3199</v>
      </c>
      <c r="F590" s="153">
        <v>44092</v>
      </c>
      <c r="G590" s="152">
        <f t="shared" si="13"/>
        <v>4092</v>
      </c>
      <c r="H590" s="221" t="s">
        <v>3200</v>
      </c>
      <c r="I590" s="123" t="s">
        <v>3201</v>
      </c>
      <c r="J590" s="33">
        <v>56</v>
      </c>
      <c r="K590" s="114"/>
      <c r="L590" s="114"/>
      <c r="M590" s="114"/>
      <c r="N590" s="124"/>
      <c r="O590" s="114"/>
      <c r="P590" s="124"/>
      <c r="Q590" s="114"/>
      <c r="R590" s="124"/>
      <c r="S590" s="114"/>
      <c r="T590" s="114"/>
      <c r="U590" s="114"/>
      <c r="V590" s="114"/>
      <c r="W590" s="114"/>
      <c r="X590" s="114"/>
      <c r="Y590" s="114"/>
      <c r="Z590" s="164" t="s">
        <v>3142</v>
      </c>
      <c r="AA590" s="114"/>
      <c r="AB590" s="114"/>
      <c r="AC590" s="114"/>
      <c r="AD590" s="114"/>
      <c r="AE590" s="114"/>
      <c r="AF590" s="114"/>
      <c r="AG590" s="114"/>
      <c r="AH590" s="114"/>
      <c r="AI590" s="114"/>
      <c r="AJ590" s="114"/>
      <c r="AK590" s="114"/>
      <c r="AL590" s="114"/>
      <c r="AM590" s="114"/>
      <c r="AN590" s="114"/>
      <c r="AO590" s="114"/>
      <c r="AP590" s="114"/>
      <c r="AQ590" s="114"/>
      <c r="AR590" s="114"/>
    </row>
    <row r="591" ht="14.25" spans="1:44">
      <c r="A591" s="114"/>
      <c r="B591" s="114"/>
      <c r="C591" s="114"/>
      <c r="D591" s="114" t="s">
        <v>3202</v>
      </c>
      <c r="E591" s="221" t="s">
        <v>3203</v>
      </c>
      <c r="F591" s="153">
        <v>43950</v>
      </c>
      <c r="G591" s="152">
        <f t="shared" si="13"/>
        <v>3950</v>
      </c>
      <c r="H591" s="222" t="s">
        <v>3204</v>
      </c>
      <c r="I591" s="123" t="s">
        <v>3205</v>
      </c>
      <c r="J591" s="33">
        <v>48</v>
      </c>
      <c r="K591" s="114"/>
      <c r="L591" s="114"/>
      <c r="M591" s="114"/>
      <c r="N591" s="124"/>
      <c r="O591" s="114"/>
      <c r="P591" s="124"/>
      <c r="Q591" s="114"/>
      <c r="R591" s="124"/>
      <c r="S591" s="114"/>
      <c r="T591" s="114"/>
      <c r="U591" s="114"/>
      <c r="V591" s="114"/>
      <c r="W591" s="114"/>
      <c r="X591" s="114"/>
      <c r="Y591" s="114"/>
      <c r="Z591" s="164" t="s">
        <v>3142</v>
      </c>
      <c r="AA591" s="114"/>
      <c r="AB591" s="114"/>
      <c r="AC591" s="114"/>
      <c r="AD591" s="114"/>
      <c r="AE591" s="114"/>
      <c r="AF591" s="114"/>
      <c r="AG591" s="114"/>
      <c r="AH591" s="114"/>
      <c r="AI591" s="114"/>
      <c r="AJ591" s="114"/>
      <c r="AK591" s="114"/>
      <c r="AL591" s="114"/>
      <c r="AM591" s="114"/>
      <c r="AN591" s="114"/>
      <c r="AO591" s="114"/>
      <c r="AP591" s="114"/>
      <c r="AQ591" s="114"/>
      <c r="AR591" s="114"/>
    </row>
    <row r="592" ht="14.25" spans="1:44">
      <c r="A592" s="114"/>
      <c r="B592" s="114"/>
      <c r="C592" s="114"/>
      <c r="D592" s="114" t="s">
        <v>3206</v>
      </c>
      <c r="E592" s="221" t="s">
        <v>3207</v>
      </c>
      <c r="F592" s="153">
        <v>44200</v>
      </c>
      <c r="G592" s="152">
        <f t="shared" si="13"/>
        <v>4200</v>
      </c>
      <c r="H592" s="253" t="s">
        <v>3208</v>
      </c>
      <c r="I592" s="123" t="s">
        <v>3209</v>
      </c>
      <c r="J592" s="33">
        <v>220</v>
      </c>
      <c r="K592" s="114"/>
      <c r="L592" s="114"/>
      <c r="M592" s="114"/>
      <c r="N592" s="124"/>
      <c r="O592" s="114"/>
      <c r="P592" s="124"/>
      <c r="Q592" s="114"/>
      <c r="R592" s="124"/>
      <c r="S592" s="114"/>
      <c r="T592" s="114"/>
      <c r="U592" s="114"/>
      <c r="V592" s="114"/>
      <c r="W592" s="114"/>
      <c r="X592" s="114"/>
      <c r="Y592" s="114"/>
      <c r="Z592" s="164" t="s">
        <v>3142</v>
      </c>
      <c r="AA592" s="114"/>
      <c r="AB592" s="114"/>
      <c r="AC592" s="114"/>
      <c r="AD592" s="114"/>
      <c r="AE592" s="114"/>
      <c r="AF592" s="114"/>
      <c r="AG592" s="114"/>
      <c r="AH592" s="114"/>
      <c r="AI592" s="114"/>
      <c r="AJ592" s="114"/>
      <c r="AK592" s="114"/>
      <c r="AL592" s="114"/>
      <c r="AM592" s="114"/>
      <c r="AN592" s="114"/>
      <c r="AO592" s="114"/>
      <c r="AP592" s="114"/>
      <c r="AQ592" s="114"/>
      <c r="AR592" s="114"/>
    </row>
    <row r="593" ht="14.25" spans="1:44">
      <c r="A593" s="114"/>
      <c r="B593" s="114"/>
      <c r="C593" s="114"/>
      <c r="D593" s="114" t="s">
        <v>3164</v>
      </c>
      <c r="E593" s="221" t="s">
        <v>3210</v>
      </c>
      <c r="F593" s="153">
        <v>43727</v>
      </c>
      <c r="G593" s="152">
        <f t="shared" si="13"/>
        <v>3727</v>
      </c>
      <c r="H593" s="252" t="s">
        <v>3211</v>
      </c>
      <c r="I593" s="123" t="s">
        <v>3212</v>
      </c>
      <c r="J593" s="33" t="s">
        <v>3213</v>
      </c>
      <c r="K593" s="114"/>
      <c r="L593" s="114"/>
      <c r="M593" s="114"/>
      <c r="N593" s="124"/>
      <c r="O593" s="114"/>
      <c r="P593" s="124"/>
      <c r="Q593" s="114"/>
      <c r="R593" s="124"/>
      <c r="S593" s="114"/>
      <c r="T593" s="114"/>
      <c r="U593" s="114"/>
      <c r="V593" s="114"/>
      <c r="W593" s="114"/>
      <c r="X593" s="114"/>
      <c r="Y593" s="114"/>
      <c r="Z593" s="164" t="s">
        <v>3142</v>
      </c>
      <c r="AA593" s="114"/>
      <c r="AB593" s="114"/>
      <c r="AC593" s="114"/>
      <c r="AD593" s="114"/>
      <c r="AE593" s="114"/>
      <c r="AF593" s="114"/>
      <c r="AG593" s="114"/>
      <c r="AH593" s="114"/>
      <c r="AI593" s="114"/>
      <c r="AJ593" s="114"/>
      <c r="AK593" s="114"/>
      <c r="AL593" s="114"/>
      <c r="AM593" s="114"/>
      <c r="AN593" s="114"/>
      <c r="AO593" s="114"/>
      <c r="AP593" s="114"/>
      <c r="AQ593" s="114"/>
      <c r="AR593" s="114"/>
    </row>
    <row r="594" ht="14.25" spans="1:44">
      <c r="A594" s="114"/>
      <c r="B594" s="114"/>
      <c r="C594" s="114"/>
      <c r="D594" s="114" t="s">
        <v>435</v>
      </c>
      <c r="E594" s="221" t="s">
        <v>3214</v>
      </c>
      <c r="F594" s="153">
        <v>43661</v>
      </c>
      <c r="G594" s="152">
        <f t="shared" si="13"/>
        <v>3661</v>
      </c>
      <c r="H594" s="221" t="s">
        <v>3215</v>
      </c>
      <c r="I594" s="123" t="s">
        <v>3216</v>
      </c>
      <c r="J594" s="33" t="s">
        <v>3213</v>
      </c>
      <c r="K594" s="114"/>
      <c r="L594" s="114"/>
      <c r="M594" s="114"/>
      <c r="N594" s="124"/>
      <c r="O594" s="114"/>
      <c r="P594" s="124"/>
      <c r="Q594" s="114"/>
      <c r="R594" s="124"/>
      <c r="S594" s="114"/>
      <c r="T594" s="114"/>
      <c r="U594" s="114"/>
      <c r="V594" s="114"/>
      <c r="W594" s="114"/>
      <c r="X594" s="114"/>
      <c r="Y594" s="114"/>
      <c r="Z594" s="164" t="s">
        <v>3142</v>
      </c>
      <c r="AA594" s="114"/>
      <c r="AB594" s="114"/>
      <c r="AC594" s="114"/>
      <c r="AD594" s="114"/>
      <c r="AE594" s="114"/>
      <c r="AF594" s="114"/>
      <c r="AG594" s="114"/>
      <c r="AH594" s="114"/>
      <c r="AI594" s="114"/>
      <c r="AJ594" s="114"/>
      <c r="AK594" s="114"/>
      <c r="AL594" s="114"/>
      <c r="AM594" s="114"/>
      <c r="AN594" s="114"/>
      <c r="AO594" s="114"/>
      <c r="AP594" s="114"/>
      <c r="AQ594" s="114"/>
      <c r="AR594" s="114"/>
    </row>
    <row r="595" ht="14.25" spans="1:44">
      <c r="A595" s="114"/>
      <c r="B595" s="114"/>
      <c r="C595" s="114"/>
      <c r="D595" s="114" t="s">
        <v>3217</v>
      </c>
      <c r="E595" s="221" t="s">
        <v>3218</v>
      </c>
      <c r="F595" s="153">
        <v>43829</v>
      </c>
      <c r="G595" s="152">
        <f t="shared" si="13"/>
        <v>3829</v>
      </c>
      <c r="H595" s="222" t="s">
        <v>3219</v>
      </c>
      <c r="I595" s="123" t="s">
        <v>3220</v>
      </c>
      <c r="J595" s="33">
        <v>89</v>
      </c>
      <c r="K595" s="114"/>
      <c r="L595" s="114"/>
      <c r="M595" s="114"/>
      <c r="N595" s="124"/>
      <c r="O595" s="114"/>
      <c r="P595" s="124"/>
      <c r="Q595" s="114"/>
      <c r="R595" s="124"/>
      <c r="S595" s="114"/>
      <c r="T595" s="114"/>
      <c r="U595" s="114"/>
      <c r="V595" s="114"/>
      <c r="W595" s="114"/>
      <c r="X595" s="114"/>
      <c r="Y595" s="114"/>
      <c r="Z595" s="164" t="s">
        <v>3142</v>
      </c>
      <c r="AA595" s="114"/>
      <c r="AB595" s="114"/>
      <c r="AC595" s="114"/>
      <c r="AD595" s="114"/>
      <c r="AE595" s="114"/>
      <c r="AF595" s="114"/>
      <c r="AG595" s="114"/>
      <c r="AH595" s="114"/>
      <c r="AI595" s="114"/>
      <c r="AJ595" s="114"/>
      <c r="AK595" s="114"/>
      <c r="AL595" s="114"/>
      <c r="AM595" s="114"/>
      <c r="AN595" s="114"/>
      <c r="AO595" s="114"/>
      <c r="AP595" s="114"/>
      <c r="AQ595" s="114"/>
      <c r="AR595" s="114"/>
    </row>
    <row r="596" ht="14.25" spans="1:44">
      <c r="A596" s="114"/>
      <c r="B596" s="114"/>
      <c r="C596" s="114"/>
      <c r="D596" s="114" t="s">
        <v>3221</v>
      </c>
      <c r="E596" s="221" t="s">
        <v>3222</v>
      </c>
      <c r="F596" s="153">
        <v>43556</v>
      </c>
      <c r="G596" s="152">
        <f t="shared" si="13"/>
        <v>3556</v>
      </c>
      <c r="H596" s="222" t="s">
        <v>3223</v>
      </c>
      <c r="I596" s="123" t="s">
        <v>3224</v>
      </c>
      <c r="J596" s="33">
        <v>1201</v>
      </c>
      <c r="K596" s="114"/>
      <c r="L596" s="114"/>
      <c r="M596" s="114"/>
      <c r="N596" s="124"/>
      <c r="O596" s="114"/>
      <c r="P596" s="124"/>
      <c r="Q596" s="114"/>
      <c r="R596" s="124"/>
      <c r="S596" s="114"/>
      <c r="T596" s="114"/>
      <c r="U596" s="114"/>
      <c r="V596" s="114"/>
      <c r="W596" s="114"/>
      <c r="X596" s="114"/>
      <c r="Y596" s="114"/>
      <c r="Z596" s="164" t="s">
        <v>3142</v>
      </c>
      <c r="AA596" s="114"/>
      <c r="AB596" s="114"/>
      <c r="AC596" s="114"/>
      <c r="AD596" s="114"/>
      <c r="AE596" s="114"/>
      <c r="AF596" s="114"/>
      <c r="AG596" s="114"/>
      <c r="AH596" s="114"/>
      <c r="AI596" s="114"/>
      <c r="AJ596" s="114"/>
      <c r="AK596" s="114"/>
      <c r="AL596" s="114"/>
      <c r="AM596" s="114"/>
      <c r="AN596" s="114"/>
      <c r="AO596" s="114"/>
      <c r="AP596" s="114"/>
      <c r="AQ596" s="114"/>
      <c r="AR596" s="114"/>
    </row>
    <row r="597" ht="14.25" spans="1:44">
      <c r="A597" s="114"/>
      <c r="B597" s="114"/>
      <c r="C597" s="114"/>
      <c r="D597" s="114" t="s">
        <v>3225</v>
      </c>
      <c r="E597" s="221" t="s">
        <v>3226</v>
      </c>
      <c r="F597" s="153">
        <v>43347</v>
      </c>
      <c r="G597" s="152">
        <f t="shared" si="13"/>
        <v>3347</v>
      </c>
      <c r="H597" s="252" t="s">
        <v>3227</v>
      </c>
      <c r="I597" s="123" t="s">
        <v>3228</v>
      </c>
      <c r="J597" s="33">
        <v>395</v>
      </c>
      <c r="K597" s="114"/>
      <c r="L597" s="114"/>
      <c r="M597" s="114"/>
      <c r="N597" s="124"/>
      <c r="O597" s="114"/>
      <c r="P597" s="124"/>
      <c r="Q597" s="114"/>
      <c r="R597" s="124"/>
      <c r="S597" s="114"/>
      <c r="T597" s="114"/>
      <c r="U597" s="114"/>
      <c r="V597" s="114"/>
      <c r="W597" s="114"/>
      <c r="X597" s="114"/>
      <c r="Y597" s="114"/>
      <c r="Z597" s="164" t="s">
        <v>3142</v>
      </c>
      <c r="AA597" s="114"/>
      <c r="AB597" s="114"/>
      <c r="AC597" s="114"/>
      <c r="AD597" s="114"/>
      <c r="AE597" s="114"/>
      <c r="AF597" s="114"/>
      <c r="AG597" s="114"/>
      <c r="AH597" s="114"/>
      <c r="AI597" s="114"/>
      <c r="AJ597" s="114"/>
      <c r="AK597" s="114"/>
      <c r="AL597" s="114"/>
      <c r="AM597" s="114"/>
      <c r="AN597" s="114"/>
      <c r="AO597" s="114"/>
      <c r="AP597" s="114"/>
      <c r="AQ597" s="114"/>
      <c r="AR597" s="114"/>
    </row>
    <row r="598" ht="14.25" spans="1:44">
      <c r="A598" s="114"/>
      <c r="B598" s="114"/>
      <c r="C598" s="114"/>
      <c r="D598" s="114" t="s">
        <v>3229</v>
      </c>
      <c r="E598" s="221" t="s">
        <v>3230</v>
      </c>
      <c r="F598" s="153">
        <v>43355</v>
      </c>
      <c r="G598" s="152">
        <f t="shared" si="13"/>
        <v>3355</v>
      </c>
      <c r="H598" s="250" t="s">
        <v>3231</v>
      </c>
      <c r="I598" s="123" t="s">
        <v>3232</v>
      </c>
      <c r="J598" s="33">
        <v>836</v>
      </c>
      <c r="K598" s="114"/>
      <c r="L598" s="114"/>
      <c r="M598" s="114"/>
      <c r="N598" s="124"/>
      <c r="O598" s="114"/>
      <c r="P598" s="124"/>
      <c r="Q598" s="114"/>
      <c r="R598" s="124"/>
      <c r="S598" s="114"/>
      <c r="T598" s="114"/>
      <c r="U598" s="114"/>
      <c r="V598" s="114"/>
      <c r="W598" s="114"/>
      <c r="X598" s="114"/>
      <c r="Y598" s="114"/>
      <c r="Z598" s="164" t="s">
        <v>3142</v>
      </c>
      <c r="AA598" s="114"/>
      <c r="AB598" s="114"/>
      <c r="AC598" s="114"/>
      <c r="AD598" s="114"/>
      <c r="AE598" s="114"/>
      <c r="AF598" s="114"/>
      <c r="AG598" s="114"/>
      <c r="AH598" s="114"/>
      <c r="AI598" s="114"/>
      <c r="AJ598" s="114"/>
      <c r="AK598" s="114"/>
      <c r="AL598" s="114"/>
      <c r="AM598" s="114"/>
      <c r="AN598" s="114"/>
      <c r="AO598" s="114"/>
      <c r="AP598" s="114"/>
      <c r="AQ598" s="114"/>
      <c r="AR598" s="114"/>
    </row>
    <row r="599" ht="14.25" spans="1:44">
      <c r="A599" s="114"/>
      <c r="B599" s="114"/>
      <c r="C599" s="114"/>
      <c r="D599" s="114" t="s">
        <v>3233</v>
      </c>
      <c r="E599" s="221" t="s">
        <v>3234</v>
      </c>
      <c r="F599" s="114">
        <v>2006</v>
      </c>
      <c r="G599" s="152">
        <f t="shared" si="13"/>
        <v>2006</v>
      </c>
      <c r="H599" s="221" t="s">
        <v>3235</v>
      </c>
      <c r="I599" s="123" t="s">
        <v>3236</v>
      </c>
      <c r="J599" s="33">
        <v>2578</v>
      </c>
      <c r="K599" s="114"/>
      <c r="L599" s="114"/>
      <c r="M599" s="114"/>
      <c r="N599" s="124"/>
      <c r="O599" s="114"/>
      <c r="P599" s="124"/>
      <c r="Q599" s="114"/>
      <c r="R599" s="124"/>
      <c r="S599" s="114"/>
      <c r="T599" s="114"/>
      <c r="U599" s="114"/>
      <c r="V599" s="114"/>
      <c r="W599" s="114"/>
      <c r="X599" s="114"/>
      <c r="Y599" s="114"/>
      <c r="Z599" s="164" t="s">
        <v>3142</v>
      </c>
      <c r="AA599" s="114"/>
      <c r="AB599" s="114"/>
      <c r="AC599" s="114"/>
      <c r="AD599" s="114"/>
      <c r="AE599" s="114"/>
      <c r="AF599" s="114"/>
      <c r="AG599" s="114"/>
      <c r="AH599" s="114"/>
      <c r="AI599" s="114"/>
      <c r="AJ599" s="114"/>
      <c r="AK599" s="114"/>
      <c r="AL599" s="114"/>
      <c r="AM599" s="114"/>
      <c r="AN599" s="114"/>
      <c r="AO599" s="114"/>
      <c r="AP599" s="114"/>
      <c r="AQ599" s="114"/>
      <c r="AR599" s="114"/>
    </row>
    <row r="600" ht="14.25" spans="1:44">
      <c r="A600" s="114"/>
      <c r="B600" s="114"/>
      <c r="C600" s="114"/>
      <c r="D600" s="114" t="s">
        <v>3237</v>
      </c>
      <c r="E600" s="221" t="s">
        <v>3238</v>
      </c>
      <c r="F600" s="153">
        <v>42331</v>
      </c>
      <c r="G600" s="152">
        <f t="shared" si="13"/>
        <v>2331</v>
      </c>
      <c r="H600" s="221" t="s">
        <v>3239</v>
      </c>
      <c r="I600" s="123" t="s">
        <v>3240</v>
      </c>
      <c r="J600" s="33">
        <v>1538</v>
      </c>
      <c r="K600" s="114"/>
      <c r="L600" s="114"/>
      <c r="M600" s="114"/>
      <c r="N600" s="124"/>
      <c r="O600" s="114"/>
      <c r="P600" s="124"/>
      <c r="Q600" s="114"/>
      <c r="R600" s="124"/>
      <c r="S600" s="114"/>
      <c r="T600" s="114"/>
      <c r="U600" s="114"/>
      <c r="V600" s="114"/>
      <c r="W600" s="114"/>
      <c r="X600" s="114"/>
      <c r="Y600" s="114"/>
      <c r="Z600" s="164" t="s">
        <v>3142</v>
      </c>
      <c r="AA600" s="114"/>
      <c r="AB600" s="114"/>
      <c r="AC600" s="114"/>
      <c r="AD600" s="114"/>
      <c r="AE600" s="114"/>
      <c r="AF600" s="114"/>
      <c r="AG600" s="114"/>
      <c r="AH600" s="114"/>
      <c r="AI600" s="114"/>
      <c r="AJ600" s="114"/>
      <c r="AK600" s="114"/>
      <c r="AL600" s="114"/>
      <c r="AM600" s="114"/>
      <c r="AN600" s="114"/>
      <c r="AO600" s="114"/>
      <c r="AP600" s="114"/>
      <c r="AQ600" s="114"/>
      <c r="AR600" s="114"/>
    </row>
    <row r="601" ht="14.25" spans="1:44">
      <c r="A601" s="114"/>
      <c r="B601" s="114"/>
      <c r="C601" s="114"/>
      <c r="D601" s="114" t="s">
        <v>3241</v>
      </c>
      <c r="E601" s="221" t="s">
        <v>3242</v>
      </c>
      <c r="F601" s="153">
        <v>43621</v>
      </c>
      <c r="G601" s="152">
        <f t="shared" si="13"/>
        <v>3621</v>
      </c>
      <c r="H601" s="252" t="s">
        <v>3243</v>
      </c>
      <c r="I601" s="123" t="s">
        <v>3244</v>
      </c>
      <c r="J601" s="33">
        <v>204</v>
      </c>
      <c r="K601" s="114"/>
      <c r="L601" s="114"/>
      <c r="M601" s="114"/>
      <c r="N601" s="124"/>
      <c r="O601" s="114"/>
      <c r="P601" s="124"/>
      <c r="Q601" s="114"/>
      <c r="R601" s="124"/>
      <c r="S601" s="114"/>
      <c r="T601" s="114"/>
      <c r="U601" s="114"/>
      <c r="V601" s="114"/>
      <c r="W601" s="114"/>
      <c r="X601" s="114"/>
      <c r="Y601" s="114"/>
      <c r="Z601" s="164" t="s">
        <v>3142</v>
      </c>
      <c r="AA601" s="114"/>
      <c r="AB601" s="114"/>
      <c r="AC601" s="114"/>
      <c r="AD601" s="114"/>
      <c r="AE601" s="114"/>
      <c r="AF601" s="114"/>
      <c r="AG601" s="114"/>
      <c r="AH601" s="114"/>
      <c r="AI601" s="114"/>
      <c r="AJ601" s="114"/>
      <c r="AK601" s="114"/>
      <c r="AL601" s="114"/>
      <c r="AM601" s="114"/>
      <c r="AN601" s="114"/>
      <c r="AO601" s="114"/>
      <c r="AP601" s="114"/>
      <c r="AQ601" s="114"/>
      <c r="AR601" s="114"/>
    </row>
    <row r="602" ht="14.25" spans="1:44">
      <c r="A602" s="114"/>
      <c r="B602" s="114"/>
      <c r="C602" s="114"/>
      <c r="D602" s="114" t="s">
        <v>3245</v>
      </c>
      <c r="E602" s="221" t="s">
        <v>3246</v>
      </c>
      <c r="F602" s="153">
        <v>43518</v>
      </c>
      <c r="G602" s="152">
        <f t="shared" si="13"/>
        <v>3518</v>
      </c>
      <c r="H602" s="222" t="s">
        <v>3247</v>
      </c>
      <c r="I602" s="123" t="s">
        <v>3248</v>
      </c>
      <c r="J602" s="33">
        <v>339</v>
      </c>
      <c r="K602" s="114"/>
      <c r="L602" s="114"/>
      <c r="M602" s="114"/>
      <c r="N602" s="124"/>
      <c r="O602" s="114"/>
      <c r="P602" s="124"/>
      <c r="Q602" s="114"/>
      <c r="R602" s="124"/>
      <c r="S602" s="114"/>
      <c r="T602" s="114"/>
      <c r="U602" s="114"/>
      <c r="V602" s="114"/>
      <c r="W602" s="114"/>
      <c r="X602" s="114"/>
      <c r="Y602" s="114"/>
      <c r="Z602" s="164" t="s">
        <v>3142</v>
      </c>
      <c r="AA602" s="114"/>
      <c r="AB602" s="114"/>
      <c r="AC602" s="114"/>
      <c r="AD602" s="114"/>
      <c r="AE602" s="114"/>
      <c r="AF602" s="114"/>
      <c r="AG602" s="114"/>
      <c r="AH602" s="114"/>
      <c r="AI602" s="114"/>
      <c r="AJ602" s="114"/>
      <c r="AK602" s="114"/>
      <c r="AL602" s="114"/>
      <c r="AM602" s="114"/>
      <c r="AN602" s="114"/>
      <c r="AO602" s="114"/>
      <c r="AP602" s="114"/>
      <c r="AQ602" s="114"/>
      <c r="AR602" s="114"/>
    </row>
    <row r="603" ht="14.25" spans="1:44">
      <c r="A603" s="114"/>
      <c r="B603" s="114"/>
      <c r="C603" s="114"/>
      <c r="D603" s="114" t="s">
        <v>3249</v>
      </c>
      <c r="E603" s="221" t="s">
        <v>3250</v>
      </c>
      <c r="F603" s="153">
        <v>43649</v>
      </c>
      <c r="G603" s="152">
        <f t="shared" si="13"/>
        <v>3649</v>
      </c>
      <c r="H603" s="252" t="s">
        <v>3251</v>
      </c>
      <c r="I603" s="123" t="s">
        <v>3252</v>
      </c>
      <c r="J603" s="33">
        <v>23</v>
      </c>
      <c r="K603" s="114"/>
      <c r="L603" s="114"/>
      <c r="M603" s="114"/>
      <c r="N603" s="124"/>
      <c r="O603" s="114"/>
      <c r="P603" s="124"/>
      <c r="Q603" s="114"/>
      <c r="R603" s="124"/>
      <c r="S603" s="114"/>
      <c r="T603" s="114"/>
      <c r="U603" s="114"/>
      <c r="V603" s="114"/>
      <c r="W603" s="114"/>
      <c r="X603" s="114"/>
      <c r="Y603" s="114"/>
      <c r="Z603" s="164" t="s">
        <v>3142</v>
      </c>
      <c r="AA603" s="114"/>
      <c r="AB603" s="114"/>
      <c r="AC603" s="114"/>
      <c r="AD603" s="114"/>
      <c r="AE603" s="114"/>
      <c r="AF603" s="114"/>
      <c r="AG603" s="114"/>
      <c r="AH603" s="114"/>
      <c r="AI603" s="114"/>
      <c r="AJ603" s="114"/>
      <c r="AK603" s="114"/>
      <c r="AL603" s="114"/>
      <c r="AM603" s="114"/>
      <c r="AN603" s="114"/>
      <c r="AO603" s="114"/>
      <c r="AP603" s="114"/>
      <c r="AQ603" s="114"/>
      <c r="AR603" s="114"/>
    </row>
    <row r="604" ht="14.25" spans="1:44">
      <c r="A604" s="114"/>
      <c r="B604" s="114"/>
      <c r="C604" s="114"/>
      <c r="D604" s="114" t="s">
        <v>3253</v>
      </c>
      <c r="E604" s="221" t="s">
        <v>3254</v>
      </c>
      <c r="F604" s="153">
        <v>43785</v>
      </c>
      <c r="G604" s="152">
        <f t="shared" si="13"/>
        <v>3785</v>
      </c>
      <c r="H604" s="221" t="s">
        <v>3255</v>
      </c>
      <c r="I604" s="123" t="s">
        <v>3256</v>
      </c>
      <c r="J604" s="33">
        <v>47</v>
      </c>
      <c r="K604" s="114"/>
      <c r="L604" s="114"/>
      <c r="M604" s="114"/>
      <c r="N604" s="124"/>
      <c r="O604" s="114"/>
      <c r="P604" s="124"/>
      <c r="Q604" s="114"/>
      <c r="R604" s="124"/>
      <c r="S604" s="114"/>
      <c r="T604" s="114"/>
      <c r="U604" s="114"/>
      <c r="V604" s="114"/>
      <c r="W604" s="114"/>
      <c r="X604" s="114"/>
      <c r="Y604" s="114"/>
      <c r="Z604" s="164" t="s">
        <v>3142</v>
      </c>
      <c r="AA604" s="114"/>
      <c r="AB604" s="114"/>
      <c r="AC604" s="114"/>
      <c r="AD604" s="114"/>
      <c r="AE604" s="114"/>
      <c r="AF604" s="114"/>
      <c r="AG604" s="114"/>
      <c r="AH604" s="114"/>
      <c r="AI604" s="114"/>
      <c r="AJ604" s="114"/>
      <c r="AK604" s="114"/>
      <c r="AL604" s="114"/>
      <c r="AM604" s="114"/>
      <c r="AN604" s="114"/>
      <c r="AO604" s="114"/>
      <c r="AP604" s="114"/>
      <c r="AQ604" s="114"/>
      <c r="AR604" s="114"/>
    </row>
    <row r="605" ht="14.25" spans="1:44">
      <c r="A605" s="114"/>
      <c r="B605" s="114"/>
      <c r="C605" s="114"/>
      <c r="D605" s="114"/>
      <c r="E605" s="221"/>
      <c r="F605" s="153"/>
      <c r="G605" s="152" t="e">
        <f t="shared" si="13"/>
        <v>#VALUE!</v>
      </c>
      <c r="H605" s="221"/>
      <c r="I605" s="114"/>
      <c r="J605" s="33"/>
      <c r="K605" s="114"/>
      <c r="L605" s="114"/>
      <c r="M605" s="114"/>
      <c r="N605" s="124"/>
      <c r="O605" s="114"/>
      <c r="P605" s="124"/>
      <c r="Q605" s="114"/>
      <c r="R605" s="124"/>
      <c r="S605" s="114"/>
      <c r="T605" s="114"/>
      <c r="U605" s="114"/>
      <c r="V605" s="114"/>
      <c r="W605" s="114"/>
      <c r="X605" s="114"/>
      <c r="Y605" s="114"/>
      <c r="Z605" s="164"/>
      <c r="AA605" s="114"/>
      <c r="AB605" s="114"/>
      <c r="AC605" s="114"/>
      <c r="AD605" s="114"/>
      <c r="AE605" s="114"/>
      <c r="AF605" s="114"/>
      <c r="AG605" s="114"/>
      <c r="AH605" s="114"/>
      <c r="AI605" s="114"/>
      <c r="AJ605" s="114"/>
      <c r="AK605" s="114"/>
      <c r="AL605" s="114"/>
      <c r="AM605" s="114"/>
      <c r="AN605" s="114"/>
      <c r="AO605" s="114"/>
      <c r="AP605" s="114"/>
      <c r="AQ605" s="114"/>
      <c r="AR605" s="114"/>
    </row>
    <row r="606" ht="12.75" spans="1:44">
      <c r="A606" s="114" t="s">
        <v>3257</v>
      </c>
      <c r="B606" s="114"/>
      <c r="C606" s="170" t="s">
        <v>3263</v>
      </c>
      <c r="D606" s="114"/>
      <c r="E606" s="170"/>
      <c r="F606" s="153"/>
      <c r="G606" s="254" t="e">
        <f t="shared" si="13"/>
        <v>#VALUE!</v>
      </c>
      <c r="H606" s="255" t="s">
        <v>3258</v>
      </c>
      <c r="I606" s="114"/>
      <c r="J606" s="236">
        <v>7</v>
      </c>
      <c r="K606" s="114"/>
      <c r="L606" s="114"/>
      <c r="M606" s="114"/>
      <c r="N606" s="124"/>
      <c r="O606" s="114"/>
      <c r="P606" s="124"/>
      <c r="Q606" s="114"/>
      <c r="R606" s="124"/>
      <c r="S606" s="114"/>
      <c r="T606" s="114"/>
      <c r="U606" s="114"/>
      <c r="V606" s="114"/>
      <c r="W606" s="114"/>
      <c r="X606" s="114"/>
      <c r="Y606" s="114"/>
      <c r="Z606" s="164"/>
      <c r="AA606" s="114"/>
      <c r="AB606" s="114"/>
      <c r="AC606" s="114"/>
      <c r="AD606" s="114"/>
      <c r="AE606" s="114"/>
      <c r="AF606" s="114"/>
      <c r="AG606" s="114"/>
      <c r="AH606" s="114"/>
      <c r="AI606" s="114"/>
      <c r="AJ606" s="114"/>
      <c r="AK606" s="114"/>
      <c r="AL606" s="114"/>
      <c r="AM606" s="114"/>
      <c r="AN606" s="114"/>
      <c r="AO606" s="114"/>
      <c r="AP606" s="114"/>
      <c r="AQ606" s="114"/>
      <c r="AR606" s="114"/>
    </row>
    <row r="607" ht="12.75" spans="1:44">
      <c r="A607" s="114"/>
      <c r="B607" s="114"/>
      <c r="C607" s="114"/>
      <c r="D607" s="256" t="s">
        <v>3259</v>
      </c>
      <c r="E607" s="170" t="s">
        <v>3260</v>
      </c>
      <c r="F607" s="154">
        <v>43466</v>
      </c>
      <c r="G607" s="152">
        <f t="shared" si="13"/>
        <v>3466</v>
      </c>
      <c r="H607" s="257" t="s">
        <v>3261</v>
      </c>
      <c r="I607" s="123" t="s">
        <v>4441</v>
      </c>
      <c r="J607" s="236">
        <v>204</v>
      </c>
      <c r="K607" s="114"/>
      <c r="L607" s="114"/>
      <c r="M607" s="114"/>
      <c r="N607" s="124"/>
      <c r="O607" s="114"/>
      <c r="P607" s="124"/>
      <c r="Q607" s="114"/>
      <c r="R607" s="124"/>
      <c r="S607" s="114"/>
      <c r="T607" s="114"/>
      <c r="U607" s="114"/>
      <c r="V607" s="114"/>
      <c r="W607" s="114"/>
      <c r="X607" s="114"/>
      <c r="Y607" s="114"/>
      <c r="Z607" s="164" t="s">
        <v>3263</v>
      </c>
      <c r="AA607" s="114"/>
      <c r="AB607" s="114"/>
      <c r="AC607" s="114"/>
      <c r="AD607" s="114"/>
      <c r="AE607" s="114"/>
      <c r="AF607" s="114"/>
      <c r="AG607" s="114"/>
      <c r="AH607" s="114"/>
      <c r="AI607" s="114"/>
      <c r="AJ607" s="114"/>
      <c r="AK607" s="114"/>
      <c r="AL607" s="114"/>
      <c r="AM607" s="114"/>
      <c r="AN607" s="114"/>
      <c r="AO607" s="114"/>
      <c r="AP607" s="114"/>
      <c r="AQ607" s="114"/>
      <c r="AR607" s="114"/>
    </row>
    <row r="608" ht="12.75" spans="1:44">
      <c r="A608" s="114"/>
      <c r="B608" s="114"/>
      <c r="C608" s="114"/>
      <c r="D608" s="170" t="s">
        <v>3264</v>
      </c>
      <c r="E608" s="170" t="s">
        <v>3260</v>
      </c>
      <c r="F608" s="153">
        <v>43498</v>
      </c>
      <c r="G608" s="152">
        <f t="shared" si="13"/>
        <v>3498</v>
      </c>
      <c r="H608" s="258" t="s">
        <v>3265</v>
      </c>
      <c r="I608" s="123" t="s">
        <v>3266</v>
      </c>
      <c r="J608" s="236">
        <v>974</v>
      </c>
      <c r="K608" s="114"/>
      <c r="L608" s="114"/>
      <c r="M608" s="114"/>
      <c r="N608" s="124"/>
      <c r="O608" s="114"/>
      <c r="P608" s="124"/>
      <c r="Q608" s="114"/>
      <c r="R608" s="124"/>
      <c r="S608" s="114"/>
      <c r="T608" s="114"/>
      <c r="U608" s="114"/>
      <c r="V608" s="114"/>
      <c r="W608" s="114"/>
      <c r="X608" s="114"/>
      <c r="Y608" s="114"/>
      <c r="Z608" s="164" t="s">
        <v>3263</v>
      </c>
      <c r="AA608" s="114"/>
      <c r="AB608" s="114"/>
      <c r="AC608" s="114"/>
      <c r="AD608" s="114"/>
      <c r="AE608" s="114"/>
      <c r="AF608" s="114"/>
      <c r="AG608" s="114"/>
      <c r="AH608" s="114"/>
      <c r="AI608" s="114"/>
      <c r="AJ608" s="114"/>
      <c r="AK608" s="114"/>
      <c r="AL608" s="114"/>
      <c r="AM608" s="114"/>
      <c r="AN608" s="114"/>
      <c r="AO608" s="114"/>
      <c r="AP608" s="114"/>
      <c r="AQ608" s="114"/>
      <c r="AR608" s="114"/>
    </row>
    <row r="609" ht="12.75" spans="1:44">
      <c r="A609" s="114"/>
      <c r="B609" s="114"/>
      <c r="C609" s="114"/>
      <c r="D609" s="170" t="s">
        <v>2796</v>
      </c>
      <c r="E609" s="170" t="s">
        <v>3267</v>
      </c>
      <c r="F609" s="153">
        <v>34335</v>
      </c>
      <c r="G609" s="152">
        <f t="shared" si="13"/>
        <v>4335</v>
      </c>
      <c r="H609" s="170" t="s">
        <v>3268</v>
      </c>
      <c r="I609" s="123" t="s">
        <v>3269</v>
      </c>
      <c r="J609" s="236">
        <v>1381</v>
      </c>
      <c r="K609" s="114"/>
      <c r="L609" s="114"/>
      <c r="M609" s="114"/>
      <c r="N609" s="124"/>
      <c r="O609" s="114"/>
      <c r="P609" s="124"/>
      <c r="Q609" s="114"/>
      <c r="R609" s="124"/>
      <c r="S609" s="114"/>
      <c r="T609" s="114"/>
      <c r="U609" s="114"/>
      <c r="V609" s="114"/>
      <c r="W609" s="114"/>
      <c r="X609" s="114"/>
      <c r="Y609" s="114"/>
      <c r="Z609" s="164" t="s">
        <v>3263</v>
      </c>
      <c r="AA609" s="114"/>
      <c r="AB609" s="114"/>
      <c r="AC609" s="114"/>
      <c r="AD609" s="114"/>
      <c r="AE609" s="114"/>
      <c r="AF609" s="114"/>
      <c r="AG609" s="114"/>
      <c r="AH609" s="114"/>
      <c r="AI609" s="114"/>
      <c r="AJ609" s="114"/>
      <c r="AK609" s="114"/>
      <c r="AL609" s="114"/>
      <c r="AM609" s="114"/>
      <c r="AN609" s="114"/>
      <c r="AO609" s="114"/>
      <c r="AP609" s="114"/>
      <c r="AQ609" s="114"/>
      <c r="AR609" s="114"/>
    </row>
    <row r="610" ht="12.75" spans="1:44">
      <c r="A610" s="114"/>
      <c r="B610" s="114"/>
      <c r="C610" s="114"/>
      <c r="D610" s="114" t="s">
        <v>400</v>
      </c>
      <c r="E610" s="170" t="s">
        <v>3270</v>
      </c>
      <c r="F610" s="153">
        <v>43543</v>
      </c>
      <c r="G610" s="152">
        <f t="shared" si="13"/>
        <v>3543</v>
      </c>
      <c r="H610" s="258" t="s">
        <v>3271</v>
      </c>
      <c r="I610" s="123" t="s">
        <v>3272</v>
      </c>
      <c r="J610" s="236">
        <v>149</v>
      </c>
      <c r="K610" s="114"/>
      <c r="L610" s="114"/>
      <c r="M610" s="114"/>
      <c r="N610" s="124"/>
      <c r="O610" s="114"/>
      <c r="P610" s="124"/>
      <c r="Q610" s="114"/>
      <c r="R610" s="124"/>
      <c r="S610" s="114"/>
      <c r="T610" s="114"/>
      <c r="U610" s="114"/>
      <c r="V610" s="114"/>
      <c r="W610" s="114"/>
      <c r="X610" s="114"/>
      <c r="Y610" s="114"/>
      <c r="Z610" s="164" t="s">
        <v>3263</v>
      </c>
      <c r="AA610" s="114"/>
      <c r="AB610" s="114"/>
      <c r="AC610" s="114"/>
      <c r="AD610" s="114"/>
      <c r="AE610" s="114"/>
      <c r="AF610" s="114"/>
      <c r="AG610" s="114"/>
      <c r="AH610" s="114"/>
      <c r="AI610" s="114"/>
      <c r="AJ610" s="114"/>
      <c r="AK610" s="114"/>
      <c r="AL610" s="114"/>
      <c r="AM610" s="114"/>
      <c r="AN610" s="114"/>
      <c r="AO610" s="114"/>
      <c r="AP610" s="114"/>
      <c r="AQ610" s="114"/>
      <c r="AR610" s="114"/>
    </row>
    <row r="611" ht="12.75" spans="1:44">
      <c r="A611" s="114"/>
      <c r="B611" s="114"/>
      <c r="C611" s="114"/>
      <c r="D611" s="114" t="s">
        <v>815</v>
      </c>
      <c r="E611" s="170" t="s">
        <v>3273</v>
      </c>
      <c r="F611" s="153">
        <v>42816</v>
      </c>
      <c r="G611" s="152">
        <f t="shared" si="13"/>
        <v>2816</v>
      </c>
      <c r="H611" s="170" t="s">
        <v>3274</v>
      </c>
      <c r="I611" s="123" t="s">
        <v>3275</v>
      </c>
      <c r="J611" s="236">
        <v>1018</v>
      </c>
      <c r="K611" s="114"/>
      <c r="L611" s="114"/>
      <c r="M611" s="114"/>
      <c r="N611" s="124"/>
      <c r="O611" s="114"/>
      <c r="P611" s="124"/>
      <c r="Q611" s="114"/>
      <c r="R611" s="124"/>
      <c r="S611" s="114"/>
      <c r="T611" s="114"/>
      <c r="U611" s="114"/>
      <c r="V611" s="114"/>
      <c r="W611" s="114"/>
      <c r="X611" s="114"/>
      <c r="Y611" s="114"/>
      <c r="Z611" s="164" t="s">
        <v>3263</v>
      </c>
      <c r="AA611" s="114"/>
      <c r="AB611" s="114"/>
      <c r="AC611" s="114"/>
      <c r="AD611" s="114"/>
      <c r="AE611" s="114"/>
      <c r="AF611" s="114"/>
      <c r="AG611" s="114"/>
      <c r="AH611" s="114"/>
      <c r="AI611" s="114"/>
      <c r="AJ611" s="114"/>
      <c r="AK611" s="114"/>
      <c r="AL611" s="114"/>
      <c r="AM611" s="114"/>
      <c r="AN611" s="114"/>
      <c r="AO611" s="114"/>
      <c r="AP611" s="114"/>
      <c r="AQ611" s="114"/>
      <c r="AR611" s="114"/>
    </row>
    <row r="612" ht="12.75" spans="1:44">
      <c r="A612" s="114"/>
      <c r="B612" s="114"/>
      <c r="C612" s="114"/>
      <c r="D612" s="114" t="s">
        <v>3276</v>
      </c>
      <c r="E612" s="170" t="s">
        <v>3277</v>
      </c>
      <c r="F612" s="153">
        <v>38876</v>
      </c>
      <c r="G612" s="152">
        <f t="shared" si="13"/>
        <v>8876</v>
      </c>
      <c r="H612" s="258" t="s">
        <v>3278</v>
      </c>
      <c r="I612" s="123" t="s">
        <v>4442</v>
      </c>
      <c r="J612" s="236">
        <v>1131</v>
      </c>
      <c r="K612" s="114"/>
      <c r="L612" s="114"/>
      <c r="M612" s="114"/>
      <c r="N612" s="124"/>
      <c r="O612" s="114"/>
      <c r="P612" s="124"/>
      <c r="Q612" s="114"/>
      <c r="R612" s="124"/>
      <c r="S612" s="114"/>
      <c r="T612" s="114"/>
      <c r="U612" s="114"/>
      <c r="V612" s="114"/>
      <c r="W612" s="114"/>
      <c r="X612" s="114"/>
      <c r="Y612" s="114"/>
      <c r="Z612" s="164" t="s">
        <v>3263</v>
      </c>
      <c r="AA612" s="114"/>
      <c r="AB612" s="114"/>
      <c r="AC612" s="114"/>
      <c r="AD612" s="114"/>
      <c r="AE612" s="114"/>
      <c r="AF612" s="114"/>
      <c r="AG612" s="114"/>
      <c r="AH612" s="114"/>
      <c r="AI612" s="114"/>
      <c r="AJ612" s="114"/>
      <c r="AK612" s="114"/>
      <c r="AL612" s="114"/>
      <c r="AM612" s="114"/>
      <c r="AN612" s="114"/>
      <c r="AO612" s="114"/>
      <c r="AP612" s="114"/>
      <c r="AQ612" s="114"/>
      <c r="AR612" s="114"/>
    </row>
    <row r="613" ht="12.75" spans="1:44">
      <c r="A613" s="114"/>
      <c r="B613" s="114"/>
      <c r="C613" s="114"/>
      <c r="D613" s="114" t="s">
        <v>4443</v>
      </c>
      <c r="E613" s="170" t="s">
        <v>3281</v>
      </c>
      <c r="F613" s="153">
        <v>44013</v>
      </c>
      <c r="G613" s="152">
        <f t="shared" si="13"/>
        <v>4013</v>
      </c>
      <c r="H613" s="257" t="s">
        <v>3282</v>
      </c>
      <c r="I613" s="123" t="s">
        <v>4444</v>
      </c>
      <c r="J613" s="236">
        <v>15</v>
      </c>
      <c r="K613" s="114"/>
      <c r="L613" s="114"/>
      <c r="M613" s="114"/>
      <c r="N613" s="124"/>
      <c r="O613" s="114"/>
      <c r="P613" s="124"/>
      <c r="Q613" s="114"/>
      <c r="R613" s="124"/>
      <c r="S613" s="114"/>
      <c r="T613" s="114"/>
      <c r="U613" s="114"/>
      <c r="V613" s="114"/>
      <c r="W613" s="114"/>
      <c r="X613" s="114"/>
      <c r="Y613" s="114"/>
      <c r="Z613" s="164" t="s">
        <v>3263</v>
      </c>
      <c r="AA613" s="114"/>
      <c r="AB613" s="114"/>
      <c r="AC613" s="114"/>
      <c r="AD613" s="114"/>
      <c r="AE613" s="114"/>
      <c r="AF613" s="114"/>
      <c r="AG613" s="114"/>
      <c r="AH613" s="114"/>
      <c r="AI613" s="114"/>
      <c r="AJ613" s="114"/>
      <c r="AK613" s="114"/>
      <c r="AL613" s="114"/>
      <c r="AM613" s="114"/>
      <c r="AN613" s="114"/>
      <c r="AO613" s="114"/>
      <c r="AP613" s="114"/>
      <c r="AQ613" s="114"/>
      <c r="AR613" s="114"/>
    </row>
    <row r="614" ht="12.75" spans="1:44">
      <c r="A614" s="114"/>
      <c r="B614" s="114"/>
      <c r="C614" s="114"/>
      <c r="D614" s="114" t="s">
        <v>682</v>
      </c>
      <c r="E614" s="170" t="s">
        <v>3284</v>
      </c>
      <c r="F614" s="153">
        <v>43365</v>
      </c>
      <c r="G614" s="152">
        <f t="shared" si="13"/>
        <v>3365</v>
      </c>
      <c r="H614" s="258" t="s">
        <v>3285</v>
      </c>
      <c r="I614" s="123" t="s">
        <v>3286</v>
      </c>
      <c r="J614" s="236">
        <v>237</v>
      </c>
      <c r="K614" s="114"/>
      <c r="L614" s="114"/>
      <c r="M614" s="114"/>
      <c r="N614" s="124"/>
      <c r="O614" s="114"/>
      <c r="P614" s="124"/>
      <c r="Q614" s="114"/>
      <c r="R614" s="124"/>
      <c r="S614" s="114"/>
      <c r="T614" s="114"/>
      <c r="U614" s="114"/>
      <c r="V614" s="114"/>
      <c r="W614" s="114"/>
      <c r="X614" s="114"/>
      <c r="Y614" s="114"/>
      <c r="Z614" s="164" t="s">
        <v>3263</v>
      </c>
      <c r="AA614" s="114"/>
      <c r="AB614" s="114"/>
      <c r="AC614" s="114"/>
      <c r="AD614" s="114"/>
      <c r="AE614" s="114"/>
      <c r="AF614" s="114"/>
      <c r="AG614" s="114"/>
      <c r="AH614" s="114"/>
      <c r="AI614" s="114"/>
      <c r="AJ614" s="114"/>
      <c r="AK614" s="114"/>
      <c r="AL614" s="114"/>
      <c r="AM614" s="114"/>
      <c r="AN614" s="114"/>
      <c r="AO614" s="114"/>
      <c r="AP614" s="114"/>
      <c r="AQ614" s="114"/>
      <c r="AR614" s="114"/>
    </row>
    <row r="615" ht="12.75" spans="1:44">
      <c r="A615" s="114"/>
      <c r="B615" s="114"/>
      <c r="C615" s="114"/>
      <c r="D615" s="114" t="s">
        <v>400</v>
      </c>
      <c r="E615" s="170" t="s">
        <v>3287</v>
      </c>
      <c r="F615" s="153">
        <v>43929</v>
      </c>
      <c r="G615" s="152">
        <f t="shared" si="13"/>
        <v>3929</v>
      </c>
      <c r="H615" s="258" t="s">
        <v>3288</v>
      </c>
      <c r="I615" s="123" t="s">
        <v>3289</v>
      </c>
      <c r="J615" s="236">
        <v>1177</v>
      </c>
      <c r="K615" s="114"/>
      <c r="L615" s="114"/>
      <c r="M615" s="114"/>
      <c r="N615" s="124"/>
      <c r="O615" s="114"/>
      <c r="P615" s="124"/>
      <c r="Q615" s="114"/>
      <c r="R615" s="124"/>
      <c r="S615" s="114"/>
      <c r="T615" s="114"/>
      <c r="U615" s="114"/>
      <c r="V615" s="114"/>
      <c r="W615" s="114"/>
      <c r="X615" s="114"/>
      <c r="Y615" s="114"/>
      <c r="Z615" s="164" t="s">
        <v>3263</v>
      </c>
      <c r="AA615" s="114"/>
      <c r="AB615" s="114"/>
      <c r="AC615" s="114"/>
      <c r="AD615" s="114"/>
      <c r="AE615" s="114"/>
      <c r="AF615" s="114"/>
      <c r="AG615" s="114"/>
      <c r="AH615" s="114"/>
      <c r="AI615" s="114"/>
      <c r="AJ615" s="114"/>
      <c r="AK615" s="114"/>
      <c r="AL615" s="114"/>
      <c r="AM615" s="114"/>
      <c r="AN615" s="114"/>
      <c r="AO615" s="114"/>
      <c r="AP615" s="114"/>
      <c r="AQ615" s="114"/>
      <c r="AR615" s="114"/>
    </row>
    <row r="616" ht="12.75" spans="1:44">
      <c r="A616" s="114"/>
      <c r="B616" s="114"/>
      <c r="C616" s="114"/>
      <c r="D616" s="114" t="s">
        <v>3290</v>
      </c>
      <c r="E616" s="170" t="s">
        <v>3291</v>
      </c>
      <c r="F616" s="153">
        <v>32143</v>
      </c>
      <c r="G616" s="152">
        <f t="shared" si="13"/>
        <v>2143</v>
      </c>
      <c r="H616" s="258" t="s">
        <v>3292</v>
      </c>
      <c r="I616" s="123" t="s">
        <v>3293</v>
      </c>
      <c r="J616" s="236">
        <v>609</v>
      </c>
      <c r="K616" s="114"/>
      <c r="L616" s="114"/>
      <c r="M616" s="114"/>
      <c r="N616" s="124"/>
      <c r="O616" s="114"/>
      <c r="P616" s="124"/>
      <c r="Q616" s="114"/>
      <c r="R616" s="124"/>
      <c r="S616" s="114"/>
      <c r="T616" s="114"/>
      <c r="U616" s="114"/>
      <c r="V616" s="114"/>
      <c r="W616" s="114"/>
      <c r="X616" s="114"/>
      <c r="Y616" s="114"/>
      <c r="Z616" s="164" t="s">
        <v>3263</v>
      </c>
      <c r="AA616" s="114"/>
      <c r="AB616" s="114"/>
      <c r="AC616" s="114"/>
      <c r="AD616" s="114"/>
      <c r="AE616" s="114"/>
      <c r="AF616" s="114"/>
      <c r="AG616" s="114"/>
      <c r="AH616" s="114"/>
      <c r="AI616" s="114"/>
      <c r="AJ616" s="114"/>
      <c r="AK616" s="114"/>
      <c r="AL616" s="114"/>
      <c r="AM616" s="114"/>
      <c r="AN616" s="114"/>
      <c r="AO616" s="114"/>
      <c r="AP616" s="114"/>
      <c r="AQ616" s="114"/>
      <c r="AR616" s="114"/>
    </row>
    <row r="617" ht="12.75" spans="1:44">
      <c r="A617" s="114"/>
      <c r="B617" s="114"/>
      <c r="C617" s="114"/>
      <c r="D617" s="114" t="s">
        <v>1166</v>
      </c>
      <c r="E617" s="170" t="s">
        <v>3294</v>
      </c>
      <c r="F617" s="153">
        <v>42804</v>
      </c>
      <c r="G617" s="152">
        <f t="shared" si="13"/>
        <v>2804</v>
      </c>
      <c r="H617" s="170" t="s">
        <v>3295</v>
      </c>
      <c r="I617" s="259" t="s">
        <v>3296</v>
      </c>
      <c r="J617" s="236">
        <v>734</v>
      </c>
      <c r="K617" s="114"/>
      <c r="L617" s="114"/>
      <c r="M617" s="114"/>
      <c r="N617" s="124"/>
      <c r="O617" s="114"/>
      <c r="P617" s="124"/>
      <c r="Q617" s="114"/>
      <c r="R617" s="124"/>
      <c r="S617" s="114"/>
      <c r="T617" s="114"/>
      <c r="U617" s="114"/>
      <c r="V617" s="114"/>
      <c r="W617" s="114"/>
      <c r="X617" s="114"/>
      <c r="Y617" s="114"/>
      <c r="Z617" s="164" t="s">
        <v>3263</v>
      </c>
      <c r="AA617" s="114"/>
      <c r="AB617" s="114"/>
      <c r="AC617" s="114"/>
      <c r="AD617" s="114"/>
      <c r="AE617" s="114"/>
      <c r="AF617" s="114"/>
      <c r="AG617" s="114"/>
      <c r="AH617" s="114"/>
      <c r="AI617" s="114"/>
      <c r="AJ617" s="114"/>
      <c r="AK617" s="114"/>
      <c r="AL617" s="114"/>
      <c r="AM617" s="114"/>
      <c r="AN617" s="114"/>
      <c r="AO617" s="114"/>
      <c r="AP617" s="114"/>
      <c r="AQ617" s="114"/>
      <c r="AR617" s="114"/>
    </row>
    <row r="618" ht="12.75" spans="1:44">
      <c r="A618" s="114"/>
      <c r="B618" s="114"/>
      <c r="C618" s="114"/>
      <c r="D618" s="114" t="s">
        <v>1166</v>
      </c>
      <c r="E618" s="170" t="s">
        <v>3297</v>
      </c>
      <c r="F618" s="153">
        <v>43284</v>
      </c>
      <c r="G618" s="152">
        <f t="shared" si="13"/>
        <v>3284</v>
      </c>
      <c r="H618" s="258" t="s">
        <v>3298</v>
      </c>
      <c r="I618" s="123" t="s">
        <v>3299</v>
      </c>
      <c r="J618" s="236">
        <v>109</v>
      </c>
      <c r="K618" s="114"/>
      <c r="L618" s="114"/>
      <c r="M618" s="114"/>
      <c r="N618" s="124"/>
      <c r="O618" s="114"/>
      <c r="P618" s="124"/>
      <c r="Q618" s="114"/>
      <c r="R618" s="124"/>
      <c r="S618" s="114"/>
      <c r="T618" s="114"/>
      <c r="U618" s="114"/>
      <c r="V618" s="114"/>
      <c r="W618" s="114"/>
      <c r="X618" s="114"/>
      <c r="Y618" s="114"/>
      <c r="Z618" s="164" t="s">
        <v>3263</v>
      </c>
      <c r="AA618" s="114"/>
      <c r="AB618" s="114"/>
      <c r="AC618" s="114"/>
      <c r="AD618" s="114"/>
      <c r="AE618" s="114"/>
      <c r="AF618" s="114"/>
      <c r="AG618" s="114"/>
      <c r="AH618" s="114"/>
      <c r="AI618" s="114"/>
      <c r="AJ618" s="114"/>
      <c r="AK618" s="114"/>
      <c r="AL618" s="114"/>
      <c r="AM618" s="114"/>
      <c r="AN618" s="114"/>
      <c r="AO618" s="114"/>
      <c r="AP618" s="114"/>
      <c r="AQ618" s="114"/>
      <c r="AR618" s="114"/>
    </row>
    <row r="619" ht="12.75" spans="1:44">
      <c r="A619" s="114"/>
      <c r="B619" s="114"/>
      <c r="C619" s="114"/>
      <c r="D619" s="114" t="s">
        <v>3300</v>
      </c>
      <c r="E619" s="170" t="s">
        <v>3301</v>
      </c>
      <c r="F619" s="153">
        <v>43052</v>
      </c>
      <c r="G619" s="152">
        <f t="shared" si="13"/>
        <v>3052</v>
      </c>
      <c r="H619" s="170" t="s">
        <v>3302</v>
      </c>
      <c r="I619" s="123" t="s">
        <v>3303</v>
      </c>
      <c r="J619" s="236">
        <v>165</v>
      </c>
      <c r="K619" s="114"/>
      <c r="L619" s="114"/>
      <c r="M619" s="114"/>
      <c r="N619" s="124"/>
      <c r="O619" s="114"/>
      <c r="P619" s="124"/>
      <c r="Q619" s="114"/>
      <c r="R619" s="124"/>
      <c r="S619" s="114"/>
      <c r="T619" s="114"/>
      <c r="U619" s="114"/>
      <c r="V619" s="114"/>
      <c r="W619" s="114"/>
      <c r="X619" s="114"/>
      <c r="Y619" s="114"/>
      <c r="Z619" s="164" t="s">
        <v>3263</v>
      </c>
      <c r="AA619" s="114"/>
      <c r="AB619" s="114"/>
      <c r="AC619" s="114"/>
      <c r="AD619" s="114"/>
      <c r="AE619" s="114"/>
      <c r="AF619" s="114"/>
      <c r="AG619" s="114"/>
      <c r="AH619" s="114"/>
      <c r="AI619" s="114"/>
      <c r="AJ619" s="114"/>
      <c r="AK619" s="114"/>
      <c r="AL619" s="114"/>
      <c r="AM619" s="114"/>
      <c r="AN619" s="114"/>
      <c r="AO619" s="114"/>
      <c r="AP619" s="114"/>
      <c r="AQ619" s="114"/>
      <c r="AR619" s="114"/>
    </row>
    <row r="620" ht="12.75" spans="1:44">
      <c r="A620" s="114"/>
      <c r="B620" s="114"/>
      <c r="C620" s="114"/>
      <c r="D620" s="114" t="s">
        <v>3300</v>
      </c>
      <c r="E620" s="170" t="s">
        <v>3304</v>
      </c>
      <c r="F620" s="153">
        <v>43581</v>
      </c>
      <c r="G620" s="152">
        <f t="shared" si="13"/>
        <v>3581</v>
      </c>
      <c r="H620" s="170" t="s">
        <v>3305</v>
      </c>
      <c r="I620" s="123" t="s">
        <v>3306</v>
      </c>
      <c r="J620" s="236">
        <v>1207</v>
      </c>
      <c r="K620" s="114"/>
      <c r="L620" s="114"/>
      <c r="M620" s="114"/>
      <c r="N620" s="124"/>
      <c r="O620" s="114"/>
      <c r="P620" s="124"/>
      <c r="Q620" s="114"/>
      <c r="R620" s="124"/>
      <c r="S620" s="114"/>
      <c r="T620" s="114"/>
      <c r="U620" s="114"/>
      <c r="V620" s="114"/>
      <c r="W620" s="114"/>
      <c r="X620" s="114"/>
      <c r="Y620" s="114"/>
      <c r="Z620" s="164" t="s">
        <v>3263</v>
      </c>
      <c r="AA620" s="114"/>
      <c r="AB620" s="114"/>
      <c r="AC620" s="114"/>
      <c r="AD620" s="114"/>
      <c r="AE620" s="114"/>
      <c r="AF620" s="114"/>
      <c r="AG620" s="114"/>
      <c r="AH620" s="114"/>
      <c r="AI620" s="114"/>
      <c r="AJ620" s="114"/>
      <c r="AK620" s="114"/>
      <c r="AL620" s="114"/>
      <c r="AM620" s="114"/>
      <c r="AN620" s="114"/>
      <c r="AO620" s="114"/>
      <c r="AP620" s="114"/>
      <c r="AQ620" s="114"/>
      <c r="AR620" s="114"/>
    </row>
    <row r="621" ht="12.75" spans="1:44">
      <c r="A621" s="114"/>
      <c r="B621" s="114"/>
      <c r="C621" s="114"/>
      <c r="D621" s="170" t="s">
        <v>3307</v>
      </c>
      <c r="E621" s="170" t="s">
        <v>3308</v>
      </c>
      <c r="F621" s="153">
        <v>43979</v>
      </c>
      <c r="G621" s="152">
        <f t="shared" si="13"/>
        <v>3979</v>
      </c>
      <c r="H621" s="258" t="s">
        <v>3309</v>
      </c>
      <c r="I621" s="123" t="s">
        <v>3310</v>
      </c>
      <c r="J621" s="236">
        <v>10</v>
      </c>
      <c r="K621" s="114"/>
      <c r="L621" s="114"/>
      <c r="M621" s="114"/>
      <c r="N621" s="124"/>
      <c r="O621" s="114"/>
      <c r="P621" s="124"/>
      <c r="Q621" s="114"/>
      <c r="R621" s="124"/>
      <c r="S621" s="114"/>
      <c r="T621" s="114"/>
      <c r="U621" s="114"/>
      <c r="V621" s="114"/>
      <c r="W621" s="114"/>
      <c r="X621" s="114"/>
      <c r="Y621" s="114"/>
      <c r="Z621" s="164" t="s">
        <v>3263</v>
      </c>
      <c r="AA621" s="114"/>
      <c r="AB621" s="114"/>
      <c r="AC621" s="114"/>
      <c r="AD621" s="114"/>
      <c r="AE621" s="114"/>
      <c r="AF621" s="114"/>
      <c r="AG621" s="114"/>
      <c r="AH621" s="114"/>
      <c r="AI621" s="114"/>
      <c r="AJ621" s="114"/>
      <c r="AK621" s="114"/>
      <c r="AL621" s="114"/>
      <c r="AM621" s="114"/>
      <c r="AN621" s="114"/>
      <c r="AO621" s="114"/>
      <c r="AP621" s="114"/>
      <c r="AQ621" s="114"/>
      <c r="AR621" s="114"/>
    </row>
    <row r="622" ht="12.75" spans="1:44">
      <c r="A622" s="114"/>
      <c r="B622" s="114"/>
      <c r="C622" s="114"/>
      <c r="D622" s="114" t="s">
        <v>3311</v>
      </c>
      <c r="E622" s="170" t="s">
        <v>3312</v>
      </c>
      <c r="F622" s="153">
        <v>39457</v>
      </c>
      <c r="G622" s="152">
        <f t="shared" si="13"/>
        <v>9457</v>
      </c>
      <c r="H622" s="170" t="s">
        <v>3313</v>
      </c>
      <c r="I622" s="123" t="s">
        <v>3314</v>
      </c>
      <c r="J622" s="236">
        <v>696</v>
      </c>
      <c r="K622" s="114"/>
      <c r="L622" s="114"/>
      <c r="M622" s="114"/>
      <c r="N622" s="124"/>
      <c r="O622" s="114"/>
      <c r="P622" s="124"/>
      <c r="Q622" s="114"/>
      <c r="R622" s="124"/>
      <c r="S622" s="114"/>
      <c r="T622" s="114"/>
      <c r="U622" s="114"/>
      <c r="V622" s="114"/>
      <c r="W622" s="114"/>
      <c r="X622" s="114"/>
      <c r="Y622" s="114"/>
      <c r="Z622" s="164" t="s">
        <v>3263</v>
      </c>
      <c r="AA622" s="114"/>
      <c r="AB622" s="114"/>
      <c r="AC622" s="114"/>
      <c r="AD622" s="114"/>
      <c r="AE622" s="114"/>
      <c r="AF622" s="114"/>
      <c r="AG622" s="114"/>
      <c r="AH622" s="114"/>
      <c r="AI622" s="114"/>
      <c r="AJ622" s="114"/>
      <c r="AK622" s="114"/>
      <c r="AL622" s="114"/>
      <c r="AM622" s="114"/>
      <c r="AN622" s="114"/>
      <c r="AO622" s="114"/>
      <c r="AP622" s="114"/>
      <c r="AQ622" s="114"/>
      <c r="AR622" s="114"/>
    </row>
    <row r="623" ht="12.75" spans="1:44">
      <c r="A623" s="114"/>
      <c r="B623" s="114"/>
      <c r="C623" s="114"/>
      <c r="D623" s="114" t="s">
        <v>262</v>
      </c>
      <c r="E623" s="170" t="s">
        <v>3315</v>
      </c>
      <c r="F623" s="153">
        <v>43571</v>
      </c>
      <c r="G623" s="152">
        <f t="shared" si="13"/>
        <v>3571</v>
      </c>
      <c r="H623" s="170" t="s">
        <v>3316</v>
      </c>
      <c r="I623" s="123" t="s">
        <v>3317</v>
      </c>
      <c r="J623" s="236">
        <v>586</v>
      </c>
      <c r="K623" s="114"/>
      <c r="L623" s="114"/>
      <c r="M623" s="114"/>
      <c r="N623" s="124"/>
      <c r="O623" s="114"/>
      <c r="P623" s="124"/>
      <c r="Q623" s="114"/>
      <c r="R623" s="124"/>
      <c r="S623" s="114"/>
      <c r="T623" s="114"/>
      <c r="U623" s="114"/>
      <c r="V623" s="114"/>
      <c r="W623" s="114"/>
      <c r="X623" s="114"/>
      <c r="Y623" s="114"/>
      <c r="Z623" s="164" t="s">
        <v>3263</v>
      </c>
      <c r="AA623" s="114"/>
      <c r="AB623" s="114"/>
      <c r="AC623" s="114"/>
      <c r="AD623" s="114"/>
      <c r="AE623" s="114"/>
      <c r="AF623" s="114"/>
      <c r="AG623" s="114"/>
      <c r="AH623" s="114"/>
      <c r="AI623" s="114"/>
      <c r="AJ623" s="114"/>
      <c r="AK623" s="114"/>
      <c r="AL623" s="114"/>
      <c r="AM623" s="114"/>
      <c r="AN623" s="114"/>
      <c r="AO623" s="114"/>
      <c r="AP623" s="114"/>
      <c r="AQ623" s="114"/>
      <c r="AR623" s="114"/>
    </row>
    <row r="624" ht="12.75" spans="1:44">
      <c r="A624" s="114"/>
      <c r="B624" s="114"/>
      <c r="C624" s="114"/>
      <c r="D624" s="114" t="s">
        <v>3164</v>
      </c>
      <c r="E624" s="170" t="s">
        <v>3318</v>
      </c>
      <c r="F624" s="153">
        <v>40713</v>
      </c>
      <c r="G624" s="152">
        <f t="shared" si="13"/>
        <v>713</v>
      </c>
      <c r="H624" s="258" t="s">
        <v>3319</v>
      </c>
      <c r="I624" s="123" t="s">
        <v>3320</v>
      </c>
      <c r="J624" s="236">
        <v>1199</v>
      </c>
      <c r="K624" s="114"/>
      <c r="L624" s="114"/>
      <c r="M624" s="114"/>
      <c r="N624" s="124"/>
      <c r="O624" s="114"/>
      <c r="P624" s="124"/>
      <c r="Q624" s="114"/>
      <c r="R624" s="124"/>
      <c r="S624" s="114"/>
      <c r="T624" s="114"/>
      <c r="U624" s="114"/>
      <c r="V624" s="114"/>
      <c r="W624" s="114"/>
      <c r="X624" s="114"/>
      <c r="Y624" s="114"/>
      <c r="Z624" s="164" t="s">
        <v>3263</v>
      </c>
      <c r="AA624" s="114"/>
      <c r="AB624" s="114"/>
      <c r="AC624" s="114"/>
      <c r="AD624" s="114"/>
      <c r="AE624" s="114"/>
      <c r="AF624" s="114"/>
      <c r="AG624" s="114"/>
      <c r="AH624" s="114"/>
      <c r="AI624" s="114"/>
      <c r="AJ624" s="114"/>
      <c r="AK624" s="114"/>
      <c r="AL624" s="114"/>
      <c r="AM624" s="114"/>
      <c r="AN624" s="114"/>
      <c r="AO624" s="114"/>
      <c r="AP624" s="114"/>
      <c r="AQ624" s="114"/>
      <c r="AR624" s="114"/>
    </row>
    <row r="625" ht="12.75" spans="1:44">
      <c r="A625" s="114"/>
      <c r="B625" s="114"/>
      <c r="C625" s="114"/>
      <c r="D625" s="114" t="s">
        <v>3321</v>
      </c>
      <c r="E625" s="170" t="s">
        <v>3322</v>
      </c>
      <c r="F625" s="114">
        <v>1991</v>
      </c>
      <c r="G625" s="152">
        <f t="shared" si="13"/>
        <v>1991</v>
      </c>
      <c r="H625" s="170" t="s">
        <v>3323</v>
      </c>
      <c r="I625" s="123" t="s">
        <v>4445</v>
      </c>
      <c r="J625" s="236">
        <v>3543</v>
      </c>
      <c r="K625" s="114"/>
      <c r="L625" s="114"/>
      <c r="M625" s="114"/>
      <c r="N625" s="124"/>
      <c r="O625" s="114"/>
      <c r="P625" s="124"/>
      <c r="Q625" s="114"/>
      <c r="R625" s="124"/>
      <c r="S625" s="114"/>
      <c r="T625" s="114"/>
      <c r="U625" s="114"/>
      <c r="V625" s="114"/>
      <c r="W625" s="114"/>
      <c r="X625" s="114"/>
      <c r="Y625" s="114"/>
      <c r="Z625" s="164" t="s">
        <v>3263</v>
      </c>
      <c r="AA625" s="114"/>
      <c r="AB625" s="114"/>
      <c r="AC625" s="114"/>
      <c r="AD625" s="114"/>
      <c r="AE625" s="114"/>
      <c r="AF625" s="114"/>
      <c r="AG625" s="114"/>
      <c r="AH625" s="114"/>
      <c r="AI625" s="114"/>
      <c r="AJ625" s="114"/>
      <c r="AK625" s="114"/>
      <c r="AL625" s="114"/>
      <c r="AM625" s="114"/>
      <c r="AN625" s="114"/>
      <c r="AO625" s="114"/>
      <c r="AP625" s="114"/>
      <c r="AQ625" s="114"/>
      <c r="AR625" s="114"/>
    </row>
    <row r="626" ht="12.75" spans="1:44">
      <c r="A626" s="114"/>
      <c r="B626" s="114"/>
      <c r="C626" s="114"/>
      <c r="D626" s="114" t="s">
        <v>3325</v>
      </c>
      <c r="E626" s="170" t="s">
        <v>3326</v>
      </c>
      <c r="F626" s="153">
        <v>43374</v>
      </c>
      <c r="G626" s="152">
        <f t="shared" si="13"/>
        <v>3374</v>
      </c>
      <c r="H626" s="258" t="s">
        <v>3327</v>
      </c>
      <c r="I626" s="123" t="s">
        <v>4446</v>
      </c>
      <c r="J626" s="236">
        <v>9</v>
      </c>
      <c r="K626" s="114"/>
      <c r="L626" s="114"/>
      <c r="M626" s="114"/>
      <c r="N626" s="124"/>
      <c r="O626" s="114"/>
      <c r="P626" s="124"/>
      <c r="Q626" s="114"/>
      <c r="R626" s="124"/>
      <c r="S626" s="114"/>
      <c r="T626" s="114"/>
      <c r="U626" s="114"/>
      <c r="V626" s="114"/>
      <c r="W626" s="114"/>
      <c r="X626" s="114"/>
      <c r="Y626" s="114"/>
      <c r="Z626" s="164" t="s">
        <v>3263</v>
      </c>
      <c r="AA626" s="114"/>
      <c r="AB626" s="114"/>
      <c r="AC626" s="114"/>
      <c r="AD626" s="114"/>
      <c r="AE626" s="114"/>
      <c r="AF626" s="114"/>
      <c r="AG626" s="114"/>
      <c r="AH626" s="114"/>
      <c r="AI626" s="114"/>
      <c r="AJ626" s="114"/>
      <c r="AK626" s="114"/>
      <c r="AL626" s="114"/>
      <c r="AM626" s="114"/>
      <c r="AN626" s="114"/>
      <c r="AO626" s="114"/>
      <c r="AP626" s="114"/>
      <c r="AQ626" s="114"/>
      <c r="AR626" s="114"/>
    </row>
    <row r="627" ht="12.75" spans="1:44">
      <c r="A627" s="114"/>
      <c r="B627" s="114"/>
      <c r="C627" s="114"/>
      <c r="D627" s="114" t="s">
        <v>3325</v>
      </c>
      <c r="E627" s="170" t="s">
        <v>3329</v>
      </c>
      <c r="F627" s="153">
        <v>42979</v>
      </c>
      <c r="G627" s="152">
        <f t="shared" si="13"/>
        <v>2979</v>
      </c>
      <c r="H627" s="258" t="s">
        <v>3330</v>
      </c>
      <c r="I627" s="123" t="s">
        <v>4447</v>
      </c>
      <c r="J627" s="236">
        <v>78</v>
      </c>
      <c r="K627" s="114"/>
      <c r="L627" s="114"/>
      <c r="M627" s="114"/>
      <c r="N627" s="124"/>
      <c r="O627" s="114"/>
      <c r="P627" s="124"/>
      <c r="Q627" s="114"/>
      <c r="R627" s="124"/>
      <c r="S627" s="114"/>
      <c r="T627" s="114"/>
      <c r="U627" s="114"/>
      <c r="V627" s="114"/>
      <c r="W627" s="114"/>
      <c r="X627" s="114"/>
      <c r="Y627" s="114"/>
      <c r="Z627" s="164" t="s">
        <v>3263</v>
      </c>
      <c r="AA627" s="114"/>
      <c r="AB627" s="114"/>
      <c r="AC627" s="114"/>
      <c r="AD627" s="114"/>
      <c r="AE627" s="114"/>
      <c r="AF627" s="114"/>
      <c r="AG627" s="114"/>
      <c r="AH627" s="114"/>
      <c r="AI627" s="114"/>
      <c r="AJ627" s="114"/>
      <c r="AK627" s="114"/>
      <c r="AL627" s="114"/>
      <c r="AM627" s="114"/>
      <c r="AN627" s="114"/>
      <c r="AO627" s="114"/>
      <c r="AP627" s="114"/>
      <c r="AQ627" s="114"/>
      <c r="AR627" s="114"/>
    </row>
    <row r="628" ht="12.75" spans="1:44">
      <c r="A628" s="114"/>
      <c r="B628" s="114"/>
      <c r="C628" s="114"/>
      <c r="D628" s="114" t="s">
        <v>3332</v>
      </c>
      <c r="E628" s="170" t="s">
        <v>3333</v>
      </c>
      <c r="F628" s="153">
        <v>43974</v>
      </c>
      <c r="G628" s="152">
        <f t="shared" si="13"/>
        <v>3974</v>
      </c>
      <c r="H628" s="170" t="s">
        <v>3334</v>
      </c>
      <c r="I628" s="123" t="s">
        <v>3335</v>
      </c>
      <c r="J628" s="236">
        <v>22</v>
      </c>
      <c r="K628" s="114"/>
      <c r="L628" s="114"/>
      <c r="M628" s="114"/>
      <c r="N628" s="124"/>
      <c r="O628" s="114"/>
      <c r="P628" s="124"/>
      <c r="Q628" s="114"/>
      <c r="R628" s="124"/>
      <c r="S628" s="114"/>
      <c r="T628" s="114"/>
      <c r="U628" s="114"/>
      <c r="V628" s="114"/>
      <c r="W628" s="114"/>
      <c r="X628" s="114"/>
      <c r="Y628" s="114"/>
      <c r="Z628" s="164" t="s">
        <v>3263</v>
      </c>
      <c r="AA628" s="114"/>
      <c r="AB628" s="114"/>
      <c r="AC628" s="114"/>
      <c r="AD628" s="114"/>
      <c r="AE628" s="114"/>
      <c r="AF628" s="114"/>
      <c r="AG628" s="114"/>
      <c r="AH628" s="114"/>
      <c r="AI628" s="114"/>
      <c r="AJ628" s="114"/>
      <c r="AK628" s="114"/>
      <c r="AL628" s="114"/>
      <c r="AM628" s="114"/>
      <c r="AN628" s="114"/>
      <c r="AO628" s="114"/>
      <c r="AP628" s="114"/>
      <c r="AQ628" s="114"/>
      <c r="AR628" s="114"/>
    </row>
    <row r="629" ht="12.75" spans="1:44">
      <c r="A629" s="114"/>
      <c r="B629" s="114"/>
      <c r="C629" s="114"/>
      <c r="D629" s="114" t="s">
        <v>3321</v>
      </c>
      <c r="E629" s="170" t="s">
        <v>3336</v>
      </c>
      <c r="F629" s="153">
        <v>38200</v>
      </c>
      <c r="G629" s="152">
        <f t="shared" si="13"/>
        <v>8200</v>
      </c>
      <c r="H629" s="114" t="s">
        <v>3337</v>
      </c>
      <c r="I629" s="123" t="s">
        <v>3338</v>
      </c>
      <c r="J629" s="236">
        <v>8716</v>
      </c>
      <c r="K629" s="114"/>
      <c r="L629" s="114"/>
      <c r="M629" s="114"/>
      <c r="N629" s="124"/>
      <c r="O629" s="114"/>
      <c r="P629" s="124"/>
      <c r="Q629" s="114"/>
      <c r="R629" s="124"/>
      <c r="S629" s="114"/>
      <c r="T629" s="114"/>
      <c r="U629" s="114"/>
      <c r="V629" s="114"/>
      <c r="W629" s="114"/>
      <c r="X629" s="114"/>
      <c r="Y629" s="114"/>
      <c r="Z629" s="164" t="s">
        <v>3263</v>
      </c>
      <c r="AA629" s="114"/>
      <c r="AB629" s="114"/>
      <c r="AC629" s="114"/>
      <c r="AD629" s="114"/>
      <c r="AE629" s="114"/>
      <c r="AF629" s="114"/>
      <c r="AG629" s="114"/>
      <c r="AH629" s="114"/>
      <c r="AI629" s="114"/>
      <c r="AJ629" s="114"/>
      <c r="AK629" s="114"/>
      <c r="AL629" s="114"/>
      <c r="AM629" s="114"/>
      <c r="AN629" s="114"/>
      <c r="AO629" s="114"/>
      <c r="AP629" s="114"/>
      <c r="AQ629" s="114"/>
      <c r="AR629" s="114"/>
    </row>
    <row r="630" ht="12.75" spans="1:44">
      <c r="A630" s="114"/>
      <c r="B630" s="114"/>
      <c r="C630" s="114"/>
      <c r="D630" s="114" t="s">
        <v>3339</v>
      </c>
      <c r="E630" s="170" t="s">
        <v>3340</v>
      </c>
      <c r="F630" s="153">
        <v>43128</v>
      </c>
      <c r="G630" s="152">
        <f t="shared" si="13"/>
        <v>3128</v>
      </c>
      <c r="H630" s="170" t="s">
        <v>3341</v>
      </c>
      <c r="I630" s="123" t="s">
        <v>3342</v>
      </c>
      <c r="J630" s="236">
        <v>20343</v>
      </c>
      <c r="K630" s="114"/>
      <c r="L630" s="114"/>
      <c r="M630" s="114"/>
      <c r="N630" s="124"/>
      <c r="O630" s="114"/>
      <c r="P630" s="124"/>
      <c r="Q630" s="114"/>
      <c r="R630" s="124"/>
      <c r="S630" s="114"/>
      <c r="T630" s="114"/>
      <c r="U630" s="114"/>
      <c r="V630" s="114"/>
      <c r="W630" s="114"/>
      <c r="X630" s="114"/>
      <c r="Y630" s="114"/>
      <c r="Z630" s="164" t="s">
        <v>3263</v>
      </c>
      <c r="AA630" s="114"/>
      <c r="AB630" s="114"/>
      <c r="AC630" s="114"/>
      <c r="AD630" s="114"/>
      <c r="AE630" s="114"/>
      <c r="AF630" s="114"/>
      <c r="AG630" s="114"/>
      <c r="AH630" s="114"/>
      <c r="AI630" s="114"/>
      <c r="AJ630" s="114"/>
      <c r="AK630" s="114"/>
      <c r="AL630" s="114"/>
      <c r="AM630" s="114"/>
      <c r="AN630" s="114"/>
      <c r="AO630" s="114"/>
      <c r="AP630" s="114"/>
      <c r="AQ630" s="114"/>
      <c r="AR630" s="114"/>
    </row>
    <row r="631" ht="12.75" spans="1:44">
      <c r="A631" s="114"/>
      <c r="B631" s="114"/>
      <c r="C631" s="114"/>
      <c r="D631" s="114" t="s">
        <v>3343</v>
      </c>
      <c r="E631" s="170" t="s">
        <v>3344</v>
      </c>
      <c r="F631" s="153">
        <v>44013</v>
      </c>
      <c r="G631" s="152">
        <f t="shared" si="13"/>
        <v>4013</v>
      </c>
      <c r="H631" s="258" t="s">
        <v>3345</v>
      </c>
      <c r="I631" s="123" t="s">
        <v>4448</v>
      </c>
      <c r="J631" s="236">
        <v>2</v>
      </c>
      <c r="K631" s="114"/>
      <c r="L631" s="114"/>
      <c r="M631" s="114"/>
      <c r="N631" s="124"/>
      <c r="O631" s="114"/>
      <c r="P631" s="124"/>
      <c r="Q631" s="114"/>
      <c r="R631" s="124"/>
      <c r="S631" s="114"/>
      <c r="T631" s="114"/>
      <c r="U631" s="114"/>
      <c r="V631" s="114"/>
      <c r="W631" s="114"/>
      <c r="X631" s="114"/>
      <c r="Y631" s="114"/>
      <c r="Z631" s="164" t="s">
        <v>3263</v>
      </c>
      <c r="AA631" s="114"/>
      <c r="AB631" s="114"/>
      <c r="AC631" s="114"/>
      <c r="AD631" s="114"/>
      <c r="AE631" s="114"/>
      <c r="AF631" s="114"/>
      <c r="AG631" s="114"/>
      <c r="AH631" s="114"/>
      <c r="AI631" s="114"/>
      <c r="AJ631" s="114"/>
      <c r="AK631" s="114"/>
      <c r="AL631" s="114"/>
      <c r="AM631" s="114"/>
      <c r="AN631" s="114"/>
      <c r="AO631" s="114"/>
      <c r="AP631" s="114"/>
      <c r="AQ631" s="114"/>
      <c r="AR631" s="114"/>
    </row>
    <row r="632" ht="12.75" spans="1:44">
      <c r="A632" s="114"/>
      <c r="B632" s="114"/>
      <c r="C632" s="114"/>
      <c r="D632" s="114" t="s">
        <v>3347</v>
      </c>
      <c r="E632" s="170" t="s">
        <v>3348</v>
      </c>
      <c r="F632" s="153">
        <v>42191</v>
      </c>
      <c r="G632" s="152">
        <f t="shared" si="13"/>
        <v>2191</v>
      </c>
      <c r="H632" s="170" t="s">
        <v>3349</v>
      </c>
      <c r="I632" s="123" t="s">
        <v>3350</v>
      </c>
      <c r="J632" s="236">
        <v>1660</v>
      </c>
      <c r="K632" s="114"/>
      <c r="L632" s="114"/>
      <c r="M632" s="114"/>
      <c r="N632" s="124"/>
      <c r="O632" s="114"/>
      <c r="P632" s="124"/>
      <c r="Q632" s="114"/>
      <c r="R632" s="124"/>
      <c r="S632" s="114"/>
      <c r="T632" s="114"/>
      <c r="U632" s="114"/>
      <c r="V632" s="114"/>
      <c r="W632" s="114"/>
      <c r="X632" s="114"/>
      <c r="Y632" s="114"/>
      <c r="Z632" s="164" t="s">
        <v>3263</v>
      </c>
      <c r="AA632" s="114"/>
      <c r="AB632" s="114"/>
      <c r="AC632" s="114"/>
      <c r="AD632" s="114"/>
      <c r="AE632" s="114"/>
      <c r="AF632" s="114"/>
      <c r="AG632" s="114"/>
      <c r="AH632" s="114"/>
      <c r="AI632" s="114"/>
      <c r="AJ632" s="114"/>
      <c r="AK632" s="114"/>
      <c r="AL632" s="114"/>
      <c r="AM632" s="114"/>
      <c r="AN632" s="114"/>
      <c r="AO632" s="114"/>
      <c r="AP632" s="114"/>
      <c r="AQ632" s="114"/>
      <c r="AR632" s="114"/>
    </row>
    <row r="633" ht="12.75" spans="1:44">
      <c r="A633" s="114"/>
      <c r="B633" s="114"/>
      <c r="C633" s="114"/>
      <c r="D633" s="114" t="s">
        <v>3351</v>
      </c>
      <c r="E633" s="170" t="s">
        <v>3352</v>
      </c>
      <c r="F633" s="153">
        <v>42765</v>
      </c>
      <c r="G633" s="152">
        <f t="shared" si="13"/>
        <v>2765</v>
      </c>
      <c r="H633" s="170" t="s">
        <v>3353</v>
      </c>
      <c r="I633" s="123" t="s">
        <v>3354</v>
      </c>
      <c r="J633" s="236">
        <v>91191</v>
      </c>
      <c r="K633" s="114"/>
      <c r="L633" s="114"/>
      <c r="M633" s="114"/>
      <c r="N633" s="124"/>
      <c r="O633" s="114"/>
      <c r="P633" s="124"/>
      <c r="Q633" s="114"/>
      <c r="R633" s="124"/>
      <c r="S633" s="114"/>
      <c r="T633" s="114"/>
      <c r="U633" s="114"/>
      <c r="V633" s="114"/>
      <c r="W633" s="114"/>
      <c r="X633" s="114"/>
      <c r="Y633" s="114"/>
      <c r="Z633" s="164" t="s">
        <v>3263</v>
      </c>
      <c r="AA633" s="114"/>
      <c r="AB633" s="114"/>
      <c r="AC633" s="114"/>
      <c r="AD633" s="114"/>
      <c r="AE633" s="114"/>
      <c r="AF633" s="114"/>
      <c r="AG633" s="114"/>
      <c r="AH633" s="114"/>
      <c r="AI633" s="114"/>
      <c r="AJ633" s="114"/>
      <c r="AK633" s="114"/>
      <c r="AL633" s="114"/>
      <c r="AM633" s="114"/>
      <c r="AN633" s="114"/>
      <c r="AO633" s="114"/>
      <c r="AP633" s="114"/>
      <c r="AQ633" s="114"/>
      <c r="AR633" s="114"/>
    </row>
    <row r="634" ht="12.75" spans="1:44">
      <c r="A634" s="114"/>
      <c r="B634" s="114"/>
      <c r="C634" s="114"/>
      <c r="D634" s="114" t="s">
        <v>3355</v>
      </c>
      <c r="E634" s="170" t="s">
        <v>3356</v>
      </c>
      <c r="F634" s="153">
        <v>43702</v>
      </c>
      <c r="G634" s="152">
        <f t="shared" si="13"/>
        <v>3702</v>
      </c>
      <c r="H634" s="258" t="s">
        <v>3357</v>
      </c>
      <c r="I634" s="123" t="s">
        <v>3358</v>
      </c>
      <c r="J634" s="236">
        <v>144</v>
      </c>
      <c r="K634" s="114"/>
      <c r="L634" s="114"/>
      <c r="M634" s="114"/>
      <c r="N634" s="124"/>
      <c r="O634" s="114"/>
      <c r="P634" s="124"/>
      <c r="Q634" s="114"/>
      <c r="R634" s="124"/>
      <c r="S634" s="114"/>
      <c r="T634" s="114"/>
      <c r="U634" s="114"/>
      <c r="V634" s="114"/>
      <c r="W634" s="114"/>
      <c r="X634" s="114"/>
      <c r="Y634" s="114"/>
      <c r="Z634" s="164" t="s">
        <v>3263</v>
      </c>
      <c r="AA634" s="114"/>
      <c r="AB634" s="114"/>
      <c r="AC634" s="114"/>
      <c r="AD634" s="114"/>
      <c r="AE634" s="114"/>
      <c r="AF634" s="114"/>
      <c r="AG634" s="114"/>
      <c r="AH634" s="114"/>
      <c r="AI634" s="114"/>
      <c r="AJ634" s="114"/>
      <c r="AK634" s="114"/>
      <c r="AL634" s="114"/>
      <c r="AM634" s="114"/>
      <c r="AN634" s="114"/>
      <c r="AO634" s="114"/>
      <c r="AP634" s="114"/>
      <c r="AQ634" s="114"/>
      <c r="AR634" s="114"/>
    </row>
    <row r="635" ht="12.75" spans="1:44">
      <c r="A635" s="114"/>
      <c r="B635" s="114"/>
      <c r="C635" s="114"/>
      <c r="D635" s="114" t="s">
        <v>3359</v>
      </c>
      <c r="E635" s="170" t="s">
        <v>3360</v>
      </c>
      <c r="F635" s="153">
        <v>42637</v>
      </c>
      <c r="G635" s="152">
        <f t="shared" si="13"/>
        <v>2637</v>
      </c>
      <c r="H635" s="170" t="s">
        <v>3361</v>
      </c>
      <c r="I635" s="123" t="s">
        <v>3362</v>
      </c>
      <c r="J635" s="236">
        <v>75</v>
      </c>
      <c r="K635" s="114"/>
      <c r="L635" s="114"/>
      <c r="M635" s="114"/>
      <c r="N635" s="124"/>
      <c r="O635" s="114"/>
      <c r="P635" s="124"/>
      <c r="Q635" s="114"/>
      <c r="R635" s="124"/>
      <c r="S635" s="114"/>
      <c r="T635" s="114"/>
      <c r="U635" s="114"/>
      <c r="V635" s="114"/>
      <c r="W635" s="114"/>
      <c r="X635" s="114"/>
      <c r="Y635" s="114"/>
      <c r="Z635" s="164" t="s">
        <v>3263</v>
      </c>
      <c r="AA635" s="114"/>
      <c r="AB635" s="114"/>
      <c r="AC635" s="114"/>
      <c r="AD635" s="114"/>
      <c r="AE635" s="114"/>
      <c r="AF635" s="114"/>
      <c r="AG635" s="114"/>
      <c r="AH635" s="114"/>
      <c r="AI635" s="114"/>
      <c r="AJ635" s="114"/>
      <c r="AK635" s="114"/>
      <c r="AL635" s="114"/>
      <c r="AM635" s="114"/>
      <c r="AN635" s="114"/>
      <c r="AO635" s="114"/>
      <c r="AP635" s="114"/>
      <c r="AQ635" s="114"/>
      <c r="AR635" s="114"/>
    </row>
    <row r="636" ht="12.75" spans="1:44">
      <c r="A636" s="114"/>
      <c r="B636" s="114"/>
      <c r="C636" s="114"/>
      <c r="D636" s="114" t="s">
        <v>3363</v>
      </c>
      <c r="E636" s="170" t="s">
        <v>3364</v>
      </c>
      <c r="F636" s="153">
        <v>42467</v>
      </c>
      <c r="G636" s="152">
        <f t="shared" si="13"/>
        <v>2467</v>
      </c>
      <c r="H636" s="258" t="s">
        <v>3365</v>
      </c>
      <c r="I636" s="123" t="s">
        <v>3366</v>
      </c>
      <c r="J636" s="236">
        <v>3247</v>
      </c>
      <c r="K636" s="114"/>
      <c r="L636" s="114"/>
      <c r="M636" s="114"/>
      <c r="N636" s="124"/>
      <c r="O636" s="114"/>
      <c r="P636" s="124"/>
      <c r="Q636" s="114"/>
      <c r="R636" s="124"/>
      <c r="S636" s="114"/>
      <c r="T636" s="114"/>
      <c r="U636" s="114"/>
      <c r="V636" s="114"/>
      <c r="W636" s="114"/>
      <c r="X636" s="114"/>
      <c r="Y636" s="114"/>
      <c r="Z636" s="164" t="s">
        <v>3263</v>
      </c>
      <c r="AA636" s="114"/>
      <c r="AB636" s="114"/>
      <c r="AC636" s="114"/>
      <c r="AD636" s="114"/>
      <c r="AE636" s="114"/>
      <c r="AF636" s="114"/>
      <c r="AG636" s="114"/>
      <c r="AH636" s="114"/>
      <c r="AI636" s="114"/>
      <c r="AJ636" s="114"/>
      <c r="AK636" s="114"/>
      <c r="AL636" s="114"/>
      <c r="AM636" s="114"/>
      <c r="AN636" s="114"/>
      <c r="AO636" s="114"/>
      <c r="AP636" s="114"/>
      <c r="AQ636" s="114"/>
      <c r="AR636" s="114"/>
    </row>
    <row r="637" ht="12.75" spans="1:44">
      <c r="A637" s="114"/>
      <c r="B637" s="114"/>
      <c r="C637" s="114"/>
      <c r="D637" s="114" t="s">
        <v>3367</v>
      </c>
      <c r="E637" s="170" t="s">
        <v>3368</v>
      </c>
      <c r="F637" s="153">
        <v>43676</v>
      </c>
      <c r="G637" s="152">
        <f t="shared" si="13"/>
        <v>3676</v>
      </c>
      <c r="H637" s="170" t="s">
        <v>3369</v>
      </c>
      <c r="I637" s="123" t="s">
        <v>3370</v>
      </c>
      <c r="J637" s="236" t="s">
        <v>3213</v>
      </c>
      <c r="K637" s="114"/>
      <c r="L637" s="114"/>
      <c r="M637" s="114"/>
      <c r="N637" s="124"/>
      <c r="O637" s="114"/>
      <c r="P637" s="124"/>
      <c r="Q637" s="114"/>
      <c r="R637" s="124"/>
      <c r="S637" s="114"/>
      <c r="T637" s="114"/>
      <c r="U637" s="114"/>
      <c r="V637" s="114"/>
      <c r="W637" s="114"/>
      <c r="X637" s="114"/>
      <c r="Y637" s="114"/>
      <c r="Z637" s="164" t="s">
        <v>3263</v>
      </c>
      <c r="AA637" s="114"/>
      <c r="AB637" s="114"/>
      <c r="AC637" s="114"/>
      <c r="AD637" s="114"/>
      <c r="AE637" s="114"/>
      <c r="AF637" s="114"/>
      <c r="AG637" s="114"/>
      <c r="AH637" s="114"/>
      <c r="AI637" s="114"/>
      <c r="AJ637" s="114"/>
      <c r="AK637" s="114"/>
      <c r="AL637" s="114"/>
      <c r="AM637" s="114"/>
      <c r="AN637" s="114"/>
      <c r="AO637" s="114"/>
      <c r="AP637" s="114"/>
      <c r="AQ637" s="114"/>
      <c r="AR637" s="114"/>
    </row>
    <row r="638" ht="12.75" spans="1:44">
      <c r="A638" s="114"/>
      <c r="B638" s="114"/>
      <c r="C638" s="114"/>
      <c r="D638" s="114" t="s">
        <v>3371</v>
      </c>
      <c r="E638" s="170" t="s">
        <v>3372</v>
      </c>
      <c r="F638" s="153">
        <v>43742</v>
      </c>
      <c r="G638" s="152">
        <f t="shared" si="13"/>
        <v>3742</v>
      </c>
      <c r="H638" s="258" t="s">
        <v>3373</v>
      </c>
      <c r="I638" s="123" t="s">
        <v>3374</v>
      </c>
      <c r="J638" s="236">
        <v>93</v>
      </c>
      <c r="K638" s="114"/>
      <c r="L638" s="114"/>
      <c r="M638" s="114"/>
      <c r="N638" s="124"/>
      <c r="O638" s="114"/>
      <c r="P638" s="124"/>
      <c r="Q638" s="114"/>
      <c r="R638" s="124"/>
      <c r="S638" s="114"/>
      <c r="T638" s="114"/>
      <c r="U638" s="114"/>
      <c r="V638" s="114"/>
      <c r="W638" s="114"/>
      <c r="X638" s="114"/>
      <c r="Y638" s="114"/>
      <c r="Z638" s="164" t="s">
        <v>3263</v>
      </c>
      <c r="AA638" s="114"/>
      <c r="AB638" s="114"/>
      <c r="AC638" s="114"/>
      <c r="AD638" s="114"/>
      <c r="AE638" s="114"/>
      <c r="AF638" s="114"/>
      <c r="AG638" s="114"/>
      <c r="AH638" s="114"/>
      <c r="AI638" s="114"/>
      <c r="AJ638" s="114"/>
      <c r="AK638" s="114"/>
      <c r="AL638" s="114"/>
      <c r="AM638" s="114"/>
      <c r="AN638" s="114"/>
      <c r="AO638" s="114"/>
      <c r="AP638" s="114"/>
      <c r="AQ638" s="114"/>
      <c r="AR638" s="114"/>
    </row>
    <row r="639" ht="12.75" spans="1:44">
      <c r="A639" s="114"/>
      <c r="B639" s="114"/>
      <c r="C639" s="114"/>
      <c r="D639" s="114" t="s">
        <v>3375</v>
      </c>
      <c r="E639" s="170" t="s">
        <v>3376</v>
      </c>
      <c r="F639" s="153">
        <v>43873</v>
      </c>
      <c r="G639" s="152">
        <f t="shared" si="13"/>
        <v>3873</v>
      </c>
      <c r="H639" s="170" t="s">
        <v>3377</v>
      </c>
      <c r="I639" s="123" t="s">
        <v>3378</v>
      </c>
      <c r="J639" s="236">
        <v>14</v>
      </c>
      <c r="K639" s="114"/>
      <c r="L639" s="114"/>
      <c r="M639" s="114"/>
      <c r="N639" s="124"/>
      <c r="O639" s="114"/>
      <c r="P639" s="124"/>
      <c r="Q639" s="114"/>
      <c r="R639" s="124"/>
      <c r="S639" s="114"/>
      <c r="T639" s="114"/>
      <c r="U639" s="114"/>
      <c r="V639" s="114"/>
      <c r="W639" s="114"/>
      <c r="X639" s="114"/>
      <c r="Y639" s="114"/>
      <c r="Z639" s="164" t="s">
        <v>3263</v>
      </c>
      <c r="AA639" s="114"/>
      <c r="AB639" s="114"/>
      <c r="AC639" s="114"/>
      <c r="AD639" s="114"/>
      <c r="AE639" s="114"/>
      <c r="AF639" s="114"/>
      <c r="AG639" s="114"/>
      <c r="AH639" s="114"/>
      <c r="AI639" s="114"/>
      <c r="AJ639" s="114"/>
      <c r="AK639" s="114"/>
      <c r="AL639" s="114"/>
      <c r="AM639" s="114"/>
      <c r="AN639" s="114"/>
      <c r="AO639" s="114"/>
      <c r="AP639" s="114"/>
      <c r="AQ639" s="114"/>
      <c r="AR639" s="114"/>
    </row>
    <row r="640" ht="12.75" spans="1:44">
      <c r="A640" s="114"/>
      <c r="B640" s="114"/>
      <c r="C640" s="114"/>
      <c r="D640" s="114" t="s">
        <v>3379</v>
      </c>
      <c r="E640" s="170" t="s">
        <v>3380</v>
      </c>
      <c r="F640" s="153">
        <v>43561</v>
      </c>
      <c r="G640" s="152">
        <f t="shared" si="13"/>
        <v>3561</v>
      </c>
      <c r="H640" s="170" t="s">
        <v>3381</v>
      </c>
      <c r="I640" s="123" t="s">
        <v>3382</v>
      </c>
      <c r="J640" s="236">
        <v>608</v>
      </c>
      <c r="K640" s="114"/>
      <c r="L640" s="114"/>
      <c r="M640" s="114"/>
      <c r="N640" s="124"/>
      <c r="O640" s="114"/>
      <c r="P640" s="124"/>
      <c r="Q640" s="114"/>
      <c r="R640" s="124"/>
      <c r="S640" s="114"/>
      <c r="T640" s="114"/>
      <c r="U640" s="114"/>
      <c r="V640" s="114"/>
      <c r="W640" s="114"/>
      <c r="X640" s="114"/>
      <c r="Y640" s="114"/>
      <c r="Z640" s="164" t="s">
        <v>3263</v>
      </c>
      <c r="AA640" s="114"/>
      <c r="AB640" s="114"/>
      <c r="AC640" s="114"/>
      <c r="AD640" s="114"/>
      <c r="AE640" s="114"/>
      <c r="AF640" s="114"/>
      <c r="AG640" s="114"/>
      <c r="AH640" s="114"/>
      <c r="AI640" s="114"/>
      <c r="AJ640" s="114"/>
      <c r="AK640" s="114"/>
      <c r="AL640" s="114"/>
      <c r="AM640" s="114"/>
      <c r="AN640" s="114"/>
      <c r="AO640" s="114"/>
      <c r="AP640" s="114"/>
      <c r="AQ640" s="114"/>
      <c r="AR640" s="114"/>
    </row>
    <row r="641" ht="12.75" spans="1:44">
      <c r="A641" s="114"/>
      <c r="B641" s="114"/>
      <c r="C641" s="114"/>
      <c r="D641" s="114" t="s">
        <v>3383</v>
      </c>
      <c r="E641" s="170" t="s">
        <v>3384</v>
      </c>
      <c r="F641" s="153">
        <v>43153</v>
      </c>
      <c r="G641" s="152">
        <f t="shared" si="13"/>
        <v>3153</v>
      </c>
      <c r="H641" s="170" t="s">
        <v>3385</v>
      </c>
      <c r="I641" s="123" t="s">
        <v>3386</v>
      </c>
      <c r="J641" s="236">
        <v>651</v>
      </c>
      <c r="K641" s="114"/>
      <c r="L641" s="114"/>
      <c r="M641" s="114"/>
      <c r="N641" s="124"/>
      <c r="O641" s="114"/>
      <c r="P641" s="124"/>
      <c r="Q641" s="114"/>
      <c r="R641" s="124"/>
      <c r="S641" s="114"/>
      <c r="T641" s="114"/>
      <c r="U641" s="114"/>
      <c r="V641" s="114"/>
      <c r="W641" s="114"/>
      <c r="X641" s="114"/>
      <c r="Y641" s="114"/>
      <c r="Z641" s="164" t="s">
        <v>3263</v>
      </c>
      <c r="AA641" s="114"/>
      <c r="AB641" s="114"/>
      <c r="AC641" s="114"/>
      <c r="AD641" s="114"/>
      <c r="AE641" s="114"/>
      <c r="AF641" s="114"/>
      <c r="AG641" s="114"/>
      <c r="AH641" s="114"/>
      <c r="AI641" s="114"/>
      <c r="AJ641" s="114"/>
      <c r="AK641" s="114"/>
      <c r="AL641" s="114"/>
      <c r="AM641" s="114"/>
      <c r="AN641" s="114"/>
      <c r="AO641" s="114"/>
      <c r="AP641" s="114"/>
      <c r="AQ641" s="114"/>
      <c r="AR641" s="114"/>
    </row>
    <row r="642" ht="12.75" spans="1:44">
      <c r="A642" s="114"/>
      <c r="B642" s="114"/>
      <c r="C642" s="114"/>
      <c r="D642" s="114" t="s">
        <v>3387</v>
      </c>
      <c r="E642" s="170" t="s">
        <v>3388</v>
      </c>
      <c r="F642" s="153">
        <v>43213</v>
      </c>
      <c r="G642" s="152">
        <f t="shared" si="13"/>
        <v>3213</v>
      </c>
      <c r="H642" s="258" t="s">
        <v>3389</v>
      </c>
      <c r="I642" s="123" t="s">
        <v>3390</v>
      </c>
      <c r="J642" s="236">
        <v>49</v>
      </c>
      <c r="K642" s="114"/>
      <c r="L642" s="114"/>
      <c r="M642" s="114"/>
      <c r="N642" s="124"/>
      <c r="O642" s="114"/>
      <c r="P642" s="124"/>
      <c r="Q642" s="114"/>
      <c r="R642" s="124"/>
      <c r="S642" s="114"/>
      <c r="T642" s="114"/>
      <c r="U642" s="114"/>
      <c r="V642" s="114"/>
      <c r="W642" s="114"/>
      <c r="X642" s="114"/>
      <c r="Y642" s="114"/>
      <c r="Z642" s="164" t="s">
        <v>3263</v>
      </c>
      <c r="AA642" s="114"/>
      <c r="AB642" s="114"/>
      <c r="AC642" s="114"/>
      <c r="AD642" s="114"/>
      <c r="AE642" s="114"/>
      <c r="AF642" s="114"/>
      <c r="AG642" s="114"/>
      <c r="AH642" s="114"/>
      <c r="AI642" s="114"/>
      <c r="AJ642" s="114"/>
      <c r="AK642" s="114"/>
      <c r="AL642" s="114"/>
      <c r="AM642" s="114"/>
      <c r="AN642" s="114"/>
      <c r="AO642" s="114"/>
      <c r="AP642" s="114"/>
      <c r="AQ642" s="114"/>
      <c r="AR642" s="114"/>
    </row>
    <row r="643" ht="12.75" spans="1:44">
      <c r="A643" s="114"/>
      <c r="B643" s="114"/>
      <c r="C643" s="114"/>
      <c r="D643" s="114" t="s">
        <v>3391</v>
      </c>
      <c r="E643" s="170" t="s">
        <v>3392</v>
      </c>
      <c r="F643" s="153">
        <v>43622</v>
      </c>
      <c r="G643" s="152">
        <f t="shared" si="13"/>
        <v>3622</v>
      </c>
      <c r="H643" s="258" t="s">
        <v>3393</v>
      </c>
      <c r="I643" s="123" t="s">
        <v>3394</v>
      </c>
      <c r="J643" s="236">
        <v>47</v>
      </c>
      <c r="K643" s="114"/>
      <c r="L643" s="114"/>
      <c r="M643" s="114"/>
      <c r="N643" s="124"/>
      <c r="O643" s="114"/>
      <c r="P643" s="124"/>
      <c r="Q643" s="114"/>
      <c r="R643" s="124"/>
      <c r="S643" s="114"/>
      <c r="T643" s="114"/>
      <c r="U643" s="114"/>
      <c r="V643" s="114"/>
      <c r="W643" s="114"/>
      <c r="X643" s="114"/>
      <c r="Y643" s="114"/>
      <c r="Z643" s="164" t="s">
        <v>3263</v>
      </c>
      <c r="AA643" s="114"/>
      <c r="AB643" s="114"/>
      <c r="AC643" s="114"/>
      <c r="AD643" s="114"/>
      <c r="AE643" s="114"/>
      <c r="AF643" s="114"/>
      <c r="AG643" s="114"/>
      <c r="AH643" s="114"/>
      <c r="AI643" s="114"/>
      <c r="AJ643" s="114"/>
      <c r="AK643" s="114"/>
      <c r="AL643" s="114"/>
      <c r="AM643" s="114"/>
      <c r="AN643" s="114"/>
      <c r="AO643" s="114"/>
      <c r="AP643" s="114"/>
      <c r="AQ643" s="114"/>
      <c r="AR643" s="114"/>
    </row>
    <row r="644" ht="12.75" spans="1:44">
      <c r="A644" s="114"/>
      <c r="B644" s="114"/>
      <c r="C644" s="114"/>
      <c r="D644" s="114" t="s">
        <v>843</v>
      </c>
      <c r="E644" s="170" t="s">
        <v>844</v>
      </c>
      <c r="F644" s="153">
        <v>43469</v>
      </c>
      <c r="G644" s="152">
        <f t="shared" si="13"/>
        <v>3469</v>
      </c>
      <c r="H644" s="170" t="s">
        <v>845</v>
      </c>
      <c r="I644" s="123" t="s">
        <v>4449</v>
      </c>
      <c r="J644" s="236">
        <v>2061</v>
      </c>
      <c r="K644" s="114"/>
      <c r="L644" s="114"/>
      <c r="M644" s="114"/>
      <c r="N644" s="124"/>
      <c r="O644" s="114"/>
      <c r="P644" s="124"/>
      <c r="Q644" s="114"/>
      <c r="R644" s="124"/>
      <c r="S644" s="114"/>
      <c r="T644" s="114"/>
      <c r="U644" s="114"/>
      <c r="V644" s="114"/>
      <c r="W644" s="114"/>
      <c r="X644" s="114"/>
      <c r="Y644" s="114"/>
      <c r="Z644" s="164" t="s">
        <v>3263</v>
      </c>
      <c r="AA644" s="114"/>
      <c r="AB644" s="114"/>
      <c r="AC644" s="114"/>
      <c r="AD644" s="114"/>
      <c r="AE644" s="114"/>
      <c r="AF644" s="114"/>
      <c r="AG644" s="114"/>
      <c r="AH644" s="114"/>
      <c r="AI644" s="114"/>
      <c r="AJ644" s="114"/>
      <c r="AK644" s="114"/>
      <c r="AL644" s="114"/>
      <c r="AM644" s="114"/>
      <c r="AN644" s="114"/>
      <c r="AO644" s="114"/>
      <c r="AP644" s="114"/>
      <c r="AQ644" s="114"/>
      <c r="AR644" s="114"/>
    </row>
    <row r="645" ht="12.75" spans="1:44">
      <c r="A645" s="114"/>
      <c r="B645" s="114"/>
      <c r="C645" s="114"/>
      <c r="D645" s="114" t="s">
        <v>3395</v>
      </c>
      <c r="E645" s="170" t="s">
        <v>3396</v>
      </c>
      <c r="F645" s="153">
        <v>44182</v>
      </c>
      <c r="G645" s="152">
        <f t="shared" si="13"/>
        <v>4182</v>
      </c>
      <c r="H645" s="258" t="s">
        <v>3397</v>
      </c>
      <c r="I645" s="123" t="s">
        <v>3398</v>
      </c>
      <c r="J645" s="236">
        <v>17</v>
      </c>
      <c r="K645" s="114"/>
      <c r="L645" s="114"/>
      <c r="M645" s="114"/>
      <c r="N645" s="124"/>
      <c r="O645" s="114"/>
      <c r="P645" s="124"/>
      <c r="Q645" s="114"/>
      <c r="R645" s="124"/>
      <c r="S645" s="114"/>
      <c r="T645" s="114"/>
      <c r="U645" s="114"/>
      <c r="V645" s="114"/>
      <c r="W645" s="114"/>
      <c r="X645" s="114"/>
      <c r="Y645" s="114"/>
      <c r="Z645" s="164" t="s">
        <v>3263</v>
      </c>
      <c r="AA645" s="114"/>
      <c r="AB645" s="114"/>
      <c r="AC645" s="114"/>
      <c r="AD645" s="114"/>
      <c r="AE645" s="114"/>
      <c r="AF645" s="114"/>
      <c r="AG645" s="114"/>
      <c r="AH645" s="114"/>
      <c r="AI645" s="114"/>
      <c r="AJ645" s="114"/>
      <c r="AK645" s="114"/>
      <c r="AL645" s="114"/>
      <c r="AM645" s="114"/>
      <c r="AN645" s="114"/>
      <c r="AO645" s="114"/>
      <c r="AP645" s="114"/>
      <c r="AQ645" s="114"/>
      <c r="AR645" s="114"/>
    </row>
    <row r="646" ht="12.75" spans="1:44">
      <c r="A646" s="114"/>
      <c r="B646" s="114"/>
      <c r="C646" s="114"/>
      <c r="D646" s="114" t="s">
        <v>3164</v>
      </c>
      <c r="E646" s="170" t="s">
        <v>3399</v>
      </c>
      <c r="F646" s="153">
        <v>42519</v>
      </c>
      <c r="G646" s="152">
        <f t="shared" si="13"/>
        <v>2519</v>
      </c>
      <c r="H646" s="258" t="s">
        <v>3400</v>
      </c>
      <c r="I646" s="123" t="s">
        <v>3401</v>
      </c>
      <c r="J646" s="236">
        <v>2214</v>
      </c>
      <c r="K646" s="114"/>
      <c r="L646" s="114"/>
      <c r="M646" s="114"/>
      <c r="N646" s="124"/>
      <c r="O646" s="114"/>
      <c r="P646" s="124"/>
      <c r="Q646" s="114"/>
      <c r="R646" s="124"/>
      <c r="S646" s="114"/>
      <c r="T646" s="114"/>
      <c r="U646" s="114"/>
      <c r="V646" s="114"/>
      <c r="W646" s="114"/>
      <c r="X646" s="114"/>
      <c r="Y646" s="114"/>
      <c r="Z646" s="164" t="s">
        <v>3263</v>
      </c>
      <c r="AA646" s="114"/>
      <c r="AB646" s="114"/>
      <c r="AC646" s="114"/>
      <c r="AD646" s="114"/>
      <c r="AE646" s="114"/>
      <c r="AF646" s="114"/>
      <c r="AG646" s="114"/>
      <c r="AH646" s="114"/>
      <c r="AI646" s="114"/>
      <c r="AJ646" s="114"/>
      <c r="AK646" s="114"/>
      <c r="AL646" s="114"/>
      <c r="AM646" s="114"/>
      <c r="AN646" s="114"/>
      <c r="AO646" s="114"/>
      <c r="AP646" s="114"/>
      <c r="AQ646" s="114"/>
      <c r="AR646" s="114"/>
    </row>
    <row r="647" ht="12.75" spans="1:44">
      <c r="A647" s="114"/>
      <c r="B647" s="114"/>
      <c r="C647" s="114"/>
      <c r="D647" s="114" t="s">
        <v>3402</v>
      </c>
      <c r="E647" s="170" t="s">
        <v>3403</v>
      </c>
      <c r="F647" s="153">
        <v>43223</v>
      </c>
      <c r="G647" s="152">
        <f t="shared" si="13"/>
        <v>3223</v>
      </c>
      <c r="H647" s="258" t="s">
        <v>3404</v>
      </c>
      <c r="I647" s="123" t="s">
        <v>3405</v>
      </c>
      <c r="J647" s="236">
        <v>137</v>
      </c>
      <c r="K647" s="114"/>
      <c r="L647" s="114"/>
      <c r="M647" s="114"/>
      <c r="N647" s="124"/>
      <c r="O647" s="114"/>
      <c r="P647" s="124"/>
      <c r="Q647" s="114"/>
      <c r="R647" s="124"/>
      <c r="S647" s="114"/>
      <c r="T647" s="114"/>
      <c r="U647" s="114"/>
      <c r="V647" s="114"/>
      <c r="W647" s="114"/>
      <c r="X647" s="114"/>
      <c r="Y647" s="114"/>
      <c r="Z647" s="164" t="s">
        <v>3263</v>
      </c>
      <c r="AA647" s="114"/>
      <c r="AB647" s="114"/>
      <c r="AC647" s="114"/>
      <c r="AD647" s="114"/>
      <c r="AE647" s="114"/>
      <c r="AF647" s="114"/>
      <c r="AG647" s="114"/>
      <c r="AH647" s="114"/>
      <c r="AI647" s="114"/>
      <c r="AJ647" s="114"/>
      <c r="AK647" s="114"/>
      <c r="AL647" s="114"/>
      <c r="AM647" s="114"/>
      <c r="AN647" s="114"/>
      <c r="AO647" s="114"/>
      <c r="AP647" s="114"/>
      <c r="AQ647" s="114"/>
      <c r="AR647" s="114"/>
    </row>
    <row r="648" ht="12.75" spans="1:44">
      <c r="A648" s="114"/>
      <c r="B648" s="114"/>
      <c r="C648" s="114"/>
      <c r="D648" s="114" t="s">
        <v>3406</v>
      </c>
      <c r="E648" s="170" t="s">
        <v>3407</v>
      </c>
      <c r="F648" s="153">
        <v>38631</v>
      </c>
      <c r="G648" s="152">
        <f t="shared" si="13"/>
        <v>8631</v>
      </c>
      <c r="H648" s="258" t="s">
        <v>3408</v>
      </c>
      <c r="I648" s="123" t="s">
        <v>3409</v>
      </c>
      <c r="J648" s="236">
        <v>1090</v>
      </c>
      <c r="K648" s="114"/>
      <c r="L648" s="114"/>
      <c r="M648" s="114"/>
      <c r="N648" s="124"/>
      <c r="O648" s="114"/>
      <c r="P648" s="124"/>
      <c r="Q648" s="114"/>
      <c r="R648" s="124"/>
      <c r="S648" s="114"/>
      <c r="T648" s="114"/>
      <c r="U648" s="114"/>
      <c r="V648" s="114"/>
      <c r="W648" s="114"/>
      <c r="X648" s="114"/>
      <c r="Y648" s="114"/>
      <c r="Z648" s="164" t="s">
        <v>3263</v>
      </c>
      <c r="AA648" s="114"/>
      <c r="AB648" s="114"/>
      <c r="AC648" s="114"/>
      <c r="AD648" s="114"/>
      <c r="AE648" s="114"/>
      <c r="AF648" s="114"/>
      <c r="AG648" s="114"/>
      <c r="AH648" s="114"/>
      <c r="AI648" s="114"/>
      <c r="AJ648" s="114"/>
      <c r="AK648" s="114"/>
      <c r="AL648" s="114"/>
      <c r="AM648" s="114"/>
      <c r="AN648" s="114"/>
      <c r="AO648" s="114"/>
      <c r="AP648" s="114"/>
      <c r="AQ648" s="114"/>
      <c r="AR648" s="114"/>
    </row>
    <row r="649" ht="12.75" spans="1:44">
      <c r="A649" s="114"/>
      <c r="B649" s="114"/>
      <c r="C649" s="114"/>
      <c r="D649" s="114" t="s">
        <v>2310</v>
      </c>
      <c r="E649" s="170" t="s">
        <v>2311</v>
      </c>
      <c r="F649" s="153">
        <v>32509</v>
      </c>
      <c r="G649" s="152">
        <f t="shared" si="13"/>
        <v>2509</v>
      </c>
      <c r="H649" s="170" t="s">
        <v>2312</v>
      </c>
      <c r="I649" s="123" t="s">
        <v>2313</v>
      </c>
      <c r="J649" s="236">
        <v>1132</v>
      </c>
      <c r="K649" s="114"/>
      <c r="L649" s="114"/>
      <c r="M649" s="114"/>
      <c r="N649" s="124"/>
      <c r="O649" s="114"/>
      <c r="P649" s="124"/>
      <c r="Q649" s="114"/>
      <c r="R649" s="124"/>
      <c r="S649" s="114"/>
      <c r="T649" s="114"/>
      <c r="U649" s="114"/>
      <c r="V649" s="114"/>
      <c r="W649" s="114"/>
      <c r="X649" s="114"/>
      <c r="Y649" s="114"/>
      <c r="Z649" s="164" t="s">
        <v>3263</v>
      </c>
      <c r="AA649" s="114"/>
      <c r="AB649" s="114"/>
      <c r="AC649" s="114"/>
      <c r="AD649" s="114"/>
      <c r="AE649" s="114"/>
      <c r="AF649" s="114"/>
      <c r="AG649" s="114"/>
      <c r="AH649" s="114"/>
      <c r="AI649" s="114"/>
      <c r="AJ649" s="114"/>
      <c r="AK649" s="114"/>
      <c r="AL649" s="114"/>
      <c r="AM649" s="114"/>
      <c r="AN649" s="114"/>
      <c r="AO649" s="114"/>
      <c r="AP649" s="114"/>
      <c r="AQ649" s="114"/>
      <c r="AR649" s="114"/>
    </row>
    <row r="650" ht="12.75" spans="1:44">
      <c r="A650" s="114"/>
      <c r="B650" s="114"/>
      <c r="C650" s="114"/>
      <c r="D650" s="114" t="s">
        <v>3410</v>
      </c>
      <c r="E650" s="170" t="s">
        <v>3411</v>
      </c>
      <c r="F650" s="153">
        <v>44133</v>
      </c>
      <c r="G650" s="152">
        <f t="shared" si="13"/>
        <v>4133</v>
      </c>
      <c r="H650" s="258" t="s">
        <v>3412</v>
      </c>
      <c r="I650" s="123" t="s">
        <v>3413</v>
      </c>
      <c r="J650" s="236">
        <v>22</v>
      </c>
      <c r="K650" s="114"/>
      <c r="L650" s="114"/>
      <c r="M650" s="114"/>
      <c r="N650" s="124"/>
      <c r="O650" s="114"/>
      <c r="P650" s="124"/>
      <c r="Q650" s="114"/>
      <c r="R650" s="124"/>
      <c r="S650" s="114"/>
      <c r="T650" s="114"/>
      <c r="U650" s="114"/>
      <c r="V650" s="114"/>
      <c r="W650" s="114"/>
      <c r="X650" s="114"/>
      <c r="Y650" s="114"/>
      <c r="Z650" s="164" t="s">
        <v>3263</v>
      </c>
      <c r="AA650" s="114"/>
      <c r="AB650" s="114"/>
      <c r="AC650" s="114"/>
      <c r="AD650" s="114"/>
      <c r="AE650" s="114"/>
      <c r="AF650" s="114"/>
      <c r="AG650" s="114"/>
      <c r="AH650" s="114"/>
      <c r="AI650" s="114"/>
      <c r="AJ650" s="114"/>
      <c r="AK650" s="114"/>
      <c r="AL650" s="114"/>
      <c r="AM650" s="114"/>
      <c r="AN650" s="114"/>
      <c r="AO650" s="114"/>
      <c r="AP650" s="114"/>
      <c r="AQ650" s="114"/>
      <c r="AR650" s="114"/>
    </row>
    <row r="651" ht="12.75" spans="1:44">
      <c r="A651" s="114"/>
      <c r="B651" s="114"/>
      <c r="C651" s="114"/>
      <c r="D651" s="114" t="s">
        <v>3414</v>
      </c>
      <c r="E651" s="170" t="s">
        <v>3415</v>
      </c>
      <c r="F651" s="153">
        <v>44109</v>
      </c>
      <c r="G651" s="152">
        <f t="shared" si="13"/>
        <v>4109</v>
      </c>
      <c r="H651" s="170" t="s">
        <v>3416</v>
      </c>
      <c r="I651" s="123" t="s">
        <v>3417</v>
      </c>
      <c r="J651" s="236">
        <v>134</v>
      </c>
      <c r="K651" s="114"/>
      <c r="L651" s="114"/>
      <c r="M651" s="114"/>
      <c r="N651" s="124"/>
      <c r="O651" s="114"/>
      <c r="P651" s="124"/>
      <c r="Q651" s="114"/>
      <c r="R651" s="124"/>
      <c r="S651" s="114"/>
      <c r="T651" s="114"/>
      <c r="U651" s="114"/>
      <c r="V651" s="114"/>
      <c r="W651" s="114"/>
      <c r="X651" s="114"/>
      <c r="Y651" s="114"/>
      <c r="Z651" s="164" t="s">
        <v>3263</v>
      </c>
      <c r="AA651" s="114"/>
      <c r="AB651" s="114"/>
      <c r="AC651" s="114"/>
      <c r="AD651" s="114"/>
      <c r="AE651" s="114"/>
      <c r="AF651" s="114"/>
      <c r="AG651" s="114"/>
      <c r="AH651" s="114"/>
      <c r="AI651" s="114"/>
      <c r="AJ651" s="114"/>
      <c r="AK651" s="114"/>
      <c r="AL651" s="114"/>
      <c r="AM651" s="114"/>
      <c r="AN651" s="114"/>
      <c r="AO651" s="114"/>
      <c r="AP651" s="114"/>
      <c r="AQ651" s="114"/>
      <c r="AR651" s="114"/>
    </row>
    <row r="652" ht="12.75" spans="1:44">
      <c r="A652" s="114"/>
      <c r="B652" s="114"/>
      <c r="C652" s="114"/>
      <c r="D652" s="114" t="s">
        <v>3418</v>
      </c>
      <c r="E652" s="170" t="s">
        <v>3419</v>
      </c>
      <c r="F652" s="153">
        <v>42156</v>
      </c>
      <c r="G652" s="152">
        <f t="shared" si="13"/>
        <v>2156</v>
      </c>
      <c r="H652" s="170" t="s">
        <v>3420</v>
      </c>
      <c r="I652" s="123" t="s">
        <v>3421</v>
      </c>
      <c r="J652" s="236">
        <v>199</v>
      </c>
      <c r="K652" s="114"/>
      <c r="L652" s="114"/>
      <c r="M652" s="114"/>
      <c r="N652" s="124"/>
      <c r="O652" s="114"/>
      <c r="P652" s="124"/>
      <c r="Q652" s="114"/>
      <c r="R652" s="124"/>
      <c r="S652" s="114"/>
      <c r="T652" s="114"/>
      <c r="U652" s="114"/>
      <c r="V652" s="114"/>
      <c r="W652" s="114"/>
      <c r="X652" s="114"/>
      <c r="Y652" s="114"/>
      <c r="Z652" s="164" t="s">
        <v>3263</v>
      </c>
      <c r="AA652" s="114"/>
      <c r="AB652" s="114"/>
      <c r="AC652" s="114"/>
      <c r="AD652" s="114"/>
      <c r="AE652" s="114"/>
      <c r="AF652" s="114"/>
      <c r="AG652" s="114"/>
      <c r="AH652" s="114"/>
      <c r="AI652" s="114"/>
      <c r="AJ652" s="114"/>
      <c r="AK652" s="114"/>
      <c r="AL652" s="114"/>
      <c r="AM652" s="114"/>
      <c r="AN652" s="114"/>
      <c r="AO652" s="114"/>
      <c r="AP652" s="114"/>
      <c r="AQ652" s="114"/>
      <c r="AR652" s="114"/>
    </row>
    <row r="653" ht="12.75" spans="1:44">
      <c r="A653" s="114"/>
      <c r="B653" s="114"/>
      <c r="C653" s="114"/>
      <c r="D653" s="114" t="s">
        <v>3422</v>
      </c>
      <c r="E653" s="170" t="s">
        <v>3423</v>
      </c>
      <c r="F653" s="153"/>
      <c r="G653" s="152" t="e">
        <f t="shared" si="13"/>
        <v>#VALUE!</v>
      </c>
      <c r="H653" s="170" t="s">
        <v>3424</v>
      </c>
      <c r="I653" s="123" t="s">
        <v>3425</v>
      </c>
      <c r="J653" s="236" t="s">
        <v>3213</v>
      </c>
      <c r="K653" s="114"/>
      <c r="L653" s="114"/>
      <c r="M653" s="114"/>
      <c r="N653" s="124"/>
      <c r="O653" s="114"/>
      <c r="P653" s="124"/>
      <c r="Q653" s="114"/>
      <c r="R653" s="124"/>
      <c r="S653" s="114"/>
      <c r="T653" s="114"/>
      <c r="U653" s="114"/>
      <c r="V653" s="114"/>
      <c r="W653" s="114"/>
      <c r="X653" s="114"/>
      <c r="Y653" s="114"/>
      <c r="Z653" s="164" t="s">
        <v>3263</v>
      </c>
      <c r="AA653" s="114"/>
      <c r="AB653" s="114"/>
      <c r="AC653" s="114"/>
      <c r="AD653" s="114"/>
      <c r="AE653" s="114"/>
      <c r="AF653" s="114"/>
      <c r="AG653" s="114"/>
      <c r="AH653" s="114"/>
      <c r="AI653" s="114"/>
      <c r="AJ653" s="114"/>
      <c r="AK653" s="114"/>
      <c r="AL653" s="114"/>
      <c r="AM653" s="114"/>
      <c r="AN653" s="114"/>
      <c r="AO653" s="114"/>
      <c r="AP653" s="114"/>
      <c r="AQ653" s="114"/>
      <c r="AR653" s="114"/>
    </row>
    <row r="654" ht="12.75" spans="1:44">
      <c r="A654" s="114"/>
      <c r="B654" s="114"/>
      <c r="C654" s="114"/>
      <c r="D654" s="114" t="s">
        <v>3426</v>
      </c>
      <c r="E654" s="170" t="s">
        <v>3427</v>
      </c>
      <c r="F654" s="153">
        <v>41426</v>
      </c>
      <c r="G654" s="152">
        <f t="shared" si="13"/>
        <v>1426</v>
      </c>
      <c r="H654" s="258" t="s">
        <v>3428</v>
      </c>
      <c r="I654" s="123" t="s">
        <v>3429</v>
      </c>
      <c r="J654" s="236">
        <v>879</v>
      </c>
      <c r="K654" s="114"/>
      <c r="L654" s="114"/>
      <c r="M654" s="114"/>
      <c r="N654" s="124"/>
      <c r="O654" s="114"/>
      <c r="P654" s="124"/>
      <c r="Q654" s="114"/>
      <c r="R654" s="124"/>
      <c r="S654" s="114"/>
      <c r="T654" s="114"/>
      <c r="U654" s="114"/>
      <c r="V654" s="114"/>
      <c r="W654" s="114"/>
      <c r="X654" s="114"/>
      <c r="Y654" s="114"/>
      <c r="Z654" s="164" t="s">
        <v>3263</v>
      </c>
      <c r="AA654" s="114"/>
      <c r="AB654" s="114"/>
      <c r="AC654" s="114"/>
      <c r="AD654" s="114"/>
      <c r="AE654" s="114"/>
      <c r="AF654" s="114"/>
      <c r="AG654" s="114"/>
      <c r="AH654" s="114"/>
      <c r="AI654" s="114"/>
      <c r="AJ654" s="114"/>
      <c r="AK654" s="114"/>
      <c r="AL654" s="114"/>
      <c r="AM654" s="114"/>
      <c r="AN654" s="114"/>
      <c r="AO654" s="114"/>
      <c r="AP654" s="114"/>
      <c r="AQ654" s="114"/>
      <c r="AR654" s="114"/>
    </row>
    <row r="655" ht="12.75" spans="1:44">
      <c r="A655" s="114"/>
      <c r="B655" s="114"/>
      <c r="C655" s="114"/>
      <c r="D655" s="114" t="s">
        <v>3430</v>
      </c>
      <c r="E655" s="170" t="s">
        <v>3431</v>
      </c>
      <c r="F655" s="153">
        <v>43181</v>
      </c>
      <c r="G655" s="152">
        <f t="shared" si="13"/>
        <v>3181</v>
      </c>
      <c r="H655" s="258" t="s">
        <v>3432</v>
      </c>
      <c r="I655" s="123" t="s">
        <v>3433</v>
      </c>
      <c r="J655" s="236" t="s">
        <v>3213</v>
      </c>
      <c r="K655" s="114"/>
      <c r="L655" s="114"/>
      <c r="M655" s="114"/>
      <c r="N655" s="124"/>
      <c r="O655" s="114"/>
      <c r="P655" s="124"/>
      <c r="Q655" s="114"/>
      <c r="R655" s="124"/>
      <c r="S655" s="114"/>
      <c r="T655" s="114"/>
      <c r="U655" s="114"/>
      <c r="V655" s="114"/>
      <c r="W655" s="114"/>
      <c r="X655" s="114"/>
      <c r="Y655" s="114"/>
      <c r="Z655" s="164" t="s">
        <v>3263</v>
      </c>
      <c r="AA655" s="114"/>
      <c r="AB655" s="114"/>
      <c r="AC655" s="114"/>
      <c r="AD655" s="114"/>
      <c r="AE655" s="114"/>
      <c r="AF655" s="114"/>
      <c r="AG655" s="114"/>
      <c r="AH655" s="114"/>
      <c r="AI655" s="114"/>
      <c r="AJ655" s="114"/>
      <c r="AK655" s="114"/>
      <c r="AL655" s="114"/>
      <c r="AM655" s="114"/>
      <c r="AN655" s="114"/>
      <c r="AO655" s="114"/>
      <c r="AP655" s="114"/>
      <c r="AQ655" s="114"/>
      <c r="AR655" s="114"/>
    </row>
    <row r="656" ht="12.75" spans="1:44">
      <c r="A656" s="114"/>
      <c r="B656" s="114"/>
      <c r="C656" s="114"/>
      <c r="D656" s="114" t="s">
        <v>53</v>
      </c>
      <c r="E656" s="170" t="s">
        <v>3434</v>
      </c>
      <c r="F656" s="153">
        <v>43620</v>
      </c>
      <c r="G656" s="152">
        <f t="shared" si="13"/>
        <v>3620</v>
      </c>
      <c r="H656" s="258" t="s">
        <v>3435</v>
      </c>
      <c r="I656" s="123" t="s">
        <v>3436</v>
      </c>
      <c r="J656" s="236">
        <v>565</v>
      </c>
      <c r="K656" s="114"/>
      <c r="L656" s="114"/>
      <c r="M656" s="114"/>
      <c r="N656" s="124"/>
      <c r="O656" s="114"/>
      <c r="P656" s="124"/>
      <c r="Q656" s="114"/>
      <c r="R656" s="124"/>
      <c r="S656" s="114"/>
      <c r="T656" s="114"/>
      <c r="U656" s="114"/>
      <c r="V656" s="114"/>
      <c r="W656" s="114"/>
      <c r="X656" s="114"/>
      <c r="Y656" s="114"/>
      <c r="Z656" s="164" t="s">
        <v>3263</v>
      </c>
      <c r="AA656" s="114"/>
      <c r="AB656" s="114"/>
      <c r="AC656" s="114"/>
      <c r="AD656" s="114"/>
      <c r="AE656" s="114"/>
      <c r="AF656" s="114"/>
      <c r="AG656" s="114"/>
      <c r="AH656" s="114"/>
      <c r="AI656" s="114"/>
      <c r="AJ656" s="114"/>
      <c r="AK656" s="114"/>
      <c r="AL656" s="114"/>
      <c r="AM656" s="114"/>
      <c r="AN656" s="114"/>
      <c r="AO656" s="114"/>
      <c r="AP656" s="114"/>
      <c r="AQ656" s="114"/>
      <c r="AR656" s="114"/>
    </row>
    <row r="657" ht="12.75" spans="1:44">
      <c r="A657" s="114"/>
      <c r="B657" s="114"/>
      <c r="C657" s="114"/>
      <c r="D657" s="114" t="s">
        <v>3437</v>
      </c>
      <c r="E657" s="170" t="s">
        <v>3438</v>
      </c>
      <c r="F657" s="153">
        <v>42522</v>
      </c>
      <c r="G657" s="152">
        <f t="shared" si="13"/>
        <v>2522</v>
      </c>
      <c r="H657" s="258" t="s">
        <v>3439</v>
      </c>
      <c r="I657" s="123" t="s">
        <v>3440</v>
      </c>
      <c r="J657" s="236">
        <v>1400</v>
      </c>
      <c r="K657" s="114"/>
      <c r="L657" s="114"/>
      <c r="M657" s="114"/>
      <c r="N657" s="124"/>
      <c r="O657" s="114"/>
      <c r="P657" s="124"/>
      <c r="Q657" s="114"/>
      <c r="R657" s="124"/>
      <c r="S657" s="114"/>
      <c r="T657" s="114"/>
      <c r="U657" s="114"/>
      <c r="V657" s="114"/>
      <c r="W657" s="114"/>
      <c r="X657" s="114"/>
      <c r="Y657" s="114"/>
      <c r="Z657" s="164" t="s">
        <v>3263</v>
      </c>
      <c r="AA657" s="114"/>
      <c r="AB657" s="114"/>
      <c r="AC657" s="114"/>
      <c r="AD657" s="114"/>
      <c r="AE657" s="114"/>
      <c r="AF657" s="114"/>
      <c r="AG657" s="114"/>
      <c r="AH657" s="114"/>
      <c r="AI657" s="114"/>
      <c r="AJ657" s="114"/>
      <c r="AK657" s="114"/>
      <c r="AL657" s="114"/>
      <c r="AM657" s="114"/>
      <c r="AN657" s="114"/>
      <c r="AO657" s="114"/>
      <c r="AP657" s="114"/>
      <c r="AQ657" s="114"/>
      <c r="AR657" s="114"/>
    </row>
    <row r="658" ht="12.75" spans="1:44">
      <c r="A658" s="114"/>
      <c r="B658" s="114"/>
      <c r="C658" s="114"/>
      <c r="D658" s="114" t="s">
        <v>3441</v>
      </c>
      <c r="E658" s="170" t="s">
        <v>3442</v>
      </c>
      <c r="F658" s="153">
        <v>41946</v>
      </c>
      <c r="G658" s="152">
        <f t="shared" si="13"/>
        <v>1946</v>
      </c>
      <c r="H658" s="258" t="s">
        <v>3443</v>
      </c>
      <c r="I658" s="123" t="s">
        <v>3444</v>
      </c>
      <c r="J658" s="236">
        <v>578</v>
      </c>
      <c r="K658" s="114"/>
      <c r="L658" s="114"/>
      <c r="M658" s="114"/>
      <c r="N658" s="124"/>
      <c r="O658" s="114"/>
      <c r="P658" s="124"/>
      <c r="Q658" s="114"/>
      <c r="R658" s="124"/>
      <c r="S658" s="114"/>
      <c r="T658" s="114"/>
      <c r="U658" s="114"/>
      <c r="V658" s="114"/>
      <c r="W658" s="114"/>
      <c r="X658" s="114"/>
      <c r="Y658" s="114"/>
      <c r="Z658" s="164" t="s">
        <v>3263</v>
      </c>
      <c r="AA658" s="114"/>
      <c r="AB658" s="114"/>
      <c r="AC658" s="114"/>
      <c r="AD658" s="114"/>
      <c r="AE658" s="114"/>
      <c r="AF658" s="114"/>
      <c r="AG658" s="114"/>
      <c r="AH658" s="114"/>
      <c r="AI658" s="114"/>
      <c r="AJ658" s="114"/>
      <c r="AK658" s="114"/>
      <c r="AL658" s="114"/>
      <c r="AM658" s="114"/>
      <c r="AN658" s="114"/>
      <c r="AO658" s="114"/>
      <c r="AP658" s="114"/>
      <c r="AQ658" s="114"/>
      <c r="AR658" s="114"/>
    </row>
    <row r="659" ht="12.75" spans="1:44">
      <c r="A659" s="114"/>
      <c r="B659" s="114"/>
      <c r="C659" s="114"/>
      <c r="D659" s="192" t="s">
        <v>3445</v>
      </c>
      <c r="E659" s="170" t="s">
        <v>3446</v>
      </c>
      <c r="F659" s="153">
        <v>41852</v>
      </c>
      <c r="G659" s="152">
        <f t="shared" si="13"/>
        <v>1852</v>
      </c>
      <c r="H659" s="258" t="s">
        <v>3447</v>
      </c>
      <c r="I659" s="123" t="s">
        <v>3448</v>
      </c>
      <c r="J659" s="236">
        <v>1400</v>
      </c>
      <c r="K659" s="114"/>
      <c r="L659" s="114"/>
      <c r="M659" s="114"/>
      <c r="N659" s="124"/>
      <c r="O659" s="114"/>
      <c r="P659" s="124"/>
      <c r="Q659" s="114"/>
      <c r="R659" s="124"/>
      <c r="S659" s="114"/>
      <c r="T659" s="114"/>
      <c r="U659" s="114"/>
      <c r="V659" s="114"/>
      <c r="W659" s="114"/>
      <c r="X659" s="114"/>
      <c r="Y659" s="114"/>
      <c r="Z659" s="164" t="s">
        <v>3263</v>
      </c>
      <c r="AA659" s="114"/>
      <c r="AB659" s="114"/>
      <c r="AC659" s="114"/>
      <c r="AD659" s="114"/>
      <c r="AE659" s="114"/>
      <c r="AF659" s="114"/>
      <c r="AG659" s="114"/>
      <c r="AH659" s="114"/>
      <c r="AI659" s="114"/>
      <c r="AJ659" s="114"/>
      <c r="AK659" s="114"/>
      <c r="AL659" s="114"/>
      <c r="AM659" s="114"/>
      <c r="AN659" s="114"/>
      <c r="AO659" s="114"/>
      <c r="AP659" s="114"/>
      <c r="AQ659" s="114"/>
      <c r="AR659" s="114"/>
    </row>
    <row r="660" ht="12.75" spans="1:44">
      <c r="A660" s="114"/>
      <c r="B660" s="114"/>
      <c r="C660" s="114"/>
      <c r="D660" s="114" t="s">
        <v>3449</v>
      </c>
      <c r="E660" s="170" t="s">
        <v>3450</v>
      </c>
      <c r="F660" s="153">
        <v>42897</v>
      </c>
      <c r="G660" s="152">
        <f t="shared" si="13"/>
        <v>2897</v>
      </c>
      <c r="H660" s="170" t="s">
        <v>3451</v>
      </c>
      <c r="I660" s="123" t="s">
        <v>3452</v>
      </c>
      <c r="J660" s="236">
        <v>1128</v>
      </c>
      <c r="K660" s="114"/>
      <c r="L660" s="114"/>
      <c r="M660" s="114"/>
      <c r="N660" s="124"/>
      <c r="O660" s="114"/>
      <c r="P660" s="124"/>
      <c r="Q660" s="114"/>
      <c r="R660" s="124"/>
      <c r="S660" s="114"/>
      <c r="T660" s="114"/>
      <c r="U660" s="114"/>
      <c r="V660" s="114"/>
      <c r="W660" s="114"/>
      <c r="X660" s="114"/>
      <c r="Y660" s="114"/>
      <c r="Z660" s="164" t="s">
        <v>3263</v>
      </c>
      <c r="AA660" s="114"/>
      <c r="AB660" s="114"/>
      <c r="AC660" s="114"/>
      <c r="AD660" s="114"/>
      <c r="AE660" s="114"/>
      <c r="AF660" s="114"/>
      <c r="AG660" s="114"/>
      <c r="AH660" s="114"/>
      <c r="AI660" s="114"/>
      <c r="AJ660" s="114"/>
      <c r="AK660" s="114"/>
      <c r="AL660" s="114"/>
      <c r="AM660" s="114"/>
      <c r="AN660" s="114"/>
      <c r="AO660" s="114"/>
      <c r="AP660" s="114"/>
      <c r="AQ660" s="114"/>
      <c r="AR660" s="114"/>
    </row>
    <row r="661" ht="12.75" spans="1:44">
      <c r="A661" s="114"/>
      <c r="B661" s="114"/>
      <c r="C661" s="114"/>
      <c r="D661" s="114" t="s">
        <v>3453</v>
      </c>
      <c r="E661" s="170" t="s">
        <v>3454</v>
      </c>
      <c r="F661" s="153">
        <v>40751</v>
      </c>
      <c r="G661" s="152">
        <f t="shared" si="13"/>
        <v>751</v>
      </c>
      <c r="H661" s="170" t="s">
        <v>3455</v>
      </c>
      <c r="I661" s="123" t="s">
        <v>3456</v>
      </c>
      <c r="J661" s="236">
        <v>1382</v>
      </c>
      <c r="K661" s="114"/>
      <c r="L661" s="114"/>
      <c r="M661" s="114"/>
      <c r="N661" s="124"/>
      <c r="O661" s="114"/>
      <c r="P661" s="124"/>
      <c r="Q661" s="114"/>
      <c r="R661" s="124"/>
      <c r="S661" s="114"/>
      <c r="T661" s="114"/>
      <c r="U661" s="114"/>
      <c r="V661" s="114"/>
      <c r="W661" s="114"/>
      <c r="X661" s="114"/>
      <c r="Y661" s="114"/>
      <c r="Z661" s="164" t="s">
        <v>3263</v>
      </c>
      <c r="AA661" s="114"/>
      <c r="AB661" s="114"/>
      <c r="AC661" s="114"/>
      <c r="AD661" s="114"/>
      <c r="AE661" s="114"/>
      <c r="AF661" s="114"/>
      <c r="AG661" s="114"/>
      <c r="AH661" s="114"/>
      <c r="AI661" s="114"/>
      <c r="AJ661" s="114"/>
      <c r="AK661" s="114"/>
      <c r="AL661" s="114"/>
      <c r="AM661" s="114"/>
      <c r="AN661" s="114"/>
      <c r="AO661" s="114"/>
      <c r="AP661" s="114"/>
      <c r="AQ661" s="114"/>
      <c r="AR661" s="114"/>
    </row>
    <row r="662" ht="12.75" spans="1:44">
      <c r="A662" s="114"/>
      <c r="B662" s="114"/>
      <c r="C662" s="114"/>
      <c r="D662" s="114" t="s">
        <v>3457</v>
      </c>
      <c r="E662" s="170" t="s">
        <v>3458</v>
      </c>
      <c r="F662" s="153">
        <v>41802</v>
      </c>
      <c r="G662" s="152">
        <f t="shared" si="13"/>
        <v>1802</v>
      </c>
      <c r="H662" s="170" t="s">
        <v>3459</v>
      </c>
      <c r="I662" s="123" t="s">
        <v>3460</v>
      </c>
      <c r="J662" s="236">
        <v>652</v>
      </c>
      <c r="K662" s="114"/>
      <c r="L662" s="114"/>
      <c r="M662" s="114"/>
      <c r="N662" s="124"/>
      <c r="O662" s="114"/>
      <c r="P662" s="124"/>
      <c r="Q662" s="114"/>
      <c r="R662" s="124"/>
      <c r="S662" s="114"/>
      <c r="T662" s="114"/>
      <c r="U662" s="114"/>
      <c r="V662" s="114"/>
      <c r="W662" s="114"/>
      <c r="X662" s="114"/>
      <c r="Y662" s="114"/>
      <c r="Z662" s="164" t="s">
        <v>3263</v>
      </c>
      <c r="AA662" s="114"/>
      <c r="AB662" s="114"/>
      <c r="AC662" s="114"/>
      <c r="AD662" s="114"/>
      <c r="AE662" s="114"/>
      <c r="AF662" s="114"/>
      <c r="AG662" s="114"/>
      <c r="AH662" s="114"/>
      <c r="AI662" s="114"/>
      <c r="AJ662" s="114"/>
      <c r="AK662" s="114"/>
      <c r="AL662" s="114"/>
      <c r="AM662" s="114"/>
      <c r="AN662" s="114"/>
      <c r="AO662" s="114"/>
      <c r="AP662" s="114"/>
      <c r="AQ662" s="114"/>
      <c r="AR662" s="114"/>
    </row>
    <row r="663" ht="12.75" spans="1:44">
      <c r="A663" s="114"/>
      <c r="B663" s="114"/>
      <c r="C663" s="114"/>
      <c r="D663" s="114" t="s">
        <v>838</v>
      </c>
      <c r="E663" s="170" t="s">
        <v>839</v>
      </c>
      <c r="F663" s="153">
        <v>43559</v>
      </c>
      <c r="G663" s="152">
        <f t="shared" si="13"/>
        <v>3559</v>
      </c>
      <c r="H663" s="258" t="s">
        <v>840</v>
      </c>
      <c r="I663" s="123" t="s">
        <v>4450</v>
      </c>
      <c r="J663" s="236">
        <v>129</v>
      </c>
      <c r="K663" s="114"/>
      <c r="L663" s="114"/>
      <c r="M663" s="114"/>
      <c r="N663" s="124"/>
      <c r="O663" s="114"/>
      <c r="P663" s="124"/>
      <c r="Q663" s="114"/>
      <c r="R663" s="124"/>
      <c r="S663" s="114"/>
      <c r="T663" s="114"/>
      <c r="U663" s="114"/>
      <c r="V663" s="114"/>
      <c r="W663" s="114"/>
      <c r="X663" s="114"/>
      <c r="Y663" s="114"/>
      <c r="Z663" s="164" t="s">
        <v>3263</v>
      </c>
      <c r="AA663" s="114"/>
      <c r="AB663" s="114"/>
      <c r="AC663" s="114"/>
      <c r="AD663" s="114"/>
      <c r="AE663" s="114"/>
      <c r="AF663" s="114"/>
      <c r="AG663" s="114"/>
      <c r="AH663" s="114"/>
      <c r="AI663" s="114"/>
      <c r="AJ663" s="114"/>
      <c r="AK663" s="114"/>
      <c r="AL663" s="114"/>
      <c r="AM663" s="114"/>
      <c r="AN663" s="114"/>
      <c r="AO663" s="114"/>
      <c r="AP663" s="114"/>
      <c r="AQ663" s="114"/>
      <c r="AR663" s="114"/>
    </row>
    <row r="664" ht="12.75" spans="1:44">
      <c r="A664" s="114"/>
      <c r="B664" s="114"/>
      <c r="C664" s="114"/>
      <c r="D664" s="114" t="s">
        <v>3355</v>
      </c>
      <c r="E664" s="170" t="s">
        <v>3461</v>
      </c>
      <c r="F664" s="153">
        <v>44062</v>
      </c>
      <c r="G664" s="152">
        <f t="shared" si="13"/>
        <v>4062</v>
      </c>
      <c r="H664" s="258" t="s">
        <v>3462</v>
      </c>
      <c r="I664" s="123" t="s">
        <v>3463</v>
      </c>
      <c r="J664" s="236">
        <v>123</v>
      </c>
      <c r="K664" s="114"/>
      <c r="L664" s="114"/>
      <c r="M664" s="114"/>
      <c r="N664" s="124"/>
      <c r="O664" s="114"/>
      <c r="P664" s="124"/>
      <c r="Q664" s="114"/>
      <c r="R664" s="124"/>
      <c r="S664" s="114"/>
      <c r="T664" s="114"/>
      <c r="U664" s="114"/>
      <c r="V664" s="114"/>
      <c r="W664" s="114"/>
      <c r="X664" s="114"/>
      <c r="Y664" s="114"/>
      <c r="Z664" s="164" t="s">
        <v>3263</v>
      </c>
      <c r="AA664" s="114"/>
      <c r="AB664" s="114"/>
      <c r="AC664" s="114"/>
      <c r="AD664" s="114"/>
      <c r="AE664" s="114"/>
      <c r="AF664" s="114"/>
      <c r="AG664" s="114"/>
      <c r="AH664" s="114"/>
      <c r="AI664" s="114"/>
      <c r="AJ664" s="114"/>
      <c r="AK664" s="114"/>
      <c r="AL664" s="114"/>
      <c r="AM664" s="114"/>
      <c r="AN664" s="114"/>
      <c r="AO664" s="114"/>
      <c r="AP664" s="114"/>
      <c r="AQ664" s="114"/>
      <c r="AR664" s="114"/>
    </row>
    <row r="665" ht="12.75" spans="1:44">
      <c r="A665" s="114"/>
      <c r="B665" s="114"/>
      <c r="C665" s="114"/>
      <c r="D665" s="114" t="s">
        <v>3464</v>
      </c>
      <c r="E665" s="170" t="s">
        <v>3465</v>
      </c>
      <c r="F665" s="153">
        <v>42958</v>
      </c>
      <c r="G665" s="152">
        <f t="shared" si="13"/>
        <v>2958</v>
      </c>
      <c r="H665" s="170" t="s">
        <v>3466</v>
      </c>
      <c r="I665" s="123" t="s">
        <v>3467</v>
      </c>
      <c r="J665" s="236">
        <v>449</v>
      </c>
      <c r="K665" s="114"/>
      <c r="L665" s="114"/>
      <c r="M665" s="114"/>
      <c r="N665" s="124"/>
      <c r="O665" s="114"/>
      <c r="P665" s="124"/>
      <c r="Q665" s="114"/>
      <c r="R665" s="124"/>
      <c r="S665" s="114"/>
      <c r="T665" s="114"/>
      <c r="U665" s="114"/>
      <c r="V665" s="114"/>
      <c r="W665" s="114"/>
      <c r="X665" s="114"/>
      <c r="Y665" s="114"/>
      <c r="Z665" s="164" t="s">
        <v>3263</v>
      </c>
      <c r="AA665" s="114"/>
      <c r="AB665" s="114"/>
      <c r="AC665" s="114"/>
      <c r="AD665" s="114"/>
      <c r="AE665" s="114"/>
      <c r="AF665" s="114"/>
      <c r="AG665" s="114"/>
      <c r="AH665" s="114"/>
      <c r="AI665" s="114"/>
      <c r="AJ665" s="114"/>
      <c r="AK665" s="114"/>
      <c r="AL665" s="114"/>
      <c r="AM665" s="114"/>
      <c r="AN665" s="114"/>
      <c r="AO665" s="114"/>
      <c r="AP665" s="114"/>
      <c r="AQ665" s="114"/>
      <c r="AR665" s="114"/>
    </row>
    <row r="666" ht="12.75" spans="1:44">
      <c r="A666" s="114"/>
      <c r="B666" s="114"/>
      <c r="C666" s="114"/>
      <c r="D666" s="114" t="s">
        <v>3468</v>
      </c>
      <c r="E666" s="170" t="s">
        <v>3469</v>
      </c>
      <c r="F666" s="153">
        <v>34959</v>
      </c>
      <c r="G666" s="152">
        <f t="shared" si="13"/>
        <v>4959</v>
      </c>
      <c r="H666" s="170" t="s">
        <v>3470</v>
      </c>
      <c r="I666" s="123" t="s">
        <v>3471</v>
      </c>
      <c r="J666" s="236" t="s">
        <v>3213</v>
      </c>
      <c r="K666" s="114"/>
      <c r="L666" s="114"/>
      <c r="M666" s="114"/>
      <c r="N666" s="124"/>
      <c r="O666" s="114"/>
      <c r="P666" s="124"/>
      <c r="Q666" s="114"/>
      <c r="R666" s="124"/>
      <c r="S666" s="114"/>
      <c r="T666" s="114"/>
      <c r="U666" s="114"/>
      <c r="V666" s="114"/>
      <c r="W666" s="114"/>
      <c r="X666" s="114"/>
      <c r="Y666" s="114"/>
      <c r="Z666" s="164" t="s">
        <v>3263</v>
      </c>
      <c r="AA666" s="114"/>
      <c r="AB666" s="114"/>
      <c r="AC666" s="114"/>
      <c r="AD666" s="114"/>
      <c r="AE666" s="114"/>
      <c r="AF666" s="114"/>
      <c r="AG666" s="114"/>
      <c r="AH666" s="114"/>
      <c r="AI666" s="114"/>
      <c r="AJ666" s="114"/>
      <c r="AK666" s="114"/>
      <c r="AL666" s="114"/>
      <c r="AM666" s="114"/>
      <c r="AN666" s="114"/>
      <c r="AO666" s="114"/>
      <c r="AP666" s="114"/>
      <c r="AQ666" s="114"/>
      <c r="AR666" s="114"/>
    </row>
    <row r="667" ht="12.75" spans="1:44">
      <c r="A667" s="114"/>
      <c r="B667" s="114"/>
      <c r="C667" s="114"/>
      <c r="D667" s="114" t="s">
        <v>1392</v>
      </c>
      <c r="E667" s="260" t="s">
        <v>3472</v>
      </c>
      <c r="F667" s="153">
        <v>33755</v>
      </c>
      <c r="G667" s="152">
        <f t="shared" si="13"/>
        <v>3755</v>
      </c>
      <c r="H667" s="170" t="s">
        <v>3473</v>
      </c>
      <c r="I667" s="123" t="s">
        <v>3474</v>
      </c>
      <c r="J667" s="236">
        <v>47787</v>
      </c>
      <c r="K667" s="114"/>
      <c r="L667" s="114"/>
      <c r="M667" s="114"/>
      <c r="N667" s="124"/>
      <c r="O667" s="114"/>
      <c r="P667" s="124"/>
      <c r="Q667" s="114"/>
      <c r="R667" s="124"/>
      <c r="S667" s="114"/>
      <c r="T667" s="114"/>
      <c r="U667" s="114"/>
      <c r="V667" s="114"/>
      <c r="W667" s="114"/>
      <c r="X667" s="114"/>
      <c r="Y667" s="114"/>
      <c r="Z667" s="164" t="s">
        <v>3263</v>
      </c>
      <c r="AA667" s="114"/>
      <c r="AB667" s="114"/>
      <c r="AC667" s="114"/>
      <c r="AD667" s="114"/>
      <c r="AE667" s="114"/>
      <c r="AF667" s="114"/>
      <c r="AG667" s="114"/>
      <c r="AH667" s="114"/>
      <c r="AI667" s="114"/>
      <c r="AJ667" s="114"/>
      <c r="AK667" s="114"/>
      <c r="AL667" s="114"/>
      <c r="AM667" s="114"/>
      <c r="AN667" s="114"/>
      <c r="AO667" s="114"/>
      <c r="AP667" s="114"/>
      <c r="AQ667" s="114"/>
      <c r="AR667" s="114"/>
    </row>
    <row r="668" ht="12.75" spans="1:44">
      <c r="A668" s="114"/>
      <c r="B668" s="114"/>
      <c r="C668" s="114"/>
      <c r="D668" s="261" t="s">
        <v>3475</v>
      </c>
      <c r="E668" s="170" t="s">
        <v>3476</v>
      </c>
      <c r="F668" s="114">
        <v>1969</v>
      </c>
      <c r="G668" s="152">
        <f t="shared" si="13"/>
        <v>1969</v>
      </c>
      <c r="H668" s="170" t="s">
        <v>3477</v>
      </c>
      <c r="I668" s="123" t="s">
        <v>3478</v>
      </c>
      <c r="J668" s="236" t="s">
        <v>3213</v>
      </c>
      <c r="K668" s="114"/>
      <c r="L668" s="114"/>
      <c r="M668" s="114"/>
      <c r="N668" s="124"/>
      <c r="O668" s="114"/>
      <c r="P668" s="124"/>
      <c r="Q668" s="114"/>
      <c r="R668" s="124"/>
      <c r="S668" s="114"/>
      <c r="T668" s="114"/>
      <c r="U668" s="114"/>
      <c r="V668" s="114"/>
      <c r="W668" s="114"/>
      <c r="X668" s="114"/>
      <c r="Y668" s="114"/>
      <c r="Z668" s="164" t="s">
        <v>3263</v>
      </c>
      <c r="AA668" s="114"/>
      <c r="AB668" s="114"/>
      <c r="AC668" s="114"/>
      <c r="AD668" s="114"/>
      <c r="AE668" s="114"/>
      <c r="AF668" s="114"/>
      <c r="AG668" s="114"/>
      <c r="AH668" s="114"/>
      <c r="AI668" s="114"/>
      <c r="AJ668" s="114"/>
      <c r="AK668" s="114"/>
      <c r="AL668" s="114"/>
      <c r="AM668" s="114"/>
      <c r="AN668" s="114"/>
      <c r="AO668" s="114"/>
      <c r="AP668" s="114"/>
      <c r="AQ668" s="114"/>
      <c r="AR668" s="114"/>
    </row>
    <row r="669" ht="12.75" spans="1:44">
      <c r="A669" s="114"/>
      <c r="B669" s="114"/>
      <c r="C669" s="114"/>
      <c r="D669" s="170" t="s">
        <v>3479</v>
      </c>
      <c r="E669" s="170" t="s">
        <v>3480</v>
      </c>
      <c r="F669" s="153">
        <v>37504</v>
      </c>
      <c r="G669" s="152">
        <f t="shared" si="13"/>
        <v>7504</v>
      </c>
      <c r="H669" s="258" t="s">
        <v>3481</v>
      </c>
      <c r="I669" s="123" t="s">
        <v>3482</v>
      </c>
      <c r="J669" s="236">
        <v>3463</v>
      </c>
      <c r="K669" s="114"/>
      <c r="L669" s="114"/>
      <c r="M669" s="114"/>
      <c r="N669" s="124"/>
      <c r="O669" s="114"/>
      <c r="P669" s="124"/>
      <c r="Q669" s="114"/>
      <c r="R669" s="124"/>
      <c r="S669" s="114"/>
      <c r="T669" s="114"/>
      <c r="U669" s="114"/>
      <c r="V669" s="114"/>
      <c r="W669" s="114"/>
      <c r="X669" s="114"/>
      <c r="Y669" s="114"/>
      <c r="Z669" s="164" t="s">
        <v>3263</v>
      </c>
      <c r="AA669" s="114"/>
      <c r="AB669" s="114"/>
      <c r="AC669" s="114"/>
      <c r="AD669" s="114"/>
      <c r="AE669" s="114"/>
      <c r="AF669" s="114"/>
      <c r="AG669" s="114"/>
      <c r="AH669" s="114"/>
      <c r="AI669" s="114"/>
      <c r="AJ669" s="114"/>
      <c r="AK669" s="114"/>
      <c r="AL669" s="114"/>
      <c r="AM669" s="114"/>
      <c r="AN669" s="114"/>
      <c r="AO669" s="114"/>
      <c r="AP669" s="114"/>
      <c r="AQ669" s="114"/>
      <c r="AR669" s="114"/>
    </row>
    <row r="670" ht="12.75" spans="1:44">
      <c r="A670" s="114"/>
      <c r="B670" s="114"/>
      <c r="C670" s="114"/>
      <c r="D670" s="170" t="s">
        <v>3483</v>
      </c>
      <c r="E670" s="170" t="s">
        <v>3484</v>
      </c>
      <c r="F670" s="153">
        <v>36782</v>
      </c>
      <c r="G670" s="152">
        <f t="shared" si="13"/>
        <v>6782</v>
      </c>
      <c r="H670" s="258" t="s">
        <v>3485</v>
      </c>
      <c r="I670" s="123" t="s">
        <v>3486</v>
      </c>
      <c r="J670" s="236">
        <v>1037</v>
      </c>
      <c r="K670" s="114"/>
      <c r="L670" s="114"/>
      <c r="M670" s="114"/>
      <c r="N670" s="124"/>
      <c r="O670" s="114"/>
      <c r="P670" s="124"/>
      <c r="Q670" s="114"/>
      <c r="R670" s="124"/>
      <c r="S670" s="114"/>
      <c r="T670" s="114"/>
      <c r="U670" s="114"/>
      <c r="V670" s="114"/>
      <c r="W670" s="114"/>
      <c r="X670" s="114"/>
      <c r="Y670" s="114"/>
      <c r="Z670" s="164" t="s">
        <v>3263</v>
      </c>
      <c r="AA670" s="114"/>
      <c r="AB670" s="114"/>
      <c r="AC670" s="114"/>
      <c r="AD670" s="114"/>
      <c r="AE670" s="114"/>
      <c r="AF670" s="114"/>
      <c r="AG670" s="114"/>
      <c r="AH670" s="114"/>
      <c r="AI670" s="114"/>
      <c r="AJ670" s="114"/>
      <c r="AK670" s="114"/>
      <c r="AL670" s="114"/>
      <c r="AM670" s="114"/>
      <c r="AN670" s="114"/>
      <c r="AO670" s="114"/>
      <c r="AP670" s="114"/>
      <c r="AQ670" s="114"/>
      <c r="AR670" s="114"/>
    </row>
    <row r="671" ht="12.75" spans="1:44">
      <c r="A671" s="114"/>
      <c r="B671" s="114"/>
      <c r="C671" s="114"/>
      <c r="D671" s="170" t="s">
        <v>3479</v>
      </c>
      <c r="E671" s="170" t="s">
        <v>3487</v>
      </c>
      <c r="F671" s="153">
        <v>37772</v>
      </c>
      <c r="G671" s="152">
        <f t="shared" si="13"/>
        <v>7772</v>
      </c>
      <c r="H671" s="258" t="s">
        <v>3488</v>
      </c>
      <c r="I671" s="123" t="s">
        <v>3489</v>
      </c>
      <c r="J671" s="236">
        <v>3463</v>
      </c>
      <c r="K671" s="114"/>
      <c r="L671" s="114"/>
      <c r="M671" s="114"/>
      <c r="N671" s="124"/>
      <c r="O671" s="114"/>
      <c r="P671" s="124"/>
      <c r="Q671" s="114"/>
      <c r="R671" s="124"/>
      <c r="S671" s="114"/>
      <c r="T671" s="114"/>
      <c r="U671" s="114"/>
      <c r="V671" s="114"/>
      <c r="W671" s="114"/>
      <c r="X671" s="114"/>
      <c r="Y671" s="114"/>
      <c r="Z671" s="164" t="s">
        <v>3263</v>
      </c>
      <c r="AA671" s="114"/>
      <c r="AB671" s="114"/>
      <c r="AC671" s="114"/>
      <c r="AD671" s="114"/>
      <c r="AE671" s="114"/>
      <c r="AF671" s="114"/>
      <c r="AG671" s="114"/>
      <c r="AH671" s="114"/>
      <c r="AI671" s="114"/>
      <c r="AJ671" s="114"/>
      <c r="AK671" s="114"/>
      <c r="AL671" s="114"/>
      <c r="AM671" s="114"/>
      <c r="AN671" s="114"/>
      <c r="AO671" s="114"/>
      <c r="AP671" s="114"/>
      <c r="AQ671" s="114"/>
      <c r="AR671" s="114"/>
    </row>
    <row r="672" ht="12.75" spans="1:44">
      <c r="A672" s="114"/>
      <c r="B672" s="114"/>
      <c r="C672" s="114"/>
      <c r="D672" s="170" t="s">
        <v>3490</v>
      </c>
      <c r="E672" s="170" t="s">
        <v>3491</v>
      </c>
      <c r="F672" s="153">
        <v>44251</v>
      </c>
      <c r="G672" s="152">
        <f t="shared" si="13"/>
        <v>4251</v>
      </c>
      <c r="H672" s="258" t="s">
        <v>3492</v>
      </c>
      <c r="I672" s="123" t="s">
        <v>3493</v>
      </c>
      <c r="J672" s="236">
        <v>27</v>
      </c>
      <c r="K672" s="114"/>
      <c r="L672" s="114"/>
      <c r="M672" s="114"/>
      <c r="N672" s="124"/>
      <c r="O672" s="114"/>
      <c r="P672" s="124"/>
      <c r="Q672" s="114"/>
      <c r="R672" s="124"/>
      <c r="S672" s="114"/>
      <c r="T672" s="114"/>
      <c r="U672" s="114"/>
      <c r="V672" s="114"/>
      <c r="W672" s="114"/>
      <c r="X672" s="114"/>
      <c r="Y672" s="114"/>
      <c r="Z672" s="164" t="s">
        <v>3263</v>
      </c>
      <c r="AA672" s="114"/>
      <c r="AB672" s="114"/>
      <c r="AC672" s="114"/>
      <c r="AD672" s="114"/>
      <c r="AE672" s="114"/>
      <c r="AF672" s="114"/>
      <c r="AG672" s="114"/>
      <c r="AH672" s="114"/>
      <c r="AI672" s="114"/>
      <c r="AJ672" s="114"/>
      <c r="AK672" s="114"/>
      <c r="AL672" s="114"/>
      <c r="AM672" s="114"/>
      <c r="AN672" s="114"/>
      <c r="AO672" s="114"/>
      <c r="AP672" s="114"/>
      <c r="AQ672" s="114"/>
      <c r="AR672" s="114"/>
    </row>
    <row r="673" ht="12.75" spans="1:44">
      <c r="A673" s="114"/>
      <c r="B673" s="114"/>
      <c r="C673" s="114"/>
      <c r="D673" s="114" t="s">
        <v>3494</v>
      </c>
      <c r="E673" s="170" t="s">
        <v>3495</v>
      </c>
      <c r="F673" s="153">
        <v>43955</v>
      </c>
      <c r="G673" s="152">
        <f t="shared" si="13"/>
        <v>3955</v>
      </c>
      <c r="H673" s="258" t="s">
        <v>3496</v>
      </c>
      <c r="I673" s="123" t="s">
        <v>3497</v>
      </c>
      <c r="J673" s="236">
        <v>15</v>
      </c>
      <c r="K673" s="114"/>
      <c r="L673" s="114"/>
      <c r="M673" s="114"/>
      <c r="N673" s="124"/>
      <c r="O673" s="114"/>
      <c r="P673" s="124"/>
      <c r="Q673" s="114"/>
      <c r="R673" s="124"/>
      <c r="S673" s="114"/>
      <c r="T673" s="114"/>
      <c r="U673" s="114"/>
      <c r="V673" s="114"/>
      <c r="W673" s="114"/>
      <c r="X673" s="114"/>
      <c r="Y673" s="114"/>
      <c r="Z673" s="164" t="s">
        <v>3263</v>
      </c>
      <c r="AA673" s="114"/>
      <c r="AB673" s="114"/>
      <c r="AC673" s="114"/>
      <c r="AD673" s="114"/>
      <c r="AE673" s="114"/>
      <c r="AF673" s="114"/>
      <c r="AG673" s="114"/>
      <c r="AH673" s="114"/>
      <c r="AI673" s="114"/>
      <c r="AJ673" s="114"/>
      <c r="AK673" s="114"/>
      <c r="AL673" s="114"/>
      <c r="AM673" s="114"/>
      <c r="AN673" s="114"/>
      <c r="AO673" s="114"/>
      <c r="AP673" s="114"/>
      <c r="AQ673" s="114"/>
      <c r="AR673" s="114"/>
    </row>
    <row r="674" ht="12.75" spans="1:44">
      <c r="A674" s="114"/>
      <c r="B674" s="114"/>
      <c r="C674" s="114"/>
      <c r="D674" s="114" t="s">
        <v>3498</v>
      </c>
      <c r="E674" s="170" t="s">
        <v>3499</v>
      </c>
      <c r="F674" s="153">
        <v>44349</v>
      </c>
      <c r="G674" s="152">
        <f t="shared" si="13"/>
        <v>4349</v>
      </c>
      <c r="H674" s="170" t="s">
        <v>3500</v>
      </c>
      <c r="I674" s="123" t="s">
        <v>3501</v>
      </c>
      <c r="J674" s="236">
        <v>4</v>
      </c>
      <c r="K674" s="114"/>
      <c r="L674" s="114"/>
      <c r="M674" s="114"/>
      <c r="N674" s="124"/>
      <c r="O674" s="114"/>
      <c r="P674" s="124"/>
      <c r="Q674" s="114"/>
      <c r="R674" s="124"/>
      <c r="S674" s="114"/>
      <c r="T674" s="114"/>
      <c r="U674" s="114"/>
      <c r="V674" s="114"/>
      <c r="W674" s="114"/>
      <c r="X674" s="114"/>
      <c r="Y674" s="114"/>
      <c r="Z674" s="164" t="s">
        <v>3263</v>
      </c>
      <c r="AA674" s="114"/>
      <c r="AB674" s="114"/>
      <c r="AC674" s="114"/>
      <c r="AD674" s="114"/>
      <c r="AE674" s="114"/>
      <c r="AF674" s="114"/>
      <c r="AG674" s="114"/>
      <c r="AH674" s="114"/>
      <c r="AI674" s="114"/>
      <c r="AJ674" s="114"/>
      <c r="AK674" s="114"/>
      <c r="AL674" s="114"/>
      <c r="AM674" s="114"/>
      <c r="AN674" s="114"/>
      <c r="AO674" s="114"/>
      <c r="AP674" s="114"/>
      <c r="AQ674" s="114"/>
      <c r="AR674" s="114"/>
    </row>
    <row r="675" ht="12.75" spans="1:44">
      <c r="A675" s="114"/>
      <c r="B675" s="114"/>
      <c r="C675" s="114"/>
      <c r="D675" s="114" t="s">
        <v>3498</v>
      </c>
      <c r="E675" s="170" t="s">
        <v>3502</v>
      </c>
      <c r="F675" s="153">
        <v>44349</v>
      </c>
      <c r="G675" s="152">
        <f t="shared" si="13"/>
        <v>4349</v>
      </c>
      <c r="H675" s="170" t="s">
        <v>3503</v>
      </c>
      <c r="I675" s="123" t="s">
        <v>3504</v>
      </c>
      <c r="J675" s="236">
        <v>4</v>
      </c>
      <c r="K675" s="114"/>
      <c r="L675" s="114"/>
      <c r="M675" s="114"/>
      <c r="N675" s="124"/>
      <c r="O675" s="114"/>
      <c r="P675" s="124"/>
      <c r="Q675" s="114"/>
      <c r="R675" s="124"/>
      <c r="S675" s="114"/>
      <c r="T675" s="114"/>
      <c r="U675" s="114"/>
      <c r="V675" s="114"/>
      <c r="W675" s="114"/>
      <c r="X675" s="114"/>
      <c r="Y675" s="114"/>
      <c r="Z675" s="164" t="s">
        <v>3263</v>
      </c>
      <c r="AA675" s="114"/>
      <c r="AB675" s="114"/>
      <c r="AC675" s="114"/>
      <c r="AD675" s="114"/>
      <c r="AE675" s="114"/>
      <c r="AF675" s="114"/>
      <c r="AG675" s="114"/>
      <c r="AH675" s="114"/>
      <c r="AI675" s="114"/>
      <c r="AJ675" s="114"/>
      <c r="AK675" s="114"/>
      <c r="AL675" s="114"/>
      <c r="AM675" s="114"/>
      <c r="AN675" s="114"/>
      <c r="AO675" s="114"/>
      <c r="AP675" s="114"/>
      <c r="AQ675" s="114"/>
      <c r="AR675" s="114"/>
    </row>
    <row r="676" ht="12.75" spans="1:44">
      <c r="A676" s="114"/>
      <c r="B676" s="114"/>
      <c r="C676" s="114"/>
      <c r="D676" s="114" t="s">
        <v>3498</v>
      </c>
      <c r="E676" s="170" t="s">
        <v>3505</v>
      </c>
      <c r="F676" s="153">
        <v>44349</v>
      </c>
      <c r="G676" s="152">
        <f t="shared" si="13"/>
        <v>4349</v>
      </c>
      <c r="H676" s="170" t="s">
        <v>3506</v>
      </c>
      <c r="I676" s="123" t="s">
        <v>3507</v>
      </c>
      <c r="J676" s="236">
        <v>7</v>
      </c>
      <c r="K676" s="114"/>
      <c r="L676" s="114"/>
      <c r="M676" s="114"/>
      <c r="N676" s="124"/>
      <c r="O676" s="114"/>
      <c r="P676" s="124"/>
      <c r="Q676" s="114"/>
      <c r="R676" s="124"/>
      <c r="S676" s="114"/>
      <c r="T676" s="114"/>
      <c r="U676" s="114"/>
      <c r="V676" s="114"/>
      <c r="W676" s="114"/>
      <c r="X676" s="114"/>
      <c r="Y676" s="114"/>
      <c r="Z676" s="164" t="s">
        <v>3263</v>
      </c>
      <c r="AA676" s="114"/>
      <c r="AB676" s="114"/>
      <c r="AC676" s="114"/>
      <c r="AD676" s="114"/>
      <c r="AE676" s="114"/>
      <c r="AF676" s="114"/>
      <c r="AG676" s="114"/>
      <c r="AH676" s="114"/>
      <c r="AI676" s="114"/>
      <c r="AJ676" s="114"/>
      <c r="AK676" s="114"/>
      <c r="AL676" s="114"/>
      <c r="AM676" s="114"/>
      <c r="AN676" s="114"/>
      <c r="AO676" s="114"/>
      <c r="AP676" s="114"/>
      <c r="AQ676" s="114"/>
      <c r="AR676" s="114"/>
    </row>
    <row r="677" ht="12.75" spans="1:44">
      <c r="A677" s="114"/>
      <c r="B677" s="114"/>
      <c r="C677" s="114"/>
      <c r="D677" s="114" t="s">
        <v>3498</v>
      </c>
      <c r="E677" s="170" t="s">
        <v>3508</v>
      </c>
      <c r="F677" s="153">
        <v>44348</v>
      </c>
      <c r="G677" s="152">
        <f t="shared" si="13"/>
        <v>4348</v>
      </c>
      <c r="H677" s="170" t="s">
        <v>3263</v>
      </c>
      <c r="I677" s="123" t="s">
        <v>3258</v>
      </c>
      <c r="J677" s="236">
        <v>7</v>
      </c>
      <c r="K677" s="114"/>
      <c r="L677" s="114"/>
      <c r="M677" s="114"/>
      <c r="N677" s="124"/>
      <c r="O677" s="114"/>
      <c r="P677" s="124"/>
      <c r="Q677" s="114"/>
      <c r="R677" s="124"/>
      <c r="S677" s="114"/>
      <c r="T677" s="114"/>
      <c r="U677" s="114"/>
      <c r="V677" s="114"/>
      <c r="W677" s="114"/>
      <c r="X677" s="114"/>
      <c r="Y677" s="114"/>
      <c r="Z677" s="164" t="s">
        <v>3263</v>
      </c>
      <c r="AA677" s="114"/>
      <c r="AB677" s="114"/>
      <c r="AC677" s="114"/>
      <c r="AD677" s="114"/>
      <c r="AE677" s="114"/>
      <c r="AF677" s="114"/>
      <c r="AG677" s="114"/>
      <c r="AH677" s="114"/>
      <c r="AI677" s="114"/>
      <c r="AJ677" s="114"/>
      <c r="AK677" s="114"/>
      <c r="AL677" s="114"/>
      <c r="AM677" s="114"/>
      <c r="AN677" s="114"/>
      <c r="AO677" s="114"/>
      <c r="AP677" s="114"/>
      <c r="AQ677" s="114"/>
      <c r="AR677" s="114"/>
    </row>
    <row r="678" ht="12.75" spans="1:44">
      <c r="A678" s="114"/>
      <c r="B678" s="114"/>
      <c r="C678" s="114"/>
      <c r="D678" s="114" t="s">
        <v>3509</v>
      </c>
      <c r="E678" s="257" t="s">
        <v>3510</v>
      </c>
      <c r="F678" s="153">
        <v>44013</v>
      </c>
      <c r="G678" s="152">
        <f t="shared" si="13"/>
        <v>4013</v>
      </c>
      <c r="H678" s="258" t="s">
        <v>3511</v>
      </c>
      <c r="I678" s="123" t="s">
        <v>3512</v>
      </c>
      <c r="J678" s="236" t="s">
        <v>3213</v>
      </c>
      <c r="K678" s="114"/>
      <c r="L678" s="114"/>
      <c r="M678" s="114"/>
      <c r="N678" s="124"/>
      <c r="O678" s="114"/>
      <c r="P678" s="124"/>
      <c r="Q678" s="114"/>
      <c r="R678" s="124"/>
      <c r="S678" s="114"/>
      <c r="T678" s="114"/>
      <c r="U678" s="114"/>
      <c r="V678" s="114"/>
      <c r="W678" s="114"/>
      <c r="X678" s="114"/>
      <c r="Y678" s="114"/>
      <c r="Z678" s="164" t="s">
        <v>3263</v>
      </c>
      <c r="AA678" s="114"/>
      <c r="AB678" s="114"/>
      <c r="AC678" s="114"/>
      <c r="AD678" s="114"/>
      <c r="AE678" s="114"/>
      <c r="AF678" s="114"/>
      <c r="AG678" s="114"/>
      <c r="AH678" s="114"/>
      <c r="AI678" s="114"/>
      <c r="AJ678" s="114"/>
      <c r="AK678" s="114"/>
      <c r="AL678" s="114"/>
      <c r="AM678" s="114"/>
      <c r="AN678" s="114"/>
      <c r="AO678" s="114"/>
      <c r="AP678" s="114"/>
      <c r="AQ678" s="114"/>
      <c r="AR678" s="114"/>
    </row>
    <row r="679" ht="12.75" spans="1:44">
      <c r="A679" s="114"/>
      <c r="B679" s="114"/>
      <c r="C679" s="114"/>
      <c r="D679" s="114" t="s">
        <v>2869</v>
      </c>
      <c r="E679" s="170" t="s">
        <v>3513</v>
      </c>
      <c r="F679" s="153">
        <v>43488</v>
      </c>
      <c r="G679" s="152">
        <f t="shared" si="13"/>
        <v>3488</v>
      </c>
      <c r="H679" s="170" t="s">
        <v>3514</v>
      </c>
      <c r="I679" s="123" t="s">
        <v>3515</v>
      </c>
      <c r="J679" s="236">
        <v>39</v>
      </c>
      <c r="K679" s="114"/>
      <c r="L679" s="114"/>
      <c r="M679" s="114"/>
      <c r="N679" s="124"/>
      <c r="O679" s="114"/>
      <c r="P679" s="124"/>
      <c r="Q679" s="114"/>
      <c r="R679" s="124"/>
      <c r="S679" s="114"/>
      <c r="T679" s="114"/>
      <c r="U679" s="114"/>
      <c r="V679" s="114"/>
      <c r="W679" s="114"/>
      <c r="X679" s="114"/>
      <c r="Y679" s="114"/>
      <c r="Z679" s="164" t="s">
        <v>3263</v>
      </c>
      <c r="AA679" s="114"/>
      <c r="AB679" s="114"/>
      <c r="AC679" s="114"/>
      <c r="AD679" s="114"/>
      <c r="AE679" s="114"/>
      <c r="AF679" s="114"/>
      <c r="AG679" s="114"/>
      <c r="AH679" s="114"/>
      <c r="AI679" s="114"/>
      <c r="AJ679" s="114"/>
      <c r="AK679" s="114"/>
      <c r="AL679" s="114"/>
      <c r="AM679" s="114"/>
      <c r="AN679" s="114"/>
      <c r="AO679" s="114"/>
      <c r="AP679" s="114"/>
      <c r="AQ679" s="114"/>
      <c r="AR679" s="114"/>
    </row>
    <row r="680" ht="12.75" spans="1:44">
      <c r="A680" s="114"/>
      <c r="B680" s="114"/>
      <c r="C680" s="114"/>
      <c r="D680" s="114" t="s">
        <v>2185</v>
      </c>
      <c r="E680" s="170" t="s">
        <v>3516</v>
      </c>
      <c r="F680" s="153">
        <v>43741</v>
      </c>
      <c r="G680" s="152">
        <f t="shared" si="13"/>
        <v>3741</v>
      </c>
      <c r="H680" s="258" t="s">
        <v>3517</v>
      </c>
      <c r="I680" s="123" t="s">
        <v>3518</v>
      </c>
      <c r="J680" s="236">
        <v>318</v>
      </c>
      <c r="K680" s="114"/>
      <c r="L680" s="114"/>
      <c r="M680" s="114"/>
      <c r="N680" s="124"/>
      <c r="O680" s="114"/>
      <c r="P680" s="124"/>
      <c r="Q680" s="114"/>
      <c r="R680" s="124"/>
      <c r="S680" s="114"/>
      <c r="T680" s="114"/>
      <c r="U680" s="114"/>
      <c r="V680" s="114"/>
      <c r="W680" s="114"/>
      <c r="X680" s="114"/>
      <c r="Y680" s="114"/>
      <c r="Z680" s="164" t="s">
        <v>3263</v>
      </c>
      <c r="AA680" s="114"/>
      <c r="AB680" s="114"/>
      <c r="AC680" s="114"/>
      <c r="AD680" s="114"/>
      <c r="AE680" s="114"/>
      <c r="AF680" s="114"/>
      <c r="AG680" s="114"/>
      <c r="AH680" s="114"/>
      <c r="AI680" s="114"/>
      <c r="AJ680" s="114"/>
      <c r="AK680" s="114"/>
      <c r="AL680" s="114"/>
      <c r="AM680" s="114"/>
      <c r="AN680" s="114"/>
      <c r="AO680" s="114"/>
      <c r="AP680" s="114"/>
      <c r="AQ680" s="114"/>
      <c r="AR680" s="114"/>
    </row>
    <row r="681" ht="12.75" spans="1:44">
      <c r="A681" s="114"/>
      <c r="B681" s="114"/>
      <c r="C681" s="114"/>
      <c r="D681" s="114" t="s">
        <v>2185</v>
      </c>
      <c r="E681" s="170" t="s">
        <v>3519</v>
      </c>
      <c r="F681" s="153">
        <v>42798</v>
      </c>
      <c r="G681" s="152">
        <f t="shared" si="13"/>
        <v>2798</v>
      </c>
      <c r="H681" s="170" t="s">
        <v>3520</v>
      </c>
      <c r="I681" s="123" t="s">
        <v>3521</v>
      </c>
      <c r="J681" s="236">
        <v>570</v>
      </c>
      <c r="K681" s="114"/>
      <c r="L681" s="114"/>
      <c r="M681" s="114"/>
      <c r="N681" s="124"/>
      <c r="O681" s="114"/>
      <c r="P681" s="124"/>
      <c r="Q681" s="114"/>
      <c r="R681" s="124"/>
      <c r="S681" s="114"/>
      <c r="T681" s="114"/>
      <c r="U681" s="114"/>
      <c r="V681" s="114"/>
      <c r="W681" s="114"/>
      <c r="X681" s="114"/>
      <c r="Y681" s="114"/>
      <c r="Z681" s="164" t="s">
        <v>3263</v>
      </c>
      <c r="AA681" s="114"/>
      <c r="AB681" s="114"/>
      <c r="AC681" s="114"/>
      <c r="AD681" s="114"/>
      <c r="AE681" s="114"/>
      <c r="AF681" s="114"/>
      <c r="AG681" s="114"/>
      <c r="AH681" s="114"/>
      <c r="AI681" s="114"/>
      <c r="AJ681" s="114"/>
      <c r="AK681" s="114"/>
      <c r="AL681" s="114"/>
      <c r="AM681" s="114"/>
      <c r="AN681" s="114"/>
      <c r="AO681" s="114"/>
      <c r="AP681" s="114"/>
      <c r="AQ681" s="114"/>
      <c r="AR681" s="114"/>
    </row>
    <row r="682" ht="12.75" spans="1:44">
      <c r="A682" s="114"/>
      <c r="B682" s="114"/>
      <c r="C682" s="114"/>
      <c r="D682" s="114" t="s">
        <v>3522</v>
      </c>
      <c r="E682" s="170" t="s">
        <v>3523</v>
      </c>
      <c r="F682" s="153">
        <v>43589</v>
      </c>
      <c r="G682" s="152">
        <f t="shared" si="13"/>
        <v>3589</v>
      </c>
      <c r="H682" s="258" t="s">
        <v>3524</v>
      </c>
      <c r="I682" s="123" t="s">
        <v>3525</v>
      </c>
      <c r="J682" s="236">
        <v>273</v>
      </c>
      <c r="K682" s="114"/>
      <c r="L682" s="114"/>
      <c r="M682" s="114"/>
      <c r="N682" s="124"/>
      <c r="O682" s="114"/>
      <c r="P682" s="124"/>
      <c r="Q682" s="114"/>
      <c r="R682" s="124"/>
      <c r="S682" s="114"/>
      <c r="T682" s="114"/>
      <c r="U682" s="114"/>
      <c r="V682" s="114"/>
      <c r="W682" s="114"/>
      <c r="X682" s="114"/>
      <c r="Y682" s="114"/>
      <c r="Z682" s="164" t="s">
        <v>3263</v>
      </c>
      <c r="AA682" s="114"/>
      <c r="AB682" s="114"/>
      <c r="AC682" s="114"/>
      <c r="AD682" s="114"/>
      <c r="AE682" s="114"/>
      <c r="AF682" s="114"/>
      <c r="AG682" s="114"/>
      <c r="AH682" s="114"/>
      <c r="AI682" s="114"/>
      <c r="AJ682" s="114"/>
      <c r="AK682" s="114"/>
      <c r="AL682" s="114"/>
      <c r="AM682" s="114"/>
      <c r="AN682" s="114"/>
      <c r="AO682" s="114"/>
      <c r="AP682" s="114"/>
      <c r="AQ682" s="114"/>
      <c r="AR682" s="114"/>
    </row>
    <row r="683" ht="12.75" spans="1:44">
      <c r="A683" s="114"/>
      <c r="B683" s="114"/>
      <c r="C683" s="114"/>
      <c r="D683" s="114" t="s">
        <v>3526</v>
      </c>
      <c r="E683" s="170" t="s">
        <v>3527</v>
      </c>
      <c r="F683" s="153">
        <v>43231</v>
      </c>
      <c r="G683" s="152">
        <f t="shared" si="13"/>
        <v>3231</v>
      </c>
      <c r="H683" s="258" t="s">
        <v>3528</v>
      </c>
      <c r="I683" s="123" t="s">
        <v>3529</v>
      </c>
      <c r="J683" s="236">
        <v>218</v>
      </c>
      <c r="K683" s="114"/>
      <c r="L683" s="114"/>
      <c r="M683" s="114"/>
      <c r="N683" s="124"/>
      <c r="O683" s="114"/>
      <c r="P683" s="124"/>
      <c r="Q683" s="114"/>
      <c r="R683" s="124"/>
      <c r="S683" s="114"/>
      <c r="T683" s="114"/>
      <c r="U683" s="114"/>
      <c r="V683" s="114"/>
      <c r="W683" s="114"/>
      <c r="X683" s="114"/>
      <c r="Y683" s="114"/>
      <c r="Z683" s="164" t="s">
        <v>3263</v>
      </c>
      <c r="AA683" s="114"/>
      <c r="AB683" s="114"/>
      <c r="AC683" s="114"/>
      <c r="AD683" s="114"/>
      <c r="AE683" s="114"/>
      <c r="AF683" s="114"/>
      <c r="AG683" s="114"/>
      <c r="AH683" s="114"/>
      <c r="AI683" s="114"/>
      <c r="AJ683" s="114"/>
      <c r="AK683" s="114"/>
      <c r="AL683" s="114"/>
      <c r="AM683" s="114"/>
      <c r="AN683" s="114"/>
      <c r="AO683" s="114"/>
      <c r="AP683" s="114"/>
      <c r="AQ683" s="114"/>
      <c r="AR683" s="114"/>
    </row>
    <row r="684" ht="12.75" spans="1:44">
      <c r="A684" s="114"/>
      <c r="B684" s="114"/>
      <c r="C684" s="114"/>
      <c r="D684" s="114" t="s">
        <v>3530</v>
      </c>
      <c r="E684" s="170" t="s">
        <v>3531</v>
      </c>
      <c r="F684" s="153">
        <v>44106</v>
      </c>
      <c r="G684" s="152">
        <f t="shared" si="13"/>
        <v>4106</v>
      </c>
      <c r="H684" s="258" t="s">
        <v>3532</v>
      </c>
      <c r="I684" s="123" t="s">
        <v>3533</v>
      </c>
      <c r="J684" s="236">
        <v>107</v>
      </c>
      <c r="K684" s="114"/>
      <c r="L684" s="114"/>
      <c r="M684" s="114"/>
      <c r="N684" s="124"/>
      <c r="O684" s="114"/>
      <c r="P684" s="124"/>
      <c r="Q684" s="114"/>
      <c r="R684" s="124"/>
      <c r="S684" s="114"/>
      <c r="T684" s="114"/>
      <c r="U684" s="114"/>
      <c r="V684" s="114"/>
      <c r="W684" s="114"/>
      <c r="X684" s="114"/>
      <c r="Y684" s="114"/>
      <c r="Z684" s="164" t="s">
        <v>3263</v>
      </c>
      <c r="AA684" s="114"/>
      <c r="AB684" s="114"/>
      <c r="AC684" s="114"/>
      <c r="AD684" s="114"/>
      <c r="AE684" s="114"/>
      <c r="AF684" s="114"/>
      <c r="AG684" s="114"/>
      <c r="AH684" s="114"/>
      <c r="AI684" s="114"/>
      <c r="AJ684" s="114"/>
      <c r="AK684" s="114"/>
      <c r="AL684" s="114"/>
      <c r="AM684" s="114"/>
      <c r="AN684" s="114"/>
      <c r="AO684" s="114"/>
      <c r="AP684" s="114"/>
      <c r="AQ684" s="114"/>
      <c r="AR684" s="114"/>
    </row>
    <row r="685" ht="12.75" spans="1:44">
      <c r="A685" s="114"/>
      <c r="B685" s="114"/>
      <c r="C685" s="114"/>
      <c r="D685" s="114" t="s">
        <v>3534</v>
      </c>
      <c r="E685" s="170" t="s">
        <v>3535</v>
      </c>
      <c r="F685" s="153">
        <v>43995</v>
      </c>
      <c r="G685" s="152">
        <f t="shared" si="13"/>
        <v>3995</v>
      </c>
      <c r="H685" s="258" t="s">
        <v>3536</v>
      </c>
      <c r="I685" s="123" t="s">
        <v>3537</v>
      </c>
      <c r="J685" s="236">
        <v>63</v>
      </c>
      <c r="K685" s="114"/>
      <c r="L685" s="114"/>
      <c r="M685" s="114"/>
      <c r="N685" s="124"/>
      <c r="O685" s="114"/>
      <c r="P685" s="124"/>
      <c r="Q685" s="114"/>
      <c r="R685" s="124"/>
      <c r="S685" s="114"/>
      <c r="T685" s="114"/>
      <c r="U685" s="114"/>
      <c r="V685" s="114"/>
      <c r="W685" s="114"/>
      <c r="X685" s="114"/>
      <c r="Y685" s="114"/>
      <c r="Z685" s="164" t="s">
        <v>3263</v>
      </c>
      <c r="AA685" s="114"/>
      <c r="AB685" s="114"/>
      <c r="AC685" s="114"/>
      <c r="AD685" s="114"/>
      <c r="AE685" s="114"/>
      <c r="AF685" s="114"/>
      <c r="AG685" s="114"/>
      <c r="AH685" s="114"/>
      <c r="AI685" s="114"/>
      <c r="AJ685" s="114"/>
      <c r="AK685" s="114"/>
      <c r="AL685" s="114"/>
      <c r="AM685" s="114"/>
      <c r="AN685" s="114"/>
      <c r="AO685" s="114"/>
      <c r="AP685" s="114"/>
      <c r="AQ685" s="114"/>
      <c r="AR685" s="114"/>
    </row>
    <row r="686" ht="12.75" spans="1:44">
      <c r="A686" s="114"/>
      <c r="B686" s="114"/>
      <c r="C686" s="114"/>
      <c r="D686" s="114" t="s">
        <v>3509</v>
      </c>
      <c r="E686" s="170" t="s">
        <v>3538</v>
      </c>
      <c r="F686" s="153">
        <v>44011</v>
      </c>
      <c r="G686" s="152">
        <f t="shared" si="13"/>
        <v>4011</v>
      </c>
      <c r="H686" s="258" t="s">
        <v>3539</v>
      </c>
      <c r="I686" s="123" t="s">
        <v>3540</v>
      </c>
      <c r="J686" s="236">
        <v>37</v>
      </c>
      <c r="K686" s="114"/>
      <c r="L686" s="114"/>
      <c r="M686" s="114"/>
      <c r="N686" s="124"/>
      <c r="O686" s="114"/>
      <c r="P686" s="124"/>
      <c r="Q686" s="114"/>
      <c r="R686" s="124"/>
      <c r="S686" s="114"/>
      <c r="T686" s="114"/>
      <c r="U686" s="114"/>
      <c r="V686" s="114"/>
      <c r="W686" s="114"/>
      <c r="X686" s="114"/>
      <c r="Y686" s="114"/>
      <c r="Z686" s="164" t="s">
        <v>3263</v>
      </c>
      <c r="AA686" s="114"/>
      <c r="AB686" s="114"/>
      <c r="AC686" s="114"/>
      <c r="AD686" s="114"/>
      <c r="AE686" s="114"/>
      <c r="AF686" s="114"/>
      <c r="AG686" s="114"/>
      <c r="AH686" s="114"/>
      <c r="AI686" s="114"/>
      <c r="AJ686" s="114"/>
      <c r="AK686" s="114"/>
      <c r="AL686" s="114"/>
      <c r="AM686" s="114"/>
      <c r="AN686" s="114"/>
      <c r="AO686" s="114"/>
      <c r="AP686" s="114"/>
      <c r="AQ686" s="114"/>
      <c r="AR686" s="114"/>
    </row>
    <row r="687" ht="12.75" spans="1:44">
      <c r="A687" s="114"/>
      <c r="B687" s="114"/>
      <c r="C687" s="114"/>
      <c r="D687" s="114" t="s">
        <v>3541</v>
      </c>
      <c r="E687" s="170" t="s">
        <v>3542</v>
      </c>
      <c r="F687" s="153">
        <v>43234</v>
      </c>
      <c r="G687" s="152">
        <f t="shared" si="13"/>
        <v>3234</v>
      </c>
      <c r="H687" s="170" t="s">
        <v>3543</v>
      </c>
      <c r="I687" s="123" t="s">
        <v>3544</v>
      </c>
      <c r="J687" s="236">
        <v>332</v>
      </c>
      <c r="K687" s="114"/>
      <c r="L687" s="114"/>
      <c r="M687" s="114"/>
      <c r="N687" s="124"/>
      <c r="O687" s="114"/>
      <c r="P687" s="124"/>
      <c r="Q687" s="114"/>
      <c r="R687" s="124"/>
      <c r="S687" s="114"/>
      <c r="T687" s="114"/>
      <c r="U687" s="114"/>
      <c r="V687" s="114"/>
      <c r="W687" s="114"/>
      <c r="X687" s="114"/>
      <c r="Y687" s="114"/>
      <c r="Z687" s="164" t="s">
        <v>3263</v>
      </c>
      <c r="AA687" s="114"/>
      <c r="AB687" s="114"/>
      <c r="AC687" s="114"/>
      <c r="AD687" s="114"/>
      <c r="AE687" s="114"/>
      <c r="AF687" s="114"/>
      <c r="AG687" s="114"/>
      <c r="AH687" s="114"/>
      <c r="AI687" s="114"/>
      <c r="AJ687" s="114"/>
      <c r="AK687" s="114"/>
      <c r="AL687" s="114"/>
      <c r="AM687" s="114"/>
      <c r="AN687" s="114"/>
      <c r="AO687" s="114"/>
      <c r="AP687" s="114"/>
      <c r="AQ687" s="114"/>
      <c r="AR687" s="114"/>
    </row>
    <row r="688" ht="12.75" spans="1:44">
      <c r="A688" s="114"/>
      <c r="B688" s="114"/>
      <c r="C688" s="114"/>
      <c r="D688" s="114" t="s">
        <v>3545</v>
      </c>
      <c r="E688" s="170" t="s">
        <v>3546</v>
      </c>
      <c r="F688" s="153">
        <v>43956</v>
      </c>
      <c r="G688" s="152">
        <f t="shared" si="13"/>
        <v>3956</v>
      </c>
      <c r="H688" s="258" t="s">
        <v>3547</v>
      </c>
      <c r="I688" s="123" t="s">
        <v>3548</v>
      </c>
      <c r="J688" s="236">
        <v>88</v>
      </c>
      <c r="K688" s="114"/>
      <c r="L688" s="114"/>
      <c r="M688" s="114"/>
      <c r="N688" s="124"/>
      <c r="O688" s="114"/>
      <c r="P688" s="124"/>
      <c r="Q688" s="114"/>
      <c r="R688" s="124"/>
      <c r="S688" s="114"/>
      <c r="T688" s="114"/>
      <c r="U688" s="114"/>
      <c r="V688" s="114"/>
      <c r="W688" s="114"/>
      <c r="X688" s="114"/>
      <c r="Y688" s="114"/>
      <c r="Z688" s="164" t="s">
        <v>3263</v>
      </c>
      <c r="AA688" s="114"/>
      <c r="AB688" s="114"/>
      <c r="AC688" s="114"/>
      <c r="AD688" s="114"/>
      <c r="AE688" s="114"/>
      <c r="AF688" s="114"/>
      <c r="AG688" s="114"/>
      <c r="AH688" s="114"/>
      <c r="AI688" s="114"/>
      <c r="AJ688" s="114"/>
      <c r="AK688" s="114"/>
      <c r="AL688" s="114"/>
      <c r="AM688" s="114"/>
      <c r="AN688" s="114"/>
      <c r="AO688" s="114"/>
      <c r="AP688" s="114"/>
      <c r="AQ688" s="114"/>
      <c r="AR688" s="114"/>
    </row>
    <row r="689" ht="12.75" spans="1:44">
      <c r="A689" s="114"/>
      <c r="B689" s="114"/>
      <c r="C689" s="114"/>
      <c r="D689" s="114" t="s">
        <v>3549</v>
      </c>
      <c r="E689" s="170" t="s">
        <v>3550</v>
      </c>
      <c r="F689" s="153">
        <v>44475</v>
      </c>
      <c r="G689" s="152">
        <f t="shared" si="13"/>
        <v>4475</v>
      </c>
      <c r="H689" s="170" t="s">
        <v>3551</v>
      </c>
      <c r="I689" s="123" t="s">
        <v>3552</v>
      </c>
      <c r="J689" s="236">
        <v>6</v>
      </c>
      <c r="K689" s="114"/>
      <c r="L689" s="114"/>
      <c r="M689" s="114"/>
      <c r="N689" s="124"/>
      <c r="O689" s="114"/>
      <c r="P689" s="124"/>
      <c r="Q689" s="114"/>
      <c r="R689" s="124"/>
      <c r="S689" s="114"/>
      <c r="T689" s="114"/>
      <c r="U689" s="114"/>
      <c r="V689" s="114"/>
      <c r="W689" s="114"/>
      <c r="X689" s="114"/>
      <c r="Y689" s="114"/>
      <c r="Z689" s="164" t="s">
        <v>3263</v>
      </c>
      <c r="AA689" s="114"/>
      <c r="AB689" s="114"/>
      <c r="AC689" s="114"/>
      <c r="AD689" s="114"/>
      <c r="AE689" s="114"/>
      <c r="AF689" s="114"/>
      <c r="AG689" s="114"/>
      <c r="AH689" s="114"/>
      <c r="AI689" s="114"/>
      <c r="AJ689" s="114"/>
      <c r="AK689" s="114"/>
      <c r="AL689" s="114"/>
      <c r="AM689" s="114"/>
      <c r="AN689" s="114"/>
      <c r="AO689" s="114"/>
      <c r="AP689" s="114"/>
      <c r="AQ689" s="114"/>
      <c r="AR689" s="114"/>
    </row>
    <row r="690" ht="14.25" spans="1:44">
      <c r="A690" s="114"/>
      <c r="B690" s="114"/>
      <c r="C690" s="114"/>
      <c r="D690" s="114"/>
      <c r="E690" s="226"/>
      <c r="F690" s="114"/>
      <c r="G690" s="152" t="e">
        <f t="shared" si="13"/>
        <v>#VALUE!</v>
      </c>
      <c r="H690" s="114"/>
      <c r="I690" s="114"/>
      <c r="J690" s="33"/>
      <c r="K690" s="114"/>
      <c r="L690" s="114"/>
      <c r="M690" s="114"/>
      <c r="N690" s="124"/>
      <c r="O690" s="114"/>
      <c r="P690" s="124"/>
      <c r="Q690" s="114"/>
      <c r="R690" s="124"/>
      <c r="S690" s="114"/>
      <c r="T690" s="114"/>
      <c r="U690" s="114"/>
      <c r="V690" s="114"/>
      <c r="W690" s="114"/>
      <c r="X690" s="114"/>
      <c r="Y690" s="114"/>
      <c r="Z690" s="164" t="s">
        <v>3263</v>
      </c>
      <c r="AA690" s="114"/>
      <c r="AB690" s="114"/>
      <c r="AC690" s="114"/>
      <c r="AD690" s="114"/>
      <c r="AE690" s="114"/>
      <c r="AF690" s="114"/>
      <c r="AG690" s="114"/>
      <c r="AH690" s="114"/>
      <c r="AI690" s="114"/>
      <c r="AJ690" s="114"/>
      <c r="AK690" s="114"/>
      <c r="AL690" s="114"/>
      <c r="AM690" s="114"/>
      <c r="AN690" s="114"/>
      <c r="AO690" s="114"/>
      <c r="AP690" s="114"/>
      <c r="AQ690" s="114"/>
      <c r="AR690" s="114"/>
    </row>
    <row r="691" ht="14.25" spans="1:44">
      <c r="A691" s="114"/>
      <c r="B691" s="114" t="s">
        <v>3553</v>
      </c>
      <c r="C691" s="114"/>
      <c r="D691" s="123" t="s">
        <v>2600</v>
      </c>
      <c r="E691" s="226"/>
      <c r="F691" s="262"/>
      <c r="G691" s="152" t="e">
        <f t="shared" si="13"/>
        <v>#VALUE!</v>
      </c>
      <c r="H691" s="114"/>
      <c r="I691" s="114"/>
      <c r="J691" s="33" t="s">
        <v>3213</v>
      </c>
      <c r="K691" s="114"/>
      <c r="L691" s="114"/>
      <c r="M691" s="114"/>
      <c r="N691" s="124"/>
      <c r="O691" s="114"/>
      <c r="P691" s="124"/>
      <c r="Q691" s="114"/>
      <c r="R691" s="124"/>
      <c r="S691" s="114"/>
      <c r="T691" s="114"/>
      <c r="U691" s="114"/>
      <c r="V691" s="114"/>
      <c r="W691" s="114"/>
      <c r="X691" s="114"/>
      <c r="Y691" s="114"/>
      <c r="Z691" s="164" t="s">
        <v>3263</v>
      </c>
      <c r="AA691" s="114"/>
      <c r="AB691" s="114"/>
      <c r="AC691" s="114"/>
      <c r="AD691" s="114"/>
      <c r="AE691" s="114"/>
      <c r="AF691" s="114"/>
      <c r="AG691" s="114"/>
      <c r="AH691" s="114"/>
      <c r="AI691" s="114"/>
      <c r="AJ691" s="114"/>
      <c r="AK691" s="114"/>
      <c r="AL691" s="114"/>
      <c r="AM691" s="114"/>
      <c r="AN691" s="114"/>
      <c r="AO691" s="114"/>
      <c r="AP691" s="114"/>
      <c r="AQ691" s="114"/>
      <c r="AR691" s="114"/>
    </row>
    <row r="692" ht="14.25" spans="1:44">
      <c r="A692" s="114"/>
      <c r="B692" s="114"/>
      <c r="C692" s="114"/>
      <c r="D692" s="114" t="s">
        <v>400</v>
      </c>
      <c r="E692" s="221" t="s">
        <v>3554</v>
      </c>
      <c r="F692" s="169">
        <v>43899</v>
      </c>
      <c r="G692" s="152">
        <f t="shared" si="13"/>
        <v>3899</v>
      </c>
      <c r="H692" s="221" t="s">
        <v>3555</v>
      </c>
      <c r="I692" s="123" t="s">
        <v>3556</v>
      </c>
      <c r="J692" s="33">
        <v>602</v>
      </c>
      <c r="K692" s="114"/>
      <c r="L692" s="114"/>
      <c r="M692" s="114"/>
      <c r="N692" s="124"/>
      <c r="O692" s="114"/>
      <c r="P692" s="124"/>
      <c r="Q692" s="114"/>
      <c r="R692" s="124"/>
      <c r="S692" s="114"/>
      <c r="T692" s="114"/>
      <c r="U692" s="114"/>
      <c r="V692" s="114"/>
      <c r="W692" s="114"/>
      <c r="X692" s="114"/>
      <c r="Y692" s="114"/>
      <c r="Z692" s="164" t="s">
        <v>3263</v>
      </c>
      <c r="AA692" s="114"/>
      <c r="AB692" s="114"/>
      <c r="AC692" s="114"/>
      <c r="AD692" s="114"/>
      <c r="AE692" s="114"/>
      <c r="AF692" s="114"/>
      <c r="AG692" s="114"/>
      <c r="AH692" s="114"/>
      <c r="AI692" s="114"/>
      <c r="AJ692" s="114"/>
      <c r="AK692" s="114"/>
      <c r="AL692" s="114"/>
      <c r="AM692" s="114"/>
      <c r="AN692" s="114"/>
      <c r="AO692" s="114"/>
      <c r="AP692" s="114"/>
      <c r="AQ692" s="114"/>
      <c r="AR692" s="114"/>
    </row>
    <row r="693" ht="14.25" spans="1:44">
      <c r="A693" s="114"/>
      <c r="B693" s="114"/>
      <c r="C693" s="114"/>
      <c r="D693" s="114" t="s">
        <v>262</v>
      </c>
      <c r="E693" s="221" t="s">
        <v>3557</v>
      </c>
      <c r="F693" s="153">
        <v>43633</v>
      </c>
      <c r="G693" s="152">
        <f t="shared" si="13"/>
        <v>3633</v>
      </c>
      <c r="H693" s="221" t="s">
        <v>3558</v>
      </c>
      <c r="I693" s="123" t="s">
        <v>3559</v>
      </c>
      <c r="J693" s="33">
        <v>599</v>
      </c>
      <c r="K693" s="114"/>
      <c r="L693" s="114"/>
      <c r="M693" s="114"/>
      <c r="N693" s="124"/>
      <c r="O693" s="114"/>
      <c r="P693" s="124"/>
      <c r="Q693" s="114"/>
      <c r="R693" s="124"/>
      <c r="S693" s="114"/>
      <c r="T693" s="114"/>
      <c r="U693" s="114"/>
      <c r="V693" s="114"/>
      <c r="W693" s="114"/>
      <c r="X693" s="114"/>
      <c r="Y693" s="114"/>
      <c r="Z693" s="164" t="s">
        <v>3263</v>
      </c>
      <c r="AA693" s="114"/>
      <c r="AB693" s="114"/>
      <c r="AC693" s="114"/>
      <c r="AD693" s="114"/>
      <c r="AE693" s="114"/>
      <c r="AF693" s="114"/>
      <c r="AG693" s="114"/>
      <c r="AH693" s="114"/>
      <c r="AI693" s="114"/>
      <c r="AJ693" s="114"/>
      <c r="AK693" s="114"/>
      <c r="AL693" s="114"/>
      <c r="AM693" s="114"/>
      <c r="AN693" s="114"/>
      <c r="AO693" s="114"/>
      <c r="AP693" s="114"/>
      <c r="AQ693" s="114"/>
      <c r="AR693" s="114"/>
    </row>
    <row r="694" ht="14.25" spans="1:44">
      <c r="A694" s="114"/>
      <c r="B694" s="114"/>
      <c r="C694" s="114"/>
      <c r="D694" s="114"/>
      <c r="E694" s="226"/>
      <c r="F694" s="114"/>
      <c r="G694" s="152" t="e">
        <f t="shared" si="13"/>
        <v>#VALUE!</v>
      </c>
      <c r="H694" s="114"/>
      <c r="I694" s="114"/>
      <c r="J694" s="33"/>
      <c r="K694" s="114"/>
      <c r="L694" s="114"/>
      <c r="M694" s="114"/>
      <c r="N694" s="124"/>
      <c r="O694" s="114"/>
      <c r="P694" s="124"/>
      <c r="Q694" s="114"/>
      <c r="R694" s="124"/>
      <c r="S694" s="114"/>
      <c r="T694" s="114"/>
      <c r="U694" s="114"/>
      <c r="V694" s="114"/>
      <c r="W694" s="114"/>
      <c r="X694" s="114"/>
      <c r="Y694" s="114"/>
      <c r="Z694" s="164"/>
      <c r="AA694" s="114"/>
      <c r="AB694" s="114"/>
      <c r="AC694" s="114"/>
      <c r="AD694" s="114"/>
      <c r="AE694" s="114"/>
      <c r="AF694" s="114"/>
      <c r="AG694" s="114"/>
      <c r="AH694" s="114"/>
      <c r="AI694" s="114"/>
      <c r="AJ694" s="114"/>
      <c r="AK694" s="114"/>
      <c r="AL694" s="114"/>
      <c r="AM694" s="114"/>
      <c r="AN694" s="114"/>
      <c r="AO694" s="114"/>
      <c r="AP694" s="114"/>
      <c r="AQ694" s="114"/>
      <c r="AR694" s="114"/>
    </row>
    <row r="695" ht="12.75" spans="1:44">
      <c r="A695" s="114" t="s">
        <v>3560</v>
      </c>
      <c r="B695" s="114"/>
      <c r="C695" s="170" t="s">
        <v>3561</v>
      </c>
      <c r="D695" s="114"/>
      <c r="E695" s="170"/>
      <c r="F695" s="263"/>
      <c r="G695" s="152" t="e">
        <f t="shared" si="13"/>
        <v>#VALUE!</v>
      </c>
      <c r="H695" s="123" t="s">
        <v>3562</v>
      </c>
      <c r="I695" s="114"/>
      <c r="J695" s="236">
        <v>17</v>
      </c>
      <c r="K695" s="114"/>
      <c r="L695" s="114"/>
      <c r="M695" s="114"/>
      <c r="N695" s="124"/>
      <c r="O695" s="114"/>
      <c r="P695" s="124"/>
      <c r="Q695" s="114"/>
      <c r="R695" s="124"/>
      <c r="S695" s="114"/>
      <c r="T695" s="114"/>
      <c r="U695" s="114"/>
      <c r="V695" s="114"/>
      <c r="W695" s="114"/>
      <c r="X695" s="114"/>
      <c r="Y695" s="114"/>
      <c r="Z695" s="221"/>
      <c r="AA695" s="114"/>
      <c r="AB695" s="114"/>
      <c r="AC695" s="114"/>
      <c r="AD695" s="114"/>
      <c r="AE695" s="114"/>
      <c r="AF695" s="114"/>
      <c r="AG695" s="114"/>
      <c r="AH695" s="114"/>
      <c r="AI695" s="114"/>
      <c r="AJ695" s="114"/>
      <c r="AK695" s="114"/>
      <c r="AL695" s="114"/>
      <c r="AM695" s="114"/>
      <c r="AN695" s="114"/>
      <c r="AO695" s="114"/>
      <c r="AP695" s="114"/>
      <c r="AQ695" s="114"/>
      <c r="AR695" s="114"/>
    </row>
    <row r="696" ht="12.75" spans="1:44">
      <c r="A696" s="114"/>
      <c r="B696" s="114"/>
      <c r="C696" s="114"/>
      <c r="D696" s="114" t="s">
        <v>3563</v>
      </c>
      <c r="E696" s="170" t="s">
        <v>3564</v>
      </c>
      <c r="F696" s="153">
        <v>43072</v>
      </c>
      <c r="G696" s="152">
        <f t="shared" si="13"/>
        <v>3072</v>
      </c>
      <c r="H696" s="170" t="s">
        <v>3565</v>
      </c>
      <c r="I696" s="123" t="s">
        <v>3566</v>
      </c>
      <c r="J696" s="236">
        <v>1826</v>
      </c>
      <c r="K696" s="114"/>
      <c r="L696" s="114"/>
      <c r="M696" s="114"/>
      <c r="N696" s="124"/>
      <c r="O696" s="114"/>
      <c r="P696" s="124"/>
      <c r="Q696" s="114"/>
      <c r="R696" s="124"/>
      <c r="S696" s="114"/>
      <c r="T696" s="114"/>
      <c r="U696" s="114"/>
      <c r="V696" s="114"/>
      <c r="W696" s="114"/>
      <c r="X696" s="114"/>
      <c r="Y696" s="114"/>
      <c r="Z696" s="221" t="s">
        <v>3561</v>
      </c>
      <c r="AA696" s="114"/>
      <c r="AB696" s="114"/>
      <c r="AC696" s="114"/>
      <c r="AD696" s="114"/>
      <c r="AE696" s="114"/>
      <c r="AF696" s="114"/>
      <c r="AG696" s="114"/>
      <c r="AH696" s="114"/>
      <c r="AI696" s="114"/>
      <c r="AJ696" s="114"/>
      <c r="AK696" s="114"/>
      <c r="AL696" s="114"/>
      <c r="AM696" s="114"/>
      <c r="AN696" s="114"/>
      <c r="AO696" s="114"/>
      <c r="AP696" s="114"/>
      <c r="AQ696" s="114"/>
      <c r="AR696" s="114"/>
    </row>
    <row r="697" ht="12.75" spans="1:44">
      <c r="A697" s="114"/>
      <c r="B697" s="114"/>
      <c r="C697" s="114"/>
      <c r="D697" s="114" t="s">
        <v>3567</v>
      </c>
      <c r="E697" s="170" t="s">
        <v>3568</v>
      </c>
      <c r="F697" s="153">
        <v>44048</v>
      </c>
      <c r="G697" s="152">
        <f t="shared" si="13"/>
        <v>4048</v>
      </c>
      <c r="H697" s="170" t="s">
        <v>3569</v>
      </c>
      <c r="I697" s="123" t="s">
        <v>3570</v>
      </c>
      <c r="J697" s="236">
        <v>39</v>
      </c>
      <c r="K697" s="114"/>
      <c r="L697" s="114"/>
      <c r="M697" s="114"/>
      <c r="N697" s="124"/>
      <c r="O697" s="114"/>
      <c r="P697" s="124"/>
      <c r="Q697" s="114"/>
      <c r="R697" s="124"/>
      <c r="S697" s="114"/>
      <c r="T697" s="114"/>
      <c r="U697" s="114"/>
      <c r="V697" s="114"/>
      <c r="W697" s="114"/>
      <c r="X697" s="114"/>
      <c r="Y697" s="114"/>
      <c r="Z697" s="221" t="s">
        <v>3561</v>
      </c>
      <c r="AA697" s="114"/>
      <c r="AB697" s="114"/>
      <c r="AC697" s="114"/>
      <c r="AD697" s="114"/>
      <c r="AE697" s="114"/>
      <c r="AF697" s="114"/>
      <c r="AG697" s="114"/>
      <c r="AH697" s="114"/>
      <c r="AI697" s="114"/>
      <c r="AJ697" s="114"/>
      <c r="AK697" s="114"/>
      <c r="AL697" s="114"/>
      <c r="AM697" s="114"/>
      <c r="AN697" s="114"/>
      <c r="AO697" s="114"/>
      <c r="AP697" s="114"/>
      <c r="AQ697" s="114"/>
      <c r="AR697" s="114"/>
    </row>
    <row r="698" ht="12.75" spans="1:44">
      <c r="A698" s="114"/>
      <c r="B698" s="114"/>
      <c r="C698" s="114"/>
      <c r="D698" s="114" t="s">
        <v>3571</v>
      </c>
      <c r="E698" s="170" t="s">
        <v>3572</v>
      </c>
      <c r="F698" s="153">
        <v>44028</v>
      </c>
      <c r="G698" s="152">
        <f t="shared" si="13"/>
        <v>4028</v>
      </c>
      <c r="H698" s="170" t="s">
        <v>3573</v>
      </c>
      <c r="I698" s="123" t="s">
        <v>3574</v>
      </c>
      <c r="J698" s="236">
        <v>25</v>
      </c>
      <c r="K698" s="114"/>
      <c r="L698" s="114"/>
      <c r="M698" s="114"/>
      <c r="N698" s="124"/>
      <c r="O698" s="114"/>
      <c r="P698" s="124"/>
      <c r="Q698" s="114"/>
      <c r="R698" s="124"/>
      <c r="S698" s="114"/>
      <c r="T698" s="114"/>
      <c r="U698" s="114"/>
      <c r="V698" s="114"/>
      <c r="W698" s="114"/>
      <c r="X698" s="114"/>
      <c r="Y698" s="114"/>
      <c r="Z698" s="221" t="s">
        <v>3561</v>
      </c>
      <c r="AA698" s="114"/>
      <c r="AB698" s="114"/>
      <c r="AC698" s="114"/>
      <c r="AD698" s="114"/>
      <c r="AE698" s="114"/>
      <c r="AF698" s="114"/>
      <c r="AG698" s="114"/>
      <c r="AH698" s="114"/>
      <c r="AI698" s="114"/>
      <c r="AJ698" s="114"/>
      <c r="AK698" s="114"/>
      <c r="AL698" s="114"/>
      <c r="AM698" s="114"/>
      <c r="AN698" s="114"/>
      <c r="AO698" s="114"/>
      <c r="AP698" s="114"/>
      <c r="AQ698" s="114"/>
      <c r="AR698" s="114"/>
    </row>
    <row r="699" ht="12.75" spans="1:44">
      <c r="A699" s="114"/>
      <c r="B699" s="114"/>
      <c r="C699" s="114"/>
      <c r="D699" s="114" t="s">
        <v>3575</v>
      </c>
      <c r="E699" s="170" t="s">
        <v>3576</v>
      </c>
      <c r="F699" s="153">
        <v>44133</v>
      </c>
      <c r="G699" s="152">
        <f t="shared" si="13"/>
        <v>4133</v>
      </c>
      <c r="H699" s="170" t="s">
        <v>3577</v>
      </c>
      <c r="I699" s="123" t="s">
        <v>3578</v>
      </c>
      <c r="J699" s="236">
        <v>15</v>
      </c>
      <c r="K699" s="114"/>
      <c r="L699" s="114"/>
      <c r="M699" s="114"/>
      <c r="N699" s="124"/>
      <c r="O699" s="114"/>
      <c r="P699" s="124"/>
      <c r="Q699" s="114"/>
      <c r="R699" s="124"/>
      <c r="S699" s="114"/>
      <c r="T699" s="114"/>
      <c r="U699" s="114"/>
      <c r="V699" s="114"/>
      <c r="W699" s="114"/>
      <c r="X699" s="114"/>
      <c r="Y699" s="114"/>
      <c r="Z699" s="221" t="s">
        <v>3561</v>
      </c>
      <c r="AA699" s="114"/>
      <c r="AB699" s="114"/>
      <c r="AC699" s="114"/>
      <c r="AD699" s="114"/>
      <c r="AE699" s="114"/>
      <c r="AF699" s="114"/>
      <c r="AG699" s="114"/>
      <c r="AH699" s="114"/>
      <c r="AI699" s="114"/>
      <c r="AJ699" s="114"/>
      <c r="AK699" s="114"/>
      <c r="AL699" s="114"/>
      <c r="AM699" s="114"/>
      <c r="AN699" s="114"/>
      <c r="AO699" s="114"/>
      <c r="AP699" s="114"/>
      <c r="AQ699" s="114"/>
      <c r="AR699" s="114"/>
    </row>
    <row r="700" ht="12.75" spans="1:44">
      <c r="A700" s="114" t="s">
        <v>1273</v>
      </c>
      <c r="B700" s="114" t="s">
        <v>41</v>
      </c>
      <c r="C700" s="114" t="s">
        <v>724</v>
      </c>
      <c r="D700" s="114" t="s">
        <v>1274</v>
      </c>
      <c r="E700" s="170" t="s">
        <v>1275</v>
      </c>
      <c r="F700" s="153">
        <v>42542</v>
      </c>
      <c r="G700" s="152">
        <f t="shared" si="13"/>
        <v>2542</v>
      </c>
      <c r="H700" s="170" t="s">
        <v>1276</v>
      </c>
      <c r="I700" s="123" t="s">
        <v>4451</v>
      </c>
      <c r="J700" s="236">
        <v>4492</v>
      </c>
      <c r="K700" s="114"/>
      <c r="L700" s="114"/>
      <c r="M700" s="114"/>
      <c r="N700" s="124"/>
      <c r="O700" s="114">
        <f>4290000000000*(1464+9963+83000)*0.46*0.33</f>
        <v>6.1492939794e+16</v>
      </c>
      <c r="P700" s="124"/>
      <c r="Q700" s="114" t="s">
        <v>1278</v>
      </c>
      <c r="R700" s="124">
        <f>(1464+9963+83000)</f>
        <v>94427</v>
      </c>
      <c r="S700" s="114">
        <f>(1464+9963+83000)*0.46/3600</f>
        <v>12.0656722222222</v>
      </c>
      <c r="T700" s="114">
        <v>170</v>
      </c>
      <c r="U700" s="114"/>
      <c r="V700" s="114"/>
      <c r="W700" s="114"/>
      <c r="X700" s="114"/>
      <c r="Y700" s="114"/>
      <c r="Z700" s="221" t="s">
        <v>3561</v>
      </c>
      <c r="AA700" s="114"/>
      <c r="AB700" s="114"/>
      <c r="AC700" s="114"/>
      <c r="AD700" s="114"/>
      <c r="AE700" s="114"/>
      <c r="AF700" s="114"/>
      <c r="AG700" s="114"/>
      <c r="AH700" s="114"/>
      <c r="AI700" s="114"/>
      <c r="AJ700" s="114"/>
      <c r="AK700" s="114"/>
      <c r="AL700" s="114"/>
      <c r="AM700" s="114"/>
      <c r="AN700" s="114"/>
      <c r="AO700" s="114"/>
      <c r="AP700" s="114"/>
      <c r="AQ700" s="114"/>
      <c r="AR700" s="114"/>
    </row>
    <row r="701" ht="12.75" spans="1:44">
      <c r="A701" s="114"/>
      <c r="B701" s="114"/>
      <c r="C701" s="114"/>
      <c r="D701" s="114" t="s">
        <v>3579</v>
      </c>
      <c r="E701" s="170" t="s">
        <v>3580</v>
      </c>
      <c r="F701" s="153">
        <v>42891</v>
      </c>
      <c r="G701" s="152">
        <f t="shared" si="13"/>
        <v>2891</v>
      </c>
      <c r="H701" s="170" t="s">
        <v>3581</v>
      </c>
      <c r="I701" s="123" t="s">
        <v>3582</v>
      </c>
      <c r="J701" s="236">
        <v>2313</v>
      </c>
      <c r="K701" s="114"/>
      <c r="L701" s="114"/>
      <c r="M701" s="114"/>
      <c r="N701" s="124"/>
      <c r="O701" s="114"/>
      <c r="P701" s="124"/>
      <c r="Q701" s="114"/>
      <c r="R701" s="124"/>
      <c r="S701" s="114"/>
      <c r="T701" s="114"/>
      <c r="U701" s="114"/>
      <c r="V701" s="114"/>
      <c r="W701" s="114"/>
      <c r="X701" s="114"/>
      <c r="Y701" s="114"/>
      <c r="Z701" s="221" t="s">
        <v>3561</v>
      </c>
      <c r="AA701" s="114"/>
      <c r="AB701" s="114"/>
      <c r="AC701" s="114"/>
      <c r="AD701" s="114"/>
      <c r="AE701" s="114"/>
      <c r="AF701" s="114"/>
      <c r="AG701" s="114"/>
      <c r="AH701" s="114"/>
      <c r="AI701" s="114"/>
      <c r="AJ701" s="114"/>
      <c r="AK701" s="114"/>
      <c r="AL701" s="114"/>
      <c r="AM701" s="114"/>
      <c r="AN701" s="114"/>
      <c r="AO701" s="114"/>
      <c r="AP701" s="114"/>
      <c r="AQ701" s="114"/>
      <c r="AR701" s="114"/>
    </row>
    <row r="702" ht="12.75" spans="1:44">
      <c r="A702" s="114"/>
      <c r="B702" s="114"/>
      <c r="C702" s="114"/>
      <c r="D702" s="114" t="s">
        <v>3089</v>
      </c>
      <c r="E702" s="170" t="s">
        <v>3583</v>
      </c>
      <c r="F702" s="153">
        <v>43999</v>
      </c>
      <c r="G702" s="152">
        <f t="shared" si="13"/>
        <v>3999</v>
      </c>
      <c r="H702" s="170" t="s">
        <v>3584</v>
      </c>
      <c r="I702" s="123" t="s">
        <v>3585</v>
      </c>
      <c r="J702" s="236">
        <v>90</v>
      </c>
      <c r="K702" s="114"/>
      <c r="L702" s="114"/>
      <c r="M702" s="114"/>
      <c r="N702" s="124"/>
      <c r="O702" s="114"/>
      <c r="P702" s="124"/>
      <c r="Q702" s="114"/>
      <c r="R702" s="124"/>
      <c r="S702" s="114"/>
      <c r="T702" s="114"/>
      <c r="U702" s="114"/>
      <c r="V702" s="114"/>
      <c r="W702" s="114"/>
      <c r="X702" s="114"/>
      <c r="Y702" s="114"/>
      <c r="Z702" s="221" t="s">
        <v>3561</v>
      </c>
      <c r="AA702" s="114"/>
      <c r="AB702" s="114"/>
      <c r="AC702" s="114"/>
      <c r="AD702" s="114"/>
      <c r="AE702" s="114"/>
      <c r="AF702" s="114"/>
      <c r="AG702" s="114"/>
      <c r="AH702" s="114"/>
      <c r="AI702" s="114"/>
      <c r="AJ702" s="114"/>
      <c r="AK702" s="114"/>
      <c r="AL702" s="114"/>
      <c r="AM702" s="114"/>
      <c r="AN702" s="114"/>
      <c r="AO702" s="114"/>
      <c r="AP702" s="114"/>
      <c r="AQ702" s="114"/>
      <c r="AR702" s="114"/>
    </row>
    <row r="703" ht="12.75" spans="1:44">
      <c r="A703" s="114"/>
      <c r="B703" s="114"/>
      <c r="C703" s="114"/>
      <c r="D703" s="114" t="s">
        <v>3586</v>
      </c>
      <c r="E703" s="170" t="s">
        <v>3587</v>
      </c>
      <c r="F703" s="153">
        <v>43574</v>
      </c>
      <c r="G703" s="152">
        <f t="shared" si="13"/>
        <v>3574</v>
      </c>
      <c r="H703" s="170" t="s">
        <v>3588</v>
      </c>
      <c r="I703" s="123" t="s">
        <v>3589</v>
      </c>
      <c r="J703" s="236">
        <v>780</v>
      </c>
      <c r="K703" s="114"/>
      <c r="L703" s="114"/>
      <c r="M703" s="114"/>
      <c r="N703" s="124"/>
      <c r="O703" s="114"/>
      <c r="P703" s="124"/>
      <c r="Q703" s="114"/>
      <c r="R703" s="124"/>
      <c r="S703" s="114"/>
      <c r="T703" s="114"/>
      <c r="U703" s="114"/>
      <c r="V703" s="114"/>
      <c r="W703" s="114"/>
      <c r="X703" s="114"/>
      <c r="Y703" s="114"/>
      <c r="Z703" s="221" t="s">
        <v>3561</v>
      </c>
      <c r="AA703" s="114"/>
      <c r="AB703" s="114"/>
      <c r="AC703" s="114"/>
      <c r="AD703" s="114"/>
      <c r="AE703" s="114"/>
      <c r="AF703" s="114"/>
      <c r="AG703" s="114"/>
      <c r="AH703" s="114"/>
      <c r="AI703" s="114"/>
      <c r="AJ703" s="114"/>
      <c r="AK703" s="114"/>
      <c r="AL703" s="114"/>
      <c r="AM703" s="114"/>
      <c r="AN703" s="114"/>
      <c r="AO703" s="114"/>
      <c r="AP703" s="114"/>
      <c r="AQ703" s="114"/>
      <c r="AR703" s="114"/>
    </row>
    <row r="704" ht="12.75" spans="1:44">
      <c r="A704" s="114"/>
      <c r="B704" s="114"/>
      <c r="C704" s="114"/>
      <c r="D704" s="114" t="s">
        <v>3590</v>
      </c>
      <c r="E704" s="170" t="s">
        <v>3591</v>
      </c>
      <c r="F704" s="153">
        <v>44370</v>
      </c>
      <c r="G704" s="152">
        <f t="shared" si="13"/>
        <v>4370</v>
      </c>
      <c r="H704" s="170" t="s">
        <v>3592</v>
      </c>
      <c r="I704" s="123" t="s">
        <v>3593</v>
      </c>
      <c r="J704" s="236">
        <v>81</v>
      </c>
      <c r="K704" s="114"/>
      <c r="L704" s="114"/>
      <c r="M704" s="114"/>
      <c r="N704" s="124"/>
      <c r="O704" s="114"/>
      <c r="P704" s="124"/>
      <c r="Q704" s="114"/>
      <c r="R704" s="124"/>
      <c r="S704" s="114"/>
      <c r="T704" s="114"/>
      <c r="U704" s="114"/>
      <c r="V704" s="114"/>
      <c r="W704" s="114"/>
      <c r="X704" s="114"/>
      <c r="Y704" s="114"/>
      <c r="Z704" s="221" t="s">
        <v>3561</v>
      </c>
      <c r="AA704" s="114"/>
      <c r="AB704" s="114"/>
      <c r="AC704" s="114"/>
      <c r="AD704" s="114"/>
      <c r="AE704" s="114"/>
      <c r="AF704" s="114"/>
      <c r="AG704" s="114"/>
      <c r="AH704" s="114"/>
      <c r="AI704" s="114"/>
      <c r="AJ704" s="114"/>
      <c r="AK704" s="114"/>
      <c r="AL704" s="114"/>
      <c r="AM704" s="114"/>
      <c r="AN704" s="114"/>
      <c r="AO704" s="114"/>
      <c r="AP704" s="114"/>
      <c r="AQ704" s="114"/>
      <c r="AR704" s="114"/>
    </row>
    <row r="705" ht="12.75" spans="1:44">
      <c r="A705" s="114"/>
      <c r="B705" s="114"/>
      <c r="C705" s="114"/>
      <c r="D705" s="114" t="s">
        <v>3594</v>
      </c>
      <c r="E705" s="170" t="s">
        <v>3595</v>
      </c>
      <c r="F705" s="153">
        <v>42844</v>
      </c>
      <c r="G705" s="152">
        <f t="shared" si="13"/>
        <v>2844</v>
      </c>
      <c r="H705" s="170" t="s">
        <v>3596</v>
      </c>
      <c r="I705" s="255" t="s">
        <v>3597</v>
      </c>
      <c r="J705" s="236">
        <v>9750</v>
      </c>
      <c r="K705" s="114"/>
      <c r="L705" s="114"/>
      <c r="M705" s="114"/>
      <c r="N705" s="124"/>
      <c r="O705" s="114"/>
      <c r="P705" s="124"/>
      <c r="Q705" s="114"/>
      <c r="R705" s="124"/>
      <c r="S705" s="114"/>
      <c r="T705" s="114"/>
      <c r="U705" s="114"/>
      <c r="V705" s="114"/>
      <c r="W705" s="114"/>
      <c r="X705" s="114"/>
      <c r="Y705" s="114"/>
      <c r="Z705" s="221" t="s">
        <v>3561</v>
      </c>
      <c r="AA705" s="114"/>
      <c r="AB705" s="114"/>
      <c r="AC705" s="114"/>
      <c r="AD705" s="114"/>
      <c r="AE705" s="114"/>
      <c r="AF705" s="114"/>
      <c r="AG705" s="114"/>
      <c r="AH705" s="114"/>
      <c r="AI705" s="114"/>
      <c r="AJ705" s="114"/>
      <c r="AK705" s="114"/>
      <c r="AL705" s="114"/>
      <c r="AM705" s="114"/>
      <c r="AN705" s="114"/>
      <c r="AO705" s="114"/>
      <c r="AP705" s="114"/>
      <c r="AQ705" s="114"/>
      <c r="AR705" s="114"/>
    </row>
    <row r="706" ht="12.75" spans="1:44">
      <c r="A706" s="114"/>
      <c r="B706" s="114"/>
      <c r="C706" s="114"/>
      <c r="D706" s="114" t="s">
        <v>3598</v>
      </c>
      <c r="E706" s="170" t="s">
        <v>3599</v>
      </c>
      <c r="F706" s="153">
        <v>43351</v>
      </c>
      <c r="G706" s="152">
        <f t="shared" si="13"/>
        <v>3351</v>
      </c>
      <c r="H706" s="170" t="s">
        <v>3600</v>
      </c>
      <c r="I706" s="123" t="s">
        <v>3601</v>
      </c>
      <c r="J706" s="236">
        <v>1491</v>
      </c>
      <c r="K706" s="114"/>
      <c r="L706" s="114"/>
      <c r="M706" s="114"/>
      <c r="N706" s="124"/>
      <c r="O706" s="114"/>
      <c r="P706" s="124"/>
      <c r="Q706" s="114"/>
      <c r="R706" s="124"/>
      <c r="S706" s="114"/>
      <c r="T706" s="114"/>
      <c r="U706" s="114"/>
      <c r="V706" s="114"/>
      <c r="W706" s="114"/>
      <c r="X706" s="114"/>
      <c r="Y706" s="114"/>
      <c r="Z706" s="221" t="s">
        <v>3561</v>
      </c>
      <c r="AA706" s="114"/>
      <c r="AB706" s="114"/>
      <c r="AC706" s="114"/>
      <c r="AD706" s="114"/>
      <c r="AE706" s="114"/>
      <c r="AF706" s="114"/>
      <c r="AG706" s="114"/>
      <c r="AH706" s="114"/>
      <c r="AI706" s="114"/>
      <c r="AJ706" s="114"/>
      <c r="AK706" s="114"/>
      <c r="AL706" s="114"/>
      <c r="AM706" s="114"/>
      <c r="AN706" s="114"/>
      <c r="AO706" s="114"/>
      <c r="AP706" s="114"/>
      <c r="AQ706" s="114"/>
      <c r="AR706" s="114"/>
    </row>
    <row r="707" ht="12.75" spans="1:44">
      <c r="A707" s="114"/>
      <c r="B707" s="114"/>
      <c r="C707" s="114"/>
      <c r="D707" s="114" t="s">
        <v>3602</v>
      </c>
      <c r="E707" s="170" t="s">
        <v>3603</v>
      </c>
      <c r="F707" s="169">
        <v>44415</v>
      </c>
      <c r="G707" s="152">
        <f t="shared" si="13"/>
        <v>4415</v>
      </c>
      <c r="H707" s="170" t="s">
        <v>3604</v>
      </c>
      <c r="I707" s="123" t="s">
        <v>3605</v>
      </c>
      <c r="J707" s="236">
        <v>406</v>
      </c>
      <c r="K707" s="114"/>
      <c r="L707" s="114"/>
      <c r="M707" s="114"/>
      <c r="N707" s="124"/>
      <c r="O707" s="114"/>
      <c r="P707" s="124"/>
      <c r="Q707" s="114"/>
      <c r="R707" s="124"/>
      <c r="S707" s="114"/>
      <c r="T707" s="114"/>
      <c r="U707" s="114"/>
      <c r="V707" s="114"/>
      <c r="W707" s="114"/>
      <c r="X707" s="114"/>
      <c r="Y707" s="114"/>
      <c r="Z707" s="221" t="s">
        <v>3561</v>
      </c>
      <c r="AA707" s="114"/>
      <c r="AB707" s="114"/>
      <c r="AC707" s="114"/>
      <c r="AD707" s="114"/>
      <c r="AE707" s="114"/>
      <c r="AF707" s="114"/>
      <c r="AG707" s="114"/>
      <c r="AH707" s="114"/>
      <c r="AI707" s="114"/>
      <c r="AJ707" s="114"/>
      <c r="AK707" s="114"/>
      <c r="AL707" s="114"/>
      <c r="AM707" s="114"/>
      <c r="AN707" s="114"/>
      <c r="AO707" s="114"/>
      <c r="AP707" s="114"/>
      <c r="AQ707" s="114"/>
      <c r="AR707" s="114"/>
    </row>
    <row r="708" ht="12.75" spans="1:44">
      <c r="A708" s="114"/>
      <c r="B708" s="114"/>
      <c r="C708" s="114"/>
      <c r="D708" s="114" t="s">
        <v>3606</v>
      </c>
      <c r="E708" s="170" t="s">
        <v>3607</v>
      </c>
      <c r="F708" s="169">
        <v>43559</v>
      </c>
      <c r="G708" s="152">
        <f t="shared" si="13"/>
        <v>3559</v>
      </c>
      <c r="H708" s="170" t="s">
        <v>3608</v>
      </c>
      <c r="I708" s="123" t="s">
        <v>3609</v>
      </c>
      <c r="J708" s="236">
        <v>527</v>
      </c>
      <c r="K708" s="114"/>
      <c r="L708" s="114"/>
      <c r="M708" s="114"/>
      <c r="N708" s="124"/>
      <c r="O708" s="114"/>
      <c r="P708" s="124"/>
      <c r="Q708" s="114"/>
      <c r="R708" s="124"/>
      <c r="S708" s="114"/>
      <c r="T708" s="114"/>
      <c r="U708" s="114"/>
      <c r="V708" s="114"/>
      <c r="W708" s="114"/>
      <c r="X708" s="114"/>
      <c r="Y708" s="114"/>
      <c r="Z708" s="221" t="s">
        <v>3561</v>
      </c>
      <c r="AA708" s="114"/>
      <c r="AB708" s="114"/>
      <c r="AC708" s="114"/>
      <c r="AD708" s="114"/>
      <c r="AE708" s="114"/>
      <c r="AF708" s="114"/>
      <c r="AG708" s="114"/>
      <c r="AH708" s="114"/>
      <c r="AI708" s="114"/>
      <c r="AJ708" s="114"/>
      <c r="AK708" s="114"/>
      <c r="AL708" s="114"/>
      <c r="AM708" s="114"/>
      <c r="AN708" s="114"/>
      <c r="AO708" s="114"/>
      <c r="AP708" s="114"/>
      <c r="AQ708" s="114"/>
      <c r="AR708" s="114"/>
    </row>
    <row r="709" ht="12.75" spans="1:44">
      <c r="A709" s="114"/>
      <c r="B709" s="114"/>
      <c r="C709" s="114"/>
      <c r="D709" s="114" t="s">
        <v>3610</v>
      </c>
      <c r="E709" s="170" t="s">
        <v>3611</v>
      </c>
      <c r="F709" s="153">
        <v>44295</v>
      </c>
      <c r="G709" s="152">
        <f t="shared" si="13"/>
        <v>4295</v>
      </c>
      <c r="H709" s="170" t="s">
        <v>3612</v>
      </c>
      <c r="I709" s="123" t="s">
        <v>3613</v>
      </c>
      <c r="J709" s="236">
        <v>40</v>
      </c>
      <c r="K709" s="114"/>
      <c r="L709" s="114"/>
      <c r="M709" s="114"/>
      <c r="N709" s="124"/>
      <c r="O709" s="114"/>
      <c r="P709" s="124"/>
      <c r="Q709" s="114"/>
      <c r="R709" s="124"/>
      <c r="S709" s="114"/>
      <c r="T709" s="114"/>
      <c r="U709" s="114"/>
      <c r="V709" s="114"/>
      <c r="W709" s="114"/>
      <c r="X709" s="114"/>
      <c r="Y709" s="114"/>
      <c r="Z709" s="221" t="s">
        <v>3561</v>
      </c>
      <c r="AA709" s="114"/>
      <c r="AB709" s="114"/>
      <c r="AC709" s="114"/>
      <c r="AD709" s="114"/>
      <c r="AE709" s="114"/>
      <c r="AF709" s="114"/>
      <c r="AG709" s="114"/>
      <c r="AH709" s="114"/>
      <c r="AI709" s="114"/>
      <c r="AJ709" s="114"/>
      <c r="AK709" s="114"/>
      <c r="AL709" s="114"/>
      <c r="AM709" s="114"/>
      <c r="AN709" s="114"/>
      <c r="AO709" s="114"/>
      <c r="AP709" s="114"/>
      <c r="AQ709" s="114"/>
      <c r="AR709" s="114"/>
    </row>
    <row r="710" ht="12.75" spans="1:44">
      <c r="A710" s="114"/>
      <c r="B710" s="114"/>
      <c r="C710" s="114"/>
      <c r="D710" s="114" t="s">
        <v>1756</v>
      </c>
      <c r="E710" s="170" t="s">
        <v>3614</v>
      </c>
      <c r="F710" s="153">
        <v>43245</v>
      </c>
      <c r="G710" s="152">
        <f t="shared" si="13"/>
        <v>3245</v>
      </c>
      <c r="H710" s="170" t="s">
        <v>3615</v>
      </c>
      <c r="I710" s="123" t="s">
        <v>3616</v>
      </c>
      <c r="J710" s="236">
        <v>481</v>
      </c>
      <c r="K710" s="114"/>
      <c r="L710" s="114"/>
      <c r="M710" s="114"/>
      <c r="N710" s="124"/>
      <c r="O710" s="114"/>
      <c r="P710" s="124"/>
      <c r="Q710" s="114"/>
      <c r="R710" s="124"/>
      <c r="S710" s="114"/>
      <c r="T710" s="114"/>
      <c r="U710" s="114"/>
      <c r="V710" s="114"/>
      <c r="W710" s="114"/>
      <c r="X710" s="114"/>
      <c r="Y710" s="114"/>
      <c r="Z710" s="221" t="s">
        <v>3561</v>
      </c>
      <c r="AA710" s="114"/>
      <c r="AB710" s="114"/>
      <c r="AC710" s="114"/>
      <c r="AD710" s="114"/>
      <c r="AE710" s="114"/>
      <c r="AF710" s="114"/>
      <c r="AG710" s="114"/>
      <c r="AH710" s="114"/>
      <c r="AI710" s="114"/>
      <c r="AJ710" s="114"/>
      <c r="AK710" s="114"/>
      <c r="AL710" s="114"/>
      <c r="AM710" s="114"/>
      <c r="AN710" s="114"/>
      <c r="AO710" s="114"/>
      <c r="AP710" s="114"/>
      <c r="AQ710" s="114"/>
      <c r="AR710" s="114"/>
    </row>
    <row r="711" ht="12.75" spans="1:44">
      <c r="A711" s="114"/>
      <c r="B711" s="114"/>
      <c r="C711" s="114"/>
      <c r="D711" s="114" t="s">
        <v>1756</v>
      </c>
      <c r="E711" s="170" t="s">
        <v>3617</v>
      </c>
      <c r="F711" s="153">
        <v>43447</v>
      </c>
      <c r="G711" s="152">
        <f t="shared" si="13"/>
        <v>3447</v>
      </c>
      <c r="H711" s="170" t="s">
        <v>3618</v>
      </c>
      <c r="I711" s="123" t="s">
        <v>3619</v>
      </c>
      <c r="J711" s="236">
        <v>330</v>
      </c>
      <c r="K711" s="114"/>
      <c r="L711" s="114"/>
      <c r="M711" s="114"/>
      <c r="N711" s="124"/>
      <c r="O711" s="114"/>
      <c r="P711" s="124"/>
      <c r="Q711" s="114"/>
      <c r="R711" s="124"/>
      <c r="S711" s="114"/>
      <c r="T711" s="114"/>
      <c r="U711" s="114"/>
      <c r="V711" s="114"/>
      <c r="W711" s="114"/>
      <c r="X711" s="114"/>
      <c r="Y711" s="114"/>
      <c r="Z711" s="221" t="s">
        <v>3561</v>
      </c>
      <c r="AA711" s="114"/>
      <c r="AB711" s="114"/>
      <c r="AC711" s="114"/>
      <c r="AD711" s="114"/>
      <c r="AE711" s="114"/>
      <c r="AF711" s="114"/>
      <c r="AG711" s="114"/>
      <c r="AH711" s="114"/>
      <c r="AI711" s="114"/>
      <c r="AJ711" s="114"/>
      <c r="AK711" s="114"/>
      <c r="AL711" s="114"/>
      <c r="AM711" s="114"/>
      <c r="AN711" s="114"/>
      <c r="AO711" s="114"/>
      <c r="AP711" s="114"/>
      <c r="AQ711" s="114"/>
      <c r="AR711" s="114"/>
    </row>
    <row r="712" ht="12.75" spans="1:44">
      <c r="A712" s="114"/>
      <c r="B712" s="114"/>
      <c r="C712" s="114"/>
      <c r="D712" s="114" t="s">
        <v>3620</v>
      </c>
      <c r="E712" s="170" t="s">
        <v>3621</v>
      </c>
      <c r="F712" s="153">
        <v>44312</v>
      </c>
      <c r="G712" s="152">
        <f t="shared" si="13"/>
        <v>4312</v>
      </c>
      <c r="H712" s="170" t="s">
        <v>3622</v>
      </c>
      <c r="I712" s="123" t="s">
        <v>3623</v>
      </c>
      <c r="J712" s="236">
        <v>62</v>
      </c>
      <c r="K712" s="114"/>
      <c r="L712" s="114"/>
      <c r="M712" s="114"/>
      <c r="N712" s="124"/>
      <c r="O712" s="114"/>
      <c r="P712" s="124"/>
      <c r="Q712" s="114"/>
      <c r="R712" s="124"/>
      <c r="S712" s="114"/>
      <c r="T712" s="114"/>
      <c r="U712" s="114"/>
      <c r="V712" s="114"/>
      <c r="W712" s="114"/>
      <c r="X712" s="114"/>
      <c r="Y712" s="114"/>
      <c r="Z712" s="221" t="s">
        <v>3561</v>
      </c>
      <c r="AA712" s="114"/>
      <c r="AB712" s="114"/>
      <c r="AC712" s="114"/>
      <c r="AD712" s="114"/>
      <c r="AE712" s="114"/>
      <c r="AF712" s="114"/>
      <c r="AG712" s="114"/>
      <c r="AH712" s="114"/>
      <c r="AI712" s="114"/>
      <c r="AJ712" s="114"/>
      <c r="AK712" s="114"/>
      <c r="AL712" s="114"/>
      <c r="AM712" s="114"/>
      <c r="AN712" s="114"/>
      <c r="AO712" s="114"/>
      <c r="AP712" s="114"/>
      <c r="AQ712" s="114"/>
      <c r="AR712" s="114"/>
    </row>
    <row r="713" ht="12.75" spans="1:44">
      <c r="A713" s="114"/>
      <c r="B713" s="114"/>
      <c r="C713" s="114"/>
      <c r="D713" s="114" t="s">
        <v>3624</v>
      </c>
      <c r="E713" s="170" t="s">
        <v>3625</v>
      </c>
      <c r="F713" s="153">
        <v>43697</v>
      </c>
      <c r="G713" s="152">
        <f t="shared" si="13"/>
        <v>3697</v>
      </c>
      <c r="H713" s="170" t="s">
        <v>3626</v>
      </c>
      <c r="I713" s="123" t="s">
        <v>3627</v>
      </c>
      <c r="J713" s="236">
        <v>1305</v>
      </c>
      <c r="K713" s="114"/>
      <c r="L713" s="114"/>
      <c r="M713" s="114"/>
      <c r="N713" s="124"/>
      <c r="O713" s="114"/>
      <c r="P713" s="124"/>
      <c r="Q713" s="114"/>
      <c r="R713" s="124"/>
      <c r="S713" s="114"/>
      <c r="T713" s="114"/>
      <c r="U713" s="114"/>
      <c r="V713" s="114"/>
      <c r="W713" s="114"/>
      <c r="X713" s="114"/>
      <c r="Y713" s="114"/>
      <c r="Z713" s="221" t="s">
        <v>3561</v>
      </c>
      <c r="AA713" s="114"/>
      <c r="AB713" s="114"/>
      <c r="AC713" s="114"/>
      <c r="AD713" s="114"/>
      <c r="AE713" s="114"/>
      <c r="AF713" s="114"/>
      <c r="AG713" s="114"/>
      <c r="AH713" s="114"/>
      <c r="AI713" s="114"/>
      <c r="AJ713" s="114"/>
      <c r="AK713" s="114"/>
      <c r="AL713" s="114"/>
      <c r="AM713" s="114"/>
      <c r="AN713" s="114"/>
      <c r="AO713" s="114"/>
      <c r="AP713" s="114"/>
      <c r="AQ713" s="114"/>
      <c r="AR713" s="114"/>
    </row>
    <row r="714" ht="12.75" spans="1:44">
      <c r="A714" s="114"/>
      <c r="B714" s="114"/>
      <c r="C714" s="114"/>
      <c r="D714" s="114" t="s">
        <v>3628</v>
      </c>
      <c r="E714" s="170" t="s">
        <v>3629</v>
      </c>
      <c r="F714" s="153">
        <v>43203</v>
      </c>
      <c r="G714" s="152">
        <f t="shared" si="13"/>
        <v>3203</v>
      </c>
      <c r="H714" s="170" t="s">
        <v>3630</v>
      </c>
      <c r="I714" s="123" t="s">
        <v>3631</v>
      </c>
      <c r="J714" s="236">
        <v>4139</v>
      </c>
      <c r="K714" s="114"/>
      <c r="L714" s="114"/>
      <c r="M714" s="114"/>
      <c r="N714" s="124"/>
      <c r="O714" s="114"/>
      <c r="P714" s="124"/>
      <c r="Q714" s="114"/>
      <c r="R714" s="124"/>
      <c r="S714" s="114"/>
      <c r="T714" s="114"/>
      <c r="U714" s="114"/>
      <c r="V714" s="114"/>
      <c r="W714" s="114"/>
      <c r="X714" s="114"/>
      <c r="Y714" s="114"/>
      <c r="Z714" s="221" t="s">
        <v>3561</v>
      </c>
      <c r="AA714" s="114"/>
      <c r="AB714" s="114"/>
      <c r="AC714" s="114"/>
      <c r="AD714" s="114"/>
      <c r="AE714" s="114"/>
      <c r="AF714" s="114"/>
      <c r="AG714" s="114"/>
      <c r="AH714" s="114"/>
      <c r="AI714" s="114"/>
      <c r="AJ714" s="114"/>
      <c r="AK714" s="114"/>
      <c r="AL714" s="114"/>
      <c r="AM714" s="114"/>
      <c r="AN714" s="114"/>
      <c r="AO714" s="114"/>
      <c r="AP714" s="114"/>
      <c r="AQ714" s="114"/>
      <c r="AR714" s="114"/>
    </row>
    <row r="715" ht="12.75" spans="1:44">
      <c r="A715" s="114"/>
      <c r="B715" s="114"/>
      <c r="C715" s="114"/>
      <c r="D715" s="114" t="s">
        <v>3632</v>
      </c>
      <c r="E715" s="170" t="s">
        <v>3633</v>
      </c>
      <c r="F715" s="153">
        <v>43957</v>
      </c>
      <c r="G715" s="152">
        <f t="shared" si="13"/>
        <v>3957</v>
      </c>
      <c r="H715" s="170" t="s">
        <v>3634</v>
      </c>
      <c r="I715" s="123" t="s">
        <v>3635</v>
      </c>
      <c r="J715" s="236">
        <v>33</v>
      </c>
      <c r="K715" s="114"/>
      <c r="L715" s="114"/>
      <c r="M715" s="114"/>
      <c r="N715" s="124"/>
      <c r="O715" s="114"/>
      <c r="P715" s="124"/>
      <c r="Q715" s="114"/>
      <c r="R715" s="124"/>
      <c r="S715" s="114"/>
      <c r="T715" s="114"/>
      <c r="U715" s="114"/>
      <c r="V715" s="114"/>
      <c r="W715" s="114"/>
      <c r="X715" s="114"/>
      <c r="Y715" s="114"/>
      <c r="Z715" s="221" t="s">
        <v>3561</v>
      </c>
      <c r="AA715" s="114"/>
      <c r="AB715" s="114"/>
      <c r="AC715" s="114"/>
      <c r="AD715" s="114"/>
      <c r="AE715" s="114"/>
      <c r="AF715" s="114"/>
      <c r="AG715" s="114"/>
      <c r="AH715" s="114"/>
      <c r="AI715" s="114"/>
      <c r="AJ715" s="114"/>
      <c r="AK715" s="114"/>
      <c r="AL715" s="114"/>
      <c r="AM715" s="114"/>
      <c r="AN715" s="114"/>
      <c r="AO715" s="114"/>
      <c r="AP715" s="114"/>
      <c r="AQ715" s="114"/>
      <c r="AR715" s="114"/>
    </row>
    <row r="716" ht="12.75" spans="1:44">
      <c r="A716" s="114"/>
      <c r="B716" s="114"/>
      <c r="C716" s="114"/>
      <c r="D716" s="114" t="s">
        <v>3636</v>
      </c>
      <c r="E716" s="170" t="s">
        <v>3637</v>
      </c>
      <c r="F716" s="153">
        <v>43696</v>
      </c>
      <c r="G716" s="152">
        <f t="shared" si="13"/>
        <v>3696</v>
      </c>
      <c r="H716" s="170" t="s">
        <v>3638</v>
      </c>
      <c r="I716" s="123" t="s">
        <v>3639</v>
      </c>
      <c r="J716" s="236">
        <v>263</v>
      </c>
      <c r="K716" s="114"/>
      <c r="L716" s="114"/>
      <c r="M716" s="114"/>
      <c r="N716" s="124"/>
      <c r="O716" s="114"/>
      <c r="P716" s="124"/>
      <c r="Q716" s="114"/>
      <c r="R716" s="124"/>
      <c r="S716" s="114"/>
      <c r="T716" s="114"/>
      <c r="U716" s="114"/>
      <c r="V716" s="114"/>
      <c r="W716" s="114"/>
      <c r="X716" s="114"/>
      <c r="Y716" s="114"/>
      <c r="Z716" s="221" t="s">
        <v>3561</v>
      </c>
      <c r="AA716" s="114"/>
      <c r="AB716" s="114"/>
      <c r="AC716" s="114"/>
      <c r="AD716" s="114"/>
      <c r="AE716" s="114"/>
      <c r="AF716" s="114"/>
      <c r="AG716" s="114"/>
      <c r="AH716" s="114"/>
      <c r="AI716" s="114"/>
      <c r="AJ716" s="114"/>
      <c r="AK716" s="114"/>
      <c r="AL716" s="114"/>
      <c r="AM716" s="114"/>
      <c r="AN716" s="114"/>
      <c r="AO716" s="114"/>
      <c r="AP716" s="114"/>
      <c r="AQ716" s="114"/>
      <c r="AR716" s="114"/>
    </row>
    <row r="717" ht="12.75" spans="1:44">
      <c r="A717" s="114"/>
      <c r="B717" s="114"/>
      <c r="C717" s="114"/>
      <c r="D717" s="114" t="s">
        <v>1490</v>
      </c>
      <c r="E717" s="170" t="s">
        <v>3640</v>
      </c>
      <c r="F717" s="169">
        <v>42490</v>
      </c>
      <c r="G717" s="152">
        <f t="shared" si="13"/>
        <v>2490</v>
      </c>
      <c r="H717" s="170" t="s">
        <v>3641</v>
      </c>
      <c r="I717" s="123" t="s">
        <v>3642</v>
      </c>
      <c r="J717" s="236">
        <v>5690</v>
      </c>
      <c r="K717" s="114"/>
      <c r="L717" s="114"/>
      <c r="M717" s="114"/>
      <c r="N717" s="124"/>
      <c r="O717" s="114"/>
      <c r="P717" s="124"/>
      <c r="Q717" s="114"/>
      <c r="R717" s="124"/>
      <c r="S717" s="114"/>
      <c r="T717" s="114"/>
      <c r="U717" s="114"/>
      <c r="V717" s="114"/>
      <c r="W717" s="114"/>
      <c r="X717" s="114"/>
      <c r="Y717" s="114"/>
      <c r="Z717" s="221" t="s">
        <v>3561</v>
      </c>
      <c r="AA717" s="114"/>
      <c r="AB717" s="114"/>
      <c r="AC717" s="114"/>
      <c r="AD717" s="114"/>
      <c r="AE717" s="114"/>
      <c r="AF717" s="114"/>
      <c r="AG717" s="114"/>
      <c r="AH717" s="114"/>
      <c r="AI717" s="114"/>
      <c r="AJ717" s="114"/>
      <c r="AK717" s="114"/>
      <c r="AL717" s="114"/>
      <c r="AM717" s="114"/>
      <c r="AN717" s="114"/>
      <c r="AO717" s="114"/>
      <c r="AP717" s="114"/>
      <c r="AQ717" s="114"/>
      <c r="AR717" s="114"/>
    </row>
    <row r="718" ht="12.75" spans="1:44">
      <c r="A718" s="114"/>
      <c r="B718" s="114"/>
      <c r="C718" s="114"/>
      <c r="D718" s="114" t="s">
        <v>3643</v>
      </c>
      <c r="E718" s="170" t="s">
        <v>3644</v>
      </c>
      <c r="F718" s="153">
        <v>44002</v>
      </c>
      <c r="G718" s="152">
        <f t="shared" si="13"/>
        <v>4002</v>
      </c>
      <c r="H718" s="170" t="s">
        <v>3645</v>
      </c>
      <c r="I718" s="123" t="s">
        <v>3646</v>
      </c>
      <c r="J718" s="236">
        <v>291</v>
      </c>
      <c r="K718" s="114"/>
      <c r="L718" s="114"/>
      <c r="M718" s="114"/>
      <c r="N718" s="124"/>
      <c r="O718" s="114"/>
      <c r="P718" s="124"/>
      <c r="Q718" s="114"/>
      <c r="R718" s="124"/>
      <c r="S718" s="114"/>
      <c r="T718" s="114"/>
      <c r="U718" s="114"/>
      <c r="V718" s="114"/>
      <c r="W718" s="114"/>
      <c r="X718" s="114"/>
      <c r="Y718" s="114"/>
      <c r="Z718" s="221" t="s">
        <v>3561</v>
      </c>
      <c r="AA718" s="114"/>
      <c r="AB718" s="114"/>
      <c r="AC718" s="114"/>
      <c r="AD718" s="114"/>
      <c r="AE718" s="114"/>
      <c r="AF718" s="114"/>
      <c r="AG718" s="114"/>
      <c r="AH718" s="114"/>
      <c r="AI718" s="114"/>
      <c r="AJ718" s="114"/>
      <c r="AK718" s="114"/>
      <c r="AL718" s="114"/>
      <c r="AM718" s="114"/>
      <c r="AN718" s="114"/>
      <c r="AO718" s="114"/>
      <c r="AP718" s="114"/>
      <c r="AQ718" s="114"/>
      <c r="AR718" s="114"/>
    </row>
    <row r="719" ht="12.75" spans="1:44">
      <c r="A719" s="114"/>
      <c r="B719" s="114"/>
      <c r="C719" s="114"/>
      <c r="D719" s="114" t="s">
        <v>3647</v>
      </c>
      <c r="E719" s="170" t="s">
        <v>3648</v>
      </c>
      <c r="F719" s="153">
        <v>44267</v>
      </c>
      <c r="G719" s="152">
        <f t="shared" si="13"/>
        <v>4267</v>
      </c>
      <c r="H719" s="170" t="s">
        <v>3649</v>
      </c>
      <c r="I719" s="123" t="s">
        <v>3650</v>
      </c>
      <c r="J719" s="236">
        <v>24</v>
      </c>
      <c r="K719" s="114"/>
      <c r="L719" s="114"/>
      <c r="M719" s="114"/>
      <c r="N719" s="124"/>
      <c r="O719" s="114"/>
      <c r="P719" s="124"/>
      <c r="Q719" s="114"/>
      <c r="R719" s="124"/>
      <c r="S719" s="114"/>
      <c r="T719" s="114"/>
      <c r="U719" s="114"/>
      <c r="V719" s="114"/>
      <c r="W719" s="114"/>
      <c r="X719" s="114"/>
      <c r="Y719" s="114"/>
      <c r="Z719" s="221" t="s">
        <v>3561</v>
      </c>
      <c r="AA719" s="114"/>
      <c r="AB719" s="114"/>
      <c r="AC719" s="114"/>
      <c r="AD719" s="114"/>
      <c r="AE719" s="114"/>
      <c r="AF719" s="114"/>
      <c r="AG719" s="114"/>
      <c r="AH719" s="114"/>
      <c r="AI719" s="114"/>
      <c r="AJ719" s="114"/>
      <c r="AK719" s="114"/>
      <c r="AL719" s="114"/>
      <c r="AM719" s="114"/>
      <c r="AN719" s="114"/>
      <c r="AO719" s="114"/>
      <c r="AP719" s="114"/>
      <c r="AQ719" s="114"/>
      <c r="AR719" s="114"/>
    </row>
    <row r="720" ht="12.75" spans="1:44">
      <c r="A720" s="114"/>
      <c r="B720" s="114"/>
      <c r="C720" s="114"/>
      <c r="D720" s="114" t="s">
        <v>3651</v>
      </c>
      <c r="E720" s="170" t="s">
        <v>3652</v>
      </c>
      <c r="F720" s="153">
        <v>43432</v>
      </c>
      <c r="G720" s="152">
        <f t="shared" si="13"/>
        <v>3432</v>
      </c>
      <c r="H720" s="170" t="s">
        <v>3653</v>
      </c>
      <c r="I720" s="123" t="s">
        <v>3654</v>
      </c>
      <c r="J720" s="236">
        <v>646</v>
      </c>
      <c r="K720" s="114"/>
      <c r="L720" s="114"/>
      <c r="M720" s="114"/>
      <c r="N720" s="124"/>
      <c r="O720" s="114"/>
      <c r="P720" s="124"/>
      <c r="Q720" s="114"/>
      <c r="R720" s="124"/>
      <c r="S720" s="114"/>
      <c r="T720" s="114"/>
      <c r="U720" s="114"/>
      <c r="V720" s="114"/>
      <c r="W720" s="114"/>
      <c r="X720" s="114"/>
      <c r="Y720" s="114"/>
      <c r="Z720" s="221" t="s">
        <v>3561</v>
      </c>
      <c r="AA720" s="114"/>
      <c r="AB720" s="114"/>
      <c r="AC720" s="114"/>
      <c r="AD720" s="114"/>
      <c r="AE720" s="114"/>
      <c r="AF720" s="114"/>
      <c r="AG720" s="114"/>
      <c r="AH720" s="114"/>
      <c r="AI720" s="114"/>
      <c r="AJ720" s="114"/>
      <c r="AK720" s="114"/>
      <c r="AL720" s="114"/>
      <c r="AM720" s="114"/>
      <c r="AN720" s="114"/>
      <c r="AO720" s="114"/>
      <c r="AP720" s="114"/>
      <c r="AQ720" s="114"/>
      <c r="AR720" s="114"/>
    </row>
    <row r="721" ht="12.75" spans="1:44">
      <c r="A721" s="114"/>
      <c r="B721" s="114"/>
      <c r="C721" s="114"/>
      <c r="D721" s="114" t="s">
        <v>3655</v>
      </c>
      <c r="E721" s="170" t="s">
        <v>3656</v>
      </c>
      <c r="F721" s="153">
        <v>44273</v>
      </c>
      <c r="G721" s="152">
        <f t="shared" si="13"/>
        <v>4273</v>
      </c>
      <c r="H721" s="170" t="s">
        <v>3657</v>
      </c>
      <c r="I721" s="123" t="s">
        <v>3658</v>
      </c>
      <c r="J721" s="236">
        <v>308</v>
      </c>
      <c r="K721" s="114"/>
      <c r="L721" s="114"/>
      <c r="M721" s="114"/>
      <c r="N721" s="124"/>
      <c r="O721" s="114"/>
      <c r="P721" s="124"/>
      <c r="Q721" s="114"/>
      <c r="R721" s="124"/>
      <c r="S721" s="114"/>
      <c r="T721" s="114"/>
      <c r="U721" s="114"/>
      <c r="V721" s="114"/>
      <c r="W721" s="114"/>
      <c r="X721" s="114"/>
      <c r="Y721" s="114"/>
      <c r="Z721" s="221" t="s">
        <v>3561</v>
      </c>
      <c r="AA721" s="114"/>
      <c r="AB721" s="114"/>
      <c r="AC721" s="114"/>
      <c r="AD721" s="114"/>
      <c r="AE721" s="114"/>
      <c r="AF721" s="114"/>
      <c r="AG721" s="114"/>
      <c r="AH721" s="114"/>
      <c r="AI721" s="114"/>
      <c r="AJ721" s="114"/>
      <c r="AK721" s="114"/>
      <c r="AL721" s="114"/>
      <c r="AM721" s="114"/>
      <c r="AN721" s="114"/>
      <c r="AO721" s="114"/>
      <c r="AP721" s="114"/>
      <c r="AQ721" s="114"/>
      <c r="AR721" s="114"/>
    </row>
    <row r="722" ht="12.75" spans="1:44">
      <c r="A722" s="114"/>
      <c r="B722" s="114"/>
      <c r="C722" s="114"/>
      <c r="D722" s="114" t="s">
        <v>205</v>
      </c>
      <c r="E722" s="170" t="s">
        <v>3659</v>
      </c>
      <c r="F722" s="153">
        <v>41883</v>
      </c>
      <c r="G722" s="152">
        <f t="shared" si="13"/>
        <v>1883</v>
      </c>
      <c r="H722" s="170" t="s">
        <v>3660</v>
      </c>
      <c r="I722" s="123" t="s">
        <v>3661</v>
      </c>
      <c r="J722" s="236">
        <v>2779</v>
      </c>
      <c r="K722" s="114"/>
      <c r="L722" s="114"/>
      <c r="M722" s="114"/>
      <c r="N722" s="124"/>
      <c r="O722" s="114"/>
      <c r="P722" s="124"/>
      <c r="Q722" s="114"/>
      <c r="R722" s="124"/>
      <c r="S722" s="114"/>
      <c r="T722" s="114"/>
      <c r="U722" s="114"/>
      <c r="V722" s="114"/>
      <c r="W722" s="114"/>
      <c r="X722" s="114"/>
      <c r="Y722" s="114"/>
      <c r="Z722" s="221" t="s">
        <v>3561</v>
      </c>
      <c r="AA722" s="114"/>
      <c r="AB722" s="114"/>
      <c r="AC722" s="114"/>
      <c r="AD722" s="114"/>
      <c r="AE722" s="114"/>
      <c r="AF722" s="114"/>
      <c r="AG722" s="114"/>
      <c r="AH722" s="114"/>
      <c r="AI722" s="114"/>
      <c r="AJ722" s="114"/>
      <c r="AK722" s="114"/>
      <c r="AL722" s="114"/>
      <c r="AM722" s="114"/>
      <c r="AN722" s="114"/>
      <c r="AO722" s="114"/>
      <c r="AP722" s="114"/>
      <c r="AQ722" s="114"/>
      <c r="AR722" s="114"/>
    </row>
    <row r="723" ht="12.75" spans="1:44">
      <c r="A723" s="114"/>
      <c r="B723" s="114"/>
      <c r="C723" s="114"/>
      <c r="D723" s="114" t="s">
        <v>3089</v>
      </c>
      <c r="E723" s="170" t="s">
        <v>3662</v>
      </c>
      <c r="F723" s="153">
        <v>44150</v>
      </c>
      <c r="G723" s="152">
        <f t="shared" si="13"/>
        <v>4150</v>
      </c>
      <c r="H723" s="170" t="s">
        <v>3663</v>
      </c>
      <c r="I723" s="123" t="s">
        <v>3664</v>
      </c>
      <c r="J723" s="236">
        <v>165</v>
      </c>
      <c r="K723" s="114"/>
      <c r="L723" s="114"/>
      <c r="M723" s="114"/>
      <c r="N723" s="124"/>
      <c r="O723" s="114"/>
      <c r="P723" s="124"/>
      <c r="Q723" s="114"/>
      <c r="R723" s="124"/>
      <c r="S723" s="114"/>
      <c r="T723" s="114"/>
      <c r="U723" s="114"/>
      <c r="V723" s="114"/>
      <c r="W723" s="114"/>
      <c r="X723" s="114"/>
      <c r="Y723" s="114"/>
      <c r="Z723" s="221" t="s">
        <v>3561</v>
      </c>
      <c r="AA723" s="114"/>
      <c r="AB723" s="114"/>
      <c r="AC723" s="114"/>
      <c r="AD723" s="114"/>
      <c r="AE723" s="114"/>
      <c r="AF723" s="114"/>
      <c r="AG723" s="114"/>
      <c r="AH723" s="114"/>
      <c r="AI723" s="114"/>
      <c r="AJ723" s="114"/>
      <c r="AK723" s="114"/>
      <c r="AL723" s="114"/>
      <c r="AM723" s="114"/>
      <c r="AN723" s="114"/>
      <c r="AO723" s="114"/>
      <c r="AP723" s="114"/>
      <c r="AQ723" s="114"/>
      <c r="AR723" s="114"/>
    </row>
    <row r="724" ht="12.75" spans="1:44">
      <c r="A724" s="114"/>
      <c r="B724" s="114"/>
      <c r="C724" s="114"/>
      <c r="D724" s="114" t="s">
        <v>3665</v>
      </c>
      <c r="E724" s="170" t="s">
        <v>3666</v>
      </c>
      <c r="F724" s="153">
        <v>43967</v>
      </c>
      <c r="G724" s="152">
        <f t="shared" si="13"/>
        <v>3967</v>
      </c>
      <c r="H724" s="170" t="s">
        <v>3667</v>
      </c>
      <c r="I724" s="123" t="s">
        <v>3668</v>
      </c>
      <c r="J724" s="236">
        <v>430</v>
      </c>
      <c r="K724" s="114"/>
      <c r="L724" s="114"/>
      <c r="M724" s="114"/>
      <c r="N724" s="124"/>
      <c r="O724" s="114"/>
      <c r="P724" s="124"/>
      <c r="Q724" s="114"/>
      <c r="R724" s="124"/>
      <c r="S724" s="114"/>
      <c r="T724" s="114"/>
      <c r="U724" s="114"/>
      <c r="V724" s="114"/>
      <c r="W724" s="114"/>
      <c r="X724" s="114"/>
      <c r="Y724" s="114"/>
      <c r="Z724" s="164"/>
      <c r="AA724" s="114"/>
      <c r="AB724" s="114"/>
      <c r="AC724" s="114"/>
      <c r="AD724" s="114"/>
      <c r="AE724" s="114"/>
      <c r="AF724" s="114"/>
      <c r="AG724" s="114"/>
      <c r="AH724" s="114"/>
      <c r="AI724" s="114"/>
      <c r="AJ724" s="114"/>
      <c r="AK724" s="114"/>
      <c r="AL724" s="114"/>
      <c r="AM724" s="114"/>
      <c r="AN724" s="114"/>
      <c r="AO724" s="114"/>
      <c r="AP724" s="114"/>
      <c r="AQ724" s="114"/>
      <c r="AR724" s="114"/>
    </row>
    <row r="725" ht="14.25" spans="1:44">
      <c r="A725" s="114"/>
      <c r="B725" s="114"/>
      <c r="C725" s="114"/>
      <c r="D725" s="114"/>
      <c r="E725" s="226"/>
      <c r="F725" s="114"/>
      <c r="G725" s="152" t="e">
        <f t="shared" si="13"/>
        <v>#VALUE!</v>
      </c>
      <c r="H725" s="114"/>
      <c r="I725" s="114"/>
      <c r="J725" s="33"/>
      <c r="K725" s="114"/>
      <c r="L725" s="114"/>
      <c r="M725" s="114"/>
      <c r="N725" s="124"/>
      <c r="O725" s="114"/>
      <c r="P725" s="124"/>
      <c r="Q725" s="114"/>
      <c r="R725" s="124"/>
      <c r="S725" s="114"/>
      <c r="T725" s="114"/>
      <c r="U725" s="114"/>
      <c r="V725" s="114"/>
      <c r="W725" s="114"/>
      <c r="X725" s="114"/>
      <c r="Y725" s="114"/>
      <c r="Z725" s="164"/>
      <c r="AA725" s="114"/>
      <c r="AB725" s="114"/>
      <c r="AC725" s="114"/>
      <c r="AD725" s="114"/>
      <c r="AE725" s="114"/>
      <c r="AF725" s="114"/>
      <c r="AG725" s="114"/>
      <c r="AH725" s="114"/>
      <c r="AI725" s="114"/>
      <c r="AJ725" s="114"/>
      <c r="AK725" s="114"/>
      <c r="AL725" s="114"/>
      <c r="AM725" s="114"/>
      <c r="AN725" s="114"/>
      <c r="AO725" s="114"/>
      <c r="AP725" s="114"/>
      <c r="AQ725" s="114"/>
      <c r="AR725" s="114"/>
    </row>
    <row r="726" ht="14.25" spans="1:44">
      <c r="A726" s="114" t="s">
        <v>3257</v>
      </c>
      <c r="B726" s="221" t="s">
        <v>3669</v>
      </c>
      <c r="D726" s="114"/>
      <c r="E726" s="226"/>
      <c r="F726" s="264"/>
      <c r="G726" s="265" t="e">
        <f t="shared" si="13"/>
        <v>#VALUE!</v>
      </c>
      <c r="H726" s="123" t="s">
        <v>3670</v>
      </c>
      <c r="I726" s="114"/>
      <c r="J726" s="33">
        <v>107</v>
      </c>
      <c r="K726" s="114"/>
      <c r="L726" s="114"/>
      <c r="M726" s="114"/>
      <c r="N726" s="124"/>
      <c r="O726" s="114"/>
      <c r="P726" s="124"/>
      <c r="Q726" s="114"/>
      <c r="R726" s="124"/>
      <c r="S726" s="114"/>
      <c r="T726" s="114"/>
      <c r="U726" s="114"/>
      <c r="V726" s="114"/>
      <c r="W726" s="114"/>
      <c r="X726" s="114"/>
      <c r="Y726" s="114"/>
      <c r="Z726" s="164"/>
      <c r="AA726" s="114"/>
      <c r="AB726" s="114"/>
      <c r="AC726" s="114"/>
      <c r="AD726" s="114"/>
      <c r="AE726" s="114"/>
      <c r="AF726" s="114"/>
      <c r="AG726" s="114"/>
      <c r="AH726" s="114"/>
      <c r="AI726" s="114"/>
      <c r="AJ726" s="114"/>
      <c r="AK726" s="114"/>
      <c r="AL726" s="114"/>
      <c r="AM726" s="114"/>
      <c r="AN726" s="114"/>
      <c r="AO726" s="114"/>
      <c r="AP726" s="114"/>
      <c r="AQ726" s="114"/>
      <c r="AR726" s="114"/>
    </row>
    <row r="727" ht="14.25" spans="1:44">
      <c r="A727" s="114"/>
      <c r="B727" s="114"/>
      <c r="C727" s="114"/>
      <c r="D727" s="114"/>
      <c r="E727" s="226"/>
      <c r="F727" s="114"/>
      <c r="G727" s="152" t="e">
        <f t="shared" si="13"/>
        <v>#VALUE!</v>
      </c>
      <c r="H727" s="114"/>
      <c r="I727" s="114"/>
      <c r="J727" s="33"/>
      <c r="K727" s="114"/>
      <c r="L727" s="114"/>
      <c r="M727" s="114"/>
      <c r="N727" s="124"/>
      <c r="O727" s="114"/>
      <c r="P727" s="124"/>
      <c r="Q727" s="114"/>
      <c r="R727" s="124"/>
      <c r="S727" s="114"/>
      <c r="T727" s="114"/>
      <c r="U727" s="114"/>
      <c r="V727" s="114"/>
      <c r="W727" s="114"/>
      <c r="X727" s="114"/>
      <c r="Y727" s="114"/>
      <c r="Z727" s="164"/>
      <c r="AA727" s="114"/>
      <c r="AB727" s="114"/>
      <c r="AC727" s="114"/>
      <c r="AD727" s="114"/>
      <c r="AE727" s="114"/>
      <c r="AF727" s="114"/>
      <c r="AG727" s="114"/>
      <c r="AH727" s="114"/>
      <c r="AI727" s="114"/>
      <c r="AJ727" s="114"/>
      <c r="AK727" s="114"/>
      <c r="AL727" s="114"/>
      <c r="AM727" s="114"/>
      <c r="AN727" s="114"/>
      <c r="AO727" s="114"/>
      <c r="AP727" s="114"/>
      <c r="AQ727" s="114"/>
      <c r="AR727" s="114"/>
    </row>
    <row r="728" ht="12.75" spans="1:44">
      <c r="A728" s="114"/>
      <c r="B728" s="114"/>
      <c r="C728" s="114"/>
      <c r="D728" s="114" t="s">
        <v>3671</v>
      </c>
      <c r="E728" s="170" t="s">
        <v>3672</v>
      </c>
      <c r="F728" s="153">
        <v>43623</v>
      </c>
      <c r="G728" s="152">
        <f t="shared" si="13"/>
        <v>3623</v>
      </c>
      <c r="H728" s="170" t="s">
        <v>3673</v>
      </c>
      <c r="I728" s="123" t="s">
        <v>3674</v>
      </c>
      <c r="J728" s="236">
        <v>274</v>
      </c>
      <c r="K728" s="114"/>
      <c r="L728" s="114"/>
      <c r="M728" s="114"/>
      <c r="N728" s="124"/>
      <c r="O728" s="114"/>
      <c r="P728" s="124"/>
      <c r="Q728" s="114"/>
      <c r="R728" s="124"/>
      <c r="S728" s="114"/>
      <c r="T728" s="114"/>
      <c r="U728" s="114"/>
      <c r="V728" s="114"/>
      <c r="W728" s="114"/>
      <c r="X728" s="114"/>
      <c r="Y728" s="114"/>
      <c r="Z728" s="221" t="s">
        <v>3669</v>
      </c>
      <c r="AA728" s="114"/>
      <c r="AB728" s="114"/>
      <c r="AC728" s="114"/>
      <c r="AD728" s="114"/>
      <c r="AE728" s="114"/>
      <c r="AF728" s="114"/>
      <c r="AG728" s="114"/>
      <c r="AH728" s="114"/>
      <c r="AI728" s="114"/>
      <c r="AJ728" s="114"/>
      <c r="AK728" s="114"/>
      <c r="AL728" s="114"/>
      <c r="AM728" s="114"/>
      <c r="AN728" s="114"/>
      <c r="AO728" s="114"/>
      <c r="AP728" s="114"/>
      <c r="AQ728" s="114"/>
      <c r="AR728" s="114"/>
    </row>
    <row r="729" ht="12.75" spans="1:44">
      <c r="A729" s="114" t="s">
        <v>1615</v>
      </c>
      <c r="B729" s="114" t="s">
        <v>199</v>
      </c>
      <c r="C729" s="114" t="s">
        <v>1616</v>
      </c>
      <c r="D729" s="114" t="s">
        <v>1617</v>
      </c>
      <c r="E729" s="170" t="s">
        <v>1618</v>
      </c>
      <c r="F729" s="153">
        <v>41613</v>
      </c>
      <c r="G729" s="152">
        <f t="shared" si="13"/>
        <v>1613</v>
      </c>
      <c r="H729" s="170" t="s">
        <v>1619</v>
      </c>
      <c r="I729" s="123" t="s">
        <v>4452</v>
      </c>
      <c r="J729" s="236">
        <v>4002</v>
      </c>
      <c r="K729" s="114"/>
      <c r="L729" s="114"/>
      <c r="M729" s="114"/>
      <c r="N729" s="124"/>
      <c r="O729" s="114">
        <f>8*8*3600*5820000000000</f>
        <v>1.340928e+18</v>
      </c>
      <c r="P729" s="124"/>
      <c r="Q729" s="114"/>
      <c r="R729" s="124"/>
      <c r="S729" s="114"/>
      <c r="T729" s="114"/>
      <c r="U729" s="114"/>
      <c r="V729" s="114"/>
      <c r="W729" s="114"/>
      <c r="X729" s="114"/>
      <c r="Y729" s="114"/>
      <c r="Z729" s="221" t="s">
        <v>3669</v>
      </c>
      <c r="AA729" s="114"/>
      <c r="AB729" s="114"/>
      <c r="AC729" s="114"/>
      <c r="AD729" s="114"/>
      <c r="AE729" s="114"/>
      <c r="AF729" s="114"/>
      <c r="AG729" s="114"/>
      <c r="AH729" s="114"/>
      <c r="AI729" s="114"/>
      <c r="AJ729" s="114"/>
      <c r="AK729" s="114"/>
      <c r="AL729" s="114"/>
      <c r="AM729" s="114"/>
      <c r="AN729" s="114"/>
      <c r="AO729" s="114"/>
      <c r="AP729" s="114"/>
      <c r="AQ729" s="114"/>
      <c r="AR729" s="114"/>
    </row>
    <row r="730" ht="12.75" spans="1:44">
      <c r="A730" s="114"/>
      <c r="B730" s="114"/>
      <c r="C730" s="114"/>
      <c r="D730" s="114" t="s">
        <v>3675</v>
      </c>
      <c r="E730" s="170" t="s">
        <v>3676</v>
      </c>
      <c r="F730" s="153">
        <v>42736</v>
      </c>
      <c r="G730" s="152">
        <f t="shared" si="13"/>
        <v>2736</v>
      </c>
      <c r="H730" s="170" t="s">
        <v>3677</v>
      </c>
      <c r="I730" s="123" t="s">
        <v>3678</v>
      </c>
      <c r="J730" s="236">
        <v>79</v>
      </c>
      <c r="K730" s="114"/>
      <c r="L730" s="114"/>
      <c r="M730" s="114"/>
      <c r="N730" s="124"/>
      <c r="O730" s="114"/>
      <c r="P730" s="124"/>
      <c r="Q730" s="114"/>
      <c r="R730" s="124"/>
      <c r="S730" s="114"/>
      <c r="T730" s="114"/>
      <c r="U730" s="114"/>
      <c r="V730" s="114"/>
      <c r="W730" s="114"/>
      <c r="X730" s="114"/>
      <c r="Y730" s="114"/>
      <c r="Z730" s="221" t="s">
        <v>3669</v>
      </c>
      <c r="AA730" s="114"/>
      <c r="AB730" s="114"/>
      <c r="AC730" s="114"/>
      <c r="AD730" s="114"/>
      <c r="AE730" s="114"/>
      <c r="AF730" s="114"/>
      <c r="AG730" s="114"/>
      <c r="AH730" s="114"/>
      <c r="AI730" s="114"/>
      <c r="AJ730" s="114"/>
      <c r="AK730" s="114"/>
      <c r="AL730" s="114"/>
      <c r="AM730" s="114"/>
      <c r="AN730" s="114"/>
      <c r="AO730" s="114"/>
      <c r="AP730" s="114"/>
      <c r="AQ730" s="114"/>
      <c r="AR730" s="114"/>
    </row>
    <row r="731" ht="12.75" spans="1:44">
      <c r="A731" s="114"/>
      <c r="B731" s="114"/>
      <c r="C731" s="114"/>
      <c r="D731" s="114" t="s">
        <v>1404</v>
      </c>
      <c r="E731" s="170" t="s">
        <v>3679</v>
      </c>
      <c r="F731" s="153">
        <v>43294</v>
      </c>
      <c r="G731" s="152">
        <f t="shared" si="13"/>
        <v>3294</v>
      </c>
      <c r="H731" s="170" t="s">
        <v>3680</v>
      </c>
      <c r="I731" s="123" t="s">
        <v>3681</v>
      </c>
      <c r="J731" s="236">
        <v>105</v>
      </c>
      <c r="K731" s="114"/>
      <c r="L731" s="114"/>
      <c r="M731" s="114"/>
      <c r="N731" s="124"/>
      <c r="O731" s="114"/>
      <c r="P731" s="124"/>
      <c r="Q731" s="114"/>
      <c r="R731" s="124"/>
      <c r="S731" s="114"/>
      <c r="T731" s="114"/>
      <c r="U731" s="114"/>
      <c r="V731" s="114"/>
      <c r="W731" s="114"/>
      <c r="X731" s="114"/>
      <c r="Y731" s="114"/>
      <c r="Z731" s="221" t="s">
        <v>3669</v>
      </c>
      <c r="AA731" s="114"/>
      <c r="AB731" s="114"/>
      <c r="AC731" s="114"/>
      <c r="AD731" s="114"/>
      <c r="AE731" s="114"/>
      <c r="AF731" s="114"/>
      <c r="AG731" s="114"/>
      <c r="AH731" s="114"/>
      <c r="AI731" s="114"/>
      <c r="AJ731" s="114"/>
      <c r="AK731" s="114"/>
      <c r="AL731" s="114"/>
      <c r="AM731" s="114"/>
      <c r="AN731" s="114"/>
      <c r="AO731" s="114"/>
      <c r="AP731" s="114"/>
      <c r="AQ731" s="114"/>
      <c r="AR731" s="114"/>
    </row>
    <row r="732" ht="12.75" spans="1:44">
      <c r="A732" s="114"/>
      <c r="B732" s="114"/>
      <c r="C732" s="114"/>
      <c r="D732" s="114" t="s">
        <v>1404</v>
      </c>
      <c r="E732" s="170" t="s">
        <v>3682</v>
      </c>
      <c r="F732" s="153">
        <v>43046</v>
      </c>
      <c r="G732" s="152">
        <f t="shared" si="13"/>
        <v>3046</v>
      </c>
      <c r="H732" s="170" t="s">
        <v>3683</v>
      </c>
      <c r="I732" s="123" t="s">
        <v>3684</v>
      </c>
      <c r="J732" s="236">
        <v>340</v>
      </c>
      <c r="K732" s="114"/>
      <c r="L732" s="114"/>
      <c r="M732" s="114"/>
      <c r="N732" s="124"/>
      <c r="O732" s="114"/>
      <c r="P732" s="124"/>
      <c r="Q732" s="114"/>
      <c r="R732" s="124"/>
      <c r="S732" s="114"/>
      <c r="T732" s="114"/>
      <c r="U732" s="114"/>
      <c r="V732" s="114"/>
      <c r="W732" s="114"/>
      <c r="X732" s="114"/>
      <c r="Y732" s="114"/>
      <c r="Z732" s="221" t="s">
        <v>3669</v>
      </c>
      <c r="AA732" s="114"/>
      <c r="AB732" s="114"/>
      <c r="AC732" s="114"/>
      <c r="AD732" s="114"/>
      <c r="AE732" s="114"/>
      <c r="AF732" s="114"/>
      <c r="AG732" s="114"/>
      <c r="AH732" s="114"/>
      <c r="AI732" s="114"/>
      <c r="AJ732" s="114"/>
      <c r="AK732" s="114"/>
      <c r="AL732" s="114"/>
      <c r="AM732" s="114"/>
      <c r="AN732" s="114"/>
      <c r="AO732" s="114"/>
      <c r="AP732" s="114"/>
      <c r="AQ732" s="114"/>
      <c r="AR732" s="114"/>
    </row>
    <row r="733" ht="12.75" spans="1:44">
      <c r="A733" s="114"/>
      <c r="B733" s="114"/>
      <c r="C733" s="114"/>
      <c r="D733" s="114" t="s">
        <v>3685</v>
      </c>
      <c r="E733" s="170" t="s">
        <v>3686</v>
      </c>
      <c r="F733" s="153">
        <v>43627</v>
      </c>
      <c r="G733" s="152">
        <f t="shared" si="13"/>
        <v>3627</v>
      </c>
      <c r="H733" s="170" t="s">
        <v>3687</v>
      </c>
      <c r="I733" s="123" t="s">
        <v>3688</v>
      </c>
      <c r="J733" s="236" t="s">
        <v>3213</v>
      </c>
      <c r="K733" s="114"/>
      <c r="L733" s="114"/>
      <c r="M733" s="114"/>
      <c r="N733" s="124"/>
      <c r="O733" s="114"/>
      <c r="P733" s="124"/>
      <c r="Q733" s="114"/>
      <c r="R733" s="124"/>
      <c r="S733" s="114"/>
      <c r="T733" s="114"/>
      <c r="U733" s="114"/>
      <c r="V733" s="114"/>
      <c r="W733" s="114"/>
      <c r="X733" s="114"/>
      <c r="Y733" s="114"/>
      <c r="Z733" s="221" t="s">
        <v>3669</v>
      </c>
      <c r="AA733" s="114"/>
      <c r="AB733" s="114"/>
      <c r="AC733" s="114"/>
      <c r="AD733" s="114"/>
      <c r="AE733" s="114"/>
      <c r="AF733" s="114"/>
      <c r="AG733" s="114"/>
      <c r="AH733" s="114"/>
      <c r="AI733" s="114"/>
      <c r="AJ733" s="114"/>
      <c r="AK733" s="114"/>
      <c r="AL733" s="114"/>
      <c r="AM733" s="114"/>
      <c r="AN733" s="114"/>
      <c r="AO733" s="114"/>
      <c r="AP733" s="114"/>
      <c r="AQ733" s="114"/>
      <c r="AR733" s="114"/>
    </row>
    <row r="734" ht="12.75" spans="1:44">
      <c r="A734" s="114"/>
      <c r="B734" s="114"/>
      <c r="C734" s="114"/>
      <c r="D734" s="114" t="s">
        <v>3689</v>
      </c>
      <c r="E734" s="170" t="s">
        <v>3690</v>
      </c>
      <c r="F734" s="154">
        <v>42947</v>
      </c>
      <c r="G734" s="152">
        <f t="shared" si="13"/>
        <v>2947</v>
      </c>
      <c r="H734" s="170" t="s">
        <v>3691</v>
      </c>
      <c r="I734" s="123" t="s">
        <v>3692</v>
      </c>
      <c r="J734" s="236">
        <v>230</v>
      </c>
      <c r="K734" s="114"/>
      <c r="L734" s="114"/>
      <c r="M734" s="114"/>
      <c r="N734" s="124"/>
      <c r="O734" s="114"/>
      <c r="P734" s="124"/>
      <c r="Q734" s="114"/>
      <c r="R734" s="124"/>
      <c r="S734" s="114"/>
      <c r="T734" s="114"/>
      <c r="U734" s="114"/>
      <c r="V734" s="114"/>
      <c r="W734" s="114"/>
      <c r="X734" s="114"/>
      <c r="Y734" s="114"/>
      <c r="Z734" s="221" t="s">
        <v>3669</v>
      </c>
      <c r="AA734" s="114"/>
      <c r="AB734" s="114"/>
      <c r="AC734" s="114"/>
      <c r="AD734" s="114"/>
      <c r="AE734" s="114"/>
      <c r="AF734" s="114"/>
      <c r="AG734" s="114"/>
      <c r="AH734" s="114"/>
      <c r="AI734" s="114"/>
      <c r="AJ734" s="114"/>
      <c r="AK734" s="114"/>
      <c r="AL734" s="114"/>
      <c r="AM734" s="114"/>
      <c r="AN734" s="114"/>
      <c r="AO734" s="114"/>
      <c r="AP734" s="114"/>
      <c r="AQ734" s="114"/>
      <c r="AR734" s="114"/>
    </row>
    <row r="735" ht="12.75" spans="1:44">
      <c r="A735" s="114"/>
      <c r="B735" s="114"/>
      <c r="C735" s="114"/>
      <c r="D735" s="114" t="s">
        <v>3693</v>
      </c>
      <c r="E735" s="170"/>
      <c r="F735" s="153">
        <v>44020</v>
      </c>
      <c r="G735" s="152">
        <f t="shared" si="13"/>
        <v>4020</v>
      </c>
      <c r="H735" s="170" t="s">
        <v>3694</v>
      </c>
      <c r="I735" s="123" t="s">
        <v>3695</v>
      </c>
      <c r="J735" s="236">
        <v>604</v>
      </c>
      <c r="K735" s="114"/>
      <c r="L735" s="114"/>
      <c r="M735" s="114"/>
      <c r="N735" s="124"/>
      <c r="O735" s="114"/>
      <c r="P735" s="124"/>
      <c r="Q735" s="114"/>
      <c r="R735" s="124"/>
      <c r="S735" s="114"/>
      <c r="T735" s="114"/>
      <c r="U735" s="114"/>
      <c r="V735" s="114"/>
      <c r="W735" s="114"/>
      <c r="X735" s="114"/>
      <c r="Y735" s="114"/>
      <c r="Z735" s="221" t="s">
        <v>3669</v>
      </c>
      <c r="AA735" s="114"/>
      <c r="AB735" s="114"/>
      <c r="AC735" s="114"/>
      <c r="AD735" s="114"/>
      <c r="AE735" s="114"/>
      <c r="AF735" s="114"/>
      <c r="AG735" s="114"/>
      <c r="AH735" s="114"/>
      <c r="AI735" s="114"/>
      <c r="AJ735" s="114"/>
      <c r="AK735" s="114"/>
      <c r="AL735" s="114"/>
      <c r="AM735" s="114"/>
      <c r="AN735" s="114"/>
      <c r="AO735" s="114"/>
      <c r="AP735" s="114"/>
      <c r="AQ735" s="114"/>
      <c r="AR735" s="114"/>
    </row>
    <row r="736" ht="12.75" spans="1:44">
      <c r="A736" s="114"/>
      <c r="B736" s="114"/>
      <c r="C736" s="114"/>
      <c r="D736" s="114" t="s">
        <v>3696</v>
      </c>
      <c r="E736" s="170" t="s">
        <v>3697</v>
      </c>
      <c r="F736" s="153">
        <v>43848</v>
      </c>
      <c r="G736" s="152">
        <f t="shared" si="13"/>
        <v>3848</v>
      </c>
      <c r="H736" s="170" t="s">
        <v>3698</v>
      </c>
      <c r="I736" s="123" t="s">
        <v>3699</v>
      </c>
      <c r="J736" s="236">
        <v>696</v>
      </c>
      <c r="K736" s="114"/>
      <c r="L736" s="114"/>
      <c r="M736" s="114"/>
      <c r="N736" s="124"/>
      <c r="O736" s="114"/>
      <c r="P736" s="124"/>
      <c r="Q736" s="114"/>
      <c r="R736" s="124"/>
      <c r="S736" s="114"/>
      <c r="T736" s="114"/>
      <c r="U736" s="114"/>
      <c r="V736" s="114"/>
      <c r="W736" s="114"/>
      <c r="X736" s="114"/>
      <c r="Y736" s="114"/>
      <c r="Z736" s="221" t="s">
        <v>3669</v>
      </c>
      <c r="AA736" s="114"/>
      <c r="AB736" s="114"/>
      <c r="AC736" s="114"/>
      <c r="AD736" s="114"/>
      <c r="AE736" s="114"/>
      <c r="AF736" s="114"/>
      <c r="AG736" s="114"/>
      <c r="AH736" s="114"/>
      <c r="AI736" s="114"/>
      <c r="AJ736" s="114"/>
      <c r="AK736" s="114"/>
      <c r="AL736" s="114"/>
      <c r="AM736" s="114"/>
      <c r="AN736" s="114"/>
      <c r="AO736" s="114"/>
      <c r="AP736" s="114"/>
      <c r="AQ736" s="114"/>
      <c r="AR736" s="114"/>
    </row>
    <row r="737" ht="12.75" spans="1:44">
      <c r="A737" s="114" t="s">
        <v>603</v>
      </c>
      <c r="B737" s="114" t="s">
        <v>51</v>
      </c>
      <c r="C737" s="114"/>
      <c r="D737" s="114" t="s">
        <v>604</v>
      </c>
      <c r="E737" s="170" t="s">
        <v>605</v>
      </c>
      <c r="F737" s="153">
        <v>43870</v>
      </c>
      <c r="G737" s="152">
        <f t="shared" si="13"/>
        <v>3870</v>
      </c>
      <c r="H737" s="170" t="s">
        <v>606</v>
      </c>
      <c r="I737" s="123" t="s">
        <v>4453</v>
      </c>
      <c r="J737" s="236">
        <v>2176</v>
      </c>
      <c r="K737" s="114"/>
      <c r="L737" s="114" t="s">
        <v>454</v>
      </c>
      <c r="M737" s="114"/>
      <c r="N737" s="124">
        <f>235*10^6</f>
        <v>235000000</v>
      </c>
      <c r="O737" s="114">
        <f>34*3600*512*0.33*123000000000000</f>
        <v>2.543726592e+21</v>
      </c>
      <c r="P737" s="124"/>
      <c r="Q737" s="114"/>
      <c r="R737" s="124"/>
      <c r="S737" s="114">
        <f>34*512</f>
        <v>17408</v>
      </c>
      <c r="T737" s="114"/>
      <c r="U737" s="114"/>
      <c r="V737" s="114"/>
      <c r="W737" s="114"/>
      <c r="X737" s="114"/>
      <c r="Y737" s="114"/>
      <c r="Z737" s="221" t="s">
        <v>3669</v>
      </c>
      <c r="AA737" s="114"/>
      <c r="AB737" s="114"/>
      <c r="AC737" s="114"/>
      <c r="AD737" s="114"/>
      <c r="AE737" s="114"/>
      <c r="AF737" s="114"/>
      <c r="AG737" s="114"/>
      <c r="AH737" s="114"/>
      <c r="AI737" s="114"/>
      <c r="AJ737" s="114"/>
      <c r="AK737" s="114"/>
      <c r="AL737" s="114"/>
      <c r="AM737" s="114"/>
      <c r="AN737" s="114"/>
      <c r="AO737" s="114"/>
      <c r="AP737" s="114"/>
      <c r="AQ737" s="114"/>
      <c r="AR737" s="114"/>
    </row>
    <row r="738" ht="12.75" spans="1:44">
      <c r="A738" s="114" t="s">
        <v>1265</v>
      </c>
      <c r="B738" s="114" t="s">
        <v>51</v>
      </c>
      <c r="C738" s="114" t="s">
        <v>1266</v>
      </c>
      <c r="D738" s="114" t="s">
        <v>1267</v>
      </c>
      <c r="E738" s="170" t="s">
        <v>1268</v>
      </c>
      <c r="F738" s="153">
        <v>42572</v>
      </c>
      <c r="G738" s="152">
        <f t="shared" si="13"/>
        <v>2572</v>
      </c>
      <c r="H738" s="170" t="s">
        <v>1269</v>
      </c>
      <c r="I738" s="123" t="s">
        <v>4454</v>
      </c>
      <c r="J738" s="236">
        <v>4125</v>
      </c>
      <c r="K738" s="114"/>
      <c r="L738" s="114" t="s">
        <v>454</v>
      </c>
      <c r="M738" s="114"/>
      <c r="N738" s="124"/>
      <c r="O738" s="114">
        <f>12*3600*10200000000000*0.33</f>
        <v>1.454112e+17</v>
      </c>
      <c r="P738" s="124"/>
      <c r="Q738" s="114"/>
      <c r="R738" s="124"/>
      <c r="S738" s="114">
        <v>12</v>
      </c>
      <c r="T738" s="114"/>
      <c r="U738" s="114"/>
      <c r="V738" s="114"/>
      <c r="W738" s="114"/>
      <c r="X738" s="114"/>
      <c r="Y738" s="114"/>
      <c r="Z738" s="221" t="s">
        <v>3669</v>
      </c>
      <c r="AA738" s="114"/>
      <c r="AB738" s="114"/>
      <c r="AC738" s="114"/>
      <c r="AD738" s="114"/>
      <c r="AE738" s="114"/>
      <c r="AF738" s="114"/>
      <c r="AG738" s="114"/>
      <c r="AH738" s="114"/>
      <c r="AI738" s="114"/>
      <c r="AJ738" s="114"/>
      <c r="AK738" s="114"/>
      <c r="AL738" s="114"/>
      <c r="AM738" s="114"/>
      <c r="AN738" s="114"/>
      <c r="AO738" s="114"/>
      <c r="AP738" s="114"/>
      <c r="AQ738" s="114"/>
      <c r="AR738" s="114"/>
    </row>
    <row r="739" ht="12.75" spans="1:44">
      <c r="A739" s="114" t="s">
        <v>1271</v>
      </c>
      <c r="B739" s="114" t="s">
        <v>51</v>
      </c>
      <c r="C739" s="114" t="s">
        <v>1271</v>
      </c>
      <c r="D739" s="114" t="s">
        <v>1267</v>
      </c>
      <c r="E739" s="170" t="s">
        <v>1268</v>
      </c>
      <c r="F739" s="266">
        <v>42572</v>
      </c>
      <c r="G739" s="152">
        <f t="shared" si="13"/>
        <v>2572</v>
      </c>
      <c r="H739" s="170" t="s">
        <v>1269</v>
      </c>
      <c r="I739" s="123" t="s">
        <v>4454</v>
      </c>
      <c r="J739" s="236">
        <v>4125</v>
      </c>
      <c r="K739" s="114"/>
      <c r="L739" s="114" t="s">
        <v>454</v>
      </c>
      <c r="M739" s="114"/>
      <c r="N739" s="124"/>
      <c r="O739" s="114">
        <f>8*3600*10200000000000*0.33</f>
        <v>9.69408e+16</v>
      </c>
      <c r="P739" s="124"/>
      <c r="Q739" s="114"/>
      <c r="R739" s="124"/>
      <c r="S739" s="114">
        <v>8</v>
      </c>
      <c r="T739" s="114"/>
      <c r="U739" s="114"/>
      <c r="V739" s="114"/>
      <c r="W739" s="114"/>
      <c r="X739" s="114"/>
      <c r="Y739" s="114"/>
      <c r="Z739" s="221" t="s">
        <v>3669</v>
      </c>
      <c r="AA739" s="114"/>
      <c r="AB739" s="114"/>
      <c r="AC739" s="114"/>
      <c r="AD739" s="114"/>
      <c r="AE739" s="114"/>
      <c r="AF739" s="114"/>
      <c r="AG739" s="114"/>
      <c r="AH739" s="114"/>
      <c r="AI739" s="114"/>
      <c r="AJ739" s="114"/>
      <c r="AK739" s="114"/>
      <c r="AL739" s="114"/>
      <c r="AM739" s="114"/>
      <c r="AN739" s="114"/>
      <c r="AO739" s="114"/>
      <c r="AP739" s="114"/>
      <c r="AQ739" s="114"/>
      <c r="AR739" s="114"/>
    </row>
    <row r="740" ht="12.75" spans="1:44">
      <c r="A740" s="114"/>
      <c r="B740" s="114"/>
      <c r="C740" s="114"/>
      <c r="D740" s="170" t="s">
        <v>3700</v>
      </c>
      <c r="E740" s="170" t="s">
        <v>3701</v>
      </c>
      <c r="F740" s="167">
        <v>43770</v>
      </c>
      <c r="G740" s="152">
        <f t="shared" si="13"/>
        <v>3770</v>
      </c>
      <c r="H740" s="170" t="s">
        <v>3702</v>
      </c>
      <c r="I740" s="123" t="s">
        <v>4455</v>
      </c>
      <c r="J740" s="236">
        <v>7</v>
      </c>
      <c r="K740" s="114"/>
      <c r="L740" s="114"/>
      <c r="M740" s="114"/>
      <c r="N740" s="124"/>
      <c r="O740" s="114"/>
      <c r="P740" s="124"/>
      <c r="Q740" s="114"/>
      <c r="R740" s="124"/>
      <c r="S740" s="114"/>
      <c r="T740" s="114"/>
      <c r="U740" s="114"/>
      <c r="V740" s="114"/>
      <c r="W740" s="114"/>
      <c r="X740" s="114"/>
      <c r="Y740" s="114"/>
      <c r="Z740" s="221" t="s">
        <v>3669</v>
      </c>
      <c r="AA740" s="114"/>
      <c r="AB740" s="114"/>
      <c r="AC740" s="114"/>
      <c r="AD740" s="114"/>
      <c r="AE740" s="114"/>
      <c r="AF740" s="114"/>
      <c r="AG740" s="114"/>
      <c r="AH740" s="114"/>
      <c r="AI740" s="114"/>
      <c r="AJ740" s="114"/>
      <c r="AK740" s="114"/>
      <c r="AL740" s="114"/>
      <c r="AM740" s="114"/>
      <c r="AN740" s="114"/>
      <c r="AO740" s="114"/>
      <c r="AP740" s="114"/>
      <c r="AQ740" s="114"/>
      <c r="AR740" s="114"/>
    </row>
    <row r="741" ht="12.75" spans="1:44">
      <c r="A741" s="114"/>
      <c r="B741" s="114"/>
      <c r="C741" s="114"/>
      <c r="D741" s="114" t="s">
        <v>3671</v>
      </c>
      <c r="E741" s="170" t="s">
        <v>3704</v>
      </c>
      <c r="F741" s="169">
        <v>43841</v>
      </c>
      <c r="G741" s="152">
        <f t="shared" si="13"/>
        <v>3841</v>
      </c>
      <c r="H741" s="170" t="s">
        <v>3705</v>
      </c>
      <c r="I741" s="123" t="s">
        <v>3706</v>
      </c>
      <c r="J741" s="236">
        <v>11</v>
      </c>
      <c r="K741" s="114"/>
      <c r="L741" s="114"/>
      <c r="M741" s="114"/>
      <c r="N741" s="124"/>
      <c r="O741" s="114"/>
      <c r="P741" s="124"/>
      <c r="Q741" s="114"/>
      <c r="R741" s="124"/>
      <c r="S741" s="114"/>
      <c r="T741" s="114"/>
      <c r="U741" s="114"/>
      <c r="V741" s="114"/>
      <c r="W741" s="114"/>
      <c r="X741" s="114"/>
      <c r="Y741" s="114"/>
      <c r="Z741" s="221" t="s">
        <v>3669</v>
      </c>
      <c r="AA741" s="114"/>
      <c r="AB741" s="114"/>
      <c r="AC741" s="114"/>
      <c r="AD741" s="114"/>
      <c r="AE741" s="114"/>
      <c r="AF741" s="114"/>
      <c r="AG741" s="114"/>
      <c r="AH741" s="114"/>
      <c r="AI741" s="114"/>
      <c r="AJ741" s="114"/>
      <c r="AK741" s="114"/>
      <c r="AL741" s="114"/>
      <c r="AM741" s="114"/>
      <c r="AN741" s="114"/>
      <c r="AO741" s="114"/>
      <c r="AP741" s="114"/>
      <c r="AQ741" s="114"/>
      <c r="AR741" s="114"/>
    </row>
    <row r="742" ht="12.75" spans="1:44">
      <c r="A742" s="114"/>
      <c r="B742" s="114"/>
      <c r="C742" s="114"/>
      <c r="D742" s="114" t="s">
        <v>3707</v>
      </c>
      <c r="E742" s="170" t="s">
        <v>3708</v>
      </c>
      <c r="F742" s="153">
        <v>43770</v>
      </c>
      <c r="G742" s="152">
        <f t="shared" si="13"/>
        <v>3770</v>
      </c>
      <c r="H742" s="170" t="s">
        <v>3709</v>
      </c>
      <c r="I742" s="259" t="s">
        <v>3710</v>
      </c>
      <c r="J742" s="236">
        <v>6</v>
      </c>
      <c r="K742" s="114"/>
      <c r="L742" s="114"/>
      <c r="M742" s="114"/>
      <c r="N742" s="124"/>
      <c r="O742" s="114"/>
      <c r="P742" s="124"/>
      <c r="Q742" s="114"/>
      <c r="R742" s="124"/>
      <c r="S742" s="114"/>
      <c r="T742" s="114"/>
      <c r="U742" s="114"/>
      <c r="V742" s="114"/>
      <c r="W742" s="114"/>
      <c r="X742" s="114"/>
      <c r="Y742" s="114"/>
      <c r="Z742" s="221" t="s">
        <v>3669</v>
      </c>
      <c r="AA742" s="114"/>
      <c r="AB742" s="114"/>
      <c r="AC742" s="114"/>
      <c r="AD742" s="114"/>
      <c r="AE742" s="114"/>
      <c r="AF742" s="114"/>
      <c r="AG742" s="114"/>
      <c r="AH742" s="114"/>
      <c r="AI742" s="114"/>
      <c r="AJ742" s="114"/>
      <c r="AK742" s="114"/>
      <c r="AL742" s="114"/>
      <c r="AM742" s="114"/>
      <c r="AN742" s="114"/>
      <c r="AO742" s="114"/>
      <c r="AP742" s="114"/>
      <c r="AQ742" s="114"/>
      <c r="AR742" s="114"/>
    </row>
    <row r="743" ht="12.75" spans="1:44">
      <c r="A743" s="114"/>
      <c r="B743" s="114"/>
      <c r="C743" s="114"/>
      <c r="D743" s="114" t="s">
        <v>3711</v>
      </c>
      <c r="E743" s="170" t="s">
        <v>3712</v>
      </c>
      <c r="F743" s="153">
        <v>43769</v>
      </c>
      <c r="G743" s="152">
        <f t="shared" si="13"/>
        <v>3769</v>
      </c>
      <c r="H743" s="170" t="s">
        <v>3713</v>
      </c>
      <c r="I743" s="123" t="s">
        <v>3714</v>
      </c>
      <c r="J743" s="236">
        <v>280</v>
      </c>
      <c r="K743" s="114"/>
      <c r="L743" s="114"/>
      <c r="M743" s="114"/>
      <c r="N743" s="124"/>
      <c r="O743" s="114"/>
      <c r="P743" s="124"/>
      <c r="Q743" s="114"/>
      <c r="R743" s="124"/>
      <c r="S743" s="114"/>
      <c r="T743" s="114"/>
      <c r="U743" s="114"/>
      <c r="V743" s="114"/>
      <c r="W743" s="114"/>
      <c r="X743" s="114"/>
      <c r="Y743" s="114"/>
      <c r="Z743" s="221" t="s">
        <v>3669</v>
      </c>
      <c r="AA743" s="114"/>
      <c r="AB743" s="114"/>
      <c r="AC743" s="114"/>
      <c r="AD743" s="114"/>
      <c r="AE743" s="114"/>
      <c r="AF743" s="114"/>
      <c r="AG743" s="114"/>
      <c r="AH743" s="114"/>
      <c r="AI743" s="114"/>
      <c r="AJ743" s="114"/>
      <c r="AK743" s="114"/>
      <c r="AL743" s="114"/>
      <c r="AM743" s="114"/>
      <c r="AN743" s="114"/>
      <c r="AO743" s="114"/>
      <c r="AP743" s="114"/>
      <c r="AQ743" s="114"/>
      <c r="AR743" s="114"/>
    </row>
    <row r="744" ht="12.75" spans="1:44">
      <c r="A744" s="114"/>
      <c r="B744" s="114"/>
      <c r="C744" s="114"/>
      <c r="D744" s="114" t="s">
        <v>262</v>
      </c>
      <c r="E744" s="170" t="s">
        <v>3715</v>
      </c>
      <c r="F744" s="153">
        <v>43766</v>
      </c>
      <c r="G744" s="152">
        <f t="shared" si="13"/>
        <v>3766</v>
      </c>
      <c r="H744" s="170" t="s">
        <v>3716</v>
      </c>
      <c r="I744" s="123" t="s">
        <v>3717</v>
      </c>
      <c r="J744" s="236">
        <v>196</v>
      </c>
      <c r="K744" s="114"/>
      <c r="L744" s="114"/>
      <c r="M744" s="114"/>
      <c r="N744" s="124"/>
      <c r="O744" s="114"/>
      <c r="P744" s="124"/>
      <c r="Q744" s="114"/>
      <c r="R744" s="124"/>
      <c r="S744" s="114"/>
      <c r="T744" s="114"/>
      <c r="U744" s="114"/>
      <c r="V744" s="114"/>
      <c r="W744" s="114"/>
      <c r="X744" s="114"/>
      <c r="Y744" s="114"/>
      <c r="Z744" s="221" t="s">
        <v>3669</v>
      </c>
      <c r="AA744" s="114"/>
      <c r="AB744" s="114"/>
      <c r="AC744" s="114"/>
      <c r="AD744" s="114"/>
      <c r="AE744" s="114"/>
      <c r="AF744" s="114"/>
      <c r="AG744" s="114"/>
      <c r="AH744" s="114"/>
      <c r="AI744" s="114"/>
      <c r="AJ744" s="114"/>
      <c r="AK744" s="114"/>
      <c r="AL744" s="114"/>
      <c r="AM744" s="114"/>
      <c r="AN744" s="114"/>
      <c r="AO744" s="114"/>
      <c r="AP744" s="114"/>
      <c r="AQ744" s="114"/>
      <c r="AR744" s="114"/>
    </row>
    <row r="745" ht="12.75" spans="1:44">
      <c r="A745" s="114"/>
      <c r="B745" s="114"/>
      <c r="C745" s="114"/>
      <c r="D745" s="114" t="s">
        <v>1404</v>
      </c>
      <c r="E745" s="170" t="s">
        <v>3718</v>
      </c>
      <c r="F745" s="169">
        <v>43272</v>
      </c>
      <c r="G745" s="152">
        <f t="shared" si="13"/>
        <v>3272</v>
      </c>
      <c r="H745" s="170" t="s">
        <v>3719</v>
      </c>
      <c r="I745" s="123" t="s">
        <v>3720</v>
      </c>
      <c r="J745" s="236">
        <v>1570</v>
      </c>
      <c r="K745" s="114"/>
      <c r="L745" s="114"/>
      <c r="M745" s="114"/>
      <c r="N745" s="124"/>
      <c r="O745" s="114"/>
      <c r="P745" s="124"/>
      <c r="Q745" s="114"/>
      <c r="R745" s="124"/>
      <c r="S745" s="114"/>
      <c r="T745" s="114"/>
      <c r="U745" s="114"/>
      <c r="V745" s="114"/>
      <c r="W745" s="114"/>
      <c r="X745" s="114"/>
      <c r="Y745" s="114"/>
      <c r="Z745" s="221" t="s">
        <v>3669</v>
      </c>
      <c r="AA745" s="114"/>
      <c r="AB745" s="114"/>
      <c r="AC745" s="114"/>
      <c r="AD745" s="114"/>
      <c r="AE745" s="114"/>
      <c r="AF745" s="114"/>
      <c r="AG745" s="114"/>
      <c r="AH745" s="114"/>
      <c r="AI745" s="114"/>
      <c r="AJ745" s="114"/>
      <c r="AK745" s="114"/>
      <c r="AL745" s="114"/>
      <c r="AM745" s="114"/>
      <c r="AN745" s="114"/>
      <c r="AO745" s="114"/>
      <c r="AP745" s="114"/>
      <c r="AQ745" s="114"/>
      <c r="AR745" s="114"/>
    </row>
    <row r="746" ht="12.75" spans="1:44">
      <c r="A746" s="114"/>
      <c r="B746" s="114"/>
      <c r="C746" s="114"/>
      <c r="D746" s="114" t="s">
        <v>3721</v>
      </c>
      <c r="E746" s="170" t="s">
        <v>3722</v>
      </c>
      <c r="F746" s="169">
        <v>43374</v>
      </c>
      <c r="G746" s="152">
        <f t="shared" si="13"/>
        <v>3374</v>
      </c>
      <c r="H746" s="170" t="s">
        <v>3723</v>
      </c>
      <c r="I746" s="123" t="s">
        <v>3724</v>
      </c>
      <c r="J746" s="236">
        <v>74</v>
      </c>
      <c r="K746" s="114"/>
      <c r="L746" s="114"/>
      <c r="M746" s="114"/>
      <c r="N746" s="124"/>
      <c r="O746" s="114"/>
      <c r="P746" s="124"/>
      <c r="Q746" s="114"/>
      <c r="R746" s="124"/>
      <c r="S746" s="114"/>
      <c r="T746" s="114"/>
      <c r="U746" s="114"/>
      <c r="V746" s="114"/>
      <c r="W746" s="114"/>
      <c r="X746" s="114"/>
      <c r="Y746" s="114"/>
      <c r="Z746" s="221" t="s">
        <v>3669</v>
      </c>
      <c r="AA746" s="114"/>
      <c r="AB746" s="114"/>
      <c r="AC746" s="114"/>
      <c r="AD746" s="114"/>
      <c r="AE746" s="114"/>
      <c r="AF746" s="114"/>
      <c r="AG746" s="114"/>
      <c r="AH746" s="114"/>
      <c r="AI746" s="114"/>
      <c r="AJ746" s="114"/>
      <c r="AK746" s="114"/>
      <c r="AL746" s="114"/>
      <c r="AM746" s="114"/>
      <c r="AN746" s="114"/>
      <c r="AO746" s="114"/>
      <c r="AP746" s="114"/>
      <c r="AQ746" s="114"/>
      <c r="AR746" s="114"/>
    </row>
    <row r="747" ht="12.75" spans="1:44">
      <c r="A747" s="114"/>
      <c r="B747" s="114"/>
      <c r="C747" s="114"/>
      <c r="D747" s="114" t="s">
        <v>3725</v>
      </c>
      <c r="E747" s="170" t="s">
        <v>3726</v>
      </c>
      <c r="F747" s="169">
        <v>42541</v>
      </c>
      <c r="G747" s="152">
        <f t="shared" si="13"/>
        <v>2541</v>
      </c>
      <c r="H747" s="170" t="s">
        <v>3727</v>
      </c>
      <c r="I747" s="123" t="s">
        <v>3728</v>
      </c>
      <c r="J747" s="236">
        <v>1255</v>
      </c>
      <c r="K747" s="114"/>
      <c r="L747" s="114"/>
      <c r="M747" s="114"/>
      <c r="N747" s="124"/>
      <c r="O747" s="114"/>
      <c r="P747" s="124"/>
      <c r="Q747" s="114"/>
      <c r="R747" s="124"/>
      <c r="S747" s="114"/>
      <c r="T747" s="114"/>
      <c r="U747" s="114"/>
      <c r="V747" s="114"/>
      <c r="W747" s="114"/>
      <c r="X747" s="114"/>
      <c r="Y747" s="114"/>
      <c r="Z747" s="221" t="s">
        <v>3669</v>
      </c>
      <c r="AA747" s="114"/>
      <c r="AB747" s="114"/>
      <c r="AC747" s="114"/>
      <c r="AD747" s="114"/>
      <c r="AE747" s="114"/>
      <c r="AF747" s="114"/>
      <c r="AG747" s="114"/>
      <c r="AH747" s="114"/>
      <c r="AI747" s="114"/>
      <c r="AJ747" s="114"/>
      <c r="AK747" s="114"/>
      <c r="AL747" s="114"/>
      <c r="AM747" s="114"/>
      <c r="AN747" s="114"/>
      <c r="AO747" s="114"/>
      <c r="AP747" s="114"/>
      <c r="AQ747" s="114"/>
      <c r="AR747" s="114"/>
    </row>
    <row r="748" ht="12.75" spans="1:44">
      <c r="A748" s="114"/>
      <c r="B748" s="114"/>
      <c r="C748" s="114"/>
      <c r="D748" s="114" t="s">
        <v>3729</v>
      </c>
      <c r="E748" s="170" t="s">
        <v>3730</v>
      </c>
      <c r="F748" s="167">
        <v>43874</v>
      </c>
      <c r="G748" s="152">
        <f t="shared" si="13"/>
        <v>3874</v>
      </c>
      <c r="H748" s="170" t="s">
        <v>3731</v>
      </c>
      <c r="I748" s="123" t="s">
        <v>3732</v>
      </c>
      <c r="J748" s="236">
        <v>608</v>
      </c>
      <c r="K748" s="114"/>
      <c r="L748" s="114"/>
      <c r="M748" s="114"/>
      <c r="N748" s="124"/>
      <c r="O748" s="114"/>
      <c r="P748" s="124"/>
      <c r="Q748" s="114"/>
      <c r="R748" s="124"/>
      <c r="S748" s="114"/>
      <c r="T748" s="114"/>
      <c r="U748" s="114"/>
      <c r="V748" s="114"/>
      <c r="W748" s="114"/>
      <c r="X748" s="114"/>
      <c r="Y748" s="114"/>
      <c r="Z748" s="221" t="s">
        <v>3669</v>
      </c>
      <c r="AA748" s="114"/>
      <c r="AB748" s="114"/>
      <c r="AC748" s="114"/>
      <c r="AD748" s="114"/>
      <c r="AE748" s="114"/>
      <c r="AF748" s="114"/>
      <c r="AG748" s="114"/>
      <c r="AH748" s="114"/>
      <c r="AI748" s="114"/>
      <c r="AJ748" s="114"/>
      <c r="AK748" s="114"/>
      <c r="AL748" s="114"/>
      <c r="AM748" s="114"/>
      <c r="AN748" s="114"/>
      <c r="AO748" s="114"/>
      <c r="AP748" s="114"/>
      <c r="AQ748" s="114"/>
      <c r="AR748" s="114"/>
    </row>
    <row r="749" ht="12.75" spans="1:44">
      <c r="A749" s="114"/>
      <c r="B749" s="114"/>
      <c r="C749" s="114"/>
      <c r="D749" s="114" t="s">
        <v>3733</v>
      </c>
      <c r="E749" s="170" t="s">
        <v>3734</v>
      </c>
      <c r="F749" s="167">
        <v>44193</v>
      </c>
      <c r="G749" s="152">
        <f t="shared" si="13"/>
        <v>4193</v>
      </c>
      <c r="H749" s="170" t="s">
        <v>3735</v>
      </c>
      <c r="I749" s="123" t="s">
        <v>3736</v>
      </c>
      <c r="J749" s="236">
        <v>102</v>
      </c>
      <c r="K749" s="114"/>
      <c r="L749" s="114"/>
      <c r="M749" s="114"/>
      <c r="N749" s="124"/>
      <c r="O749" s="114"/>
      <c r="P749" s="124"/>
      <c r="Q749" s="114"/>
      <c r="R749" s="124"/>
      <c r="S749" s="114"/>
      <c r="T749" s="114"/>
      <c r="U749" s="114"/>
      <c r="V749" s="114"/>
      <c r="W749" s="114"/>
      <c r="X749" s="114"/>
      <c r="Y749" s="114"/>
      <c r="Z749" s="221" t="s">
        <v>3669</v>
      </c>
      <c r="AA749" s="114"/>
      <c r="AB749" s="114"/>
      <c r="AC749" s="114"/>
      <c r="AD749" s="114"/>
      <c r="AE749" s="114"/>
      <c r="AF749" s="114"/>
      <c r="AG749" s="114"/>
      <c r="AH749" s="114"/>
      <c r="AI749" s="114"/>
      <c r="AJ749" s="114"/>
      <c r="AK749" s="114"/>
      <c r="AL749" s="114"/>
      <c r="AM749" s="114"/>
      <c r="AN749" s="114"/>
      <c r="AO749" s="114"/>
      <c r="AP749" s="114"/>
      <c r="AQ749" s="114"/>
      <c r="AR749" s="114"/>
    </row>
    <row r="750" ht="12.75" spans="1:44">
      <c r="A750" s="114"/>
      <c r="B750" s="114"/>
      <c r="C750" s="114"/>
      <c r="D750" s="114" t="s">
        <v>656</v>
      </c>
      <c r="E750" s="170" t="s">
        <v>657</v>
      </c>
      <c r="F750" s="169">
        <v>44158</v>
      </c>
      <c r="G750" s="152">
        <f t="shared" si="13"/>
        <v>4158</v>
      </c>
      <c r="H750" s="170" t="s">
        <v>658</v>
      </c>
      <c r="I750" s="174" t="s">
        <v>4456</v>
      </c>
      <c r="J750" s="236">
        <v>96</v>
      </c>
      <c r="K750" s="114"/>
      <c r="L750" s="114"/>
      <c r="M750" s="114"/>
      <c r="N750" s="124"/>
      <c r="O750" s="114"/>
      <c r="P750" s="124"/>
      <c r="Q750" s="114"/>
      <c r="R750" s="124"/>
      <c r="S750" s="114"/>
      <c r="T750" s="114"/>
      <c r="U750" s="114"/>
      <c r="V750" s="114"/>
      <c r="W750" s="114"/>
      <c r="X750" s="114"/>
      <c r="Y750" s="114"/>
      <c r="Z750" s="221" t="s">
        <v>3669</v>
      </c>
      <c r="AA750" s="114"/>
      <c r="AB750" s="114"/>
      <c r="AC750" s="114"/>
      <c r="AD750" s="114"/>
      <c r="AE750" s="114"/>
      <c r="AF750" s="114"/>
      <c r="AG750" s="114"/>
      <c r="AH750" s="114"/>
      <c r="AI750" s="114"/>
      <c r="AJ750" s="114"/>
      <c r="AK750" s="114"/>
      <c r="AL750" s="114"/>
      <c r="AM750" s="114"/>
      <c r="AN750" s="114"/>
      <c r="AO750" s="114"/>
      <c r="AP750" s="114"/>
      <c r="AQ750" s="114"/>
      <c r="AR750" s="114"/>
    </row>
    <row r="751" ht="12.75" spans="1:44">
      <c r="A751" s="114"/>
      <c r="B751" s="114"/>
      <c r="C751" s="114"/>
      <c r="D751" s="114" t="s">
        <v>3737</v>
      </c>
      <c r="E751" s="170" t="s">
        <v>3738</v>
      </c>
      <c r="F751" s="153">
        <v>43841</v>
      </c>
      <c r="G751" s="152">
        <f t="shared" si="13"/>
        <v>3841</v>
      </c>
      <c r="H751" s="170" t="s">
        <v>3739</v>
      </c>
      <c r="I751" s="123" t="s">
        <v>3740</v>
      </c>
      <c r="J751" s="236">
        <v>60</v>
      </c>
      <c r="K751" s="114"/>
      <c r="L751" s="114"/>
      <c r="M751" s="114"/>
      <c r="N751" s="124"/>
      <c r="O751" s="114"/>
      <c r="P751" s="124"/>
      <c r="Q751" s="114"/>
      <c r="R751" s="124"/>
      <c r="S751" s="114"/>
      <c r="T751" s="114"/>
      <c r="U751" s="114"/>
      <c r="V751" s="114"/>
      <c r="W751" s="114"/>
      <c r="X751" s="114"/>
      <c r="Y751" s="114"/>
      <c r="Z751" s="221" t="s">
        <v>3669</v>
      </c>
      <c r="AA751" s="114"/>
      <c r="AB751" s="114"/>
      <c r="AC751" s="114"/>
      <c r="AD751" s="114"/>
      <c r="AE751" s="114"/>
      <c r="AF751" s="114"/>
      <c r="AG751" s="114"/>
      <c r="AH751" s="114"/>
      <c r="AI751" s="114"/>
      <c r="AJ751" s="114"/>
      <c r="AK751" s="114"/>
      <c r="AL751" s="114"/>
      <c r="AM751" s="114"/>
      <c r="AN751" s="114"/>
      <c r="AO751" s="114"/>
      <c r="AP751" s="114"/>
      <c r="AQ751" s="114"/>
      <c r="AR751" s="114"/>
    </row>
    <row r="752" ht="12.75" spans="1:44">
      <c r="A752" s="114"/>
      <c r="B752" s="114"/>
      <c r="C752" s="114"/>
      <c r="D752" s="114" t="s">
        <v>3741</v>
      </c>
      <c r="E752" s="170" t="s">
        <v>3742</v>
      </c>
      <c r="F752" s="153">
        <v>42531</v>
      </c>
      <c r="G752" s="152">
        <f t="shared" si="13"/>
        <v>2531</v>
      </c>
      <c r="H752" s="170" t="s">
        <v>3743</v>
      </c>
      <c r="I752" s="123" t="s">
        <v>3744</v>
      </c>
      <c r="J752" s="236">
        <v>285</v>
      </c>
      <c r="K752" s="114"/>
      <c r="L752" s="114"/>
      <c r="M752" s="114"/>
      <c r="N752" s="124"/>
      <c r="O752" s="114"/>
      <c r="P752" s="124"/>
      <c r="Q752" s="114"/>
      <c r="R752" s="124"/>
      <c r="S752" s="114"/>
      <c r="T752" s="114"/>
      <c r="U752" s="114"/>
      <c r="V752" s="114"/>
      <c r="W752" s="114"/>
      <c r="X752" s="114"/>
      <c r="Y752" s="114"/>
      <c r="Z752" s="221" t="s">
        <v>3669</v>
      </c>
      <c r="AA752" s="114"/>
      <c r="AB752" s="114"/>
      <c r="AC752" s="114"/>
      <c r="AD752" s="114"/>
      <c r="AE752" s="114"/>
      <c r="AF752" s="114"/>
      <c r="AG752" s="114"/>
      <c r="AH752" s="114"/>
      <c r="AI752" s="114"/>
      <c r="AJ752" s="114"/>
      <c r="AK752" s="114"/>
      <c r="AL752" s="114"/>
      <c r="AM752" s="114"/>
      <c r="AN752" s="114"/>
      <c r="AO752" s="114"/>
      <c r="AP752" s="114"/>
      <c r="AQ752" s="114"/>
      <c r="AR752" s="114"/>
    </row>
    <row r="753" ht="12.75" spans="1:44">
      <c r="A753" s="114"/>
      <c r="B753" s="114"/>
      <c r="C753" s="114"/>
      <c r="D753" s="114" t="s">
        <v>3741</v>
      </c>
      <c r="E753" s="170" t="s">
        <v>3742</v>
      </c>
      <c r="F753" s="153">
        <v>43046</v>
      </c>
      <c r="G753" s="152">
        <f t="shared" si="13"/>
        <v>3046</v>
      </c>
      <c r="H753" s="170" t="s">
        <v>3745</v>
      </c>
      <c r="I753" s="123" t="s">
        <v>3746</v>
      </c>
      <c r="J753" s="236">
        <v>72</v>
      </c>
      <c r="K753" s="114"/>
      <c r="L753" s="114"/>
      <c r="M753" s="114"/>
      <c r="N753" s="124"/>
      <c r="O753" s="114"/>
      <c r="P753" s="124"/>
      <c r="Q753" s="114"/>
      <c r="R753" s="124"/>
      <c r="S753" s="114"/>
      <c r="T753" s="114"/>
      <c r="U753" s="114"/>
      <c r="V753" s="114"/>
      <c r="W753" s="114"/>
      <c r="X753" s="114"/>
      <c r="Y753" s="114"/>
      <c r="Z753" s="221" t="s">
        <v>3669</v>
      </c>
      <c r="AA753" s="114"/>
      <c r="AB753" s="114"/>
      <c r="AC753" s="114"/>
      <c r="AD753" s="114"/>
      <c r="AE753" s="114"/>
      <c r="AF753" s="114"/>
      <c r="AG753" s="114"/>
      <c r="AH753" s="114"/>
      <c r="AI753" s="114"/>
      <c r="AJ753" s="114"/>
      <c r="AK753" s="114"/>
      <c r="AL753" s="114"/>
      <c r="AM753" s="114"/>
      <c r="AN753" s="114"/>
      <c r="AO753" s="114"/>
      <c r="AP753" s="114"/>
      <c r="AQ753" s="114"/>
      <c r="AR753" s="114"/>
    </row>
    <row r="754" ht="12.75" spans="1:44">
      <c r="A754" s="114"/>
      <c r="B754" s="114"/>
      <c r="C754" s="114"/>
      <c r="D754" s="114" t="s">
        <v>3747</v>
      </c>
      <c r="E754" s="170" t="s">
        <v>3748</v>
      </c>
      <c r="F754" s="153">
        <v>42245</v>
      </c>
      <c r="G754" s="152">
        <f t="shared" si="13"/>
        <v>2245</v>
      </c>
      <c r="H754" s="170" t="s">
        <v>3749</v>
      </c>
      <c r="I754" s="123" t="s">
        <v>3750</v>
      </c>
      <c r="J754" s="236">
        <v>1413</v>
      </c>
      <c r="K754" s="114"/>
      <c r="L754" s="114"/>
      <c r="M754" s="114"/>
      <c r="N754" s="124"/>
      <c r="O754" s="114"/>
      <c r="P754" s="124"/>
      <c r="Q754" s="114"/>
      <c r="R754" s="124"/>
      <c r="S754" s="114"/>
      <c r="T754" s="114"/>
      <c r="U754" s="114"/>
      <c r="V754" s="114"/>
      <c r="W754" s="114"/>
      <c r="X754" s="114"/>
      <c r="Y754" s="114"/>
      <c r="Z754" s="221" t="s">
        <v>3669</v>
      </c>
      <c r="AA754" s="114"/>
      <c r="AB754" s="114"/>
      <c r="AC754" s="114"/>
      <c r="AD754" s="114"/>
      <c r="AE754" s="114"/>
      <c r="AF754" s="114"/>
      <c r="AG754" s="114"/>
      <c r="AH754" s="114"/>
      <c r="AI754" s="114"/>
      <c r="AJ754" s="114"/>
      <c r="AK754" s="114"/>
      <c r="AL754" s="114"/>
      <c r="AM754" s="114"/>
      <c r="AN754" s="114"/>
      <c r="AO754" s="114"/>
      <c r="AP754" s="114"/>
      <c r="AQ754" s="114"/>
      <c r="AR754" s="114"/>
    </row>
    <row r="755" ht="12.75" spans="1:44">
      <c r="A755" s="114"/>
      <c r="B755" s="114"/>
      <c r="C755" s="114"/>
      <c r="D755" s="114" t="s">
        <v>3751</v>
      </c>
      <c r="E755" s="170" t="s">
        <v>3752</v>
      </c>
      <c r="F755" s="153">
        <v>43403</v>
      </c>
      <c r="G755" s="152">
        <f t="shared" si="13"/>
        <v>3403</v>
      </c>
      <c r="H755" s="170" t="s">
        <v>3753</v>
      </c>
      <c r="I755" s="123" t="s">
        <v>3754</v>
      </c>
      <c r="J755" s="236">
        <v>112</v>
      </c>
      <c r="K755" s="114"/>
      <c r="L755" s="114"/>
      <c r="M755" s="114"/>
      <c r="N755" s="124"/>
      <c r="O755" s="114"/>
      <c r="P755" s="124"/>
      <c r="Q755" s="114"/>
      <c r="R755" s="124"/>
      <c r="S755" s="114"/>
      <c r="T755" s="114"/>
      <c r="U755" s="114"/>
      <c r="V755" s="114"/>
      <c r="W755" s="114"/>
      <c r="X755" s="114"/>
      <c r="Y755" s="114"/>
      <c r="Z755" s="221" t="s">
        <v>3669</v>
      </c>
      <c r="AA755" s="114"/>
      <c r="AB755" s="114"/>
      <c r="AC755" s="114"/>
      <c r="AD755" s="114"/>
      <c r="AE755" s="114"/>
      <c r="AF755" s="114"/>
      <c r="AG755" s="114"/>
      <c r="AH755" s="114"/>
      <c r="AI755" s="114"/>
      <c r="AJ755" s="114"/>
      <c r="AK755" s="114"/>
      <c r="AL755" s="114"/>
      <c r="AM755" s="114"/>
      <c r="AN755" s="114"/>
      <c r="AO755" s="114"/>
      <c r="AP755" s="114"/>
      <c r="AQ755" s="114"/>
      <c r="AR755" s="114"/>
    </row>
    <row r="756" ht="12.75" spans="1:44">
      <c r="A756" s="114"/>
      <c r="B756" s="114"/>
      <c r="C756" s="114"/>
      <c r="D756" s="114" t="s">
        <v>3685</v>
      </c>
      <c r="E756" s="170" t="s">
        <v>3755</v>
      </c>
      <c r="F756" s="153">
        <v>43369</v>
      </c>
      <c r="G756" s="152">
        <f t="shared" si="13"/>
        <v>3369</v>
      </c>
      <c r="H756" s="170" t="s">
        <v>3756</v>
      </c>
      <c r="I756" s="123" t="s">
        <v>3757</v>
      </c>
      <c r="J756" s="236">
        <v>451</v>
      </c>
      <c r="K756" s="114"/>
      <c r="L756" s="114"/>
      <c r="M756" s="114"/>
      <c r="N756" s="124"/>
      <c r="O756" s="114"/>
      <c r="P756" s="124"/>
      <c r="Q756" s="114"/>
      <c r="R756" s="124"/>
      <c r="S756" s="114"/>
      <c r="T756" s="114"/>
      <c r="U756" s="114"/>
      <c r="V756" s="114"/>
      <c r="W756" s="114"/>
      <c r="X756" s="114"/>
      <c r="Y756" s="114"/>
      <c r="Z756" s="221" t="s">
        <v>3669</v>
      </c>
      <c r="AA756" s="114"/>
      <c r="AB756" s="114"/>
      <c r="AC756" s="114"/>
      <c r="AD756" s="114"/>
      <c r="AE756" s="114"/>
      <c r="AF756" s="114"/>
      <c r="AG756" s="114"/>
      <c r="AH756" s="114"/>
      <c r="AI756" s="114"/>
      <c r="AJ756" s="114"/>
      <c r="AK756" s="114"/>
      <c r="AL756" s="114"/>
      <c r="AM756" s="114"/>
      <c r="AN756" s="114"/>
      <c r="AO756" s="114"/>
      <c r="AP756" s="114"/>
      <c r="AQ756" s="114"/>
      <c r="AR756" s="114"/>
    </row>
    <row r="757" ht="12.75" spans="1:44">
      <c r="A757" s="114"/>
      <c r="B757" s="114"/>
      <c r="C757" s="114"/>
      <c r="D757" s="114" t="s">
        <v>1166</v>
      </c>
      <c r="E757" s="170" t="s">
        <v>3758</v>
      </c>
      <c r="F757" s="169">
        <v>42979</v>
      </c>
      <c r="G757" s="152">
        <f t="shared" si="13"/>
        <v>2979</v>
      </c>
      <c r="H757" s="170" t="s">
        <v>3759</v>
      </c>
      <c r="I757" s="123" t="s">
        <v>3760</v>
      </c>
      <c r="J757" s="236">
        <v>369</v>
      </c>
      <c r="K757" s="114"/>
      <c r="L757" s="114"/>
      <c r="M757" s="114"/>
      <c r="N757" s="124"/>
      <c r="O757" s="114"/>
      <c r="P757" s="124"/>
      <c r="Q757" s="114"/>
      <c r="R757" s="124"/>
      <c r="S757" s="114"/>
      <c r="T757" s="114"/>
      <c r="U757" s="114"/>
      <c r="V757" s="114"/>
      <c r="W757" s="114"/>
      <c r="X757" s="114"/>
      <c r="Y757" s="114"/>
      <c r="Z757" s="221" t="s">
        <v>3669</v>
      </c>
      <c r="AA757" s="114"/>
      <c r="AB757" s="114"/>
      <c r="AC757" s="114"/>
      <c r="AD757" s="114"/>
      <c r="AE757" s="114"/>
      <c r="AF757" s="114"/>
      <c r="AG757" s="114"/>
      <c r="AH757" s="114"/>
      <c r="AI757" s="114"/>
      <c r="AJ757" s="114"/>
      <c r="AK757" s="114"/>
      <c r="AL757" s="114"/>
      <c r="AM757" s="114"/>
      <c r="AN757" s="114"/>
      <c r="AO757" s="114"/>
      <c r="AP757" s="114"/>
      <c r="AQ757" s="114"/>
      <c r="AR757" s="114"/>
    </row>
    <row r="758" ht="12.75" spans="1:44">
      <c r="A758" s="114"/>
      <c r="B758" s="114"/>
      <c r="C758" s="114"/>
      <c r="D758" s="114" t="s">
        <v>3761</v>
      </c>
      <c r="E758" s="170" t="s">
        <v>3758</v>
      </c>
      <c r="F758" s="169">
        <v>43620</v>
      </c>
      <c r="G758" s="152">
        <f t="shared" si="13"/>
        <v>3620</v>
      </c>
      <c r="H758" s="170" t="s">
        <v>3762</v>
      </c>
      <c r="I758" s="123" t="s">
        <v>3763</v>
      </c>
      <c r="J758" s="236">
        <v>517</v>
      </c>
      <c r="K758" s="114"/>
      <c r="L758" s="114"/>
      <c r="M758" s="114"/>
      <c r="N758" s="124"/>
      <c r="O758" s="114"/>
      <c r="P758" s="124"/>
      <c r="Q758" s="114"/>
      <c r="R758" s="124"/>
      <c r="S758" s="114"/>
      <c r="T758" s="114"/>
      <c r="U758" s="114"/>
      <c r="V758" s="114"/>
      <c r="W758" s="114"/>
      <c r="X758" s="114"/>
      <c r="Y758" s="114"/>
      <c r="Z758" s="221" t="s">
        <v>3669</v>
      </c>
      <c r="AA758" s="114"/>
      <c r="AB758" s="114"/>
      <c r="AC758" s="114"/>
      <c r="AD758" s="114"/>
      <c r="AE758" s="114"/>
      <c r="AF758" s="114"/>
      <c r="AG758" s="114"/>
      <c r="AH758" s="114"/>
      <c r="AI758" s="114"/>
      <c r="AJ758" s="114"/>
      <c r="AK758" s="114"/>
      <c r="AL758" s="114"/>
      <c r="AM758" s="114"/>
      <c r="AN758" s="114"/>
      <c r="AO758" s="114"/>
      <c r="AP758" s="114"/>
      <c r="AQ758" s="114"/>
      <c r="AR758" s="114"/>
    </row>
    <row r="759" ht="12.75" spans="1:44">
      <c r="A759" s="114"/>
      <c r="B759" s="114"/>
      <c r="C759" s="114"/>
      <c r="D759" s="114"/>
      <c r="E759" s="226"/>
      <c r="F759" s="114"/>
      <c r="G759" s="152" t="e">
        <f t="shared" si="13"/>
        <v>#VALUE!</v>
      </c>
      <c r="H759" s="114"/>
      <c r="I759" s="114"/>
      <c r="J759" s="114"/>
      <c r="K759" s="114"/>
      <c r="L759" s="114"/>
      <c r="M759" s="114"/>
      <c r="N759" s="124"/>
      <c r="O759" s="114"/>
      <c r="P759" s="124"/>
      <c r="Q759" s="114"/>
      <c r="R759" s="124"/>
      <c r="S759" s="114"/>
      <c r="T759" s="114"/>
      <c r="U759" s="114"/>
      <c r="V759" s="114"/>
      <c r="W759" s="114"/>
      <c r="X759" s="114"/>
      <c r="Y759" s="114"/>
      <c r="Z759" s="164"/>
      <c r="AA759" s="114"/>
      <c r="AB759" s="114"/>
      <c r="AC759" s="114"/>
      <c r="AD759" s="114"/>
      <c r="AE759" s="114"/>
      <c r="AF759" s="114"/>
      <c r="AG759" s="114"/>
      <c r="AH759" s="114"/>
      <c r="AI759" s="114"/>
      <c r="AJ759" s="114"/>
      <c r="AK759" s="114"/>
      <c r="AL759" s="114"/>
      <c r="AM759" s="114"/>
      <c r="AN759" s="114"/>
      <c r="AO759" s="114"/>
      <c r="AP759" s="114"/>
      <c r="AQ759" s="114"/>
      <c r="AR759" s="114"/>
    </row>
    <row r="760" ht="12.75" spans="1:44">
      <c r="A760" s="114"/>
      <c r="B760" s="114"/>
      <c r="C760" s="114"/>
      <c r="D760" s="114"/>
      <c r="E760" s="226"/>
      <c r="F760" s="114"/>
      <c r="G760" s="152" t="e">
        <f t="shared" si="13"/>
        <v>#VALUE!</v>
      </c>
      <c r="H760" s="114"/>
      <c r="I760" s="114"/>
      <c r="J760" s="114"/>
      <c r="K760" s="114"/>
      <c r="L760" s="114"/>
      <c r="M760" s="114"/>
      <c r="N760" s="124"/>
      <c r="O760" s="114"/>
      <c r="P760" s="124"/>
      <c r="Q760" s="114"/>
      <c r="R760" s="124"/>
      <c r="S760" s="114"/>
      <c r="T760" s="114"/>
      <c r="U760" s="114"/>
      <c r="V760" s="114"/>
      <c r="W760" s="114"/>
      <c r="X760" s="114"/>
      <c r="Y760" s="114"/>
      <c r="Z760" s="164"/>
      <c r="AA760" s="114"/>
      <c r="AB760" s="114"/>
      <c r="AC760" s="114"/>
      <c r="AD760" s="114"/>
      <c r="AE760" s="114"/>
      <c r="AF760" s="114"/>
      <c r="AG760" s="114"/>
      <c r="AH760" s="114"/>
      <c r="AI760" s="114"/>
      <c r="AJ760" s="114"/>
      <c r="AK760" s="114"/>
      <c r="AL760" s="114"/>
      <c r="AM760" s="114"/>
      <c r="AN760" s="114"/>
      <c r="AO760" s="114"/>
      <c r="AP760" s="114"/>
      <c r="AQ760" s="114"/>
      <c r="AR760" s="114"/>
    </row>
    <row r="761" ht="12.75" spans="1:44">
      <c r="A761" s="114"/>
      <c r="B761" s="114"/>
      <c r="C761" s="114"/>
      <c r="D761" s="114"/>
      <c r="E761" s="226"/>
      <c r="F761" s="114"/>
      <c r="G761" s="152" t="e">
        <f t="shared" si="13"/>
        <v>#VALUE!</v>
      </c>
      <c r="H761" s="114"/>
      <c r="I761" s="114"/>
      <c r="J761" s="114"/>
      <c r="K761" s="114"/>
      <c r="L761" s="114"/>
      <c r="M761" s="114"/>
      <c r="N761" s="124"/>
      <c r="O761" s="114"/>
      <c r="P761" s="124"/>
      <c r="Q761" s="114"/>
      <c r="R761" s="124"/>
      <c r="S761" s="114"/>
      <c r="T761" s="114"/>
      <c r="U761" s="114"/>
      <c r="V761" s="114"/>
      <c r="W761" s="114"/>
      <c r="X761" s="114"/>
      <c r="Y761" s="114"/>
      <c r="Z761" s="164"/>
      <c r="AA761" s="114"/>
      <c r="AB761" s="114"/>
      <c r="AC761" s="114"/>
      <c r="AD761" s="114"/>
      <c r="AE761" s="114"/>
      <c r="AF761" s="114"/>
      <c r="AG761" s="114"/>
      <c r="AH761" s="114"/>
      <c r="AI761" s="114"/>
      <c r="AJ761" s="114"/>
      <c r="AK761" s="114"/>
      <c r="AL761" s="114"/>
      <c r="AM761" s="114"/>
      <c r="AN761" s="114"/>
      <c r="AO761" s="114"/>
      <c r="AP761" s="114"/>
      <c r="AQ761" s="114"/>
      <c r="AR761" s="114"/>
    </row>
    <row r="762" ht="12.75" spans="1:44">
      <c r="A762" s="114"/>
      <c r="B762" s="114"/>
      <c r="C762" s="114"/>
      <c r="D762" s="114"/>
      <c r="E762" s="226"/>
      <c r="F762" s="114"/>
      <c r="G762" s="152" t="e">
        <f t="shared" si="13"/>
        <v>#VALUE!</v>
      </c>
      <c r="H762" s="114"/>
      <c r="I762" s="114"/>
      <c r="J762" s="114"/>
      <c r="K762" s="114"/>
      <c r="L762" s="114"/>
      <c r="M762" s="114"/>
      <c r="N762" s="124"/>
      <c r="O762" s="114"/>
      <c r="P762" s="124"/>
      <c r="Q762" s="114"/>
      <c r="R762" s="124"/>
      <c r="S762" s="114"/>
      <c r="T762" s="114"/>
      <c r="U762" s="114"/>
      <c r="V762" s="114"/>
      <c r="W762" s="114"/>
      <c r="X762" s="114"/>
      <c r="Y762" s="114"/>
      <c r="Z762" s="164"/>
      <c r="AA762" s="114"/>
      <c r="AB762" s="114"/>
      <c r="AC762" s="114"/>
      <c r="AD762" s="114"/>
      <c r="AE762" s="114"/>
      <c r="AF762" s="114"/>
      <c r="AG762" s="114"/>
      <c r="AH762" s="114"/>
      <c r="AI762" s="114"/>
      <c r="AJ762" s="114"/>
      <c r="AK762" s="114"/>
      <c r="AL762" s="114"/>
      <c r="AM762" s="114"/>
      <c r="AN762" s="114"/>
      <c r="AO762" s="114"/>
      <c r="AP762" s="114"/>
      <c r="AQ762" s="114"/>
      <c r="AR762" s="114"/>
    </row>
    <row r="763" ht="12.75" spans="1:44">
      <c r="A763" s="114"/>
      <c r="B763" s="114"/>
      <c r="C763" s="114"/>
      <c r="D763" s="114"/>
      <c r="E763" s="226"/>
      <c r="F763" s="114"/>
      <c r="G763" s="152" t="e">
        <f t="shared" si="13"/>
        <v>#VALUE!</v>
      </c>
      <c r="H763" s="114"/>
      <c r="I763" s="114"/>
      <c r="J763" s="114"/>
      <c r="K763" s="114"/>
      <c r="L763" s="114"/>
      <c r="M763" s="114"/>
      <c r="N763" s="124"/>
      <c r="O763" s="114"/>
      <c r="P763" s="124"/>
      <c r="Q763" s="114"/>
      <c r="R763" s="124"/>
      <c r="S763" s="114"/>
      <c r="T763" s="114"/>
      <c r="U763" s="114"/>
      <c r="V763" s="114"/>
      <c r="W763" s="114"/>
      <c r="X763" s="114"/>
      <c r="Y763" s="114"/>
      <c r="Z763" s="164"/>
      <c r="AA763" s="114"/>
      <c r="AB763" s="114"/>
      <c r="AC763" s="114"/>
      <c r="AD763" s="114"/>
      <c r="AE763" s="114"/>
      <c r="AF763" s="114"/>
      <c r="AG763" s="114"/>
      <c r="AH763" s="114"/>
      <c r="AI763" s="114"/>
      <c r="AJ763" s="114"/>
      <c r="AK763" s="114"/>
      <c r="AL763" s="114"/>
      <c r="AM763" s="114"/>
      <c r="AN763" s="114"/>
      <c r="AO763" s="114"/>
      <c r="AP763" s="114"/>
      <c r="AQ763" s="114"/>
      <c r="AR763" s="114"/>
    </row>
    <row r="764" ht="12.75" spans="1:44">
      <c r="A764" s="114"/>
      <c r="B764" s="114"/>
      <c r="C764" s="114"/>
      <c r="D764" s="114"/>
      <c r="E764" s="226"/>
      <c r="F764" s="114"/>
      <c r="G764" s="152" t="e">
        <f t="shared" si="13"/>
        <v>#VALUE!</v>
      </c>
      <c r="H764" s="114"/>
      <c r="I764" s="114"/>
      <c r="J764" s="114"/>
      <c r="K764" s="114"/>
      <c r="L764" s="114"/>
      <c r="M764" s="114"/>
      <c r="N764" s="124"/>
      <c r="O764" s="114"/>
      <c r="P764" s="124"/>
      <c r="Q764" s="114"/>
      <c r="R764" s="124"/>
      <c r="S764" s="114"/>
      <c r="T764" s="114"/>
      <c r="U764" s="114"/>
      <c r="V764" s="114"/>
      <c r="W764" s="114"/>
      <c r="X764" s="114"/>
      <c r="Y764" s="114"/>
      <c r="Z764" s="164"/>
      <c r="AA764" s="114"/>
      <c r="AB764" s="114"/>
      <c r="AC764" s="114"/>
      <c r="AD764" s="114"/>
      <c r="AE764" s="114"/>
      <c r="AF764" s="114"/>
      <c r="AG764" s="114"/>
      <c r="AH764" s="114"/>
      <c r="AI764" s="114"/>
      <c r="AJ764" s="114"/>
      <c r="AK764" s="114"/>
      <c r="AL764" s="114"/>
      <c r="AM764" s="114"/>
      <c r="AN764" s="114"/>
      <c r="AO764" s="114"/>
      <c r="AP764" s="114"/>
      <c r="AQ764" s="114"/>
      <c r="AR764" s="114"/>
    </row>
    <row r="765" ht="12.75" spans="1:44">
      <c r="A765" s="114"/>
      <c r="B765" s="114"/>
      <c r="C765" s="114"/>
      <c r="D765" s="114"/>
      <c r="E765" s="226"/>
      <c r="F765" s="114"/>
      <c r="G765" s="152" t="e">
        <f t="shared" si="13"/>
        <v>#VALUE!</v>
      </c>
      <c r="H765" s="114"/>
      <c r="I765" s="114"/>
      <c r="J765" s="114"/>
      <c r="K765" s="114"/>
      <c r="L765" s="114"/>
      <c r="M765" s="114"/>
      <c r="N765" s="124"/>
      <c r="O765" s="114"/>
      <c r="P765" s="124"/>
      <c r="Q765" s="114"/>
      <c r="R765" s="124"/>
      <c r="S765" s="114"/>
      <c r="T765" s="114"/>
      <c r="U765" s="114"/>
      <c r="V765" s="114"/>
      <c r="W765" s="114"/>
      <c r="X765" s="114"/>
      <c r="Y765" s="114"/>
      <c r="Z765" s="164"/>
      <c r="AA765" s="114"/>
      <c r="AB765" s="114"/>
      <c r="AC765" s="114"/>
      <c r="AD765" s="114"/>
      <c r="AE765" s="114"/>
      <c r="AF765" s="114"/>
      <c r="AG765" s="114"/>
      <c r="AH765" s="114"/>
      <c r="AI765" s="114"/>
      <c r="AJ765" s="114"/>
      <c r="AK765" s="114"/>
      <c r="AL765" s="114"/>
      <c r="AM765" s="114"/>
      <c r="AN765" s="114"/>
      <c r="AO765" s="114"/>
      <c r="AP765" s="114"/>
      <c r="AQ765" s="114"/>
      <c r="AR765" s="114"/>
    </row>
    <row r="766" ht="12.75" spans="1:44">
      <c r="A766" s="114"/>
      <c r="B766" s="114"/>
      <c r="C766" s="114"/>
      <c r="D766" s="114"/>
      <c r="E766" s="226"/>
      <c r="F766" s="114"/>
      <c r="G766" s="152" t="e">
        <f t="shared" si="13"/>
        <v>#VALUE!</v>
      </c>
      <c r="H766" s="114"/>
      <c r="I766" s="114"/>
      <c r="J766" s="114"/>
      <c r="K766" s="114"/>
      <c r="L766" s="114"/>
      <c r="M766" s="114"/>
      <c r="N766" s="124"/>
      <c r="O766" s="114"/>
      <c r="P766" s="124"/>
      <c r="Q766" s="114"/>
      <c r="R766" s="124"/>
      <c r="S766" s="114"/>
      <c r="T766" s="114"/>
      <c r="U766" s="114"/>
      <c r="V766" s="114"/>
      <c r="W766" s="114"/>
      <c r="X766" s="114"/>
      <c r="Y766" s="114"/>
      <c r="Z766" s="164"/>
      <c r="AA766" s="114"/>
      <c r="AB766" s="114"/>
      <c r="AC766" s="114"/>
      <c r="AD766" s="114"/>
      <c r="AE766" s="114"/>
      <c r="AF766" s="114"/>
      <c r="AG766" s="114"/>
      <c r="AH766" s="114"/>
      <c r="AI766" s="114"/>
      <c r="AJ766" s="114"/>
      <c r="AK766" s="114"/>
      <c r="AL766" s="114"/>
      <c r="AM766" s="114"/>
      <c r="AN766" s="114"/>
      <c r="AO766" s="114"/>
      <c r="AP766" s="114"/>
      <c r="AQ766" s="114"/>
      <c r="AR766" s="114"/>
    </row>
    <row r="767" ht="12.75" spans="1:44">
      <c r="A767" s="114"/>
      <c r="B767" s="114"/>
      <c r="C767" s="114"/>
      <c r="D767" s="114"/>
      <c r="E767" s="226"/>
      <c r="F767" s="114"/>
      <c r="G767" s="152" t="e">
        <f t="shared" si="13"/>
        <v>#VALUE!</v>
      </c>
      <c r="H767" s="114"/>
      <c r="I767" s="114"/>
      <c r="J767" s="114"/>
      <c r="K767" s="114"/>
      <c r="L767" s="114"/>
      <c r="M767" s="114"/>
      <c r="N767" s="124"/>
      <c r="O767" s="114"/>
      <c r="P767" s="124"/>
      <c r="Q767" s="114"/>
      <c r="R767" s="124"/>
      <c r="S767" s="114"/>
      <c r="T767" s="114"/>
      <c r="U767" s="114"/>
      <c r="V767" s="114"/>
      <c r="W767" s="114"/>
      <c r="X767" s="114"/>
      <c r="Y767" s="114"/>
      <c r="Z767" s="164"/>
      <c r="AA767" s="114"/>
      <c r="AB767" s="114"/>
      <c r="AC767" s="114"/>
      <c r="AD767" s="114"/>
      <c r="AE767" s="114"/>
      <c r="AF767" s="114"/>
      <c r="AG767" s="114"/>
      <c r="AH767" s="114"/>
      <c r="AI767" s="114"/>
      <c r="AJ767" s="114"/>
      <c r="AK767" s="114"/>
      <c r="AL767" s="114"/>
      <c r="AM767" s="114"/>
      <c r="AN767" s="114"/>
      <c r="AO767" s="114"/>
      <c r="AP767" s="114"/>
      <c r="AQ767" s="114"/>
      <c r="AR767" s="114"/>
    </row>
    <row r="768" ht="12.75" spans="1:44">
      <c r="A768" s="114"/>
      <c r="B768" s="114"/>
      <c r="C768" s="114"/>
      <c r="D768" s="114"/>
      <c r="E768" s="226"/>
      <c r="F768" s="114"/>
      <c r="G768" s="152" t="e">
        <f t="shared" si="13"/>
        <v>#VALUE!</v>
      </c>
      <c r="H768" s="114"/>
      <c r="I768" s="114"/>
      <c r="J768" s="114"/>
      <c r="K768" s="114"/>
      <c r="L768" s="114"/>
      <c r="M768" s="114"/>
      <c r="N768" s="124"/>
      <c r="O768" s="114"/>
      <c r="P768" s="124"/>
      <c r="Q768" s="114"/>
      <c r="R768" s="124"/>
      <c r="S768" s="114"/>
      <c r="T768" s="114"/>
      <c r="U768" s="114"/>
      <c r="V768" s="114"/>
      <c r="W768" s="114"/>
      <c r="X768" s="114"/>
      <c r="Y768" s="114"/>
      <c r="Z768" s="164"/>
      <c r="AA768" s="114"/>
      <c r="AB768" s="114"/>
      <c r="AC768" s="114"/>
      <c r="AD768" s="114"/>
      <c r="AE768" s="114"/>
      <c r="AF768" s="114"/>
      <c r="AG768" s="114"/>
      <c r="AH768" s="114"/>
      <c r="AI768" s="114"/>
      <c r="AJ768" s="114"/>
      <c r="AK768" s="114"/>
      <c r="AL768" s="114"/>
      <c r="AM768" s="114"/>
      <c r="AN768" s="114"/>
      <c r="AO768" s="114"/>
      <c r="AP768" s="114"/>
      <c r="AQ768" s="114"/>
      <c r="AR768" s="114"/>
    </row>
    <row r="769" ht="12.75" spans="1:44">
      <c r="A769" s="114"/>
      <c r="B769" s="114"/>
      <c r="C769" s="114"/>
      <c r="D769" s="114"/>
      <c r="E769" s="226"/>
      <c r="F769" s="114"/>
      <c r="G769" s="152" t="e">
        <f t="shared" si="13"/>
        <v>#VALUE!</v>
      </c>
      <c r="H769" s="114"/>
      <c r="I769" s="114"/>
      <c r="J769" s="114"/>
      <c r="K769" s="114"/>
      <c r="L769" s="114"/>
      <c r="M769" s="114"/>
      <c r="N769" s="124"/>
      <c r="O769" s="114"/>
      <c r="P769" s="124"/>
      <c r="Q769" s="114"/>
      <c r="R769" s="124"/>
      <c r="S769" s="114"/>
      <c r="T769" s="114"/>
      <c r="U769" s="114"/>
      <c r="V769" s="114"/>
      <c r="W769" s="114"/>
      <c r="X769" s="114"/>
      <c r="Y769" s="114"/>
      <c r="Z769" s="164"/>
      <c r="AA769" s="114"/>
      <c r="AB769" s="114"/>
      <c r="AC769" s="114"/>
      <c r="AD769" s="114"/>
      <c r="AE769" s="114"/>
      <c r="AF769" s="114"/>
      <c r="AG769" s="114"/>
      <c r="AH769" s="114"/>
      <c r="AI769" s="114"/>
      <c r="AJ769" s="114"/>
      <c r="AK769" s="114"/>
      <c r="AL769" s="114"/>
      <c r="AM769" s="114"/>
      <c r="AN769" s="114"/>
      <c r="AO769" s="114"/>
      <c r="AP769" s="114"/>
      <c r="AQ769" s="114"/>
      <c r="AR769" s="114"/>
    </row>
    <row r="770" ht="12.75" spans="1:44">
      <c r="A770" s="114"/>
      <c r="B770" s="114"/>
      <c r="C770" s="114"/>
      <c r="D770" s="114"/>
      <c r="E770" s="226"/>
      <c r="F770" s="114"/>
      <c r="G770" s="152" t="e">
        <f t="shared" si="13"/>
        <v>#VALUE!</v>
      </c>
      <c r="H770" s="114"/>
      <c r="I770" s="114"/>
      <c r="J770" s="114"/>
      <c r="K770" s="114"/>
      <c r="L770" s="114"/>
      <c r="M770" s="114"/>
      <c r="N770" s="124"/>
      <c r="O770" s="114"/>
      <c r="P770" s="124"/>
      <c r="Q770" s="114"/>
      <c r="R770" s="124"/>
      <c r="S770" s="114"/>
      <c r="T770" s="114"/>
      <c r="U770" s="114"/>
      <c r="V770" s="114"/>
      <c r="W770" s="114"/>
      <c r="X770" s="114"/>
      <c r="Y770" s="114"/>
      <c r="Z770" s="164"/>
      <c r="AA770" s="114"/>
      <c r="AB770" s="114"/>
      <c r="AC770" s="114"/>
      <c r="AD770" s="114"/>
      <c r="AE770" s="114"/>
      <c r="AF770" s="114"/>
      <c r="AG770" s="114"/>
      <c r="AH770" s="114"/>
      <c r="AI770" s="114"/>
      <c r="AJ770" s="114"/>
      <c r="AK770" s="114"/>
      <c r="AL770" s="114"/>
      <c r="AM770" s="114"/>
      <c r="AN770" s="114"/>
      <c r="AO770" s="114"/>
      <c r="AP770" s="114"/>
      <c r="AQ770" s="114"/>
      <c r="AR770" s="114"/>
    </row>
    <row r="771" ht="12.75" spans="1:44">
      <c r="A771" s="114"/>
      <c r="B771" s="114"/>
      <c r="C771" s="114"/>
      <c r="D771" s="114"/>
      <c r="E771" s="226"/>
      <c r="F771" s="114"/>
      <c r="G771" s="152" t="e">
        <f t="shared" si="13"/>
        <v>#VALUE!</v>
      </c>
      <c r="H771" s="114"/>
      <c r="I771" s="114"/>
      <c r="J771" s="114"/>
      <c r="K771" s="114"/>
      <c r="L771" s="114"/>
      <c r="M771" s="114"/>
      <c r="N771" s="124"/>
      <c r="O771" s="114"/>
      <c r="P771" s="124"/>
      <c r="Q771" s="114"/>
      <c r="R771" s="124"/>
      <c r="S771" s="114"/>
      <c r="T771" s="114"/>
      <c r="U771" s="114"/>
      <c r="V771" s="114"/>
      <c r="W771" s="114"/>
      <c r="X771" s="114"/>
      <c r="Y771" s="114"/>
      <c r="Z771" s="164"/>
      <c r="AA771" s="114"/>
      <c r="AB771" s="114"/>
      <c r="AC771" s="114"/>
      <c r="AD771" s="114"/>
      <c r="AE771" s="114"/>
      <c r="AF771" s="114"/>
      <c r="AG771" s="114"/>
      <c r="AH771" s="114"/>
      <c r="AI771" s="114"/>
      <c r="AJ771" s="114"/>
      <c r="AK771" s="114"/>
      <c r="AL771" s="114"/>
      <c r="AM771" s="114"/>
      <c r="AN771" s="114"/>
      <c r="AO771" s="114"/>
      <c r="AP771" s="114"/>
      <c r="AQ771" s="114"/>
      <c r="AR771" s="114"/>
    </row>
    <row r="772" ht="12.75" spans="1:44">
      <c r="A772" s="114"/>
      <c r="B772" s="114"/>
      <c r="C772" s="114"/>
      <c r="D772" s="114"/>
      <c r="E772" s="226"/>
      <c r="F772" s="114"/>
      <c r="G772" s="152" t="e">
        <f t="shared" si="13"/>
        <v>#VALUE!</v>
      </c>
      <c r="H772" s="114"/>
      <c r="I772" s="114"/>
      <c r="J772" s="114"/>
      <c r="K772" s="114"/>
      <c r="L772" s="114"/>
      <c r="M772" s="114"/>
      <c r="N772" s="124"/>
      <c r="O772" s="114"/>
      <c r="P772" s="124"/>
      <c r="Q772" s="114"/>
      <c r="R772" s="124"/>
      <c r="S772" s="114"/>
      <c r="T772" s="114"/>
      <c r="U772" s="114"/>
      <c r="V772" s="114"/>
      <c r="W772" s="114"/>
      <c r="X772" s="114"/>
      <c r="Y772" s="114"/>
      <c r="Z772" s="164"/>
      <c r="AA772" s="114"/>
      <c r="AB772" s="114"/>
      <c r="AC772" s="114"/>
      <c r="AD772" s="114"/>
      <c r="AE772" s="114"/>
      <c r="AF772" s="114"/>
      <c r="AG772" s="114"/>
      <c r="AH772" s="114"/>
      <c r="AI772" s="114"/>
      <c r="AJ772" s="114"/>
      <c r="AK772" s="114"/>
      <c r="AL772" s="114"/>
      <c r="AM772" s="114"/>
      <c r="AN772" s="114"/>
      <c r="AO772" s="114"/>
      <c r="AP772" s="114"/>
      <c r="AQ772" s="114"/>
      <c r="AR772" s="114"/>
    </row>
    <row r="773" ht="12.75" spans="1:44">
      <c r="A773" s="114"/>
      <c r="B773" s="114"/>
      <c r="C773" s="114"/>
      <c r="D773" s="114"/>
      <c r="E773" s="226"/>
      <c r="F773" s="114"/>
      <c r="G773" s="152" t="e">
        <f t="shared" si="13"/>
        <v>#VALUE!</v>
      </c>
      <c r="H773" s="114"/>
      <c r="I773" s="114"/>
      <c r="J773" s="114"/>
      <c r="K773" s="114"/>
      <c r="L773" s="114"/>
      <c r="M773" s="114"/>
      <c r="N773" s="124"/>
      <c r="O773" s="114"/>
      <c r="P773" s="124"/>
      <c r="Q773" s="114"/>
      <c r="R773" s="124"/>
      <c r="S773" s="114"/>
      <c r="T773" s="114"/>
      <c r="U773" s="114"/>
      <c r="V773" s="114"/>
      <c r="W773" s="114"/>
      <c r="X773" s="114"/>
      <c r="Y773" s="114"/>
      <c r="Z773" s="164"/>
      <c r="AA773" s="114"/>
      <c r="AB773" s="114"/>
      <c r="AC773" s="114"/>
      <c r="AD773" s="114"/>
      <c r="AE773" s="114"/>
      <c r="AF773" s="114"/>
      <c r="AG773" s="114"/>
      <c r="AH773" s="114"/>
      <c r="AI773" s="114"/>
      <c r="AJ773" s="114"/>
      <c r="AK773" s="114"/>
      <c r="AL773" s="114"/>
      <c r="AM773" s="114"/>
      <c r="AN773" s="114"/>
      <c r="AO773" s="114"/>
      <c r="AP773" s="114"/>
      <c r="AQ773" s="114"/>
      <c r="AR773" s="114"/>
    </row>
    <row r="774" ht="12.75" spans="1:44">
      <c r="A774" s="114"/>
      <c r="B774" s="114"/>
      <c r="C774" s="114"/>
      <c r="D774" s="114"/>
      <c r="E774" s="226"/>
      <c r="F774" s="114"/>
      <c r="G774" s="152" t="e">
        <f t="shared" si="13"/>
        <v>#VALUE!</v>
      </c>
      <c r="H774" s="114"/>
      <c r="I774" s="114"/>
      <c r="J774" s="114"/>
      <c r="K774" s="114"/>
      <c r="L774" s="114"/>
      <c r="M774" s="114"/>
      <c r="N774" s="124"/>
      <c r="O774" s="114"/>
      <c r="P774" s="124"/>
      <c r="Q774" s="114"/>
      <c r="R774" s="124"/>
      <c r="S774" s="114"/>
      <c r="T774" s="114"/>
      <c r="U774" s="114"/>
      <c r="V774" s="114"/>
      <c r="W774" s="114"/>
      <c r="X774" s="114"/>
      <c r="Y774" s="114"/>
      <c r="Z774" s="164"/>
      <c r="AA774" s="114"/>
      <c r="AB774" s="114"/>
      <c r="AC774" s="114"/>
      <c r="AD774" s="114"/>
      <c r="AE774" s="114"/>
      <c r="AF774" s="114"/>
      <c r="AG774" s="114"/>
      <c r="AH774" s="114"/>
      <c r="AI774" s="114"/>
      <c r="AJ774" s="114"/>
      <c r="AK774" s="114"/>
      <c r="AL774" s="114"/>
      <c r="AM774" s="114"/>
      <c r="AN774" s="114"/>
      <c r="AO774" s="114"/>
      <c r="AP774" s="114"/>
      <c r="AQ774" s="114"/>
      <c r="AR774" s="114"/>
    </row>
    <row r="775" ht="12.75" spans="1:44">
      <c r="A775" s="114"/>
      <c r="B775" s="114"/>
      <c r="C775" s="114"/>
      <c r="D775" s="114"/>
      <c r="E775" s="226"/>
      <c r="F775" s="114"/>
      <c r="G775" s="152" t="e">
        <f t="shared" si="13"/>
        <v>#VALUE!</v>
      </c>
      <c r="H775" s="114"/>
      <c r="I775" s="114"/>
      <c r="J775" s="114"/>
      <c r="K775" s="114"/>
      <c r="L775" s="114"/>
      <c r="M775" s="114"/>
      <c r="N775" s="124"/>
      <c r="O775" s="114"/>
      <c r="P775" s="124"/>
      <c r="Q775" s="114"/>
      <c r="R775" s="124"/>
      <c r="S775" s="114"/>
      <c r="T775" s="114"/>
      <c r="U775" s="114"/>
      <c r="V775" s="114"/>
      <c r="W775" s="114"/>
      <c r="X775" s="114"/>
      <c r="Y775" s="114"/>
      <c r="Z775" s="164"/>
      <c r="AA775" s="114"/>
      <c r="AB775" s="114"/>
      <c r="AC775" s="114"/>
      <c r="AD775" s="114"/>
      <c r="AE775" s="114"/>
      <c r="AF775" s="114"/>
      <c r="AG775" s="114"/>
      <c r="AH775" s="114"/>
      <c r="AI775" s="114"/>
      <c r="AJ775" s="114"/>
      <c r="AK775" s="114"/>
      <c r="AL775" s="114"/>
      <c r="AM775" s="114"/>
      <c r="AN775" s="114"/>
      <c r="AO775" s="114"/>
      <c r="AP775" s="114"/>
      <c r="AQ775" s="114"/>
      <c r="AR775" s="114"/>
    </row>
    <row r="776" ht="12.75" spans="1:44">
      <c r="A776" s="114"/>
      <c r="B776" s="114"/>
      <c r="C776" s="114"/>
      <c r="D776" s="114"/>
      <c r="E776" s="226"/>
      <c r="F776" s="114"/>
      <c r="G776" s="152" t="e">
        <f t="shared" si="13"/>
        <v>#VALUE!</v>
      </c>
      <c r="H776" s="114"/>
      <c r="I776" s="114"/>
      <c r="J776" s="114"/>
      <c r="K776" s="114"/>
      <c r="L776" s="114"/>
      <c r="M776" s="114"/>
      <c r="N776" s="124"/>
      <c r="O776" s="114"/>
      <c r="P776" s="124"/>
      <c r="Q776" s="114"/>
      <c r="R776" s="124"/>
      <c r="S776" s="114"/>
      <c r="T776" s="114"/>
      <c r="U776" s="114"/>
      <c r="V776" s="114"/>
      <c r="W776" s="114"/>
      <c r="X776" s="114"/>
      <c r="Y776" s="114"/>
      <c r="Z776" s="164"/>
      <c r="AA776" s="114"/>
      <c r="AB776" s="114"/>
      <c r="AC776" s="114"/>
      <c r="AD776" s="114"/>
      <c r="AE776" s="114"/>
      <c r="AF776" s="114"/>
      <c r="AG776" s="114"/>
      <c r="AH776" s="114"/>
      <c r="AI776" s="114"/>
      <c r="AJ776" s="114"/>
      <c r="AK776" s="114"/>
      <c r="AL776" s="114"/>
      <c r="AM776" s="114"/>
      <c r="AN776" s="114"/>
      <c r="AO776" s="114"/>
      <c r="AP776" s="114"/>
      <c r="AQ776" s="114"/>
      <c r="AR776" s="114"/>
    </row>
    <row r="777" ht="12.75" spans="1:44">
      <c r="A777" s="114"/>
      <c r="B777" s="114"/>
      <c r="C777" s="114"/>
      <c r="D777" s="114"/>
      <c r="E777" s="226"/>
      <c r="F777" s="114"/>
      <c r="G777" s="152" t="e">
        <f t="shared" si="13"/>
        <v>#VALUE!</v>
      </c>
      <c r="H777" s="114"/>
      <c r="I777" s="114"/>
      <c r="J777" s="114"/>
      <c r="K777" s="114"/>
      <c r="L777" s="114"/>
      <c r="M777" s="114"/>
      <c r="N777" s="124"/>
      <c r="O777" s="114"/>
      <c r="P777" s="124"/>
      <c r="Q777" s="114"/>
      <c r="R777" s="124"/>
      <c r="S777" s="114"/>
      <c r="T777" s="114"/>
      <c r="U777" s="114"/>
      <c r="V777" s="114"/>
      <c r="W777" s="114"/>
      <c r="X777" s="114"/>
      <c r="Y777" s="114"/>
      <c r="Z777" s="164"/>
      <c r="AA777" s="114"/>
      <c r="AB777" s="114"/>
      <c r="AC777" s="114"/>
      <c r="AD777" s="114"/>
      <c r="AE777" s="114"/>
      <c r="AF777" s="114"/>
      <c r="AG777" s="114"/>
      <c r="AH777" s="114"/>
      <c r="AI777" s="114"/>
      <c r="AJ777" s="114"/>
      <c r="AK777" s="114"/>
      <c r="AL777" s="114"/>
      <c r="AM777" s="114"/>
      <c r="AN777" s="114"/>
      <c r="AO777" s="114"/>
      <c r="AP777" s="114"/>
      <c r="AQ777" s="114"/>
      <c r="AR777" s="114"/>
    </row>
    <row r="778" ht="12.75" spans="1:44">
      <c r="A778" s="114"/>
      <c r="B778" s="114"/>
      <c r="C778" s="114"/>
      <c r="D778" s="114"/>
      <c r="E778" s="226"/>
      <c r="F778" s="114"/>
      <c r="G778" s="152" t="e">
        <f t="shared" si="13"/>
        <v>#VALUE!</v>
      </c>
      <c r="H778" s="114"/>
      <c r="I778" s="114"/>
      <c r="J778" s="114"/>
      <c r="K778" s="114"/>
      <c r="L778" s="114"/>
      <c r="M778" s="114"/>
      <c r="N778" s="124"/>
      <c r="O778" s="114"/>
      <c r="P778" s="124"/>
      <c r="Q778" s="114"/>
      <c r="R778" s="124"/>
      <c r="S778" s="114"/>
      <c r="T778" s="114"/>
      <c r="U778" s="114"/>
      <c r="V778" s="114"/>
      <c r="W778" s="114"/>
      <c r="X778" s="114"/>
      <c r="Y778" s="114"/>
      <c r="Z778" s="164"/>
      <c r="AA778" s="114"/>
      <c r="AB778" s="114"/>
      <c r="AC778" s="114"/>
      <c r="AD778" s="114"/>
      <c r="AE778" s="114"/>
      <c r="AF778" s="114"/>
      <c r="AG778" s="114"/>
      <c r="AH778" s="114"/>
      <c r="AI778" s="114"/>
      <c r="AJ778" s="114"/>
      <c r="AK778" s="114"/>
      <c r="AL778" s="114"/>
      <c r="AM778" s="114"/>
      <c r="AN778" s="114"/>
      <c r="AO778" s="114"/>
      <c r="AP778" s="114"/>
      <c r="AQ778" s="114"/>
      <c r="AR778" s="114"/>
    </row>
    <row r="779" ht="12.75" spans="1:44">
      <c r="A779" s="114"/>
      <c r="B779" s="114"/>
      <c r="C779" s="114"/>
      <c r="D779" s="114"/>
      <c r="E779" s="226"/>
      <c r="F779" s="114"/>
      <c r="G779" s="152" t="e">
        <f t="shared" si="13"/>
        <v>#VALUE!</v>
      </c>
      <c r="H779" s="114"/>
      <c r="I779" s="114"/>
      <c r="J779" s="114"/>
      <c r="K779" s="114"/>
      <c r="L779" s="114"/>
      <c r="M779" s="114"/>
      <c r="N779" s="124"/>
      <c r="O779" s="114"/>
      <c r="P779" s="124"/>
      <c r="Q779" s="114"/>
      <c r="R779" s="124"/>
      <c r="S779" s="114"/>
      <c r="T779" s="114"/>
      <c r="U779" s="114"/>
      <c r="V779" s="114"/>
      <c r="W779" s="114"/>
      <c r="X779" s="114"/>
      <c r="Y779" s="114"/>
      <c r="Z779" s="164"/>
      <c r="AA779" s="114"/>
      <c r="AB779" s="114"/>
      <c r="AC779" s="114"/>
      <c r="AD779" s="114"/>
      <c r="AE779" s="114"/>
      <c r="AF779" s="114"/>
      <c r="AG779" s="114"/>
      <c r="AH779" s="114"/>
      <c r="AI779" s="114"/>
      <c r="AJ779" s="114"/>
      <c r="AK779" s="114"/>
      <c r="AL779" s="114"/>
      <c r="AM779" s="114"/>
      <c r="AN779" s="114"/>
      <c r="AO779" s="114"/>
      <c r="AP779" s="114"/>
      <c r="AQ779" s="114"/>
      <c r="AR779" s="114"/>
    </row>
    <row r="780" ht="12.75" spans="1:44">
      <c r="A780" s="114"/>
      <c r="B780" s="114"/>
      <c r="C780" s="114"/>
      <c r="D780" s="114"/>
      <c r="E780" s="226"/>
      <c r="F780" s="114"/>
      <c r="G780" s="152" t="e">
        <f t="shared" si="13"/>
        <v>#VALUE!</v>
      </c>
      <c r="H780" s="114"/>
      <c r="I780" s="114"/>
      <c r="J780" s="114"/>
      <c r="K780" s="114"/>
      <c r="L780" s="114"/>
      <c r="M780" s="114"/>
      <c r="N780" s="124"/>
      <c r="O780" s="114"/>
      <c r="P780" s="124"/>
      <c r="Q780" s="114"/>
      <c r="R780" s="124"/>
      <c r="S780" s="114"/>
      <c r="T780" s="114"/>
      <c r="U780" s="114"/>
      <c r="V780" s="114"/>
      <c r="W780" s="114"/>
      <c r="X780" s="114"/>
      <c r="Y780" s="114"/>
      <c r="Z780" s="164"/>
      <c r="AA780" s="114"/>
      <c r="AB780" s="114"/>
      <c r="AC780" s="114"/>
      <c r="AD780" s="114"/>
      <c r="AE780" s="114"/>
      <c r="AF780" s="114"/>
      <c r="AG780" s="114"/>
      <c r="AH780" s="114"/>
      <c r="AI780" s="114"/>
      <c r="AJ780" s="114"/>
      <c r="AK780" s="114"/>
      <c r="AL780" s="114"/>
      <c r="AM780" s="114"/>
      <c r="AN780" s="114"/>
      <c r="AO780" s="114"/>
      <c r="AP780" s="114"/>
      <c r="AQ780" s="114"/>
      <c r="AR780" s="114"/>
    </row>
    <row r="781" ht="12.75" spans="1:44">
      <c r="A781" s="114"/>
      <c r="B781" s="114"/>
      <c r="C781" s="114"/>
      <c r="D781" s="114"/>
      <c r="E781" s="226"/>
      <c r="F781" s="114"/>
      <c r="G781" s="152" t="e">
        <f t="shared" si="13"/>
        <v>#VALUE!</v>
      </c>
      <c r="H781" s="114"/>
      <c r="I781" s="114"/>
      <c r="J781" s="114"/>
      <c r="K781" s="114"/>
      <c r="L781" s="114"/>
      <c r="M781" s="114"/>
      <c r="N781" s="124"/>
      <c r="O781" s="114"/>
      <c r="P781" s="124"/>
      <c r="Q781" s="114"/>
      <c r="R781" s="124"/>
      <c r="S781" s="114"/>
      <c r="T781" s="114"/>
      <c r="U781" s="114"/>
      <c r="V781" s="114"/>
      <c r="W781" s="114"/>
      <c r="X781" s="114"/>
      <c r="Y781" s="114"/>
      <c r="Z781" s="164"/>
      <c r="AA781" s="114"/>
      <c r="AB781" s="114"/>
      <c r="AC781" s="114"/>
      <c r="AD781" s="114"/>
      <c r="AE781" s="114"/>
      <c r="AF781" s="114"/>
      <c r="AG781" s="114"/>
      <c r="AH781" s="114"/>
      <c r="AI781" s="114"/>
      <c r="AJ781" s="114"/>
      <c r="AK781" s="114"/>
      <c r="AL781" s="114"/>
      <c r="AM781" s="114"/>
      <c r="AN781" s="114"/>
      <c r="AO781" s="114"/>
      <c r="AP781" s="114"/>
      <c r="AQ781" s="114"/>
      <c r="AR781" s="114"/>
    </row>
    <row r="782" ht="12.75" spans="1:44">
      <c r="A782" s="114"/>
      <c r="B782" s="114"/>
      <c r="C782" s="114"/>
      <c r="D782" s="114"/>
      <c r="E782" s="226"/>
      <c r="F782" s="114"/>
      <c r="G782" s="152" t="e">
        <f t="shared" si="13"/>
        <v>#VALUE!</v>
      </c>
      <c r="H782" s="114"/>
      <c r="I782" s="114"/>
      <c r="J782" s="114"/>
      <c r="K782" s="114"/>
      <c r="L782" s="114"/>
      <c r="M782" s="114"/>
      <c r="N782" s="124"/>
      <c r="O782" s="114"/>
      <c r="P782" s="124"/>
      <c r="Q782" s="114"/>
      <c r="R782" s="124"/>
      <c r="S782" s="114"/>
      <c r="T782" s="114"/>
      <c r="U782" s="114"/>
      <c r="V782" s="114"/>
      <c r="W782" s="114"/>
      <c r="X782" s="114"/>
      <c r="Y782" s="114"/>
      <c r="Z782" s="164"/>
      <c r="AA782" s="114"/>
      <c r="AB782" s="114"/>
      <c r="AC782" s="114"/>
      <c r="AD782" s="114"/>
      <c r="AE782" s="114"/>
      <c r="AF782" s="114"/>
      <c r="AG782" s="114"/>
      <c r="AH782" s="114"/>
      <c r="AI782" s="114"/>
      <c r="AJ782" s="114"/>
      <c r="AK782" s="114"/>
      <c r="AL782" s="114"/>
      <c r="AM782" s="114"/>
      <c r="AN782" s="114"/>
      <c r="AO782" s="114"/>
      <c r="AP782" s="114"/>
      <c r="AQ782" s="114"/>
      <c r="AR782" s="114"/>
    </row>
    <row r="783" ht="12.75" spans="1:44">
      <c r="A783" s="114"/>
      <c r="B783" s="114"/>
      <c r="C783" s="114"/>
      <c r="D783" s="114"/>
      <c r="E783" s="226"/>
      <c r="F783" s="114"/>
      <c r="G783" s="152" t="e">
        <f t="shared" si="13"/>
        <v>#VALUE!</v>
      </c>
      <c r="H783" s="114"/>
      <c r="I783" s="114"/>
      <c r="J783" s="114"/>
      <c r="K783" s="114"/>
      <c r="L783" s="114"/>
      <c r="M783" s="114"/>
      <c r="N783" s="124"/>
      <c r="O783" s="114"/>
      <c r="P783" s="124"/>
      <c r="Q783" s="114"/>
      <c r="R783" s="124"/>
      <c r="S783" s="114"/>
      <c r="T783" s="114"/>
      <c r="U783" s="114"/>
      <c r="V783" s="114"/>
      <c r="W783" s="114"/>
      <c r="X783" s="114"/>
      <c r="Y783" s="114"/>
      <c r="Z783" s="164"/>
      <c r="AA783" s="114"/>
      <c r="AB783" s="114"/>
      <c r="AC783" s="114"/>
      <c r="AD783" s="114"/>
      <c r="AE783" s="114"/>
      <c r="AF783" s="114"/>
      <c r="AG783" s="114"/>
      <c r="AH783" s="114"/>
      <c r="AI783" s="114"/>
      <c r="AJ783" s="114"/>
      <c r="AK783" s="114"/>
      <c r="AL783" s="114"/>
      <c r="AM783" s="114"/>
      <c r="AN783" s="114"/>
      <c r="AO783" s="114"/>
      <c r="AP783" s="114"/>
      <c r="AQ783" s="114"/>
      <c r="AR783" s="114"/>
    </row>
    <row r="784" ht="12.75" spans="1:44">
      <c r="A784" s="114"/>
      <c r="B784" s="114"/>
      <c r="C784" s="114"/>
      <c r="D784" s="114"/>
      <c r="E784" s="226"/>
      <c r="F784" s="114"/>
      <c r="G784" s="152" t="e">
        <f t="shared" si="13"/>
        <v>#VALUE!</v>
      </c>
      <c r="H784" s="114"/>
      <c r="I784" s="114"/>
      <c r="J784" s="114"/>
      <c r="K784" s="114"/>
      <c r="L784" s="114"/>
      <c r="M784" s="114"/>
      <c r="N784" s="124"/>
      <c r="O784" s="114"/>
      <c r="P784" s="124"/>
      <c r="Q784" s="114"/>
      <c r="R784" s="124"/>
      <c r="S784" s="114"/>
      <c r="T784" s="114"/>
      <c r="U784" s="114"/>
      <c r="V784" s="114"/>
      <c r="W784" s="114"/>
      <c r="X784" s="114"/>
      <c r="Y784" s="114"/>
      <c r="Z784" s="164"/>
      <c r="AA784" s="114"/>
      <c r="AB784" s="114"/>
      <c r="AC784" s="114"/>
      <c r="AD784" s="114"/>
      <c r="AE784" s="114"/>
      <c r="AF784" s="114"/>
      <c r="AG784" s="114"/>
      <c r="AH784" s="114"/>
      <c r="AI784" s="114"/>
      <c r="AJ784" s="114"/>
      <c r="AK784" s="114"/>
      <c r="AL784" s="114"/>
      <c r="AM784" s="114"/>
      <c r="AN784" s="114"/>
      <c r="AO784" s="114"/>
      <c r="AP784" s="114"/>
      <c r="AQ784" s="114"/>
      <c r="AR784" s="114"/>
    </row>
    <row r="785" ht="12.75" spans="1:44">
      <c r="A785" s="114"/>
      <c r="B785" s="114"/>
      <c r="C785" s="114"/>
      <c r="D785" s="114"/>
      <c r="E785" s="226"/>
      <c r="F785" s="114"/>
      <c r="G785" s="152" t="e">
        <f t="shared" si="13"/>
        <v>#VALUE!</v>
      </c>
      <c r="H785" s="114"/>
      <c r="I785" s="114"/>
      <c r="J785" s="114"/>
      <c r="K785" s="114"/>
      <c r="L785" s="114"/>
      <c r="M785" s="114"/>
      <c r="N785" s="124"/>
      <c r="O785" s="114"/>
      <c r="P785" s="124"/>
      <c r="Q785" s="114"/>
      <c r="R785" s="124"/>
      <c r="S785" s="114"/>
      <c r="T785" s="114"/>
      <c r="U785" s="114"/>
      <c r="V785" s="114"/>
      <c r="W785" s="114"/>
      <c r="X785" s="114"/>
      <c r="Y785" s="114"/>
      <c r="Z785" s="164"/>
      <c r="AA785" s="114"/>
      <c r="AB785" s="114"/>
      <c r="AC785" s="114"/>
      <c r="AD785" s="114"/>
      <c r="AE785" s="114"/>
      <c r="AF785" s="114"/>
      <c r="AG785" s="114"/>
      <c r="AH785" s="114"/>
      <c r="AI785" s="114"/>
      <c r="AJ785" s="114"/>
      <c r="AK785" s="114"/>
      <c r="AL785" s="114"/>
      <c r="AM785" s="114"/>
      <c r="AN785" s="114"/>
      <c r="AO785" s="114"/>
      <c r="AP785" s="114"/>
      <c r="AQ785" s="114"/>
      <c r="AR785" s="114"/>
    </row>
    <row r="786" ht="12.75" spans="1:44">
      <c r="A786" s="114"/>
      <c r="B786" s="114"/>
      <c r="C786" s="114"/>
      <c r="D786" s="114"/>
      <c r="E786" s="226"/>
      <c r="F786" s="114"/>
      <c r="G786" s="152" t="e">
        <f t="shared" si="13"/>
        <v>#VALUE!</v>
      </c>
      <c r="H786" s="114"/>
      <c r="I786" s="114"/>
      <c r="J786" s="114"/>
      <c r="K786" s="114"/>
      <c r="L786" s="114"/>
      <c r="M786" s="114"/>
      <c r="N786" s="124"/>
      <c r="O786" s="114"/>
      <c r="P786" s="124"/>
      <c r="Q786" s="114"/>
      <c r="R786" s="124"/>
      <c r="S786" s="114"/>
      <c r="T786" s="114"/>
      <c r="U786" s="114"/>
      <c r="V786" s="114"/>
      <c r="W786" s="114"/>
      <c r="X786" s="114"/>
      <c r="Y786" s="114"/>
      <c r="Z786" s="164"/>
      <c r="AA786" s="114"/>
      <c r="AB786" s="114"/>
      <c r="AC786" s="114"/>
      <c r="AD786" s="114"/>
      <c r="AE786" s="114"/>
      <c r="AF786" s="114"/>
      <c r="AG786" s="114"/>
      <c r="AH786" s="114"/>
      <c r="AI786" s="114"/>
      <c r="AJ786" s="114"/>
      <c r="AK786" s="114"/>
      <c r="AL786" s="114"/>
      <c r="AM786" s="114"/>
      <c r="AN786" s="114"/>
      <c r="AO786" s="114"/>
      <c r="AP786" s="114"/>
      <c r="AQ786" s="114"/>
      <c r="AR786" s="114"/>
    </row>
    <row r="787" ht="12.75" spans="1:44">
      <c r="A787" s="114"/>
      <c r="B787" s="114"/>
      <c r="C787" s="114"/>
      <c r="D787" s="114"/>
      <c r="E787" s="226"/>
      <c r="F787" s="114"/>
      <c r="G787" s="152" t="e">
        <f t="shared" si="13"/>
        <v>#VALUE!</v>
      </c>
      <c r="H787" s="114"/>
      <c r="I787" s="114"/>
      <c r="J787" s="114"/>
      <c r="K787" s="114"/>
      <c r="L787" s="114"/>
      <c r="M787" s="114"/>
      <c r="N787" s="124"/>
      <c r="O787" s="114"/>
      <c r="P787" s="124"/>
      <c r="Q787" s="114"/>
      <c r="R787" s="124"/>
      <c r="S787" s="114"/>
      <c r="T787" s="114"/>
      <c r="U787" s="114"/>
      <c r="V787" s="114"/>
      <c r="W787" s="114"/>
      <c r="X787" s="114"/>
      <c r="Y787" s="114"/>
      <c r="Z787" s="164"/>
      <c r="AA787" s="114"/>
      <c r="AB787" s="114"/>
      <c r="AC787" s="114"/>
      <c r="AD787" s="114"/>
      <c r="AE787" s="114"/>
      <c r="AF787" s="114"/>
      <c r="AG787" s="114"/>
      <c r="AH787" s="114"/>
      <c r="AI787" s="114"/>
      <c r="AJ787" s="114"/>
      <c r="AK787" s="114"/>
      <c r="AL787" s="114"/>
      <c r="AM787" s="114"/>
      <c r="AN787" s="114"/>
      <c r="AO787" s="114"/>
      <c r="AP787" s="114"/>
      <c r="AQ787" s="114"/>
      <c r="AR787" s="114"/>
    </row>
    <row r="788" ht="12.75" spans="1:44">
      <c r="A788" s="114"/>
      <c r="B788" s="114"/>
      <c r="C788" s="114"/>
      <c r="D788" s="114"/>
      <c r="E788" s="226"/>
      <c r="F788" s="114"/>
      <c r="G788" s="152" t="e">
        <f t="shared" si="13"/>
        <v>#VALUE!</v>
      </c>
      <c r="H788" s="114"/>
      <c r="I788" s="114"/>
      <c r="J788" s="114"/>
      <c r="K788" s="114"/>
      <c r="L788" s="114"/>
      <c r="M788" s="114"/>
      <c r="N788" s="124"/>
      <c r="O788" s="114"/>
      <c r="P788" s="124"/>
      <c r="Q788" s="114"/>
      <c r="R788" s="124"/>
      <c r="S788" s="114"/>
      <c r="T788" s="114"/>
      <c r="U788" s="114"/>
      <c r="V788" s="114"/>
      <c r="W788" s="114"/>
      <c r="X788" s="114"/>
      <c r="Y788" s="114"/>
      <c r="Z788" s="164"/>
      <c r="AA788" s="114"/>
      <c r="AB788" s="114"/>
      <c r="AC788" s="114"/>
      <c r="AD788" s="114"/>
      <c r="AE788" s="114"/>
      <c r="AF788" s="114"/>
      <c r="AG788" s="114"/>
      <c r="AH788" s="114"/>
      <c r="AI788" s="114"/>
      <c r="AJ788" s="114"/>
      <c r="AK788" s="114"/>
      <c r="AL788" s="114"/>
      <c r="AM788" s="114"/>
      <c r="AN788" s="114"/>
      <c r="AO788" s="114"/>
      <c r="AP788" s="114"/>
      <c r="AQ788" s="114"/>
      <c r="AR788" s="114"/>
    </row>
    <row r="789" ht="12.75" spans="1:44">
      <c r="A789" s="114"/>
      <c r="B789" s="114"/>
      <c r="C789" s="114"/>
      <c r="D789" s="114"/>
      <c r="E789" s="226"/>
      <c r="F789" s="114"/>
      <c r="G789" s="152" t="e">
        <f t="shared" si="13"/>
        <v>#VALUE!</v>
      </c>
      <c r="H789" s="114"/>
      <c r="I789" s="114"/>
      <c r="J789" s="114"/>
      <c r="K789" s="114"/>
      <c r="L789" s="114"/>
      <c r="M789" s="114"/>
      <c r="N789" s="124"/>
      <c r="O789" s="114"/>
      <c r="P789" s="124"/>
      <c r="Q789" s="114"/>
      <c r="R789" s="124"/>
      <c r="S789" s="114"/>
      <c r="T789" s="114"/>
      <c r="U789" s="114"/>
      <c r="V789" s="114"/>
      <c r="W789" s="114"/>
      <c r="X789" s="114"/>
      <c r="Y789" s="114"/>
      <c r="Z789" s="164"/>
      <c r="AA789" s="114"/>
      <c r="AB789" s="114"/>
      <c r="AC789" s="114"/>
      <c r="AD789" s="114"/>
      <c r="AE789" s="114"/>
      <c r="AF789" s="114"/>
      <c r="AG789" s="114"/>
      <c r="AH789" s="114"/>
      <c r="AI789" s="114"/>
      <c r="AJ789" s="114"/>
      <c r="AK789" s="114"/>
      <c r="AL789" s="114"/>
      <c r="AM789" s="114"/>
      <c r="AN789" s="114"/>
      <c r="AO789" s="114"/>
      <c r="AP789" s="114"/>
      <c r="AQ789" s="114"/>
      <c r="AR789" s="114"/>
    </row>
  </sheetData>
  <autoFilter ref="A1:U454">
    <sortState ref="A1:U454">
      <sortCondition ref="G1:G454"/>
      <sortCondition ref="F1:F454"/>
    </sortState>
    <extLst/>
  </autoFilter>
  <customSheetViews>
    <customSheetView guid="{E086B786-E23A-4249-A01F-868640B6757E}" filter="1" showAutoFilter="1">
      <autoFilter ref="A1:U407">
        <filterColumn colId="1">
          <filters>
            <filter val="Robotics"/>
            <filter val="Multimodal"/>
            <filter val="Vision"/>
          </filters>
        </filterColumn>
      </autoFilter>
    </customSheetView>
    <customSheetView guid="{15FEB674-83BE-4B19-BAA1-07E7449B8093}" filter="1" showAutoFilter="1">
      <autoFilter ref="A1:U402">
        <filterColumn colId="15">
          <filters>
            <filter val="1.13E+10"/>
            <filter val="5.40E+10"/>
            <filter val="1.53E+10"/>
            <filter val="1.68E+10"/>
            <filter val="9.70E+10"/>
            <filter val="1.96E+10"/>
            <filter val="1.15E+11"/>
            <filter val="1.27E+11"/>
            <filter val="1.04E+12"/>
            <filter val="1.80E+13"/>
            <filter val="4.20E+04"/>
            <filter val="8.40E+09"/>
            <filter val="2.25E+10"/>
            <filter val="2.26E+10"/>
            <filter val="2.46E+10"/>
            <filter val="2.60E+10"/>
            <filter val="3.30E+01"/>
            <filter val="2.63E+11"/>
            <filter val="7.81E+05"/>
            <filter val="7.00E+06"/>
            <filter val="3.00E+08"/>
            <filter val="3.90E+08"/>
            <filter val="7.42E+09"/>
            <filter val="3.87E+09"/>
            <filter val="3.00E+10"/>
            <filter val="7.10E+10"/>
            <filter val="3.12E+10"/>
            <filter val="7.90E+10"/>
            <filter val="3.25E+11"/>
            <filter val="3.40E+12"/>
            <filter val="2.88E+02"/>
            <filter val="3.60E+13"/>
            <filter val="7.40E+14"/>
            <filter val="2.17E+07"/>
            <filter val="2.59E+07"/>
            <filter val="6.70E+07"/>
            <filter val="6.00E+08"/>
            <filter val="2.64E+09"/>
            <filter val="N/A"/>
            <filter val="1.29E+04"/>
            <filter val="1.29E+05"/>
            <filter val="1.05E+07"/>
            <filter val="1.12E+07"/>
            <filter val="1.40E+07"/>
            <filter val="1.10E+08"/>
            <filter val="1.40E+08"/>
            <filter val="1.60E+08"/>
            <filter val="1.14E+09"/>
            <filter val="5.36E+09"/>
            <filter val="1.80E+09"/>
          </filters>
        </filterColumn>
      </autoFilter>
    </customSheetView>
    <customSheetView guid="{5F4383BB-2FE0-433E-9350-D218CF9D3701}" filter="1" showAutoFilter="1">
      <autoFilter ref="A1:U406"/>
    </customSheetView>
  </customSheetViews>
  <conditionalFormatting sqref="J1:J789">
    <cfRule type="cellIs" dxfId="3" priority="4" operator="greaterThan">
      <formula>10000</formula>
    </cfRule>
  </conditionalFormatting>
  <conditionalFormatting sqref="J1:J789 K1:K310 K312:K789">
    <cfRule type="cellIs" dxfId="0" priority="1" operator="lessThan">
      <formula>100</formula>
    </cfRule>
    <cfRule type="cellIs" dxfId="1" priority="2" operator="between">
      <formula>100</formula>
      <formula>1000</formula>
    </cfRule>
    <cfRule type="cellIs" dxfId="2" priority="3" operator="between">
      <formula>1000</formula>
      <formula>10000</formula>
    </cfRule>
  </conditionalFormatting>
  <hyperlinks>
    <hyperlink ref="I2" r:id="rId3" display="https://www.technologyreview.com/2018/12/19/138508/mighty-mouse/"/>
    <hyperlink ref="I3" r:id="rId4" display="https://en.wikipedia.org/wiki/Stochastic_neural_analog_reinforcement_calculator"/>
    <hyperlink ref="Z4" r:id="rId5" display="Median"/>
    <hyperlink ref="I5" r:id="rId6" display="https://dl.acm.org/doi/10.1145/1455292.1455309"/>
    <hyperlink ref="I6" r:id="rId7" display="https://dl.acm.org/doi/10.1145/1455292.1455310"/>
    <hyperlink ref="I7" r:id="rId8" display="https://www.sciencedirect.com/science/article/pii/S0019995859900580"/>
    <hyperlink ref="I8" r:id="rId9" display="https://blogs.umass.edu/brain-wars/files/2016/03/rosenblatt-1957.pdf"/>
    <hyperlink ref="Z8" r:id="rId10" display="OpenAI"/>
    <hyperlink ref="I9" r:id="rId11" display="https://www.computer.org/csdl/proceedings-article/afips/1959/50550225/12OmNqN6R43"/>
    <hyperlink ref="I10" r:id="rId12" display="https://ieeexplore.ieee.org/abstract/document/5392560"/>
    <hyperlink ref="I11" r:id="rId13" display="https://aitopics.org/doc/classics:504E1BAC/"/>
    <hyperlink ref="I12" r:id="rId14" display="https://apps.dtic.mil/sti/pdfs/AD0241531.pdf"/>
    <hyperlink ref="I13" r:id="rId15" display="https://isl.stanford.edu/~widrow/papers/c1960adaptiveswitching.pdf"/>
    <hyperlink ref="I14" r:id="rId16" display="https://ieeexplore.ieee.org/abstract/document/4066245"/>
    <hyperlink ref="I15" r:id="rId17" display="https://stacks.stanford.edu/file/druid:yr384hg3073/yr384hg3073.pdf"/>
    <hyperlink ref="I16" r:id="rId18" display="https://link.springer.com/content/pdf/10.1007/BF02822639.pdf"/>
    <hyperlink ref="I17" r:id="rId19" display="https://www.proquest.com/openview/7898314db50a218b58052ac91e3bde1e/1?"/>
    <hyperlink ref="I18" r:id="rId20" display="https://www.researchgate.net/publication/252919025_STELLA_A_scheme_for_a_learning_machine"/>
    <hyperlink ref="I19" r:id="rId21" display="https://academic.oup.com/comjnl/article/6/3/232/360077"/>
    <hyperlink ref="I20" r:id="rId22" display="https://www.cs.virginia.edu/~evans/greatworks/samuel.pdf"/>
    <hyperlink ref="I21" r:id="rId23" display="http://citeseerx.ist.psu.edu/viewdoc/download?doi=10.1.1.474.2430&amp;rep=rep1&amp;type=pdf"/>
    <hyperlink ref="I22" r:id="rId23" display="http://citeseerx.ist.psu.edu/viewdoc/download?doi=10.1.1.474.2430&amp;rep=rep1&amp;type=pdf"/>
    <hyperlink ref="I23" r:id="rId24" display="https://dspace.mit.edu/handle/1721.1/6884"/>
    <hyperlink ref="I24" r:id="rId25" display="http://www.svms.org/classification/DuHS95.pdf"/>
    <hyperlink ref="I25" r:id="rId26" display="https://ieeexplore.ieee.org/document/4309272"/>
    <hyperlink ref="I26" r:id="rId27" display="https://link.springer.com/article/10.1007%2FBF00342633"/>
    <hyperlink ref="I27" r:id="rId28" display="https://www.sciencedirect.com/science/article/pii/S0019995877903540"/>
    <hyperlink ref="I28" r:id="rId29" display="https://link.springer.com/article/10.1007/BF00337644"/>
    <hyperlink ref="I29" r:id="rId30" display="https://link.springer.com/article/10.1007/BF00344251"/>
    <hyperlink ref="I30" r:id="rId31" display="https://link.springer.com/article/10.1007/BF00337288"/>
    <hyperlink ref="I31" r:id="rId32" display="https://bi.snu.ac.kr/Courses/g-ai09-2/hopfield82.pdf"/>
    <hyperlink ref="I32" r:id="rId33" display="https://ieeexplore.ieee.org/document/6313077"/>
    <hyperlink ref="I33" r:id="rId34" display="https://psycnet.apa.org/record/1985-97439-000"/>
    <hyperlink ref="I34" r:id="rId35" display="https://apps.dtic.mil/sti/citations/ADA164453"/>
    <hyperlink ref="I35" r:id="rId36" display="https://ieeexplore.ieee.org/abstract/document/4767851"/>
    <hyperlink ref="I37" r:id="rId37" display="https://www.osti.gov/biblio/6910294"/>
    <hyperlink ref="I38" r:id="rId38" display="https://www.nature.com/articles/323533a0"/>
    <hyperlink ref="I39" r:id="rId39" display="http://stanford.edu/~jlmcc/papers/PDP/Chapter18.pdf"/>
    <hyperlink ref="I40" r:id="rId40" display="https://psycnet.apa.org/record/1987-20898-001"/>
    <hyperlink ref="I41" r:id="rId41" display="http://citeseerx.ist.psu.edu/viewdoc/download;jsessionid=03A3D3EDF0BAF35405ABCF083411B55E?doi=10.1.1.154.7012&amp;rep=rep1&amp;type=pdf"/>
    <hyperlink ref="Z41" r:id="rId10" display="OpenAI"/>
    <hyperlink ref="I42" r:id="rId42" display="https://www-isl.stanford.edu/~widrow/papers/c1988madalinerule.pdf"/>
    <hyperlink ref="I43" r:id="rId43" display="http://citeseerx.ist.psu.edu/viewdoc/download?doi=10.1.1.434.4816&amp;rep=rep1&amp;type=pdf"/>
    <hyperlink ref="I44" r:id="rId44" display="https://www-isl.stanford.edu/people/widrow/papers/c1988anadaptive.pdf"/>
    <hyperlink ref="I45" r:id="rId45" display="https://www.sciencedirect.com/science/article/abs/pii/0893608089900208"/>
    <hyperlink ref="I46" r:id="rId46" display="https://ieeexplore.ieee.org/abstract/document/21701"/>
    <hyperlink ref="I47" r:id="rId47" display="http://www.cs.rhul.ac.uk/~chrisw/thesis.html"/>
    <hyperlink ref="I48" r:id="rId48" display="https://proceedings.neurips.cc/paper/1988/hash/812b4ba287f5ee0bc9d43bbf5bbe87fb-Abstract.html"/>
    <hyperlink ref="Z48" r:id="rId10" display="OpenAI"/>
    <hyperlink ref="I49" r:id="rId49" display="https://ieeexplore.ieee.org/document/6795724"/>
    <hyperlink ref="I50" r:id="rId50" display="https://ieeexplore.ieee.org/abstract/document/80266"/>
    <hyperlink ref="I52" r:id="rId51" display="https://link.springer.com/chapter/10.1007/978-3-642-48650-0_19"/>
    <hyperlink ref="I53" r:id="rId52" display="https://link.springer.com/article/10.1007/BF00114844"/>
    <hyperlink ref="I54" r:id="rId53" display="https://link.springer.com/article/10.1007/BF00992696"/>
    <hyperlink ref="I55" r:id="rId54" display="https://papers.nips.cc/paper/1991/file/68ce199ec2c5517597ce0a4d89620f55-Paper.pdf"/>
    <hyperlink ref="Z55" r:id="rId10" display="OpenAI"/>
    <hyperlink ref="I56" r:id="rId55" display="https://ieeexplore.ieee.org/document/159058"/>
    <hyperlink ref="I57" r:id="rId56" display="https://www.aclweb.org/anthology/J93-2003/"/>
    <hyperlink ref="I58" r:id="rId57" display="https://www.aclweb.org/anthology/J94-2001/"/>
    <hyperlink ref="I59" r:id="rId58" display="http://ccs.mit.edu/papers/CCSWP165.html"/>
    <hyperlink ref="I60" r:id="rId59" display="http://image.diku.dk/imagecanon/material/cortes_vapnik95.pdf"/>
    <hyperlink ref="I61" r:id="rId60" display="https://www.aclweb.org/anthology/P95-1026/"/>
    <hyperlink ref="I62" r:id="rId61" display="https://ieeexplore.ieee.org/document/6795568"/>
    <hyperlink ref="I63" r:id="rId62" display="https://ieeexplore.ieee.org/document/598994"/>
    <hyperlink ref="H64" r:id="rId63" display="HMM-Based Word Alignment in Statistical Translation"/>
    <hyperlink ref="I64" r:id="rId64" display="https://www.aclweb.org/anthology/C96-2141/"/>
    <hyperlink ref="I65" r:id="rId65" display="https://www.ri.cmu.edu/pub_files/pub1/rowley_henry_1996_3/rowley_henry_1996_3.pdf"/>
    <hyperlink ref="I66" r:id="rId66" display="https://www.nature.com/articles/381607a0"/>
    <hyperlink ref="I67" r:id="rId67" display="https://ieeexplore.ieee.org/document/650093"/>
    <hyperlink ref="Z67" r:id="rId68" display="https://proceedings.neurips.cc/paper/2007/hash/4b0250793549726d5c1ea3906726ebfe-Abstract.html"/>
    <hyperlink ref="I68" r:id="rId69" display="https://www.sciencedirect.com/science/article/pii/S0042698997001697"/>
    <hyperlink ref="Z68" r:id="rId70" display="LessWrong"/>
    <hyperlink ref="I69" r:id="rId71" display="https://www.isca-speech.org/archive/eurospeech_1997/e97_2707.html"/>
    <hyperlink ref="I70" r:id="rId72" display="http://www.bioinf.jku.at/publications/older/2604.pdf"/>
    <hyperlink ref="I71" r:id="rId73" display="https://ieeexplore.ieee.org/document/609310"/>
    <hyperlink ref="I73" r:id="rId74" display="https://aclanthology.org/J99-2009.pdf"/>
    <hyperlink ref="I74" r:id="rId75" display="https://ieeexplore.ieee.org/document/698586"/>
    <hyperlink ref="I75" r:id="rId76" display="https://www.aaai.org/Papers/AAAI/1998/AAAI98-101.pdf"/>
    <hyperlink ref="I76" r:id="rId77" display="https://ieeexplore.ieee.org/abstract/document/668817"/>
    <hyperlink ref="Z76" r:id="rId10" display="OpenAI"/>
    <hyperlink ref="I77" r:id="rId78" display="http://vision.stanford.edu/cs598_spring07/papers/Lecun98.pdf"/>
    <hyperlink ref="Z77" r:id="rId10" display="OpenAI"/>
    <hyperlink ref="I78" r:id="rId79" display="https://link.springer.com/article/10.1023/A:1007662407062"/>
    <hyperlink ref="I79" r:id="rId80" display="http://www-i6.informatik.rwth-aachen.de/publications/download/266/al-onaizan--1999.pdf"/>
    <hyperlink ref="I80" r:id="rId81" display="https://ieeexplore.ieee.org/document/818041"/>
    <hyperlink ref="I81" r:id="rId82" display="http://robotics.stanford.edu/~ronnyk/WEBKDD2000/papers/sarwar.pdf"/>
    <hyperlink ref="I82" r:id="rId83" display="https://ieeexplore.ieee.org/document/861302"/>
    <hyperlink ref="I83" r:id="rId84" display="https://www.aclweb.org/anthology/P00-1065/"/>
    <hyperlink ref="I84" r:id="rId85" display="https://www.aclweb.org/anthology/P00-1056/"/>
    <hyperlink ref="I85" r:id="rId86" display="https://www.jstor.org/stable/2699986"/>
    <hyperlink ref="I86" r:id="rId87" display="https://www.aclweb.org/anthology/P01-1017/"/>
    <hyperlink ref="I87" r:id="rId88" display="https://www.cs.cmu.edu/~efros/courses/LBMV07/Papers/viola-cvpr-01.pdf"/>
    <hyperlink ref="I88" r:id="rId89" display="https://www.aclweb.org/anthology/P02-1038/"/>
    <hyperlink ref="I89" r:id="rId90" display="https://aclanthology.org/P02-1040.pdf"/>
    <hyperlink ref="I90" r:id="rId91" display="https://www.sciencedirect.com/science/article/pii/S0957417402000520"/>
    <hyperlink ref="I91" r:id="rId92" display="https://www.aclweb.org/anthology/W02-1001/"/>
    <hyperlink ref="I92" r:id="rId93" display="https://www.aclweb.org/anthology/W02-1018.pdf"/>
    <hyperlink ref="I93" r:id="rId94" display="https://direct.mit.edu/evco/article/10/2/99/1123/Evolving-Neural-Networks-through-Augmenting"/>
    <hyperlink ref="I94" r:id="rId95" display="https://www.aclweb.org/anthology/W02-1011/"/>
    <hyperlink ref="I95" r:id="rId96" display="https://papers.nips.cc/paper/2003/hash/b427426b8acd2c2e53827970f2c2f526-Abstract.html"/>
    <hyperlink ref="I96" r:id="rId97" display="https://ieeexplore.ieee.org/document/1211479"/>
    <hyperlink ref="I97" r:id="rId98" display="https://ieeexplore.ieee.org/document/1227801"/>
    <hyperlink ref="I98" r:id="rId99" display="http://www.cs.umd.edu/~samir/498/Amazon-Recommendations.pdf"/>
    <hyperlink ref="I99" r:id="rId100" display="https://jmlr.org/papers/volume3/blei03a/blei03a.pdf"/>
    <hyperlink ref="I100" r:id="rId101" display="https://www.jmlr.org/papers/volume3/bengio03a/bengio03a.pdf"/>
    <hyperlink ref="I101" r:id="rId102" display="https://www.aclweb.org/anthology/N03-1017/"/>
    <hyperlink ref="I102" r:id="rId103" display="https://www.aclweb.org/anthology/P04-1036/"/>
    <hyperlink ref="I103" r:id="rId104" display="https://web.archive.org/web/20050909192933/http://www.darpa.mil/grandchallenge04/TeamTechPapers/RedTeamFinalTP.pdf"/>
    <hyperlink ref="I104" r:id="rId105" display="https://papers.nips.cc/paper/2003/file/878d5691c824ee2aaf770f7d36c151d6-Paper.pdf"/>
    <hyperlink ref="I105" r:id="rId106" display="https://www.sciencedirect.com/science/article/pii/S0031320304000524"/>
    <hyperlink ref="I106" r:id="rId107" display="https://www.sciencedirect.com/science/article/abs/pii/S0262885604000721"/>
    <hyperlink ref="I107" r:id="rId108" display="https://www.aclweb.org/anthology/P05-1033.pdf"/>
    <hyperlink ref="I108" r:id="rId109" display="http://robots.stanford.edu/papers/thrun.stanley05.pdf"/>
    <hyperlink ref="I109" r:id="rId110" display="http://www.iro.umontreal.ca/~mignotte/IFT6150/Articles/Buades-NonLocal.pdf"/>
    <hyperlink ref="I110" r:id="rId111" display="http://yann.lecun.com/exdb/publis/pdf/chopra-05.pdf"/>
    <hyperlink ref="I111" r:id="rId112" display="https://science.sciencemag.org/content/308/5721/523.long"/>
    <hyperlink ref="I112" r:id="rId113" display="https://ieeexplore.ieee.org/document/1467360"/>
    <hyperlink ref="I113" r:id="rId114" display="https://www.sciencedirect.com/science/article/abs/pii/S0893608005001206"/>
    <hyperlink ref="Z113" r:id="rId10" display="OpenAI"/>
    <hyperlink ref="I115" r:id="rId115" display="https://www.aclweb.org/anthology/P06-1101/"/>
    <hyperlink ref="I116" r:id="rId116" display="https://link.springer.com/chapter/10.1007/11744023_34"/>
    <hyperlink ref="I117" r:id="rId117" display="https://inc.ucsd.edu/mplab/users/marni/Igert/Lazebnik_06.pdf"/>
    <hyperlink ref="I118" r:id="rId118" display="https://hal.archives-ouvertes.fr/hal-00018426/en"/>
    <hyperlink ref="I119" r:id="rId119" display="https://ieeexplore.ieee.org/document/1640964"/>
    <hyperlink ref="I120" r:id="rId120" display="https://www.cs.toronto.edu/~graves/icml_2006.pdf"/>
    <hyperlink ref="I121" r:id="rId121" display="https://www.cs.toronto.edu/~hinton/science.pdf"/>
    <hyperlink ref="I122" r:id="rId122" display="https://www.cs.toronto.edu/~hinton/absps/fastnc.pdf"/>
    <hyperlink ref="Z122" r:id="rId10" display="OpenAI"/>
    <hyperlink ref="I123" r:id="rId123" display="https://people.idsia.ch//~juergen/icdar_2007.pdf"/>
    <hyperlink ref="I124" r:id="rId124" display="http://machinelearning.wustl.edu/mlpapers/paper_files/NIPS2006_739.pdf"/>
    <hyperlink ref="I125" r:id="rId125" display="https://proceedings.neurips.cc/paper/2007/file/0d3180d672e08b4c5312dcdafdf6ef36-Paper.pdf"/>
    <hyperlink ref="I126" r:id="rId126" display="https://www.ri.cmu.edu/pub_files/pub4/urmson_christopher_2008_1/urmson_christopher_2008_1.pdf"/>
    <hyperlink ref="I127" r:id="rId127" display="http://brettb.net/project/papers/2007%20Scalable%20collaborative%20filtering%20with%20jointly%20derived%20neighborhood%20interpolation%20weights.pdf"/>
    <hyperlink ref="I128" r:id="rId128" display="https://citeseerx.ist.psu.edu/viewdoc/download?doi=10.1.1.142.9009&amp;rep=rep1&amp;type=pdf"/>
    <hyperlink ref="I129" r:id="rId129" display="https://aclanthology.org/P07-2045.pdf"/>
    <hyperlink ref="I130" r:id="rId130" display="https://www.aclweb.org/anthology/P07-1121/"/>
    <hyperlink ref="I131" r:id="rId131" display="https://dl.acm.org/doi/abs/10.1145/1273496.1273596?casa_token=cfdkH2x12MwAAAAA:sEUzfllIGyPcOfzgUoDPHlpC1ukfCAo8ewocBXWBswIIF9eS5HdFo30nOtfmIV8gm-XpBpQJJ5zYVO8"/>
    <hyperlink ref="I132" r:id="rId132" display="https://www.cs.uic.edu/~liub/KDD-cup-2007/proceedings/Regular-Paterek.pdf"/>
    <hyperlink ref="I133" r:id="rId68" display="https://proceedings.neurips.cc/paper/2007/hash/4b0250793549726d5c1ea3906726ebfe-Abstract.html"/>
    <hyperlink ref="I134" r:id="rId133" display="https://pubmed.ncbi.nlm.nih.gov/19000969/"/>
    <hyperlink ref="I135" r:id="rId134" display="https://ieeexplore.ieee.org/abstract/document/4587597"/>
    <hyperlink ref="I136" r:id="rId135" display="https://dl.acm.org/doi/10.1145/1390156.1390177"/>
    <hyperlink ref="I137" r:id="rId136" display="https://www.cs.toronto.edu/~ranzato/publications/ranzato-icml08.pdf"/>
    <hyperlink ref="I138" r:id="rId137" display="https://www2.seas.gwu.edu/~simhaweb/champalg/cf/papers/ProgressPrize2008_BigChaos.pdf"/>
    <hyperlink ref="I139" r:id="rId138" display="https://www.cs.cmu.edu/~rsalakhu/papers/sdarticle.pdf"/>
    <hyperlink ref="I140" r:id="rId139" display="https://www.aclweb.org/anthology/J09-3003/"/>
    <hyperlink ref="I142" r:id="rId140" display="https://grail.cs.washington.edu/rome/rome_paper.pdf"/>
    <hyperlink ref="I144" r:id="rId141" display="http://citeseerx.ist.psu.edu/viewdoc/download?doi=10.1.1.149.802&amp;rep=rep1&amp;type=pdf"/>
    <hyperlink ref="I145" r:id="rId142" display="http://sanghv.com/download/soft/machine%20learning,%20artificial%20intelligence,%20mathematics%20ebooks/ML/learning%20deep%20architectures%20for%20AI%20(2009).pdf"/>
    <hyperlink ref="I146" r:id="rId143" display="http://proceedings.mlr.press/v5/salakhutdinov09a"/>
    <hyperlink ref="I147" r:id="rId144" display="http://www.machinelearning.org/archive/icml2009/papers/218.pdf"/>
    <hyperlink ref="I148" r:id="rId145" display="https://www.netflixprize.com/assets/ProgressPrize2008_BellKor.pdf"/>
    <hyperlink ref="I149" r:id="rId146" display="https://www.aclweb.org/anthology/P09-1010/"/>
    <hyperlink ref="I150" r:id="rId146" display="https://www.aclweb.org/anthology/P09-1010/"/>
    <hyperlink ref="I151" r:id="rId147" display="https://www.netflixprize.com/assets/GrandPrize2009_BPC_BellKor.pdf"/>
    <hyperlink ref="I152" r:id="rId148" display="https://www.netflixprize.com/assets/GrandPrize2009_BPC_BigChaos.pdf"/>
    <hyperlink ref="I153" r:id="rId149" display="https://www.netflixprize.com/assets/GrandPrize2009_BPC_PragmaticTheory.pdf"/>
    <hyperlink ref="I154" r:id="rId150" display="http://machinelearning.wustl.edu/mlpapers/paper_files/AISTATS2010_ErhanCBV10.pdf"/>
    <hyperlink ref="I155" r:id="rId151" display="https://web.archive.org/web/20211123180817/http://proceedings.mlr.press/v9/glorot10a/glorot10a.pdf"/>
    <hyperlink ref="I156" r:id="rId152" display="http://www.csri.utoronto.ca/~hinton/absps/guideTR.pdf"/>
    <hyperlink ref="I157" r:id="rId153" display="http://ece.duke.edu/~lcarin/boureau-cvpr-10.pdf"/>
    <hyperlink ref="I158" r:id="rId154" display="http://citeseerx.ist.psu.edu/viewdoc/download?doi=10.1.1.297.3484&amp;rep=rep1&amp;type=pdf"/>
    <hyperlink ref="I159" r:id="rId155" display="https://www.fit.vutbr.cz/research/groups/speech/publi/2010/mikolov_interspeech2010_IS100722.pdf"/>
    <hyperlink ref="I160" r:id="rId155" display="https://www.fit.vutbr.cz/research/groups/speech/publi/2010/mikolov_interspeech2010_IS100722.pdf"/>
    <hyperlink ref="I161" r:id="rId156" display="https://link.springer.com/chapter/10.1007/978-3-642-15561-1_11"/>
    <hyperlink ref="I162" r:id="rId157" display="https://arxiv.org/abs/1003.0358"/>
    <hyperlink ref="I163" r:id="rId158" display="https://www.aclweb.org/anthology/P10-1040/"/>
    <hyperlink ref="I164" r:id="rId159" display="https://web.archive.org/web/20210819175548/https://www.matthewzeiler.com/mattzeiler/deconvolutionalnetworks.pdf"/>
    <hyperlink ref="I165" r:id="rId160" display="https://dl.acm.org/doi/10.5555/3104322.3104425"/>
    <hyperlink ref="I166" r:id="rId160" display="https://dl.acm.org/doi/10.5555/3104322.3104425"/>
    <hyperlink ref="I167" r:id="rId161" display="https://dl.acm.org/doi/10.1145/1864708.1864770"/>
    <hyperlink ref="I168" r:id="rId162" display="http://machinelearning.wustl.edu/mlpapers/paper_files/AISTATS2011_CoatesNL11.pdf"/>
    <hyperlink ref="I169" r:id="rId163" display="http://machinelearning.wustl.edu/mlpapers/paper_files/AISTATS2011_GlorotBB11.pdf"/>
    <hyperlink ref="I170" r:id="rId164" display="https://science.sciencemag.org/content/331/6014/176"/>
    <hyperlink ref="I171" r:id="rId165" display="https://www.aclweb.org/anthology/P11-1061/"/>
    <hyperlink ref="I172" r:id="rId166" display="http://ftp.idiap.ch/pub/courses/EE-700/material/05-12-2012/2011_ICCV_DomainAdaptation.pdf"/>
    <hyperlink ref="I173" r:id="rId167" display="https://ieeexplore.ieee.org/document/5947611"/>
    <hyperlink ref="I174" r:id="rId168" display="https://www.aclweb.org/anthology/D11-1014/"/>
    <hyperlink ref="I175" r:id="rId169" display="https://jmlr.org/papers/volume12/duchi11a/duchi11a.pdf"/>
    <hyperlink ref="I176" r:id="rId170" display="https://www.jmlr.org/papers/volume12/collobert11a/collobert11a.pdf"/>
    <hyperlink ref="I177" r:id="rId171" display="http://emotion.inrialpes.fr/people/synnaeve/index_files/BayesianUnit.pdf"/>
    <hyperlink ref="I178" r:id="rId172" display="https://arxiv.org/abs/1106.5730"/>
    <hyperlink ref="I179" r:id="rId173" display="https://aclanthology.org/P12-3029/"/>
    <hyperlink ref="I180" r:id="rId174" display="http://www.cvlibs.net/publications/Geiger2012CVPR_slides.pdf"/>
    <hyperlink ref="I181" r:id="rId175" display="https://proceedings.neurips.cc/paper/2012/hash/c399862d3b9d6b76c8436e924a68c45b-Abstract.html"/>
    <hyperlink ref="Z181" r:id="rId10" display="OpenAI"/>
    <hyperlink ref="I182" r:id="rId176" display="https://www.aclweb.org/anthology/D12-1110/"/>
    <hyperlink ref="I183" r:id="rId177" display="https://arxiv.org/abs/1202.2745v1"/>
    <hyperlink ref="I184" r:id="rId178" display="https://arxiv.org/abs/1207.0580"/>
    <hyperlink ref="Z184" r:id="rId10" display="OpenAI"/>
    <hyperlink ref="I185" r:id="rId178" display="https://arxiv.org/abs/1207.0580"/>
    <hyperlink ref="I186" r:id="rId178" display="https://arxiv.org/abs/1207.0580"/>
    <hyperlink ref="I187" r:id="rId178" display="https://arxiv.org/abs/1207.0580"/>
    <hyperlink ref="I188" r:id="rId179" display="https://dl.acm.org/doi/10.5555/2999325.2999464"/>
    <hyperlink ref="Z188" r:id="rId180" display="PwC"/>
    <hyperlink ref="I189" r:id="rId181" display="http://www.huppelen.nl/publications/selectiveSearchDraft.pdf"/>
    <hyperlink ref="I190" r:id="rId181" display="http://www.huppelen.nl/publications/selectiveSearchDraft.pdf"/>
    <hyperlink ref="I191" r:id="rId182" display="https://papers.nips.cc/paper/2013/file/b337e84de8752b27eda3a12363109e80-Paper.pdf"/>
    <hyperlink ref="I192" r:id="rId183" display="https://arxiv.org/pdf/1312.5602.pdf"/>
    <hyperlink ref="Z192" r:id="rId10" display="OpenAI"/>
    <hyperlink ref="I193" r:id="rId184" display="https://arxiv.org/abs/1301.3666"/>
    <hyperlink ref="I194" r:id="rId185" display="http://proceedings.mlr.press/v28/goodfellow13"/>
    <hyperlink ref="Z194" r:id="rId180" display="PwC"/>
    <hyperlink ref="I195" r:id="rId186" display="https://arxiv.org/abs/1303.5778"/>
    <hyperlink ref="I196" r:id="rId187" display="https://www.aclweb.org/anthology/N13-1090/"/>
    <hyperlink ref="I197" r:id="rId188" display="https://arxiv.org/abs/1310.4546"/>
    <hyperlink ref="I198" r:id="rId188" display="https://arxiv.org/abs/1310.4546"/>
    <hyperlink ref="I199" r:id="rId189" display="https://arxiv.org/abs/1311.2524"/>
    <hyperlink ref="I200" r:id="rId190" display="https://arxiv.org/abs/1311.2901"/>
    <hyperlink ref="Z200" r:id="rId10" display="OpenAI"/>
    <hyperlink ref="I201" r:id="rId191" display="https://ieeexplore.ieee.org/document/6707742"/>
    <hyperlink ref="I202" r:id="rId192" display="https://arxiv.org/abs/1312.4400"/>
    <hyperlink ref="I203" r:id="rId193" display="https://arxiv.org/abs/1312.6114"/>
    <hyperlink ref="I204" r:id="rId194" display="https://arxiv.org/abs/1410.5401"/>
    <hyperlink ref="I205" r:id="rId195" display="https://jmlr.org/papers/v15/srivastava14a.html"/>
    <hyperlink ref="I207" r:id="rId196" display="https://www.aaai.org/ocs/index.php/WS/AAAIW14/paper/viewFile/8811/8351"/>
    <hyperlink ref="I208" r:id="rId197" display="https://static.googleusercontent.com/media/research.google.com/en//pubs/archive/42455.pdf"/>
    <hyperlink ref="I209" r:id="rId198" display="https://nlp.stanford.edu/projects/glove/"/>
    <hyperlink ref="I210" r:id="rId199" display="http://www.cs.utoronto.ca/~hinton/absps/ruhijournal.pdf"/>
    <hyperlink ref="I211" r:id="rId200" display="https://ieeexplore.ieee.org/abstract/document/6756960"/>
    <hyperlink ref="I212" r:id="rId201" display="https://arxiv.org/abs/1406.1078"/>
    <hyperlink ref="I213" r:id="rId202" display="https://arxiv.org/abs/1406.2199"/>
    <hyperlink ref="Z213" r:id="rId180" display="PwC"/>
    <hyperlink ref="E214" r:id="rId203" display="Ian J. Goodfellow, Jean Pouget-Abadie, Mehdi Mirza, Bing Xu, David Warde-Farley, Sherjil Ozair, Aaron Courville, Yoshua Bengio"/>
    <hyperlink ref="I214" r:id="rId204" display="https://arxiv.org/abs/1406.2661"/>
    <hyperlink ref="I215" r:id="rId205" display="https://ieeexplore.ieee.org/document/6909616"/>
    <hyperlink ref="I216" r:id="rId206" display="https://research.fb.com/wp-content/uploads/2016/11/practical-lessons-from-predicting-clicks-on-ads-at-facebook.pdf"/>
    <hyperlink ref="I217" r:id="rId207" display="https://arxiv.org/abs/1409.0473"/>
    <hyperlink ref="Z217" r:id="rId10" display="OpenAI"/>
    <hyperlink ref="I218" r:id="rId208" display="https://arxiv.org/abs/1409.1556"/>
    <hyperlink ref="Z218" r:id="rId10" display="OpenAI"/>
    <hyperlink ref="I219" r:id="rId208" display="https://arxiv.org/abs/1409.1556"/>
    <hyperlink ref="I220" r:id="rId209" display="https://arxiv.org/abs/1409.3215"/>
    <hyperlink ref="Z220" r:id="rId10" display="OpenAI"/>
    <hyperlink ref="I221" r:id="rId210" display="https://arxiv.org/abs/1411.4389"/>
    <hyperlink ref="I222" r:id="rId211" display="https://arxiv.org/abs/1411.4038"/>
    <hyperlink ref="I223" r:id="rId212" display="https://arxiv.org/abs/1411.7766"/>
    <hyperlink ref="I224" r:id="rId213" display="https://arxiv.org/abs/1412.6980"/>
    <hyperlink ref="I225" r:id="rId214" display="https://arxiv.org/abs/1412.7062"/>
    <hyperlink ref="Z225" r:id="rId180" display="PwC"/>
    <hyperlink ref="I226" r:id="rId215" display="https://ieeexplore.ieee.org/abstract/document/7005506?casa_token=dV-WbgBHQkcAAAAA:8-qRXcSaQBA2nVYJ-fP6W9c1BeB1fUY0bEChAGa2rWsCv4oXtUSiG9hklfBb6jV4cFRbyZcpMtj0"/>
    <hyperlink ref="Z226" r:id="rId180" display="PwC"/>
    <hyperlink ref="I227" r:id="rId216" display="https://arxiv.org/abs/1502.03240"/>
    <hyperlink ref="Z227" r:id="rId180" display="PwC"/>
    <hyperlink ref="I228" r:id="rId217" display="https://www.nature.com/articles/nature14236"/>
    <hyperlink ref="I229" r:id="rId218" display="https://arxiv.org/abs/1503.00075"/>
    <hyperlink ref="I230" r:id="rId219" display="https://arxiv.org/abs/1504.08083"/>
    <hyperlink ref="I231" r:id="rId220" display="https://arxiv.org/abs/1506.01497"/>
    <hyperlink ref="I232" r:id="rId221" display="https://ieeexplore.ieee.org/document/7298594"/>
    <hyperlink ref="Z232" r:id="rId10" display="OpenAI"/>
    <hyperlink ref="I233" r:id="rId222" display="https://arxiv.org/abs/1506.02640"/>
    <hyperlink ref="I234" r:id="rId223" display="https://arxiv.org/abs/1502.03167"/>
    <hyperlink ref="I235" r:id="rId224" display="https://arxiv.org/abs/1508.07909"/>
    <hyperlink ref="I236" r:id="rId225" display="https://arxiv.org/abs/1509.02971"/>
    <hyperlink ref="I237" r:id="rId226" display="https://www.nature.com/articles/nature24270.epdf?author_access_token=VJXbVjaSHxFoctQQ4p2k4tRgN0jAjWel9jnR3ZoTv0PVW4gB86EEpGqTRDtpIz-2rmo8-KG06gqVobU5NSCFeHILHcVFUeMsbvwS-lxjqQGg98faovwjxeTUgZAUMnRQ"/>
    <hyperlink ref="I238" r:id="rId227" display="https://arxiv.org/abs/1511.06581"/>
    <hyperlink ref="I239" r:id="rId228" display="https://arxiv.org/abs/1511.07122"/>
    <hyperlink ref="I240" r:id="rId229" display="https://dl.acm.org/doi/pdf/10.1145/2843948"/>
    <hyperlink ref="I241" r:id="rId230" display="https://arxiv.org/abs/1512.00567"/>
    <hyperlink ref="I242" r:id="rId231" display="https://arxiv.org/abs/1512.02595"/>
    <hyperlink ref="Z242" r:id="rId10" display="OpenAI"/>
    <hyperlink ref="I243" r:id="rId232" display="https://arxiv.org/abs/1512.03385"/>
    <hyperlink ref="Z243" r:id="rId10" display="OpenAI"/>
    <hyperlink ref="I244" r:id="rId232" display="https://arxiv.org/abs/1512.03385"/>
    <hyperlink ref="I245" r:id="rId233" display="https://science.sciencemag.org/content/350/6266/1332/"/>
    <hyperlink ref="I246" r:id="rId234" display="http://arxiv.org/abs/1512.04860v1"/>
    <hyperlink ref="I247" r:id="rId235" display="https://www.nature.com/articles/nature16961"/>
    <hyperlink ref="I248" r:id="rId236" display="https://arxiv.org/abs/1602.00134"/>
    <hyperlink ref="Z248" r:id="rId180" display="PwC"/>
    <hyperlink ref="I249" r:id="rId237" display="http://arxiv.org/abs/1602.01783v2"/>
    <hyperlink ref="I250" r:id="rId238" display="https://arxiv.org/abs/1602.07261"/>
    <hyperlink ref="I251" r:id="rId238" display="https://arxiv.org/abs/1602.07261"/>
    <hyperlink ref="I252" r:id="rId239" display="https://arxiv.org/abs/1602.07360"/>
    <hyperlink ref="I253" r:id="rId240" display="https://arxiv.org/abs/1606.07792"/>
    <hyperlink ref="I254" r:id="rId241" display="https://arxiv.org/abs/1607.01759"/>
    <hyperlink ref="I255" r:id="rId242" display="https://arxiv.org/abs/1607.04606"/>
    <hyperlink ref="I256" r:id="rId243" display="https://arxiv.org/abs/1608.06993"/>
    <hyperlink ref="I257" r:id="rId244" display="https://arxiv.org/abs/1609.03499"/>
    <hyperlink ref="I258" r:id="rId245" display="https://static.googleusercontent.com/media/research.google.com/en//pubs/archive/45530.pdf"/>
    <hyperlink ref="I259" r:id="rId246" display="https://research.google/pubs/pub45610/"/>
    <hyperlink ref="I260" r:id="rId247" display="https://arxiv.org/abs/1610.02357"/>
    <hyperlink ref="Z260" r:id="rId10" display="OpenAI"/>
    <hyperlink ref="I261" r:id="rId248" display="https://www.nature.com/articles/nature20101"/>
    <hyperlink ref="I262" r:id="rId249" display="https://arxiv.org/abs/1611.01578"/>
    <hyperlink ref="Z262" r:id="rId10" display="OpenAI"/>
    <hyperlink ref="I263" r:id="rId250" display="https://arxiv.org/abs/1611.05431"/>
    <hyperlink ref="I264" r:id="rId251" display="https://arxiv.org/abs/1611.05725"/>
    <hyperlink ref="I265" r:id="rId252" display="https://arxiv.org/abs/1611.06612v3"/>
    <hyperlink ref="Z265" r:id="rId180" display="PwC"/>
    <hyperlink ref="I266" r:id="rId253" display="https://arxiv.org/abs/1611.07004"/>
    <hyperlink ref="I267" r:id="rId254" display="https://arxiv.org/abs/1612.00796"/>
    <hyperlink ref="I268" r:id="rId255" display="https://arxiv.org/abs/1612.00593"/>
    <hyperlink ref="I269" r:id="rId256" display="https://dl.acm.org/doi/10.5555/3157096.3157346"/>
    <hyperlink ref="Z269" r:id="rId180" display="PwC"/>
    <hyperlink ref="I270" r:id="rId257" display="https://jamanetwork.com/journals/jama/article-abstract/2588763"/>
    <hyperlink ref="I271" r:id="rId258" display="https://arxiv.org/abs/1612.08242"/>
    <hyperlink ref="I272" r:id="rId259" display="https://www.cs.cmu.edu/~noamb/papers/17-IJCAI-Libratus.pdf"/>
    <hyperlink ref="I273" r:id="rId260" display="https://www.nature.com/articles/nature24270"/>
    <hyperlink ref="I274" r:id="rId261" display="https://arxiv.org/abs/1701.01724"/>
    <hyperlink ref="I275" r:id="rId262" display="https://arxiv.org/abs/1701.06538"/>
    <hyperlink ref="I276" r:id="rId263" display="https://arxiv.org/abs/1703.06870"/>
    <hyperlink ref="I277" r:id="rId264" display="https://arxiv.org/abs/1704.00028"/>
    <hyperlink ref="Z277" r:id="rId180" display="PwC"/>
    <hyperlink ref="I278" r:id="rId265" display="https://arxiv.org/abs/1704.04861"/>
    <hyperlink ref="I279" r:id="rId266" display="https://arxiv.org/abs/1706.02413"/>
    <hyperlink ref="Z279" r:id="rId180" display="PwC"/>
    <hyperlink ref="I280" r:id="rId267" display="https://proceedings.neurips.cc/paper/2017/file/3f5ee243547dee91fbd053c1c4a845aa-Paper.pdf"/>
    <hyperlink ref="I281" r:id="rId268" display="https://arxiv.org/abs/1706.04208"/>
    <hyperlink ref="I282" r:id="rId269" display="https://arxiv.org/abs/1706.08500v1"/>
    <hyperlink ref="Z282" r:id="rId180" display="PwC"/>
    <hyperlink ref="I283" r:id="rId270" display="https://arxiv.org/abs/1706.10295v3"/>
    <hyperlink ref="I284" r:id="rId271" display="https://arxiv.org/abs/1707.01083"/>
    <hyperlink ref="I285" r:id="rId272" display="https://arxiv.org/abs/1707.07012"/>
    <hyperlink ref="I286" r:id="rId273" display="https://ieeexplore.ieee.org/document/8100143"/>
    <hyperlink ref="Z286" r:id="rId180" display="PwC"/>
    <hyperlink ref="I287" r:id="rId274" display="https://arxiv.org/pdf/1707.02968.pdf"/>
    <hyperlink ref="I288" r:id="rId275" display="https://arxiv.org/abs/1708.02002"/>
    <hyperlink ref="I289" r:id="rId275" display="https://arxiv.org/abs/1708.02002"/>
    <hyperlink ref="Z290" r:id="rId10" display="OpenAI"/>
    <hyperlink ref="I291" r:id="rId276" display="https://arxiv.org/abs/1708.05031"/>
    <hyperlink ref="I292" r:id="rId277" display="https://arxiv.org/abs/1709.01507"/>
    <hyperlink ref="I293" r:id="rId260" display="https://www.nature.com/articles/nature24270"/>
    <hyperlink ref="Z293" r:id="rId10" display="OpenAI"/>
    <hyperlink ref="I294" r:id="rId278" display="https://arxiv.org/abs/1710.09829"/>
    <hyperlink ref="I295" r:id="rId278" display="https://arxiv.org/abs/1710.09829"/>
    <hyperlink ref="I296" r:id="rId279" location="citations" display="https://ieeexplore.ieee.org/document/8237667/citations#citations"/>
    <hyperlink ref="Z296" r:id="rId180" display="PwC"/>
    <hyperlink ref="I297" r:id="rId280" display="https://arxiv.org/abs/1710.10196"/>
    <hyperlink ref="Z297" r:id="rId180" display="PwC"/>
    <hyperlink ref="I298" r:id="rId281" display="https://arxiv.org/abs/1703.07737"/>
    <hyperlink ref="Z298" r:id="rId180" display="PwC"/>
    <hyperlink ref="I299" r:id="rId282" display="https://arxiv.org/abs/1712.00559"/>
    <hyperlink ref="I300" r:id="rId283" display="https://arxiv.org/abs/1712.01815"/>
    <hyperlink ref="Z300" r:id="rId10" display="OpenAI"/>
    <hyperlink ref="I301" r:id="rId284" display="https://arxiv.org/abs/1711.09349"/>
    <hyperlink ref="Z301" r:id="rId180" display="PwC"/>
    <hyperlink ref="I302" r:id="rId285" display="https://arxiv.org/abs/1801.06146"/>
    <hyperlink ref="I303" r:id="rId286" display="https://allennlp.org/elmo"/>
    <hyperlink ref="I304" r:id="rId287" display="https://arxiv.org/abs/1802.01548"/>
    <hyperlink ref="E305" r:id="rId288" display="Lasse Espeholt, Hubert Soyer, Remi Munos, Karen Simonyan, Volodymir Mnih, Tom Ward, Yotam Doron, Vlad Firoiu, Tim Harley, Iain Dunning, Shane Legg, Koray Kavukcuoglu"/>
    <hyperlink ref="I305" r:id="rId289" display="https://arxiv.org/abs/1802.01561"/>
    <hyperlink ref="I306" r:id="rId290" display="https://www.microsoft.com/en-us/research/publication/achieving-human-parity-on-automatic-chinese-to-english-news-translation/"/>
    <hyperlink ref="I307" r:id="rId291" display="https://arxiv.org/abs/1803.07728"/>
    <hyperlink ref="I308" r:id="rId292" display="https://arxiv.org/abs/1804.02767"/>
    <hyperlink ref="I309" r:id="rId293" display="https://paperswithcode.com/paper/exploring-the-limits-of-weakly-supervised"/>
    <hyperlink ref="I310" r:id="rId294" display="https://openai.com/blog/language-unsupervised/"/>
    <hyperlink ref="I311" r:id="rId295" display="https://ieeexplore.ieee.org/document/8578572"/>
    <hyperlink ref="I312" r:id="rId296" display="https://arxiv.org/abs/1807.11164"/>
    <hyperlink ref="I313" r:id="rId297" display="https://arxiv.org/abs/1807.01281"/>
    <hyperlink ref="I314" r:id="rId298" display="https://arxiv.org/abs/1809.11096"/>
    <hyperlink ref="I315" r:id="rId299" display="https://arxiv.org/abs/1810.05017"/>
    <hyperlink ref="I316" r:id="rId300" display="https://arxiv.org/abs/1810.04805"/>
    <hyperlink ref="I317" r:id="rId301" display="https://arxiv.org/abs/1811.06965"/>
    <hyperlink ref="I318" r:id="rId301" display="https://arxiv.org/abs/1811.06965"/>
    <hyperlink ref="I319" r:id="rId302" display="https://www.semanticscholar.org/paper/Dissecting-Contextual-Word-Embeddings%3A-Architecture-Peters-Neumann/ac11062f1f368d97f4c826c317bf50dcc13fdb59"/>
    <hyperlink ref="I320" r:id="rId303" display="https://arxiv.org/abs/1901.11504"/>
    <hyperlink ref="I321" r:id="rId304" display="https://arxiv.org/abs/1902.00506"/>
    <hyperlink ref="I322" r:id="rId305" display="https://openai.com/blog/better-language-models/"/>
    <hyperlink ref="I323" r:id="rId306" display="https://arxiv.org/pdf/1812.00332.pdf"/>
    <hyperlink ref="I324" r:id="rId307" display="https://arxiv.org/abs/1905.00546"/>
    <hyperlink ref="I325" r:id="rId307" display="https://arxiv.org/abs/1905.00546"/>
    <hyperlink ref="I326" r:id="rId308" display="https://arxiv.org/abs/1905.09272"/>
    <hyperlink ref="I327" r:id="rId309" display="https://arxiv.org/abs/1905.11946"/>
    <hyperlink ref="I328" r:id="rId310" display="https://arxiv.org/abs/1905.12616"/>
    <hyperlink ref="I329" r:id="rId311" display="https://arxiv.org/pdf/1807.11626.pdf"/>
    <hyperlink ref="I330" r:id="rId311" display="https://arxiv.org/pdf/1807.11626.pdf"/>
    <hyperlink ref="I331" r:id="rId312" display="https://arxiv.org/abs/1906.00091"/>
    <hyperlink ref="I332" r:id="rId313" display="https://deepmind.com/research/publications/capture-the-flag"/>
    <hyperlink ref="I333" r:id="rId314" display="https://arxiv.org/abs/1901.07291"/>
    <hyperlink ref="I334" r:id="rId315" display="https://arxiv.org/abs/1906.08237"/>
    <hyperlink ref="I335" r:id="rId316" display="https://arxiv.org/abs/1906.00910"/>
    <hyperlink ref="I336" r:id="rId317" display="https://arxiv.org/abs/1906.06423"/>
    <hyperlink ref="I337" r:id="rId318" display="https://arxiv.org/abs/1907.11692"/>
    <hyperlink ref="I338" r:id="rId319" display="https://arxiv.org/abs/1907.02544"/>
    <hyperlink ref="I339" r:id="rId320" display="https://papers.nips.cc/paper/2019/file/97af07a14cacba681feacf3012730892-Paper.pdf"/>
    <hyperlink ref="I340" r:id="rId321" display="https://arxiv.org/abs/1909.08053"/>
    <hyperlink ref="I341" r:id="rId321" display="https://arxiv.org/abs/1909.08053"/>
    <hyperlink ref="I342" r:id="rId322" display="https://openai.com/blog/emergent-tool-use/"/>
    <hyperlink ref="I343" r:id="rId323" display="https://arxiv.org/abs/1909.11942"/>
    <hyperlink ref="I344" r:id="rId324" display="https://arxiv.org/abs/1910.01108"/>
    <hyperlink ref="I345" r:id="rId325" display="https://arxiv.org/pdf/1903.11059.pdf"/>
    <hyperlink ref="I346" r:id="rId326" display="https://openai.com/blog/solving-rubiks-cube/"/>
    <hyperlink ref="I347" r:id="rId327" display="https://arxiv.org/abs/1910.10683"/>
    <hyperlink ref="I348" r:id="rId327" display="https://arxiv.org/abs/1910.10683"/>
    <hyperlink ref="I349" r:id="rId328" display="https://arxiv.org/abs/1910.13461"/>
    <hyperlink ref="I350" r:id="rId329" display="https://www.nature.com/articles/s41586-019-1724-z.epdf"/>
    <hyperlink ref="I351" r:id="rId330" display="https://paperswithcode.com/paper/self-training-with-noisy-student-improves/review/"/>
    <hyperlink ref="I352" r:id="rId331" display="https://arxiv.org/abs/1911.05722"/>
    <hyperlink ref="I353" r:id="rId332" display="https://arxiv.org/abs/1911.08265v2"/>
    <hyperlink ref="I354" r:id="rId333" display="https://arxiv.org/abs/1911.11130"/>
    <hyperlink ref="I355" r:id="rId334" display="https://arxiv.org/abs/1912.01865"/>
    <hyperlink ref="I356" r:id="rId335" display="https://arxiv.org/abs/1912.06680"/>
    <hyperlink ref="I357" r:id="rId336" display="https://cdn.openai.com/dota-2.pdf"/>
    <hyperlink ref="I358" r:id="rId337" display="https://arxiv.org/abs/1912.11370"/>
    <hyperlink ref="I360" r:id="rId338" display="https://www.nature.com/articles/s41586-019-1923-7"/>
    <hyperlink ref="I361" r:id="rId339" display="https://arxiv.org/abs/2001.11314"/>
    <hyperlink ref="I362" r:id="rId340" display="https://ai.googleblog.com/2020/01/towards-conversational-agent-that-can.html"/>
    <hyperlink ref="I363" r:id="rId341" display="https://arxiv.org/pdf/2002.02925.pdf"/>
    <hyperlink ref="I364" r:id="rId342" display="https://www.microsoft.com/en-us/research/blog/turing-nlg-a-17-billion-parameter-language-model-by-microsoft/"/>
    <hyperlink ref="I365" r:id="rId343" display="https://arxiv.org/abs/2002.05709"/>
    <hyperlink ref="I366" r:id="rId344" display="https://www.biorxiv.org/content/10.1101/2020.03.07.982272v2"/>
    <hyperlink ref="I367" r:id="rId345" display="https://arxiv.org/abs/2003.10555v1"/>
    <hyperlink ref="I368" r:id="rId346" display="https://arxiv.org/abs/2003.12140"/>
    <hyperlink ref="I369" r:id="rId347" display="https://arxiv.org/abs/2003.13350"/>
    <hyperlink ref="I370" r:id="rId348" display="https://ojs.aaai.org/index.php/AAAI/article/view/7000"/>
    <hyperlink ref="Z370" r:id="rId180" display="PwC"/>
    <hyperlink ref="I371" r:id="rId349" display="https://arxiv.org/abs/2004.02984"/>
    <hyperlink ref="I372" r:id="rId350" display="https://arxiv.org/abs/2004.04136v4"/>
    <hyperlink ref="I373" r:id="rId351" display="https://arxiv.org/abs/2004.12919"/>
    <hyperlink ref="I374" r:id="rId352" display="https://arxiv.org/abs/2005.14165"/>
    <hyperlink ref="I375" r:id="rId353" display="https://arxiv.org/pdf/1908.09791.pdf"/>
    <hyperlink ref="I376" r:id="rId354" display="https://arxiv.org/abs/2006.11316"/>
    <hyperlink ref="I377" r:id="rId355" display="https://openai.com/blog/image-gpt/"/>
    <hyperlink ref="I378" r:id="rId355" display="https://openai.com/blog/image-gpt/"/>
    <hyperlink ref="I379" r:id="rId356" display="https://arxiv.org/abs/2006.16668"/>
    <hyperlink ref="I380" r:id="rId356" display="https://arxiv.org/abs/2006.16668"/>
    <hyperlink ref="I381" r:id="rId357" display="https://arxiv.org/abs/2008.02217"/>
    <hyperlink ref="I382" r:id="rId358" display="https://openaccess.thecvf.com/content_CVPR_2020/html/Tan_EfficientDet_Scalable_and_Efficient_Object_Detection_CVPR_2020_paper.html"/>
    <hyperlink ref="I383" r:id="rId359" display="https://arxiv.org/pdf/2006.11477.pdf"/>
    <hyperlink ref="I384" r:id="rId360" display="https://arxiv.org/pdf/2010.11929.pdf"/>
    <hyperlink ref="I385" r:id="rId360" display="https://arxiv.org/pdf/2010.11929.pdf"/>
    <hyperlink ref="I386" r:id="rId361" display="https://www.nature.com/articles/s41586-021-03819-2"/>
    <hyperlink ref="I387" r:id="rId362" display="https://arxiv.org/abs/2012.00413"/>
    <hyperlink ref="I388" r:id="rId363" display="https://github.com/CompVis/taming-transformers"/>
    <hyperlink ref="I389" r:id="rId364" display="https://deepmind.com/blog/article/muzero-mastering-go-chess-shogi-and-atari-without-rules"/>
    <hyperlink ref="I390" r:id="rId365" display="https://arxiv.org/abs/2012.15520v1"/>
    <hyperlink ref="I391" r:id="rId366" display="https://arxiv.org/abs/2104.05158"/>
    <hyperlink ref="I392" r:id="rId367" display="https://arxiv.org/pdf/2006.03654.pdf"/>
    <hyperlink ref="I393" r:id="rId368" display="http://arxiv.org/abs/2109.08668"/>
    <hyperlink ref="I394" r:id="rId369" display="https://arxiv.org/pdf/2109.13226.pdf"/>
    <hyperlink ref="I395" r:id="rId370" display="https://arxiv.org/pdf/2109.05217.pdf"/>
    <hyperlink ref="I396" r:id="rId371" display="https://arxiv.org/abs/2103.00020"/>
    <hyperlink ref="I397" r:id="rId371" display="https://arxiv.org/abs/2103.00020"/>
    <hyperlink ref="I398" r:id="rId372" display="https://openai.com/blog/dall-e/"/>
    <hyperlink ref="I399" r:id="rId373" display="https://arxiv.org/abs/2101.03961"/>
    <hyperlink ref="I400" r:id="rId374" display="https://arxiv.org/pdf/2109.01652.pdf"/>
    <hyperlink ref="I401" r:id="rId375" display="https://arxiv.org/abs/2102.09407v1"/>
    <hyperlink ref="I402" r:id="rId376" display="https://arxiv.org/abs/2103.00823"/>
    <hyperlink ref="I403" r:id="rId376" display="https://arxiv.org/abs/2103.00823"/>
    <hyperlink ref="I404" r:id="rId377" display="https://medium.com/syncedreview/chinas-gpt-3-baai-introduces-superscale-intelligence-model-wu-dao-1-0-98a573fc4d70"/>
    <hyperlink ref="I405" r:id="rId377" display="https://medium.com/syncedreview/chinas-gpt-3-baai-introduces-superscale-intelligence-model-wu-dao-1-0-98a573fc4d70"/>
    <hyperlink ref="I406" r:id="rId377" display="https://medium.com/syncedreview/chinas-gpt-3-baai-introduces-superscale-intelligence-model-wu-dao-1-0-98a573fc4d70"/>
    <hyperlink ref="I407" r:id="rId377" display="https://medium.com/syncedreview/chinas-gpt-3-baai-introduces-superscale-intelligence-model-wu-dao-1-0-98a573fc4d70"/>
    <hyperlink ref="I408" r:id="rId378" display="https://arxiv.org/pdf/2004.13637.pdf"/>
    <hyperlink ref="I409" r:id="rId379" display="https://arxiv.org/pdf/2105.15082.pdf"/>
    <hyperlink ref="I410" r:id="rId380" display="https://www.eleuther.ai/projects/gpt-neo/"/>
    <hyperlink ref="I411" r:id="rId381" display="https://arxiv.org/abs/2104.04473"/>
    <hyperlink ref="I412" r:id="rId366" display="https://arxiv.org/abs/2104.05158"/>
    <hyperlink ref="I413" r:id="rId382" display="https://arxiv.org/abs/2104.12369"/>
    <hyperlink ref="I414" r:id="rId383" display="https://arankomatsuzaki.wordpress.com/2021/06/04/gpt-j/"/>
    <hyperlink ref="I415" r:id="rId384" display="https://www.biorxiv.org/content/10.1101/2020.07.12.199554v3"/>
    <hyperlink ref="I416" r:id="rId385" display="https://blog.google/technology/ai/lamda/"/>
    <hyperlink ref="I417" r:id="rId386" display="https://www.navercorp.com/promotion/pressReleasesView/30546"/>
    <hyperlink ref="I418" r:id="rId387" display="https://arxiv.org/abs/2105.13290"/>
    <hyperlink ref="I419" r:id="rId388" display="https://www.engadget.com/chinas-gigantic-multi-modal-ai-is-no-one-trick-pony-211414388.html"/>
    <hyperlink ref="I420" r:id="rId389" display="https://arxiv.org/abs/2106.04560"/>
    <hyperlink ref="I421" r:id="rId390" display="https://arxiv.org/pdf/2006.11239.pdf"/>
    <hyperlink ref="I422" r:id="rId391" display="http://research.baidu.com/Blog/index-view?id=160"/>
    <hyperlink ref="I423" r:id="rId392" display="https://openai.com/blog/openai-codex/"/>
    <hyperlink ref="I424" r:id="rId393" display="https://deepmind.com/blog/article/generally-capable-agents-emerge-from-open-ended-play"/>
    <hyperlink ref="I425" r:id="rId394" display="https://arxiv.org/pdf/2106.07447.pdf"/>
    <hyperlink ref="I426" r:id="rId395" display="https://arxiv.org/pdf/2103.01988.pdf"/>
    <hyperlink ref="I427" r:id="rId396" display="https://arxiv.org/abs/2107.14795"/>
    <hyperlink ref="I428" r:id="rId397" display="https://uploads-ssl.webflow.com/60fd4503684b466578c0d307/61138924626a6981ee09caf6_jurassic_tech_paper.pdf"/>
    <hyperlink ref="I429" r:id="rId398" display="https://arxiv.org/pdf/2105.00572.pdf"/>
    <hyperlink ref="I430" r:id="rId374" display="https://arxiv.org/pdf/2109.01652.pdf"/>
    <hyperlink ref="I431" r:id="rId399" display="https://www.microsoft.com/en-us/research/blog/make-every-feature-binary-a-135b-parameter-sparse-neural-network-for-massively-improved-search-relevance/"/>
    <hyperlink ref="I432" r:id="rId400" display="https://arxiv.org/abs/2110.03888"/>
    <hyperlink ref="I433" r:id="rId401" display="https://www.microsoft.com/en-us/research/blog/using-deepspeed-and-megatron-to-train-megatron-turing-nlg-530b-the-worlds-largest-and-most-powerful-generative-language-model/"/>
    <hyperlink ref="I434" r:id="rId402" display="https://arxiv.org/abs/2110.08207"/>
    <hyperlink ref="I435" r:id="rId403" display="https://arxiv.org/abs/2110.11316"/>
    <hyperlink ref="I436" r:id="rId404" display="https://arxiv.org/abs/2111.00210"/>
    <hyperlink ref="I437" r:id="rId405" display="https://arxiv.org/abs/2110.04725"/>
    <hyperlink ref="I438" r:id="rId406" display="https://deepmind.com/blog/article/language-modelling-at-scale"/>
    <hyperlink ref="I440" r:id="rId407" display="https://arxiv.org/abs/2112.10741"/>
    <hyperlink ref="I443" r:id="rId408" display="https://www.tandfonline.com/doi/abs/10.1080/01638539809545028"/>
    <hyperlink ref="I445" r:id="rId409" display="http://www.jmlr.org/papers/volume18/17-468/17-468.pdf"/>
    <hyperlink ref="I448" r:id="rId410" display="https://arxiv.org/pdf/1502.01852v1.pdf"/>
    <hyperlink ref="I449" r:id="rId411" display="https://arxiv.org/pdf/1406.4729v4.pdf"/>
    <hyperlink ref="I450" r:id="rId412" display="https://openreview.net/forum?id=YicbFdNTTy"/>
    <hyperlink ref="I451" r:id="rId287" display="https://arxiv.org/abs/1802.01548"/>
    <hyperlink ref="I452" r:id="rId282" display="https://arxiv.org/abs/1712.00559"/>
    <hyperlink ref="I453" r:id="rId413" display="https://arxiv.org/abs/2105.12723v2"/>
    <hyperlink ref="I457" r:id="rId414" display="https://arxiv.org/pdf/2111.00396.pdf"/>
    <hyperlink ref="I458" r:id="rId415" display="https://link.springer.com/chapter/10.1007/978-3-642-40763-5_51"/>
    <hyperlink ref="D462" r:id="rId416" display="https://arxiv.org/pdf/2007.05558.pdf"/>
    <hyperlink ref="I464" r:id="rId417" display="http://citeseerx.ist.psu.edu/viewdoc/download?doi=10.1.1.456.1094&amp;rep=rep1&amp;type=pdf"/>
    <hyperlink ref="I465" r:id="rId418" display="https://www.nature.com/articles/s41586-018-0180-5"/>
    <hyperlink ref="I466" r:id="rId419" display="https://arxiv.org/pdf/2004.12850.pdf"/>
    <hyperlink ref="I467" r:id="rId420" display="https://mitpress.mit.edu/books/advances-neural-information-processing-systems"/>
    <hyperlink ref="I468" r:id="rId421" display="https://www.pnas.org/content/116/32/15849"/>
    <hyperlink ref="I469" r:id="rId422" display="https://arxiv.org/pdf/1806.05161.pdf"/>
    <hyperlink ref="I470" r:id="rId423" display="https://arxiv.org/pdf/1806.09471.pdf"/>
    <hyperlink ref="I471" r:id="rId424" display="https://arxiv.org/pdf/1910.07419.pdf"/>
    <hyperlink ref="I472" r:id="rId425" display="https://www.semanticscholar.org/paper/Findings-of-the-2014-Workshop-on-Statistical-Bojar-Buck/5ec85a0d88adcc4344bb5cc81b0d1aef9bcd8dcc"/>
    <hyperlink ref="I473" r:id="rId426" display="https://aclanthology.org/2014.iwslt-evaluation.1.pdf"/>
    <hyperlink ref="I474" r:id="rId427" display="https://arxiv.org/pdf/1508.01211.pdf"/>
    <hyperlink ref="I475" r:id="rId428" display="https://arxiv.org/pdf/1807.03848.pdf"/>
    <hyperlink ref="I476" r:id="rId429" display="https://arxiv.org/pdf/1710.09282.pdf"/>
    <hyperlink ref="I477" r:id="rId430" display="https://arxiv.org/pdf/1702.05373.pdf"/>
    <hyperlink ref="I478" r:id="rId431" display="https://catalog.ldc.upenn.edu/LDC2002T43"/>
    <hyperlink ref="I479" r:id="rId432" display="https://www.nvidia.com/en-us/data-center/tesla-p100/"/>
    <hyperlink ref="I480" r:id="rId433" display="https://arxiv.org/pdf/1811.12926.pdf"/>
    <hyperlink ref="I481" r:id="rId434" display="https://dl.acm.org/doi/10.1145/2181796.2181798"/>
    <hyperlink ref="I482" r:id="rId435" display="https://arxiv.org/pdf/1810.03505.pdf"/>
    <hyperlink ref="I483" r:id="rId436" location="authors" display="https://ieeexplore.ieee.org/document/8804672/authors#authors"/>
    <hyperlink ref="I484" r:id="rId437" display="https://ieeexplore.ieee.org/document/5206848"/>
    <hyperlink ref="I485" r:id="rId438" display="https://arxiv.org/pdf/1703.08651.pdf"/>
    <hyperlink ref="I486" r:id="rId439" display="https://arxiv.org/pdf/1603.08575.pdf"/>
    <hyperlink ref="I487" r:id="rId440" display="https://homepages.inf.ed.ac.uk/ckiw/postscript/ijcv_voc09.pdf"/>
    <hyperlink ref="I488" r:id="rId441" display="http://vision.stanford.edu/documents/Fei-Fei_ICCV03.pdf"/>
    <hyperlink ref="I489" r:id="rId442" display="https://arxiv.org/pdf/1703.03400.pdf"/>
    <hyperlink ref="I490" r:id="rId443" display="https://www.ibm.com/blogs/research/2019/03/power-quantum-device/"/>
    <hyperlink ref="I491" r:id="rId444" display="https://proceedings.mlr.press/v32/graves14.html"/>
    <hyperlink ref="I492" r:id="rId445" display="https://authors.library.caltech.edu/7694/1/CNS-TR-2007-001.pdf"/>
    <hyperlink ref="I493" r:id="rId446" display="https://arxiv.org/pdf/1510.00149.pdf"/>
    <hyperlink ref="I494" r:id="rId447" display="https://arxiv.org/pdf/1901.03446.pdf"/>
    <hyperlink ref="I495" r:id="rId448" display="http://acs.pub.ro/~cpop/SMPA/Computer%20Architecture%20A%20Quantitative%20Approach%20(5th%20edition).pdf"/>
    <hyperlink ref="I496" r:id="rId449" display="https://openai.com/blog/ai-and-efficiency/"/>
    <hyperlink ref="I497" r:id="rId450" display="https://papers.nips.cc/paper/2016/file/d8330f857a17c53d217014ee776bfd50-Paper.pdf"/>
    <hyperlink ref="I498" r:id="rId451" display="https://ieeexplore.ieee.org/document/1454428"/>
    <hyperlink ref="I499" r:id="rId452" display="https://ieeexplore.ieee.org/document/8776551"/>
    <hyperlink ref="I500" r:id="rId453" display="https://ai.stanford.edu/~jkrause/papers/fgvc13.pdf"/>
    <hyperlink ref="I501" r:id="rId454" display="https://www.cs.toronto.edu/~kriz/conv-cifar10-aug2010.pdf"/>
    <hyperlink ref="I502" r:id="rId455" display="https://www.cs.toronto.edu/~kriz/learning-features-2009-TR.pdf"/>
    <hyperlink ref="I503" r:id="rId456" display="https://www.cs.toronto.edu/~kriz/cifar.html"/>
    <hyperlink ref="I504" r:id="rId457" display="https://medium.com/datamob/clearing-the-buzzwords-in-machine-learning-e395ad73178b"/>
    <hyperlink ref="I505" r:id="rId458" display="https://arxiv.org/pdf/1812.01718.pdf"/>
    <hyperlink ref="I506" r:id="rId459" display="http://yann.lecun.com/exdb/mnist/"/>
    <hyperlink ref="I507" r:id="rId460" display="https://pubmed.ncbi.nlm.nih.gov/32499413/"/>
    <hyperlink ref="I508" r:id="rId461" display="https://arxiv.org/pdf/1405.0312.pdf"/>
    <hyperlink ref="I509" r:id="rId462" display="https://arxiv.org/pdf/1804.08711.pdf"/>
    <hyperlink ref="I510" r:id="rId463" display="https://link.springer.com/chapter/10.1007/978-3-319-02999-3_9"/>
    <hyperlink ref="I511" r:id="rId464" display="https://arxiv.org/pdf/1605.06636.pdf"/>
    <hyperlink ref="I512" r:id="rId465" display="https://www.cs.ubc.ca/~lowe/papers/ijcv04.pdf"/>
    <hyperlink ref="I513" r:id="rId466" display="https://arxiv.org/pdf/1904.12584.pdf"/>
    <hyperlink ref="I514" r:id="rId467" display="https://arxiv.org/pdf/0806.0145.pdf"/>
    <hyperlink ref="I515" r:id="rId468" display="https://mitpress.mit.edu/books/perceptrons"/>
    <hyperlink ref="I516" r:id="rId469" display="http://ufldl.stanford.edu/housenumbers/"/>
    <hyperlink ref="I517" r:id="rId470" display="https://arxiv.org/pdf/1810.05148.pdf"/>
    <hyperlink ref="I518" r:id="rId471" display="https://citeseerx.ist.psu.edu/viewdoc/download?doi=10.1.1.71.7388&amp;rep=rep1&amp;type=pdf"/>
    <hyperlink ref="I519" r:id="rId472" display="https://arxiv.org/pdf/1802.03268.pdf"/>
    <hyperlink ref="I520" r:id="rId473" display="https://arxiv.org/pdf/1805.10074.pdf"/>
    <hyperlink ref="I521" r:id="rId474" display="https://arxiv.org/pdf/1703.05364.pdf"/>
    <hyperlink ref="I522" r:id="rId475" display="https://arxiv.org/pdf/1606.05250.pdf"/>
    <hyperlink ref="I523" r:id="rId476" display="https://arxiv.org/pdf/1902.10811.pdf"/>
    <hyperlink ref="I524" r:id="rId477" display="https://www.semanticscholar.org/paper/Perceptron-Simulation-Experiments-Rosenblatt/ae76ce1ba27ac29addce4aab93b927e9bc7f7c67"/>
    <hyperlink ref="I525" r:id="rId478" display="https://arxiv.org/pdf/1409.0575.pdf"/>
    <hyperlink ref="I526" r:id="rId479" display="https://ieeexplore.ieee.org/document/9540991"/>
    <hyperlink ref="I527" r:id="rId480" display="https://arxiv.org/pdf/1901.11117.pdf"/>
    <hyperlink ref="I528" r:id="rId481" display="https://arxiv.org/pdf/1707.04926.pdf"/>
    <hyperlink ref="I529" r:id="rId482" display="https://arxiv.org/pdf/1906.02243.pdf"/>
    <hyperlink ref="I531" r:id="rId483" display="https://papers.ssrn.com/sol3/papers.cfm?abstract_id=3287769"/>
    <hyperlink ref="I532" r:id="rId484" display="https://www.jstor.org/stable/2346178"/>
    <hyperlink ref="I533" r:id="rId485" display="https://arxiv.org/pdf/1903.11683.pdf"/>
    <hyperlink ref="I534" r:id="rId486" display="https://arxiv.org/pdf/1905.11481.pdf"/>
    <hyperlink ref="I535" r:id="rId487" display="https://arxiv.org/pdf/1707.06642.pdf"/>
    <hyperlink ref="I536" r:id="rId488" display="http://people.ee.duke.edu/~lcarin/cvpr2010_0618.pdf"/>
    <hyperlink ref="I537" r:id="rId489" display="https://ieeexplore.ieee.org/document/8614482"/>
    <hyperlink ref="I538" r:id="rId490" display="https://arxiv.org/pdf/1703.09746.pdf"/>
    <hyperlink ref="I539" r:id="rId491" display="https://arxiv.org/pdf/2004.11886.pdf"/>
    <hyperlink ref="I540" r:id="rId492" display="https://arxiv.org/pdf/1708.07747.pdf"/>
    <hyperlink ref="I541" r:id="rId493" display="https://arxiv.org/pdf/1810.02338.pdf"/>
    <hyperlink ref="I542" r:id="rId494" display="http://tongzhang-ml.org/papers/eccv10_supervect.pdf"/>
    <hyperlink ref="D544" r:id="rId495" display="https://arxiv.org/pdf/2106.04560v1.pdf"/>
    <hyperlink ref="I546" r:id="rId496" display="https://arxiv.org/pdf/2103.07579.pdf"/>
    <hyperlink ref="I547" r:id="rId497" display="https://arxiv.org/pdf/2006.07159.pdf"/>
    <hyperlink ref="I548" r:id="rId498" display="https://arxiv.org/pdf/2005.12872.pdf"/>
    <hyperlink ref="I549" r:id="rId499" display="https://arxiv.org/pdf/2006.10029.pdf"/>
    <hyperlink ref="I550" r:id="rId500" display="https://arxiv.org/pdf/1911.03584.pdf"/>
    <hyperlink ref="I551" r:id="rId501" display="https://link.springer.com/article/10.1007/BF00994018"/>
    <hyperlink ref="I552" r:id="rId502" display="https://arxiv.org/pdf/2006.07733.pdf"/>
    <hyperlink ref="I553" r:id="rId503" display="https://arxiv.org/pdf/2010.14701.pdf"/>
    <hyperlink ref="I554" r:id="rId504" display="https://arxiv.org/pdf/2102.05918.pdf"/>
    <hyperlink ref="I555" r:id="rId505" display="https://arxiv.org/pdf/2001.08361.pdf"/>
    <hyperlink ref="I556" r:id="rId506" display="https://arxiv.org/pdf/1912.11370.pdf"/>
    <hyperlink ref="I557" r:id="rId507" display="https://arxiv.org/pdf/1810.00825.pdf"/>
    <hyperlink ref="I558" r:id="rId508" display="https://arxiv.org/pdf/2006.16668.pdf"/>
    <hyperlink ref="I559" r:id="rId509" display="https://www.robots.ox.ac.uk/~vgg/publications/2012/parkhi12a/"/>
    <hyperlink ref="I560" r:id="rId510" display="https://arxiv.org/pdf/2003.10580.pdf"/>
    <hyperlink ref="I561" r:id="rId511" display="https://epubs.siam.org/doi/10.1137/0330046"/>
    <hyperlink ref="I562" r:id="rId512" display="https://arxiv.org/pdf/1804.04235.pdf"/>
    <hyperlink ref="I563" r:id="rId513" display="https://arxiv.org/pdf/2101.11605.pdf"/>
    <hyperlink ref="I564" r:id="rId514" display="https://arxiv.org/pdf/2012.12877.pdf"/>
    <hyperlink ref="I565" r:id="rId515" display="https://arxiv.org/pdf/2103.12731.pdf"/>
    <hyperlink ref="I566" r:id="rId516" display="https://arxiv.org/pdf/2102.12122.pdf"/>
    <hyperlink ref="I567" r:id="rId517" display="http://www.vision.caltech.edu/visipedia/CUB-200.html"/>
    <hyperlink ref="I568" r:id="rId518" display="https://arxiv.org/pdf/2101.11986.pdf"/>
    <hyperlink ref="I569" r:id="rId519" display="https://arxiv.org/pdf/1905.03670.pdf"/>
    <hyperlink ref="I570" r:id="rId520" display="https://arxiv.org/pdf/1910.04867.pdf"/>
    <hyperlink ref="H572" r:id="rId521" display="https://arxiv.org/pdf/2008.07772v2.pdf"/>
    <hyperlink ref="I574" r:id="rId522" display="https://arxiv.org/pdf/2001.04413.pdf"/>
    <hyperlink ref="I575" r:id="rId523" display="https://arxiv.org/pdf/1808.07561.pdf"/>
    <hyperlink ref="I576" r:id="rId524" display="https://aclanthology.org/W19-5304.pdf"/>
    <hyperlink ref="I577" r:id="rId525" display="https://arxiv.org/pdf/1812.08951.pdf"/>
    <hyperlink ref="I578" r:id="rId526" display="https://arxiv.org/pdf/1804.09849.pdf"/>
    <hyperlink ref="I579" r:id="rId527" display="https://arxiv.org/pdf/1906.02443.pdf"/>
    <hyperlink ref="I580" r:id="rId528" display="https://dl.acm.org/doi/10.5555/2002736.2002774"/>
    <hyperlink ref="I581" r:id="rId529" display="https://arxiv.org/pdf/1606.01781.pdf"/>
    <hyperlink ref="I582" r:id="rId530" display="https://aclanthology.org/P18-1167/"/>
    <hyperlink ref="I583" r:id="rId531" display="https://arxiv.org/pdf/1808.09381.pdf"/>
    <hyperlink ref="I584" r:id="rId532" display="https://arxiv.org/pdf/1705.03122.pdf"/>
    <hyperlink ref="I585" r:id="rId533" display="https://dl.acm.org/doi/pdf/10.5555/3327757.3327891"/>
    <hyperlink ref="I586" r:id="rId534" display="https://arxiv.org/pdf/1907.06170.pdf"/>
    <hyperlink ref="I587" r:id="rId535" display="https://arxiv.org/pdf/1606.07947.pdf"/>
    <hyperlink ref="I588" r:id="rId536" display="https://aclanthology.org/W07-0734/"/>
    <hyperlink ref="I589" r:id="rId537" display="https://arxiv.org/pdf/1908.03265.pdf"/>
    <hyperlink ref="I590" r:id="rId538" display="https://arxiv.org/pdf/2004.08249.pdf"/>
    <hyperlink ref="I591" r:id="rId539" display="https://arxiv.org/pdf/2004.08994.pdf"/>
    <hyperlink ref="I592" r:id="rId540" display="https://arxiv.org/pdf/2004.03705.pdf"/>
    <hyperlink ref="I593" r:id="rId541" display="https://arxiv.org/pdf/1903.07926.pdf"/>
    <hyperlink ref="I594" r:id="rId542" display="https://arxiv.org/pdf/1907.06616.pdf"/>
    <hyperlink ref="I595" r:id="rId543" display="https://arxiv.org/pdf/1910.05895.pdf"/>
    <hyperlink ref="I596" r:id="rId544" display="https://arxiv.org/pdf/1904.01038.pdf"/>
    <hyperlink ref="I597" r:id="rId545" display="https://arxiv.org/pdf/1806.00187.pdf"/>
    <hyperlink ref="I598" r:id="rId546" display="https://arxiv.org/pdf/1804.08771.pdf"/>
    <hyperlink ref="I599" r:id="rId547" display="https://www.cs.umd.edu/~snover/pub/amta06/ter_amta.pdf"/>
    <hyperlink ref="I600" r:id="rId548" display="https://arxiv.org/pdf/1507.06228.pdf"/>
    <hyperlink ref="I601" r:id="rId549" display="https://arxiv.org/pdf/1906.01787.pdf"/>
    <hyperlink ref="I602" r:id="rId550" display="https://arxiv.org/pdf/1901.10430.pdf"/>
    <hyperlink ref="I603" r:id="rId551" display="https://arxiv.org/pdf/1907.01968.pdf"/>
    <hyperlink ref="I604" r:id="rId552" display="https://arxiv.org/pdf/1911.07013.pdf"/>
    <hyperlink ref="H606" r:id="rId553" display="https://arxiv.org/pdf/2010.05006v4.pdf"/>
    <hyperlink ref="H607" r:id="rId554" display="Pooled Contextualized Embeddings for Named Entity Recognition"/>
    <hyperlink ref="I607" r:id="rId555" display="https://aclanthology.org/N19-1078/"/>
    <hyperlink ref="I608" r:id="rId556" display="https://aclanthology.org/C18-1139.pdf"/>
    <hyperlink ref="I609" r:id="rId557" location="authors" display="https://ieeexplore.ieee.org/document/265960/authors#authors"/>
    <hyperlink ref="I610" r:id="rId558" display="https://arxiv.org/pdf/1903.07785.pdf"/>
    <hyperlink ref="I611" r:id="rId559" display="https://arxiv.org/pdf/1611.02167.pdf"/>
    <hyperlink ref="I612" r:id="rId560" display="https://dl.acm.org/doi/10.5555/1596276.1596305"/>
    <hyperlink ref="H613" r:id="rId561" display="SeqVAT: Virtual Adversarial Training for Semi-Supervised Sequence Labeling"/>
    <hyperlink ref="I613" r:id="rId562" display="https://aclanthology.org/2020.acl-main.777/"/>
    <hyperlink ref="I614" r:id="rId563" display="https://arxiv.org/pdf/1809.08370.pdf"/>
    <hyperlink ref="I615" r:id="rId564" display="https://arxiv.org/pdf/1911.02116.pdf"/>
    <hyperlink ref="I616" r:id="rId565" display="https://citeseerx.ist.psu.edu/viewdoc/download?doi=10.1.1.13.8915&amp;rep=rep1&amp;type=pdf"/>
    <hyperlink ref="I617" r:id="rId566" display="https://arxiv.org/pdf/1611.01734.pdf"/>
    <hyperlink ref="I618" r:id="rId567" display="https://arxiv.org/pdf/1807.01396.pdf"/>
    <hyperlink ref="I619" r:id="rId568" display="https://arxiv.org/pdf/1711.04528.pdf"/>
    <hyperlink ref="I620" r:id="rId569" display="https://arxiv.org/pdf/1808.05377.pdf"/>
    <hyperlink ref="I621" r:id="rId570" display="https://arxiv.org/pdf/2005.13344.pdf"/>
    <hyperlink ref="I622" r:id="rId571" display="https://link.springer.com/article/10.1007/s12065-007-0002-4"/>
    <hyperlink ref="I623" r:id="rId572" display="https://arxiv.org/pdf/1904.07392.pdf"/>
    <hyperlink ref="I624" r:id="rId573" display="https://aclanthology.org/P11-2008.pdf"/>
    <hyperlink ref="I625" r:id="rId574" display="http://citeseerx.ist.psu.edu/viewdoc/summary;jsessionid=A8E23CB33342F46ABB289D5648895ED4?doi=10.1.1.101.9494"/>
    <hyperlink ref="I626" r:id="rId575" display="https://aclanthology.org/D18-1275/"/>
    <hyperlink ref="I627" r:id="rId576" display="https://aclanthology.org/D17-1256/"/>
    <hyperlink ref="I628" r:id="rId577" display="https://arxiv.org/pdf/1908.04943.pdf"/>
    <hyperlink ref="I629" r:id="rId578" display="https://dl.acm.org/doi/10.1145/1014052.1014073"/>
    <hyperlink ref="I630" r:id="rId579" display="https://arxiv.org/pdf/1608.06993.pdf"/>
    <hyperlink ref="I631" r:id="rId580" display="https://aclanthology.org/2020.acl-main.607"/>
    <hyperlink ref="I632" r:id="rId581" display="http://proceedings.mlr.press/v37/jozefowicz15.pdf"/>
    <hyperlink ref="I633" r:id="rId582" display="https://arxiv.org/pdf/1412.6980.pdf"/>
    <hyperlink ref="I634" r:id="rId583" display="https://arxiv.org/pdf/1904.02099.pdf"/>
    <hyperlink ref="I635" r:id="rId584" display="https://arxiv.org/pdf/1609.07561.pdf"/>
    <hyperlink ref="I636" r:id="rId585" display="https://arxiv.org/pdf/1603.01360.pdf"/>
    <hyperlink ref="I637" r:id="rId586" display="https://arxiv.org/pdf/1902.07638.pdf"/>
    <hyperlink ref="I638" r:id="rId587" display="https://arxiv.org/pdf/1910.00883.pdf"/>
    <hyperlink ref="I639" r:id="rId588" display="https://arxiv.org/pdf/1911.08673.pdf"/>
    <hyperlink ref="I640" r:id="rId589" display="https://arxiv.org/pdf/1901.02985.pdf"/>
    <hyperlink ref="I641" r:id="rId590" display="https://arxiv.org/pdf/1711.00436.pdf"/>
    <hyperlink ref="I642" r:id="rId591" display="https://arxiv.org/pdf/1804.08228.pdf"/>
    <hyperlink ref="I643" r:id="rId592" display="https://arxiv.org/pdf/1906.02437.pdf"/>
    <hyperlink ref="I644" r:id="rId593" display="https://arxiv.org/pdf/1711.05101.pdf"/>
    <hyperlink ref="I645" r:id="rId594" display="https://arxiv.org/pdf/2006.01563.pdf"/>
    <hyperlink ref="I646" r:id="rId595" display="https://arxiv.org/pdf/1603.01354.pdf"/>
    <hyperlink ref="I647" r:id="rId596" display="https://arxiv.org/pdf/1805.01087.pdf"/>
    <hyperlink ref="I648" r:id="rId597" display="https://www.seas.upenn.edu/~strctlrn/bib/PDF/nonprojectiveHLT-EMNLP2005.pdf"/>
    <hyperlink ref="I649" r:id="rId598" display="https://www.researchgate.net/publication/220885651_Designing_Neural_Networks_using_Genetic_Algorithms"/>
    <hyperlink ref="I650" r:id="rId599" display="https://arxiv.org/pdf/1911.03875.pdf"/>
    <hyperlink ref="I651" r:id="rId600" display="https://arxiv.org/pdf/2005.10200.pdf"/>
    <hyperlink ref="I652" r:id="rId601" display="https://aclanthology.org/S15-2153.pdf"/>
    <hyperlink ref="I653" r:id="rId602" display="https://aclanthology.org/S14-2008.pdf"/>
    <hyperlink ref="I654" r:id="rId603" display="https://aclanthology.org/N13-1039.pdf"/>
    <hyperlink ref="I655" r:id="rId604" display="https://arxiv.org/pdf/1802.05365.pdf"/>
    <hyperlink ref="I656" r:id="rId605" display="https://arxiv.org/pdf/1906.01502.pdf"/>
    <hyperlink ref="I657" r:id="rId606" display="https://aclanthology.org/S16-1002.pdf"/>
    <hyperlink ref="I658" r:id="rId607" display="https://aclanthology.org/S15-2082.pdf"/>
    <hyperlink ref="I659" r:id="rId608" display="https://aclanthology.org/S14-2004.pdf"/>
    <hyperlink ref="I660" r:id="rId609" display="https://arxiv.org/pdf/1703.01041.pdf"/>
    <hyperlink ref="I661" r:id="rId610" display="https://aclanthology.org/D11-1141.pdf"/>
    <hyperlink ref="I662" r:id="rId611" display="http://proceedings.mlr.press/v32/santos14.pdf"/>
    <hyperlink ref="I663" r:id="rId612" display="https://arxiv.org/pdf/1902.09492.pdf"/>
    <hyperlink ref="I664" r:id="rId613" display="https://arxiv.org/pdf/1908.06926.pdf"/>
    <hyperlink ref="I665" r:id="rId614" display="https://arxiv.org/pdf/1704.00764.pdf"/>
    <hyperlink ref="I666" r:id="rId615" display="https://www-nlpir.nist.gov/related_projects/muc/proceedings/ne_task.html"/>
    <hyperlink ref="I667" r:id="rId616" display="https://web.stanford.edu/class/psych209/Readings/SuttonBartoIPRLBook2ndEd.pdf"/>
    <hyperlink ref="I668" r:id="rId617" display="https://www.persee.fr/doc/lfr_0023-8368_1969_num_1_1_5395"/>
    <hyperlink ref="I669" r:id="rId618" display="https://arxiv.org/pdf/cs/0209010.pdf"/>
    <hyperlink ref="I670" r:id="rId619" display="https://aclanthology.org/W00-0726.pdf"/>
    <hyperlink ref="I671" r:id="rId620" display="https://aclanthology.org/W03-0419.pdf"/>
    <hyperlink ref="I672" r:id="rId621" display="https://arxiv.org/pdf/1906.07880.pdf"/>
    <hyperlink ref="I673" r:id="rId622" display="https://arxiv.org/pdf/2004.03846.pdf"/>
    <hyperlink ref="I674" r:id="rId623" display="https://arxiv.org/pdf/2105.03654.pdf"/>
    <hyperlink ref="I675" r:id="rId624" display="https://arxiv.org/pdf/2009.08330.pdf"/>
    <hyperlink ref="I676" r:id="rId625" display="https://arxiv.org/pdf/2010.05003.pdf"/>
    <hyperlink ref="I677" r:id="rId553" display="https://arxiv.org/pdf/2010.05006v4.pdf"/>
    <hyperlink ref="E678" r:id="rId626" display="Zhenkai Wei, Yu Hong, Bowei Zou, Meng Cheng, Jianmin Yao"/>
    <hyperlink ref="I678" r:id="rId627" display="https://aclanthology.org/2020.acl-main.339.pdf"/>
    <hyperlink ref="I679" r:id="rId628" display="http://www.ecmlpkdd2018.org/wp-content/uploads/2018/09/108.pdf"/>
    <hyperlink ref="I680" r:id="rId629" display="https://arxiv.org/pdf/1904.09077.pdf"/>
    <hyperlink ref="I681" r:id="rId630" display="https://arxiv.org/pdf/1703.01513.pdf"/>
    <hyperlink ref="I682" r:id="rId631" display="https://arxiv.org/pdf/1904.02232.pdf"/>
    <hyperlink ref="I683" r:id="rId632" display="https://arxiv.org/pdf/1805.04601.pdf"/>
    <hyperlink ref="I684" r:id="rId633" display="https://arxiv.org/pdf/2010.01057.pdf"/>
    <hyperlink ref="I685" r:id="rId634" display="https://arxiv.org/pdf/2005.07150.pdf"/>
    <hyperlink ref="I686" r:id="rId635" display="https://arxiv.org/pdf/2005.00975.pdf"/>
    <hyperlink ref="I687" r:id="rId636" display="https://arxiv.org/pdf/1708.05552.pdf"/>
    <hyperlink ref="I688" r:id="rId637" display="https://arxiv.org/pdf/1907.02684.pdf"/>
    <hyperlink ref="I689" r:id="rId638" display="https://link.springer.com/chapter/10.1007/978-3-030-88480-2_14"/>
    <hyperlink ref="D691" r:id="rId639" display="https://arxiv.org/pdf/2103.00020.pdf"/>
    <hyperlink ref="I692" r:id="rId640" display="https://arxiv.org/pdf/2003.04297.pdf"/>
    <hyperlink ref="I693" r:id="rId641" display="https://arxiv.org/pdf/1805.08974.pdf"/>
    <hyperlink ref="H695" r:id="rId642" display="https://arxiv.org/pdf/2106.08322.pdf"/>
    <hyperlink ref="I696" r:id="rId643" display="https://arxiv.org/pdf/1712.00726.pdf"/>
    <hyperlink ref="I697" r:id="rId644" display="https://arxiv.org/pdf/2003.10027.pdf"/>
    <hyperlink ref="I698" r:id="rId645" display="https://arxiv.org/pdf/2007.08508.pdf"/>
    <hyperlink ref="I699" r:id="rId646" display="https://arxiv.org/pdf/2010.15831.pdf"/>
    <hyperlink ref="I700" r:id="rId647" display="https://arxiv.org/pdf/1605.06409.pdf"/>
    <hyperlink ref="I701" r:id="rId648" display="https://arxiv.org/pdf/1703.06211.pdf"/>
    <hyperlink ref="I702" r:id="rId649" display="https://arxiv.org/pdf/1912.05027.pdf"/>
    <hyperlink ref="I703" r:id="rId650" display="https://arxiv.org/pdf/1904.08189.pdf"/>
    <hyperlink ref="I704" r:id="rId651" display="https://arxiv.org/pdf/2012.07177.pdf"/>
    <hyperlink ref="I705" r:id="rId652" display="https://arxiv.org/pdf/1612.03144.pdf"/>
    <hyperlink ref="I706" r:id="rId653" display="https://arxiv.org/pdf/1803.01534.pdf"/>
    <hyperlink ref="I707" r:id="rId654" display="https://arxiv.org/pdf/2103.14030.pdf"/>
    <hyperlink ref="I708" r:id="rId655" display="https://arxiv.org/pdf/1904.02701.pdf"/>
    <hyperlink ref="I709" r:id="rId656" display="https://arxiv.org/pdf/2007.11056.pdf"/>
    <hyperlink ref="I710" r:id="rId657" display="https://arxiv.org/pdf/1711.08189.pdf"/>
    <hyperlink ref="I711" r:id="rId658" display="https://arxiv.org/pdf/1805.09300.pdf"/>
    <hyperlink ref="I712" r:id="rId659" display="https://arxiv.org/pdf/2011.12450.pdf"/>
    <hyperlink ref="I713" r:id="rId660" display="https://arxiv.org/pdf/1904.01355.pdf"/>
    <hyperlink ref="I714" r:id="rId661" display="https://arxiv.org/pdf/1711.07971.pdf"/>
    <hyperlink ref="I715" r:id="rId662" display="https://arxiv.org/pdf/2005.03101.pdf"/>
    <hyperlink ref="I716" r:id="rId663" display="https://arxiv.org/pdf/1904.11490.pdf"/>
    <hyperlink ref="I717" r:id="rId664" display="https://arxiv.org/pdf/1511.07122.pdf"/>
    <hyperlink ref="I718" r:id="rId665" display="https://arxiv.org/pdf/1912.02424.pdf"/>
    <hyperlink ref="I719" r:id="rId666" display="https://arxiv.org/pdf/2103.07461.pdf"/>
    <hyperlink ref="I720" r:id="rId667" display="https://arxiv.org/pdf/1811.11168.pdf"/>
    <hyperlink ref="I721" r:id="rId668" display="https://arxiv.org/pdf/2010.04159.pdf"/>
    <hyperlink ref="I722" r:id="rId669" display="https://pdollar.github.io/files/papers/ZitnickDollarECCV14edgeBoxes.pdf"/>
    <hyperlink ref="I723" r:id="rId670" display="https://arxiv.org/pdf/2006.06882.pdf"/>
    <hyperlink ref="I724" r:id="rId671" display="https://arxiv.org/pdf/1905.05055.pdf"/>
    <hyperlink ref="H726" r:id="rId672" display="https://arxiv.org/pdf/2010.01057v1.pdf"/>
    <hyperlink ref="I728" r:id="rId673" display="https://arxiv.org/pdf/1906.03158.pdf"/>
    <hyperlink ref="I729" r:id="rId674" display="https://papers.nips.cc/paper/2013/file/1cecc7a77928ca8133fa24680a88d2f9-Paper.pdf"/>
    <hyperlink ref="I730" r:id="rId675" display="https://aclanthology.org/P17-1149.pdf"/>
    <hyperlink ref="I731" r:id="rId676" display="https://arxiv.org/pdf/1807.04905.pdf"/>
    <hyperlink ref="I732" r:id="rId677" display="https://arxiv.org/pdf/1710.10723.pdf"/>
    <hyperlink ref="I733" r:id="rId678" display="https://arxiv.org/pdf/1906.04341.pdf"/>
    <hyperlink ref="I734" r:id="rId679" display="https://arxiv.org/pdf/1704.04920.pdf"/>
    <hyperlink ref="I735" r:id="rId680" display="https://arxiv.org/pdf/1606.08415.pdf"/>
    <hyperlink ref="I736" r:id="rId681" display="https://arxiv.org/pdf/1907.10529.pdf"/>
    <hyperlink ref="I737" r:id="rId682" display="https://arxiv.org/pdf/1909.11942.pdf"/>
    <hyperlink ref="I738" r:id="rId683" display="https://arxiv.org/pdf/1607.06450.pdf"/>
    <hyperlink ref="I739" r:id="rId683" display="https://arxiv.org/pdf/1607.06450.pdf"/>
    <hyperlink ref="I740" r:id="rId684" display="https://aclanthology.org/D19-6011/"/>
    <hyperlink ref="I741" r:id="rId685" display="https://arxiv.org/pdf/2001.03765.pdf"/>
    <hyperlink ref="I742" r:id="rId686" display="https://aclanthology.org/D19-6007.pdf"/>
    <hyperlink ref="I743" r:id="rId687" display="https://arxiv.org/pdf/1909.04164.pdf"/>
    <hyperlink ref="I744" r:id="rId688" display="https://arxiv.org/pdf/1906.02715.pdf"/>
    <hyperlink ref="I745" r:id="rId689" display="https://arxiv.org/pdf/1611.01603.pdf"/>
    <hyperlink ref="I746" r:id="rId690" display="https://aclanthology.org/D18-1309.pdf"/>
    <hyperlink ref="I747" r:id="rId691" display="https://arxiv.org/pdf/1606.06357.pdf"/>
    <hyperlink ref="I748" r:id="rId692" display="https://arxiv.org/pdf/1905.00537.pdf"/>
    <hyperlink ref="I749" r:id="rId693" display="https://arxiv.org/pdf/2002.01808.pdf"/>
    <hyperlink ref="I750" r:id="rId694" display="https://arxiv.org/pdf/1911.06136.pdf"/>
    <hyperlink ref="I751" r:id="rId695" display="https://arxiv.org/pdf/1912.09637.pdf"/>
    <hyperlink ref="I752" r:id="rId696" display="https://arxiv.org/pdf/1601.01343.pdf"/>
    <hyperlink ref="I753" r:id="rId697" display="https://arxiv.org/pdf/1705.02494.pdf"/>
    <hyperlink ref="I754" r:id="rId698" display="https://arxiv.org/pdf/1412.6575.pdf"/>
    <hyperlink ref="I755" r:id="rId699" display="https://arxiv.org/pdf/1810.12885.pdf"/>
    <hyperlink ref="I756" r:id="rId700" display="https://arxiv.org/pdf/1809.10185.pdf"/>
    <hyperlink ref="I757" r:id="rId701" display="https://nlp.stanford.edu/pubs/zhang2017tacred.pdf"/>
    <hyperlink ref="I758" r:id="rId702" display="https://arxiv.org/pdf/1905.07129.pdf"/>
  </hyperlink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18</vt:i4>
      </vt:variant>
    </vt:vector>
  </HeadingPairs>
  <TitlesOfParts>
    <vt:vector size="18" baseType="lpstr">
      <vt:lpstr>ALL ML SYSTEMS</vt:lpstr>
      <vt:lpstr>NOTABLE ML SYSTEMS</vt:lpstr>
      <vt:lpstr>ML DOMAINS AND TASKS</vt:lpstr>
      <vt:lpstr>PREVIOUS WORK</vt:lpstr>
      <vt:lpstr>CITING OUR WORK</vt:lpstr>
      <vt:lpstr>SUGGESTIONS</vt:lpstr>
      <vt:lpstr>RETIRED SYSTEMS</vt:lpstr>
      <vt:lpstr>PROJECT GOALS AND TASKS</vt:lpstr>
      <vt:lpstr>2021-01-12-NOTABLE-ML-SYSTEMS</vt:lpstr>
      <vt:lpstr>AUTOMATICALLY DETECTED MODELS</vt:lpstr>
      <vt:lpstr>NOTABLE NON ML AI DEVELOPMENTS</vt:lpstr>
      <vt:lpstr>NOTABLE AI JOURNALS  CONFERENCE</vt:lpstr>
      <vt:lpstr>SOTA_IMPROVEMENTS</vt:lpstr>
      <vt:lpstr>HARDWARE_DATA</vt:lpstr>
      <vt:lpstr>PAPERS AND HARDWARE MODELS</vt:lpstr>
      <vt:lpstr>REFERENCES TO OUR WORK</vt:lpstr>
      <vt:lpstr>OBSERVATION COUNT OVERVIEW</vt:lpstr>
      <vt:lpstr>NOTABLE DATASETS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Brianpu</cp:lastModifiedBy>
  <dcterms:created xsi:type="dcterms:W3CDTF">2023-05-12T15:21:34Z</dcterms:created>
  <dcterms:modified xsi:type="dcterms:W3CDTF">2023-05-12T15:24:16Z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222301B6C40A4639BDAE208619C2BC12_13</vt:lpwstr>
  </property>
  <property fmtid="{D5CDD505-2E9C-101B-9397-08002B2CF9AE}" pid="3" name="KSOProductBuildVer">
    <vt:lpwstr>2052-11.1.0.14309</vt:lpwstr>
  </property>
</Properties>
</file>