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m0507\Dropbox\Queercon\QC15\BOM\"/>
    </mc:Choice>
  </mc:AlternateContent>
  <bookViews>
    <workbookView xWindow="0" yWindow="0" windowWidth="8925" windowHeight="7575"/>
  </bookViews>
  <sheets>
    <sheet name="2018" sheetId="11" r:id="rId1"/>
    <sheet name="2018 Quotes" sheetId="13" r:id="rId2"/>
    <sheet name="2017" sheetId="10" r:id="rId3"/>
    <sheet name="2016" sheetId="1" r:id="rId4"/>
  </sheets>
  <definedNames>
    <definedName name="_xlnm._FilterDatabase" localSheetId="3" hidden="1">'2016'!$A$2:$Y$2</definedName>
    <definedName name="_xlnm._FilterDatabase" localSheetId="2" hidden="1">'2017'!$C$2:$Z$31</definedName>
    <definedName name="_xlnm._FilterDatabase" localSheetId="0" hidden="1">'2018'!$A$2:$Y$39</definedName>
    <definedName name="_xlnm.Print_Titles" localSheetId="3">'2016'!$2:$2</definedName>
    <definedName name="_xlnm.Print_Titles" localSheetId="2">'2017'!$2:$2</definedName>
    <definedName name="_xlnm.Print_Titles" localSheetId="0">'2018'!$2:$2</definedName>
  </definedNames>
  <calcPr calcId="152511" concurrentCalc="0"/>
</workbook>
</file>

<file path=xl/calcChain.xml><?xml version="1.0" encoding="utf-8"?>
<calcChain xmlns="http://schemas.openxmlformats.org/spreadsheetml/2006/main">
  <c r="O13" i="11" l="1"/>
  <c r="O14" i="11"/>
  <c r="O15" i="11"/>
  <c r="O16" i="11"/>
  <c r="N13" i="11"/>
  <c r="N14" i="11"/>
  <c r="N15" i="11"/>
  <c r="F44" i="11"/>
  <c r="S23" i="11"/>
  <c r="T23" i="11"/>
  <c r="N23" i="11"/>
  <c r="O23" i="11"/>
  <c r="N28" i="11"/>
  <c r="T28" i="11"/>
  <c r="S28" i="11"/>
  <c r="O28" i="11"/>
  <c r="B8" i="13"/>
  <c r="C8" i="13"/>
  <c r="T14" i="11"/>
  <c r="S14" i="11"/>
  <c r="T13" i="11"/>
  <c r="K13" i="11"/>
  <c r="S13" i="11"/>
  <c r="S4" i="11"/>
  <c r="S6" i="11"/>
  <c r="S7" i="11"/>
  <c r="S8" i="11"/>
  <c r="S9" i="11"/>
  <c r="S10" i="11"/>
  <c r="S5" i="11"/>
  <c r="S11" i="11"/>
  <c r="S12" i="11"/>
  <c r="S16" i="11"/>
  <c r="S17" i="11"/>
  <c r="S18" i="11"/>
  <c r="S20" i="11"/>
  <c r="S21" i="11"/>
  <c r="S22" i="11"/>
  <c r="S24" i="11"/>
  <c r="S25" i="11"/>
  <c r="S26" i="11"/>
  <c r="S29" i="11"/>
  <c r="S30" i="11"/>
  <c r="S32" i="11"/>
  <c r="S33" i="11"/>
  <c r="S34" i="11"/>
  <c r="S35" i="11"/>
  <c r="S36" i="11"/>
  <c r="S37" i="11"/>
  <c r="S38" i="11"/>
  <c r="S39" i="11"/>
  <c r="S19" i="11"/>
  <c r="S27" i="11"/>
  <c r="S15" i="11"/>
  <c r="S31" i="11"/>
  <c r="S3" i="11"/>
  <c r="Q11" i="11"/>
  <c r="T5" i="11"/>
  <c r="R12" i="11"/>
  <c r="T12" i="11"/>
  <c r="T17" i="11"/>
  <c r="T18" i="11"/>
  <c r="R20" i="11"/>
  <c r="T20" i="11"/>
  <c r="R21" i="11"/>
  <c r="T21" i="11"/>
  <c r="R22" i="11"/>
  <c r="T22" i="11"/>
  <c r="T24" i="11"/>
  <c r="T25" i="11"/>
  <c r="T26" i="11"/>
  <c r="T29" i="11"/>
  <c r="T30" i="11"/>
  <c r="T32" i="11"/>
  <c r="T33" i="11"/>
  <c r="T34" i="11"/>
  <c r="T35" i="11"/>
  <c r="T36" i="11"/>
  <c r="T37" i="11"/>
  <c r="T38" i="11"/>
  <c r="T39" i="11"/>
  <c r="R19" i="11"/>
  <c r="T19" i="11"/>
  <c r="T27" i="11"/>
  <c r="T15" i="11"/>
  <c r="T31" i="11"/>
  <c r="T4" i="11"/>
  <c r="T6" i="11"/>
  <c r="T7" i="11"/>
  <c r="T8" i="11"/>
  <c r="T9" i="11"/>
  <c r="T3" i="11"/>
  <c r="C3" i="13"/>
  <c r="C4" i="13"/>
  <c r="C5" i="13"/>
  <c r="C6" i="13"/>
  <c r="C7" i="13"/>
  <c r="B2" i="13"/>
  <c r="C2" i="13"/>
  <c r="N31" i="11"/>
  <c r="O31" i="11"/>
  <c r="N20" i="11"/>
  <c r="N19" i="11"/>
  <c r="O19" i="11"/>
  <c r="N27" i="11"/>
  <c r="O27" i="11"/>
  <c r="N4" i="11"/>
  <c r="O4" i="11"/>
  <c r="N6" i="11"/>
  <c r="O6" i="11"/>
  <c r="N7" i="11"/>
  <c r="O7" i="11"/>
  <c r="N8" i="11"/>
  <c r="O8" i="11"/>
  <c r="N9" i="11"/>
  <c r="O9" i="11"/>
  <c r="N10" i="11"/>
  <c r="O10" i="11"/>
  <c r="N5" i="11"/>
  <c r="O5" i="11"/>
  <c r="N11" i="11"/>
  <c r="O11" i="11"/>
  <c r="N12" i="11"/>
  <c r="O12" i="11"/>
  <c r="N16" i="11"/>
  <c r="N17" i="11"/>
  <c r="O17" i="11"/>
  <c r="N18" i="11"/>
  <c r="O18" i="11"/>
  <c r="O20" i="11"/>
  <c r="N21" i="11"/>
  <c r="O21" i="11"/>
  <c r="N22" i="11"/>
  <c r="O22" i="11"/>
  <c r="N24" i="11"/>
  <c r="O24" i="11"/>
  <c r="N25" i="11"/>
  <c r="O25" i="11"/>
  <c r="N26" i="11"/>
  <c r="O26" i="11"/>
  <c r="N29" i="11"/>
  <c r="O29" i="11"/>
  <c r="N30" i="11"/>
  <c r="O30" i="11"/>
  <c r="N32" i="11"/>
  <c r="O32" i="11"/>
  <c r="N33" i="11"/>
  <c r="O33" i="11"/>
  <c r="N34" i="11"/>
  <c r="O34" i="11"/>
  <c r="N35" i="11"/>
  <c r="O35" i="11"/>
  <c r="N36" i="11"/>
  <c r="O36" i="11"/>
  <c r="N37" i="11"/>
  <c r="O37" i="11"/>
  <c r="N38" i="11"/>
  <c r="O38" i="11"/>
  <c r="N39" i="11"/>
  <c r="O39" i="11"/>
  <c r="O3" i="11"/>
  <c r="N3" i="11"/>
  <c r="K5" i="11"/>
  <c r="R16" i="11"/>
  <c r="F45" i="11"/>
  <c r="G37" i="10"/>
  <c r="P32" i="10"/>
  <c r="T4" i="10"/>
  <c r="F39" i="10"/>
  <c r="R11" i="10"/>
  <c r="R19" i="10"/>
  <c r="T26" i="10"/>
  <c r="U26" i="10"/>
  <c r="T5" i="10"/>
  <c r="U5" i="10"/>
  <c r="S6" i="10"/>
  <c r="T6" i="10"/>
  <c r="U6" i="10"/>
  <c r="T7" i="10"/>
  <c r="U7" i="10"/>
  <c r="T8" i="10"/>
  <c r="U8" i="10"/>
  <c r="T9" i="10"/>
  <c r="U9" i="10"/>
  <c r="T10" i="10"/>
  <c r="U10" i="10"/>
  <c r="S12" i="10"/>
  <c r="T12" i="10"/>
  <c r="U12" i="10"/>
  <c r="T13" i="10"/>
  <c r="U13" i="10"/>
  <c r="T14" i="10"/>
  <c r="U14" i="10"/>
  <c r="T15" i="10"/>
  <c r="U15" i="10"/>
  <c r="S16" i="10"/>
  <c r="T16" i="10"/>
  <c r="U16" i="10"/>
  <c r="S17" i="10"/>
  <c r="T17" i="10"/>
  <c r="U17" i="10"/>
  <c r="T18" i="10"/>
  <c r="U18" i="10"/>
  <c r="T20" i="10"/>
  <c r="U20" i="10"/>
  <c r="T21" i="10"/>
  <c r="U21" i="10"/>
  <c r="T22" i="10"/>
  <c r="U22" i="10"/>
  <c r="S23" i="10"/>
  <c r="T23" i="10"/>
  <c r="U23" i="10"/>
  <c r="T24" i="10"/>
  <c r="U24" i="10"/>
  <c r="T25" i="10"/>
  <c r="U25" i="10"/>
  <c r="T27" i="10"/>
  <c r="U27" i="10"/>
  <c r="T28" i="10"/>
  <c r="U28" i="10"/>
  <c r="T29" i="10"/>
  <c r="U29" i="10"/>
  <c r="T30" i="10"/>
  <c r="U30" i="10"/>
  <c r="T31" i="10"/>
  <c r="U31" i="10"/>
  <c r="T3" i="10"/>
  <c r="U3" i="10"/>
  <c r="T11" i="10"/>
  <c r="U11" i="10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P3" i="10"/>
  <c r="O3" i="10"/>
  <c r="F40" i="10"/>
  <c r="F38" i="10"/>
  <c r="F37" i="10"/>
  <c r="E3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R4" i="1"/>
  <c r="R5" i="1"/>
  <c r="R6" i="1"/>
  <c r="R7" i="1"/>
  <c r="R8" i="1"/>
  <c r="R9" i="1"/>
  <c r="R10" i="1"/>
  <c r="R12" i="1"/>
  <c r="R13" i="1"/>
  <c r="R14" i="1"/>
  <c r="R15" i="1"/>
  <c r="R17" i="1"/>
  <c r="R16" i="1"/>
  <c r="R18" i="1"/>
  <c r="R19" i="1"/>
  <c r="R20" i="1"/>
  <c r="R21" i="1"/>
  <c r="R23" i="1"/>
  <c r="R24" i="1"/>
  <c r="R25" i="1"/>
  <c r="R26" i="1"/>
  <c r="R27" i="1"/>
  <c r="R28" i="1"/>
  <c r="R29" i="1"/>
  <c r="R31" i="1"/>
  <c r="R32" i="1"/>
  <c r="R33" i="1"/>
  <c r="R22" i="1"/>
  <c r="R3" i="1"/>
  <c r="E38" i="1"/>
  <c r="S20" i="1"/>
  <c r="T20" i="1"/>
  <c r="N20" i="1"/>
  <c r="O20" i="1"/>
  <c r="S22" i="1"/>
  <c r="T22" i="1"/>
  <c r="O22" i="1"/>
  <c r="N22" i="1"/>
  <c r="O3" i="1"/>
  <c r="O7" i="1"/>
  <c r="O5" i="1"/>
  <c r="O6" i="1"/>
  <c r="O8" i="1"/>
  <c r="O9" i="1"/>
  <c r="O10" i="1"/>
  <c r="O12" i="1"/>
  <c r="O13" i="1"/>
  <c r="O25" i="1"/>
  <c r="O26" i="1"/>
  <c r="O24" i="1"/>
  <c r="O30" i="1"/>
  <c r="O31" i="1"/>
  <c r="O32" i="1"/>
  <c r="O33" i="1"/>
  <c r="O29" i="1"/>
  <c r="O19" i="1"/>
  <c r="O17" i="1"/>
  <c r="O16" i="1"/>
  <c r="O15" i="1"/>
  <c r="O14" i="1"/>
  <c r="O27" i="1"/>
  <c r="O4" i="1"/>
  <c r="O21" i="1"/>
  <c r="O11" i="1"/>
  <c r="O18" i="1"/>
  <c r="O23" i="1"/>
  <c r="O28" i="1"/>
  <c r="N3" i="1"/>
  <c r="N7" i="1"/>
  <c r="N5" i="1"/>
  <c r="N6" i="1"/>
  <c r="N8" i="1"/>
  <c r="N9" i="1"/>
  <c r="N10" i="1"/>
  <c r="N12" i="1"/>
  <c r="N13" i="1"/>
  <c r="N25" i="1"/>
  <c r="N26" i="1"/>
  <c r="N24" i="1"/>
  <c r="N30" i="1"/>
  <c r="N31" i="1"/>
  <c r="N32" i="1"/>
  <c r="N33" i="1"/>
  <c r="N29" i="1"/>
  <c r="N19" i="1"/>
  <c r="N17" i="1"/>
  <c r="N16" i="1"/>
  <c r="N15" i="1"/>
  <c r="N14" i="1"/>
  <c r="N27" i="1"/>
  <c r="N4" i="1"/>
  <c r="N21" i="1"/>
  <c r="N11" i="1"/>
  <c r="N18" i="1"/>
  <c r="N23" i="1"/>
  <c r="N28" i="1"/>
  <c r="E37" i="1"/>
  <c r="E36" i="1"/>
  <c r="S23" i="1"/>
  <c r="T23" i="1"/>
  <c r="J11" i="1"/>
  <c r="S4" i="1"/>
  <c r="T4" i="1"/>
  <c r="S21" i="1"/>
  <c r="T21" i="1"/>
  <c r="S11" i="1"/>
  <c r="T11" i="1"/>
  <c r="S18" i="1"/>
  <c r="T18" i="1"/>
  <c r="S16" i="1"/>
  <c r="T16" i="1"/>
  <c r="S15" i="1"/>
  <c r="T15" i="1"/>
  <c r="S14" i="1"/>
  <c r="T14" i="1"/>
  <c r="S27" i="1"/>
  <c r="T27" i="1"/>
  <c r="S17" i="1"/>
  <c r="T17" i="1"/>
  <c r="S19" i="1"/>
  <c r="T19" i="1"/>
  <c r="S29" i="1"/>
  <c r="T29" i="1"/>
  <c r="S28" i="1"/>
  <c r="T28" i="1"/>
  <c r="S3" i="1"/>
  <c r="T3" i="1"/>
  <c r="S7" i="1"/>
  <c r="T7" i="1"/>
  <c r="S5" i="1"/>
  <c r="T5" i="1"/>
  <c r="S6" i="1"/>
  <c r="T6" i="1"/>
  <c r="S8" i="1"/>
  <c r="T8" i="1"/>
  <c r="S9" i="1"/>
  <c r="T9" i="1"/>
  <c r="S10" i="1"/>
  <c r="T10" i="1"/>
  <c r="S12" i="1"/>
  <c r="T12" i="1"/>
  <c r="S13" i="1"/>
  <c r="T13" i="1"/>
  <c r="S25" i="1"/>
  <c r="T25" i="1"/>
  <c r="S26" i="1"/>
  <c r="T26" i="1"/>
  <c r="S24" i="1"/>
  <c r="T24" i="1"/>
  <c r="S30" i="1"/>
  <c r="T30" i="1"/>
  <c r="S31" i="1"/>
  <c r="T31" i="1"/>
  <c r="S32" i="1"/>
  <c r="T32" i="1"/>
  <c r="S33" i="1"/>
  <c r="T33" i="1"/>
  <c r="T19" i="10"/>
  <c r="U19" i="10"/>
  <c r="F41" i="10"/>
  <c r="R11" i="11"/>
  <c r="T11" i="11"/>
  <c r="F43" i="11"/>
  <c r="F42" i="11"/>
  <c r="Q10" i="11"/>
  <c r="R10" i="11"/>
  <c r="T10" i="11"/>
  <c r="F47" i="11"/>
  <c r="F48" i="11"/>
  <c r="F46" i="11"/>
</calcChain>
</file>

<file path=xl/comments1.xml><?xml version="1.0" encoding="utf-8"?>
<comments xmlns="http://schemas.openxmlformats.org/spreadsheetml/2006/main">
  <authors>
    <author>Evan Mackay</author>
  </authors>
  <commentList>
    <comment ref="G32" authorId="0" shapeId="0">
      <text>
        <r>
          <rPr>
            <b/>
            <sz val="9"/>
            <color indexed="81"/>
            <rFont val="Tahoma"/>
            <family val="2"/>
          </rPr>
          <t>Evan Mackay:</t>
        </r>
        <r>
          <rPr>
            <sz val="9"/>
            <color indexed="81"/>
            <rFont val="Tahoma"/>
            <family val="2"/>
          </rPr>
          <t xml:space="preserve">
Alt: 3M 3302/14 300SF</t>
        </r>
      </text>
    </comment>
  </commentList>
</comments>
</file>

<file path=xl/comments2.xml><?xml version="1.0" encoding="utf-8"?>
<comments xmlns="http://schemas.openxmlformats.org/spreadsheetml/2006/main">
  <authors>
    <author>Evan Mackay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Evan Mackay:</t>
        </r>
        <r>
          <rPr>
            <sz val="9"/>
            <color indexed="81"/>
            <rFont val="Tahoma"/>
            <family val="2"/>
          </rPr>
          <t xml:space="preserve">
Alt: 3M 3302/14 300SF</t>
        </r>
      </text>
    </comment>
  </commentList>
</comments>
</file>

<file path=xl/sharedStrings.xml><?xml version="1.0" encoding="utf-8"?>
<sst xmlns="http://schemas.openxmlformats.org/spreadsheetml/2006/main" count="948" uniqueCount="474">
  <si>
    <t>#</t>
  </si>
  <si>
    <t>Designator</t>
  </si>
  <si>
    <t>Name</t>
  </si>
  <si>
    <t>Spec</t>
  </si>
  <si>
    <t>Manufacturer</t>
  </si>
  <si>
    <t>PN</t>
  </si>
  <si>
    <t>Any*</t>
  </si>
  <si>
    <t>Footprint</t>
  </si>
  <si>
    <t>Cost</t>
  </si>
  <si>
    <t>@ Qty</t>
  </si>
  <si>
    <t>Pads</t>
  </si>
  <si>
    <t>% Spare</t>
  </si>
  <si>
    <t>Ship QTY</t>
  </si>
  <si>
    <t>Subtotal</t>
  </si>
  <si>
    <t>Vendor</t>
  </si>
  <si>
    <t>Shipped From</t>
  </si>
  <si>
    <t>Last Verified</t>
  </si>
  <si>
    <t>Note</t>
  </si>
  <si>
    <t>N</t>
  </si>
  <si>
    <t>NA</t>
  </si>
  <si>
    <t>Mouser</t>
  </si>
  <si>
    <t>Button</t>
  </si>
  <si>
    <t>SMT</t>
  </si>
  <si>
    <t>Y</t>
  </si>
  <si>
    <t>Amazon</t>
  </si>
  <si>
    <t>USA</t>
  </si>
  <si>
    <t>Customer Supplied</t>
  </si>
  <si>
    <t>Battery Holder</t>
  </si>
  <si>
    <t>2xAA, TH</t>
  </si>
  <si>
    <t>Eagle Plastic Devices</t>
  </si>
  <si>
    <t>12BH321P-GR</t>
  </si>
  <si>
    <t>TH</t>
  </si>
  <si>
    <t>1.0uF, 25V, 10%</t>
  </si>
  <si>
    <t>Murata</t>
  </si>
  <si>
    <t>GRM188R61E105KA12D</t>
  </si>
  <si>
    <t>0603</t>
  </si>
  <si>
    <t>Reset Cap</t>
  </si>
  <si>
    <t>2.2nF, 25V, 20%</t>
  </si>
  <si>
    <t>GRM188R71H222KA01D</t>
  </si>
  <si>
    <t>Bypass cap</t>
  </si>
  <si>
    <t>0.1 uF</t>
  </si>
  <si>
    <t>Kemet</t>
  </si>
  <si>
    <t>C0603C104K3RACTU</t>
  </si>
  <si>
    <t>Ribbon Cable</t>
  </si>
  <si>
    <t>14C, 1.27mm, Rainbow</t>
  </si>
  <si>
    <t>Assman WSW</t>
  </si>
  <si>
    <t>AWG28-14/F/300</t>
  </si>
  <si>
    <t>Digikey</t>
  </si>
  <si>
    <t>Customer Supplied, DNP, DNQ</t>
  </si>
  <si>
    <t>Ribbon Cable Connector</t>
  </si>
  <si>
    <t>14P, Female, Press fit</t>
  </si>
  <si>
    <t>Molex</t>
  </si>
  <si>
    <t>0906351141</t>
  </si>
  <si>
    <t>White</t>
  </si>
  <si>
    <t>5 mA, White</t>
  </si>
  <si>
    <t>ESD</t>
  </si>
  <si>
    <t>4C, Bidirectional</t>
  </si>
  <si>
    <t>Diodes Inc</t>
  </si>
  <si>
    <t>DT1446-04S-7</t>
  </si>
  <si>
    <t>SOT-363-6</t>
  </si>
  <si>
    <t>PS Inductor</t>
  </si>
  <si>
    <t>4.7uH, 1A, 110mOhms</t>
  </si>
  <si>
    <t>Bourns</t>
  </si>
  <si>
    <t>CVH252009-4R7M</t>
  </si>
  <si>
    <t>Vishay / Dale</t>
  </si>
  <si>
    <t>1.1k, 1%, 100mW</t>
  </si>
  <si>
    <t>CRCW06031K10FKEA</t>
  </si>
  <si>
    <t>3.3 divider Res</t>
  </si>
  <si>
    <t>604k, 1%</t>
  </si>
  <si>
    <t>Yageo</t>
  </si>
  <si>
    <t>Resistors</t>
  </si>
  <si>
    <t>1.02M</t>
  </si>
  <si>
    <t>MCU</t>
  </si>
  <si>
    <t>16-bit Microcontroller</t>
  </si>
  <si>
    <t>Texas Instruments</t>
  </si>
  <si>
    <t>MSP430FR5949IDA</t>
  </si>
  <si>
    <t>DA / TSOP</t>
  </si>
  <si>
    <t>Wireless</t>
  </si>
  <si>
    <t>HopeRF</t>
  </si>
  <si>
    <t>Customer Supplied, See instructions</t>
  </si>
  <si>
    <t>LED Controller</t>
  </si>
  <si>
    <t>PWM, latching</t>
  </si>
  <si>
    <t>TLC5948ADBQ</t>
  </si>
  <si>
    <t>SSOP-24</t>
  </si>
  <si>
    <t>Regulator</t>
  </si>
  <si>
    <t>Boost Regulator</t>
  </si>
  <si>
    <t>Skyworks</t>
  </si>
  <si>
    <t>AAT1217ICA-1.2-T1</t>
  </si>
  <si>
    <t>TSOT23-6</t>
  </si>
  <si>
    <t>QTY</t>
  </si>
  <si>
    <t>Temp Sensor</t>
  </si>
  <si>
    <t>Vout</t>
  </si>
  <si>
    <t>Microchip</t>
  </si>
  <si>
    <t>MCP9700T-E/TT</t>
  </si>
  <si>
    <t>SOT-23-3</t>
  </si>
  <si>
    <t>http://www.digikey.com/product-detail/en/MCP9700T-E%2FTT/MCP9700T-E%2FTTCT-ND/1212545</t>
  </si>
  <si>
    <t>Light Sensor</t>
  </si>
  <si>
    <t>http://www.digikey.com/product-detail/en/PT15-21C%2FTR8/1080-1380-1-ND/2676114</t>
  </si>
  <si>
    <t>URL</t>
  </si>
  <si>
    <t>2.54 TH</t>
  </si>
  <si>
    <t>Alt</t>
  </si>
  <si>
    <t>Sullins</t>
  </si>
  <si>
    <t>Male mating</t>
  </si>
  <si>
    <t>Female Hat</t>
  </si>
  <si>
    <t>4 Position Header Connector 0.100" (2.54mm) Through Hole, Right Angle Tin</t>
  </si>
  <si>
    <t>PPTC041LGBN-RC</t>
  </si>
  <si>
    <t>http://www.digikey.com/product-detail/en/sullins-connector-solutions/PPTC041LGBN-RC/S5440-ND/775898</t>
  </si>
  <si>
    <t>Female Mating</t>
  </si>
  <si>
    <t>Prog Header</t>
  </si>
  <si>
    <t>4 Positions Header, Unshrouded, Breakaway Connector 0.079" (2.00mm) Through Hole Gold</t>
  </si>
  <si>
    <t>Harwin</t>
  </si>
  <si>
    <t>M22-2520205</t>
  </si>
  <si>
    <t>2.00 TH</t>
  </si>
  <si>
    <t>http://www.digikey.com/product-detail/en/harwin-inc/M22-2520205/952-1317-ND/2264298</t>
  </si>
  <si>
    <t>NPPN031FGGN-RC</t>
  </si>
  <si>
    <t>http://www.digikey.com/product-detail/en/sullins-connector-solutions/NPPN031FGGN-RC/S5752-03-ND/804822</t>
  </si>
  <si>
    <t>950503-5002-AR</t>
  </si>
  <si>
    <t>Power Switch</t>
  </si>
  <si>
    <t>SPST SMT</t>
  </si>
  <si>
    <t>Alps</t>
  </si>
  <si>
    <t>SSSS810701</t>
  </si>
  <si>
    <t>http://www.mouser.com/ProductDetail/ALPS/SSSS810701/?qs=sGAEpiMZZMtHXLepoqNyVe%252bcQMRoBF1BAzyvwoNmgBo%3d</t>
  </si>
  <si>
    <t>BT1</t>
  </si>
  <si>
    <t>PS Cap</t>
  </si>
  <si>
    <t>4.7uF X7R</t>
  </si>
  <si>
    <t>Gate Limiter</t>
  </si>
  <si>
    <t>100 Ohms</t>
  </si>
  <si>
    <t>0402</t>
  </si>
  <si>
    <t>0603 RGB LEDs</t>
  </si>
  <si>
    <t>Drivers</t>
  </si>
  <si>
    <t>Photodiode Res</t>
  </si>
  <si>
    <t>LED Driver Resistor</t>
  </si>
  <si>
    <t>RF Bypass</t>
  </si>
  <si>
    <t>P-Channel MOSFET</t>
  </si>
  <si>
    <t>Infineon</t>
  </si>
  <si>
    <t>http://www.mouser.com/ProductDetail/Infineon-Technologies/BSD223PH6327XTSA1/?qs=sGAEpiMZZMshyDBzk1%2fWi924cJVm5vwEHSuRe6lUiy0%3d</t>
  </si>
  <si>
    <t>BSD223PH6327XTSA1</t>
  </si>
  <si>
    <t>HQ19-2333RGBC</t>
  </si>
  <si>
    <t>0603 Chip LED</t>
  </si>
  <si>
    <t>1.6x1.5x055</t>
  </si>
  <si>
    <t>Alibaba</t>
  </si>
  <si>
    <t>KOA</t>
  </si>
  <si>
    <t>RK73B1ETTP101J</t>
  </si>
  <si>
    <t>http://www.mouser.com/ProductDetail/KOA-Speer/RK73B1ETTP101J/?qs=sGAEpiMZZMtlubZbdhIBIG%2fx8tXXyMOeZriV2Uq8Kts%3d</t>
  </si>
  <si>
    <t>https://www.alibaba.com/product-detail/Good-price-20mA-clear-lens-sanan_60446688945.html?spm=a2700.7724838.0.0.tnsQ6Z</t>
  </si>
  <si>
    <t>GRM188R60J475KE19D</t>
  </si>
  <si>
    <t>http://www.mouser.com/ProductDetail/Murata-Electronics/GRM188R60J475KE19D/?qs=sGAEpiMZZMsh%252b1woXyUXjzfNNvbifBIlVUVSZQsQmkw%3d</t>
  </si>
  <si>
    <t>http://www.mouser.com/ProductDetail/Texas-Instruments/TLC5948ADBQ/?qs=ACPZU2kmEKPCpip1PiiECQ%3D%3D</t>
  </si>
  <si>
    <t>2.4 GHz SOC</t>
  </si>
  <si>
    <t>RFM75</t>
  </si>
  <si>
    <t>Lite-On</t>
  </si>
  <si>
    <t xml:space="preserve"> LTW-C190DA5</t>
  </si>
  <si>
    <t>All in</t>
  </si>
  <si>
    <t>RC0603FR-07604KL</t>
  </si>
  <si>
    <t>http://www.mouser.com/ProductDetail/KOA-Speer/RK73B1JTTDD125J/?qs=sGAEpiMZZMu61qfTUdNhG5eFuApKbqVdPJJPW9ks6lo%3d</t>
  </si>
  <si>
    <t>http://www.mouser.com/ProductDetail/Harwin/M22-2030305/?qs=sGAEpiMZZMs%252bGHln7q6pmwGlxKXpENpe7gKnVlBjStU%3d</t>
  </si>
  <si>
    <t>1.8k, 1%</t>
  </si>
  <si>
    <t>Panasonic</t>
  </si>
  <si>
    <t>ERJ-3EKF1801V</t>
  </si>
  <si>
    <t>http://www.mouser.com/ProductDetail/Panasonic/ERJ-3EKF1801V/?qs=sGAEpiMZZMtlubZbdhIBIEpCgapuOP%252bo5WtqJDi745A%3d</t>
  </si>
  <si>
    <t>1008</t>
  </si>
  <si>
    <t>TOT Hole</t>
  </si>
  <si>
    <t>TOT SMT</t>
  </si>
  <si>
    <t>THs</t>
  </si>
  <si>
    <t>Reset PU</t>
  </si>
  <si>
    <t>50k</t>
  </si>
  <si>
    <t>PT11-21C/L41/TR8</t>
  </si>
  <si>
    <t>Resistor, pull down</t>
  </si>
  <si>
    <t>100k</t>
  </si>
  <si>
    <t>KDT00030TR</t>
  </si>
  <si>
    <t>Fairchild</t>
  </si>
  <si>
    <t>PLCC-2</t>
  </si>
  <si>
    <t>RC0402FR-07100KL</t>
  </si>
  <si>
    <t>ERJ-3EKF4992V</t>
  </si>
  <si>
    <t>Photo transistor</t>
  </si>
  <si>
    <t>DNP</t>
  </si>
  <si>
    <t>M22-2530305</t>
  </si>
  <si>
    <t>uxcell</t>
  </si>
  <si>
    <t>a13090500ux1149</t>
  </si>
  <si>
    <t>5x5x1.5</t>
  </si>
  <si>
    <t>3P 2mm TH RA, Male</t>
  </si>
  <si>
    <t>3P 2mm TH RA, Female</t>
  </si>
  <si>
    <t xml:space="preserve"> CRCW06031M02FKEA</t>
  </si>
  <si>
    <t>Mouser HK</t>
  </si>
  <si>
    <t>Digikey HK</t>
  </si>
  <si>
    <t>China</t>
  </si>
  <si>
    <t>Number of Pads</t>
  </si>
  <si>
    <t>Number of Holes</t>
  </si>
  <si>
    <t>Number of Unique Components</t>
  </si>
  <si>
    <t>Total Number of Components</t>
  </si>
  <si>
    <t>HARVATEK</t>
  </si>
  <si>
    <t>QC2017 Main Badge BOM - rA0</t>
  </si>
  <si>
    <t>U1</t>
  </si>
  <si>
    <t>TI</t>
  </si>
  <si>
    <t>CC2640F128RGZ</t>
  </si>
  <si>
    <t>128k BLE</t>
  </si>
  <si>
    <t xml:space="preserve"> VQFN-48</t>
  </si>
  <si>
    <t>LED Driver</t>
  </si>
  <si>
    <t>U2</t>
  </si>
  <si>
    <t>FL1</t>
  </si>
  <si>
    <t>1.5kOhm, 500mA</t>
  </si>
  <si>
    <t>BLM18HE152SN1D</t>
  </si>
  <si>
    <t>CPU Choke</t>
  </si>
  <si>
    <t>L2</t>
  </si>
  <si>
    <t>Inductor</t>
  </si>
  <si>
    <t>10uH</t>
  </si>
  <si>
    <t>Counter</t>
  </si>
  <si>
    <t>U3, U4</t>
  </si>
  <si>
    <t>8 bit shift register</t>
  </si>
  <si>
    <t>Toshiba</t>
  </si>
  <si>
    <t>74HC164D(BJ)</t>
  </si>
  <si>
    <t>U5</t>
  </si>
  <si>
    <t>Flash Memory</t>
  </si>
  <si>
    <t>16 Mbit</t>
  </si>
  <si>
    <t>Cypress</t>
  </si>
  <si>
    <t>S25FL216K0PMFI011</t>
  </si>
  <si>
    <t>8-SOIC</t>
  </si>
  <si>
    <t>http://www.mouser.com/ProductDetail/Cypress-Semiconductor/S25FL216K0PMFI011/</t>
  </si>
  <si>
    <t>VR1</t>
  </si>
  <si>
    <t>AAT1217ICA-3.3-T1</t>
  </si>
  <si>
    <t>CV201210-100K</t>
  </si>
  <si>
    <t>0805</t>
  </si>
  <si>
    <t>http://www.mouser.com/ProductDetail/Murata/BLM18HE152SN1D/?qs=%2fha2pyFadui6f2SQf6FvFr4mX4GWjOceLlK9fngY5F%2fE%2fnOxhLh2HA%3d%3d</t>
  </si>
  <si>
    <t>L1</t>
  </si>
  <si>
    <t>PSU Inductor</t>
  </si>
  <si>
    <t>C1, C2</t>
  </si>
  <si>
    <t>C20</t>
  </si>
  <si>
    <t>C3, C4, C6, C16</t>
  </si>
  <si>
    <t>C5, C7, C17</t>
  </si>
  <si>
    <t>D0 - D14, D20-34, D40 - D54, D60 - D74</t>
  </si>
  <si>
    <t>D80, D81, D82, D83, D85, D86, D87, D88</t>
  </si>
  <si>
    <t>D99</t>
  </si>
  <si>
    <t>P1</t>
  </si>
  <si>
    <t>P32A, P32B</t>
  </si>
  <si>
    <t>P6</t>
  </si>
  <si>
    <t>P9</t>
  </si>
  <si>
    <t>Q1, Q2, Q3</t>
  </si>
  <si>
    <t>Q10</t>
  </si>
  <si>
    <t>R1</t>
  </si>
  <si>
    <t>R10, R11, R12, R13, R14, R15</t>
  </si>
  <si>
    <t>R22</t>
  </si>
  <si>
    <t>R3</t>
  </si>
  <si>
    <t>R4, R8</t>
  </si>
  <si>
    <t>R6</t>
  </si>
  <si>
    <t>R9</t>
  </si>
  <si>
    <t>S0</t>
  </si>
  <si>
    <t>S1, S2</t>
  </si>
  <si>
    <t>TS1</t>
  </si>
  <si>
    <t>U3</t>
  </si>
  <si>
    <t>CV201210-4R7K</t>
  </si>
  <si>
    <t>SOIC-14</t>
  </si>
  <si>
    <t>Bypass</t>
  </si>
  <si>
    <t>0.1uF</t>
  </si>
  <si>
    <t>10uF</t>
  </si>
  <si>
    <t>Power Filter, pin 34</t>
  </si>
  <si>
    <t>C6, C8</t>
  </si>
  <si>
    <t>R0, R26</t>
  </si>
  <si>
    <t>Jumper</t>
  </si>
  <si>
    <t>0 Ohm</t>
  </si>
  <si>
    <t>X2</t>
  </si>
  <si>
    <t>High Spd Xtal</t>
  </si>
  <si>
    <t>C19</t>
  </si>
  <si>
    <t>1uF</t>
  </si>
  <si>
    <t>P1, P2, P3, P4</t>
  </si>
  <si>
    <t>Mating</t>
  </si>
  <si>
    <t>4 pos, MF</t>
  </si>
  <si>
    <t>D96, D97</t>
  </si>
  <si>
    <t>TVS Diode Array</t>
  </si>
  <si>
    <t>R4</t>
  </si>
  <si>
    <t>Pwr Res</t>
  </si>
  <si>
    <t>Pwr Cap</t>
  </si>
  <si>
    <t>4.7uF, X7R</t>
  </si>
  <si>
    <t>Reset Res</t>
  </si>
  <si>
    <t>NPN</t>
  </si>
  <si>
    <t>Light Res</t>
  </si>
  <si>
    <t>B1</t>
  </si>
  <si>
    <t>Thumb Button</t>
  </si>
  <si>
    <t>A1</t>
  </si>
  <si>
    <t>Antenna</t>
  </si>
  <si>
    <t>2.4MHz Chip</t>
  </si>
  <si>
    <t>Ctrl transistors</t>
  </si>
  <si>
    <t>Gate res</t>
  </si>
  <si>
    <t>100 Ohm</t>
  </si>
  <si>
    <t>R10-R22, R24, R25</t>
  </si>
  <si>
    <t>Q1-Q8</t>
  </si>
  <si>
    <t>LED res</t>
  </si>
  <si>
    <t>1.8K, 1%</t>
  </si>
  <si>
    <t>D1-D49, D51-D74</t>
  </si>
  <si>
    <t>Johanson</t>
  </si>
  <si>
    <t>http://www.mouser.com/Search/ProductDetail.aspx?qs=yCnrNFeXz%252bg12F05%252b89fnA%3d%3d</t>
  </si>
  <si>
    <t>GRM188Z71A475ME15D</t>
  </si>
  <si>
    <t>Wurth</t>
  </si>
  <si>
    <t>885012105018</t>
  </si>
  <si>
    <t>CC0603KRX7R7BB104</t>
  </si>
  <si>
    <t>C26-C32</t>
  </si>
  <si>
    <t>C3, C4, C5, C7, C9, C16, C17, C18, C20, C24, C25, C33</t>
  </si>
  <si>
    <t>GRM188C80G106ME47D</t>
  </si>
  <si>
    <t>Amphenol</t>
  </si>
  <si>
    <t>10120045-400LF</t>
  </si>
  <si>
    <t>5mm</t>
  </si>
  <si>
    <t>P0</t>
  </si>
  <si>
    <t>RK73Z1ETTP</t>
  </si>
  <si>
    <t>Total Cost</t>
  </si>
  <si>
    <t>RC0603FR-07100KL</t>
  </si>
  <si>
    <t>Total Badges</t>
  </si>
  <si>
    <t>Koa</t>
  </si>
  <si>
    <t>RK73H1JTTD1801F</t>
  </si>
  <si>
    <t>http://www.allelectronics.com/item/bh-322/holder-for-two-aa-batteries/1.html</t>
  </si>
  <si>
    <t>0605</t>
  </si>
  <si>
    <t>RGB</t>
  </si>
  <si>
    <t>SC1</t>
  </si>
  <si>
    <t>Signal Conditioner</t>
  </si>
  <si>
    <t>2450BM14G0011T</t>
  </si>
  <si>
    <t>Epson</t>
  </si>
  <si>
    <t>RC0603FR-074K99L</t>
  </si>
  <si>
    <t>TLC5948ADBQR</t>
  </si>
  <si>
    <t>TSX-3225 24.0000MF10Z-C3</t>
  </si>
  <si>
    <t>Harvatek</t>
  </si>
  <si>
    <t>HQ19-2331BGRC322</t>
  </si>
  <si>
    <t>Leye Electronics</t>
  </si>
  <si>
    <t>LY-K3-01</t>
  </si>
  <si>
    <t>RC0603FR-071ML</t>
  </si>
  <si>
    <t>4.99K</t>
  </si>
  <si>
    <t>R3, R6</t>
  </si>
  <si>
    <t>O</t>
  </si>
  <si>
    <t>CC0603KRX5R8BB105</t>
  </si>
  <si>
    <t>RC0402FR-07100RL</t>
  </si>
  <si>
    <t>4.7uH</t>
  </si>
  <si>
    <t>SMT 5mm</t>
  </si>
  <si>
    <t>2450AT42A100E</t>
  </si>
  <si>
    <t>2.4GHz</t>
  </si>
  <si>
    <t>QC2017 Main Badge BOM - rD</t>
  </si>
  <si>
    <t>U4</t>
  </si>
  <si>
    <t>U6</t>
  </si>
  <si>
    <t>Game CPU</t>
  </si>
  <si>
    <t>Display CPU</t>
  </si>
  <si>
    <t>Flash Chip</t>
  </si>
  <si>
    <t>Radio</t>
  </si>
  <si>
    <t>Character Disp</t>
  </si>
  <si>
    <t>Wintek</t>
  </si>
  <si>
    <t>WD-C2401P-1GNN</t>
  </si>
  <si>
    <t>DS1, DS2</t>
  </si>
  <si>
    <t>Shift</t>
  </si>
  <si>
    <t>1x24 character display</t>
  </si>
  <si>
    <t>VR1, VR2</t>
  </si>
  <si>
    <t>Holtek</t>
  </si>
  <si>
    <t>MSP430FR2422</t>
  </si>
  <si>
    <t>D1 - D18</t>
  </si>
  <si>
    <t>D19 - D24</t>
  </si>
  <si>
    <t>Side View LED</t>
  </si>
  <si>
    <t>1204 Side View</t>
  </si>
  <si>
    <t>PW</t>
  </si>
  <si>
    <t>TSSOP/ RGC</t>
  </si>
  <si>
    <t>SOP-24</t>
  </si>
  <si>
    <t>Slide switch</t>
  </si>
  <si>
    <t>SPDT</t>
  </si>
  <si>
    <t>TE Connectivity</t>
  </si>
  <si>
    <t>1825232-1</t>
  </si>
  <si>
    <t>2.0mm</t>
  </si>
  <si>
    <t>Battery holder</t>
  </si>
  <si>
    <t>Battery holder AA</t>
  </si>
  <si>
    <t>S1, S2, S3, S4</t>
  </si>
  <si>
    <t>Recepticles</t>
  </si>
  <si>
    <t>4-40, 0.375"</t>
  </si>
  <si>
    <t>Keystone</t>
  </si>
  <si>
    <t>X1</t>
  </si>
  <si>
    <t>Clock XTL</t>
  </si>
  <si>
    <t>32k Crystal</t>
  </si>
  <si>
    <t>22pF, 1%x 16V</t>
  </si>
  <si>
    <t>C21, C22</t>
  </si>
  <si>
    <t>Xtal Caps</t>
  </si>
  <si>
    <t>ABRACON</t>
  </si>
  <si>
    <t>ABS25-32.768KHz-4-T</t>
  </si>
  <si>
    <t>C4</t>
  </si>
  <si>
    <t>10uF, Pol</t>
  </si>
  <si>
    <t>47k</t>
  </si>
  <si>
    <t>R1, R3</t>
  </si>
  <si>
    <t>C3, C10</t>
  </si>
  <si>
    <t>TVS</t>
  </si>
  <si>
    <t>4xBi</t>
  </si>
  <si>
    <t>1uF, POL</t>
  </si>
  <si>
    <t>C1, C2, C9, C8</t>
  </si>
  <si>
    <t>Pwr caps</t>
  </si>
  <si>
    <t>R2, R4, R8, R10</t>
  </si>
  <si>
    <t>Pwr res</t>
  </si>
  <si>
    <t>1.02M, 1%</t>
  </si>
  <si>
    <t>L1, L2</t>
  </si>
  <si>
    <t>Pwr ind</t>
  </si>
  <si>
    <t>Div Res 3.3</t>
  </si>
  <si>
    <t>529k, 1%</t>
  </si>
  <si>
    <t>R11</t>
  </si>
  <si>
    <t>Div Res 5V</t>
  </si>
  <si>
    <t>342k, 1%</t>
  </si>
  <si>
    <t>100nF / 0.1u</t>
  </si>
  <si>
    <t>P2</t>
  </si>
  <si>
    <t>P5</t>
  </si>
  <si>
    <t>U1 Prog</t>
  </si>
  <si>
    <t>U2 Prog</t>
  </si>
  <si>
    <t>U5 Prog</t>
  </si>
  <si>
    <t>Power Header</t>
  </si>
  <si>
    <t>C12, C14, C16, C7</t>
  </si>
  <si>
    <t>Digi</t>
  </si>
  <si>
    <t>1nF (1000 pF)</t>
  </si>
  <si>
    <t>HQ12-2353RGBC</t>
  </si>
  <si>
    <t>HQ67-2302RGBC</t>
  </si>
  <si>
    <t>2460</t>
  </si>
  <si>
    <t>Vishay</t>
  </si>
  <si>
    <t>CRCW0805340KFKEA</t>
  </si>
  <si>
    <t>CR0603-JW-473GLF</t>
  </si>
  <si>
    <t>RC0603JR-131ML</t>
  </si>
  <si>
    <t>MSP430FR5972IPMR</t>
  </si>
  <si>
    <t>Assembly</t>
  </si>
  <si>
    <t>Eteknet</t>
  </si>
  <si>
    <t>Advanced Assembly</t>
  </si>
  <si>
    <t>Lead</t>
  </si>
  <si>
    <t>Advanced Circuits</t>
  </si>
  <si>
    <t>Country</t>
  </si>
  <si>
    <t>Hybrid</t>
  </si>
  <si>
    <t>Screaming Circuits</t>
  </si>
  <si>
    <t>Ultimate PCB</t>
  </si>
  <si>
    <t>Telan</t>
  </si>
  <si>
    <t>R5</t>
  </si>
  <si>
    <t>Reference resistor</t>
  </si>
  <si>
    <t>HT16D35B</t>
  </si>
  <si>
    <t>2.54</t>
  </si>
  <si>
    <t>Top Board</t>
  </si>
  <si>
    <t>J1, J2, J3, J4</t>
  </si>
  <si>
    <t>Buttons</t>
  </si>
  <si>
    <t>4-SOJ</t>
  </si>
  <si>
    <t>Screws</t>
  </si>
  <si>
    <t>Queercon</t>
  </si>
  <si>
    <t>0603 Top View 20mA</t>
  </si>
  <si>
    <t>C5, C11, C13, C15, C6, C25, C26, C27, C28, C29, C17</t>
  </si>
  <si>
    <t>15-20</t>
  </si>
  <si>
    <t>Each</t>
  </si>
  <si>
    <t>Acrylic</t>
  </si>
  <si>
    <t>1/4" cut</t>
  </si>
  <si>
    <t>4-40 ??"</t>
  </si>
  <si>
    <t>Total Cost Each</t>
  </si>
  <si>
    <t>Grand Total</t>
  </si>
  <si>
    <t>Elecrow</t>
  </si>
  <si>
    <t>15+</t>
  </si>
  <si>
    <t>R6, R7</t>
  </si>
  <si>
    <t>Pull Up Resistor</t>
  </si>
  <si>
    <t>2k</t>
  </si>
  <si>
    <t>Crappy Add On</t>
  </si>
  <si>
    <t>6x2.54</t>
  </si>
  <si>
    <t>5x2.54</t>
  </si>
  <si>
    <t>2x4x2.54</t>
  </si>
  <si>
    <t>2.45</t>
  </si>
  <si>
    <t>1k 0603 TBD</t>
  </si>
  <si>
    <t>S25FS064SAGMFV01</t>
  </si>
  <si>
    <t>Rohm</t>
  </si>
  <si>
    <t>ESR03EZPJ102</t>
  </si>
  <si>
    <t>KOA Speer</t>
  </si>
  <si>
    <t>RK73B1JTTDD202J</t>
  </si>
  <si>
    <t>13mm</t>
  </si>
  <si>
    <t>Apem</t>
  </si>
  <si>
    <t>ADTSM66NVTR</t>
  </si>
  <si>
    <t>6x6mm 13h</t>
  </si>
  <si>
    <t>Total Minus Mech</t>
  </si>
  <si>
    <t>KEMET</t>
  </si>
  <si>
    <t>C0603C220K3GACTU</t>
  </si>
  <si>
    <t>QC2018 Main Badge BOM - rB4</t>
  </si>
  <si>
    <t>VJ0603Y102JXQCW1BC</t>
  </si>
  <si>
    <t>YB</t>
  </si>
  <si>
    <t>Tulsa</t>
  </si>
  <si>
    <t>Samsung</t>
  </si>
  <si>
    <t>CL10F104ZO8NNNC</t>
  </si>
  <si>
    <t>CL10B475KQ8NQNC</t>
  </si>
  <si>
    <t>BT1, BT2</t>
  </si>
  <si>
    <t>CL10B105KP8NNNC</t>
  </si>
  <si>
    <t>RC0805FR-07536KL</t>
  </si>
  <si>
    <t>D99 - 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</si>
</sst>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9" fontId="3" fillId="0" borderId="0" xfId="2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44" fontId="0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9" fontId="0" fillId="0" borderId="0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2" applyNumberFormat="1" applyFont="1" applyFill="1" applyBorder="1" applyAlignment="1">
      <alignment horizontal="center" vertical="center" wrapText="1"/>
    </xf>
    <xf numFmtId="1" fontId="0" fillId="0" borderId="0" xfId="2" applyNumberFormat="1" applyFont="1" applyFill="1" applyBorder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44" fontId="3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44" fontId="0" fillId="0" borderId="0" xfId="1" applyNumberFormat="1" applyFont="1" applyFill="1" applyBorder="1" applyAlignment="1">
      <alignment horizontal="center" vertical="center"/>
    </xf>
    <xf numFmtId="0" fontId="7" fillId="0" borderId="0" xfId="3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7" fillId="0" borderId="0" xfId="3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7" fillId="0" borderId="0" xfId="3" applyFill="1" applyAlignment="1">
      <alignment horizontal="left"/>
    </xf>
    <xf numFmtId="0" fontId="0" fillId="0" borderId="0" xfId="0" quotePrefix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49" fontId="0" fillId="0" borderId="0" xfId="2" applyNumberFormat="1" applyFont="1" applyFill="1" applyAlignment="1">
      <alignment horizontal="center" vertical="center"/>
    </xf>
    <xf numFmtId="44" fontId="1" fillId="0" borderId="0" xfId="1" applyFont="1" applyFill="1" applyAlignment="1">
      <alignment horizontal="center" vertical="center"/>
    </xf>
    <xf numFmtId="9" fontId="1" fillId="0" borderId="0" xfId="2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" fontId="0" fillId="0" borderId="0" xfId="2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44" fontId="0" fillId="0" borderId="0" xfId="0" applyNumberFormat="1" applyAlignment="1">
      <alignment horizontal="center" vertical="center"/>
    </xf>
    <xf numFmtId="0" fontId="7" fillId="0" borderId="0" xfId="3" applyFill="1" applyBorder="1" applyAlignment="1">
      <alignment horizontal="left"/>
    </xf>
    <xf numFmtId="164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4" fontId="11" fillId="0" borderId="0" xfId="1" applyFont="1" applyAlignment="1">
      <alignment horizontal="center" vertical="center"/>
    </xf>
    <xf numFmtId="9" fontId="11" fillId="0" borderId="0" xfId="2" applyFont="1" applyAlignment="1">
      <alignment horizontal="center" vertical="center"/>
    </xf>
    <xf numFmtId="1" fontId="11" fillId="0" borderId="0" xfId="2" applyNumberFormat="1" applyFont="1" applyFill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0" xfId="0" applyNumberFormat="1" applyFont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quotePrefix="1" applyFont="1" applyFill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49" fontId="0" fillId="0" borderId="0" xfId="0" quotePrefix="1" applyNumberFormat="1" applyFont="1" applyFill="1" applyAlignment="1">
      <alignment horizontal="center" vertical="center"/>
    </xf>
    <xf numFmtId="44" fontId="0" fillId="0" borderId="0" xfId="1" applyFont="1"/>
    <xf numFmtId="0" fontId="3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7" fontId="0" fillId="0" borderId="0" xfId="0" quotePrefix="1" applyNumberFormat="1" applyAlignment="1">
      <alignment vertical="center"/>
    </xf>
    <xf numFmtId="44" fontId="0" fillId="0" borderId="0" xfId="0" applyNumberFormat="1" applyAlignment="1">
      <alignment horizontal="right" vertical="center"/>
    </xf>
    <xf numFmtId="44" fontId="0" fillId="0" borderId="0" xfId="1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13" fillId="0" borderId="0" xfId="1" applyFont="1" applyAlignment="1">
      <alignment horizontal="center" vertical="center"/>
    </xf>
    <xf numFmtId="9" fontId="13" fillId="0" borderId="0" xfId="2" applyFont="1" applyFill="1" applyBorder="1" applyAlignment="1">
      <alignment horizontal="center" vertical="center"/>
    </xf>
    <xf numFmtId="1" fontId="13" fillId="0" borderId="0" xfId="2" applyNumberFormat="1" applyFont="1" applyFill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49" fontId="13" fillId="0" borderId="0" xfId="0" applyNumberFormat="1" applyFont="1" applyAlignment="1">
      <alignment vertical="center"/>
    </xf>
    <xf numFmtId="0" fontId="13" fillId="0" borderId="0" xfId="0" quotePrefix="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 wrapText="1"/>
    </xf>
    <xf numFmtId="44" fontId="0" fillId="0" borderId="0" xfId="0" applyNumberFormat="1" applyAlignment="1">
      <alignment vertical="center"/>
    </xf>
    <xf numFmtId="0" fontId="9" fillId="6" borderId="0" xfId="4" applyFont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quotePrefix="1" applyFont="1" applyFill="1" applyAlignment="1">
      <alignment horizontal="center" vertical="center"/>
    </xf>
    <xf numFmtId="44" fontId="15" fillId="0" borderId="0" xfId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5" fillId="0" borderId="0" xfId="2" applyFont="1" applyFill="1" applyAlignment="1">
      <alignment horizontal="center" vertical="center"/>
    </xf>
    <xf numFmtId="1" fontId="15" fillId="0" borderId="0" xfId="2" applyNumberFormat="1" applyFont="1" applyFill="1" applyAlignment="1">
      <alignment horizontal="center" vertical="center"/>
    </xf>
    <xf numFmtId="44" fontId="15" fillId="0" borderId="0" xfId="1" applyFont="1" applyFill="1" applyBorder="1" applyAlignment="1">
      <alignment horizontal="center" vertical="center"/>
    </xf>
  </cellXfs>
  <cellStyles count="5">
    <cellStyle name="Accent1" xfId="4" builtinId="29"/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Search/ProductDetail.aspx?qs=yCnrNFeXz%252bg12F05%252b89fnA%3d%3d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mouser.com/ProductDetail/Murata/BLM18HE152SN1D/?qs=%2fha2pyFadui6f2SQf6FvFr4mX4GWjOceLlK9fngY5F%2fE%2fnOxhLh2HA%3d%3d" TargetMode="External"/><Relationship Id="rId1" Type="http://schemas.openxmlformats.org/officeDocument/2006/relationships/hyperlink" Target="http://www.mouser.com/ProductDetail/Cypress-Semiconductor/S25FL216K0PMFI011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allelectronics.com/item/bh-322/holder-for-two-aa-batteries/1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OA-Speer/RK73B1ETTP101J/?qs=sGAEpiMZZMtlubZbdhIBIG%2fx8tXXyMOeZriV2Uq8Kts%3d" TargetMode="External"/><Relationship Id="rId13" Type="http://schemas.openxmlformats.org/officeDocument/2006/relationships/hyperlink" Target="http://www.mouser.com/ProductDetail/Harwin/M22-2030305/?qs=sGAEpiMZZMs%252bGHln7q6pmwGlxKXpENpe7gKnVlBjStU%3d" TargetMode="External"/><Relationship Id="rId3" Type="http://schemas.openxmlformats.org/officeDocument/2006/relationships/hyperlink" Target="http://www.digikey.com/product-detail/en/sullins-connector-solutions/PPTC041LGBN-RC/S5440-ND/775898" TargetMode="External"/><Relationship Id="rId7" Type="http://schemas.openxmlformats.org/officeDocument/2006/relationships/hyperlink" Target="http://www.mouser.com/ProductDetail/Infineon-Technologies/BSD223PH6327XTSA1/?qs=sGAEpiMZZMshyDBzk1%2fWi924cJVm5vwEHSuRe6lUiy0%3d" TargetMode="External"/><Relationship Id="rId12" Type="http://schemas.openxmlformats.org/officeDocument/2006/relationships/hyperlink" Target="http://www.mouser.com/ProductDetail/KOA-Speer/RK73B1JTTDD125J/?qs=sGAEpiMZZMu61qfTUdNhG5eFuApKbqVdPJJPW9ks6lo%3d" TargetMode="External"/><Relationship Id="rId17" Type="http://schemas.openxmlformats.org/officeDocument/2006/relationships/comments" Target="../comments2.xml"/><Relationship Id="rId2" Type="http://schemas.openxmlformats.org/officeDocument/2006/relationships/hyperlink" Target="http://www.digikey.com/product-detail/en/PT15-21C%2FTR8/1080-1380-1-ND/2676114" TargetMode="External"/><Relationship Id="rId16" Type="http://schemas.openxmlformats.org/officeDocument/2006/relationships/vmlDrawing" Target="../drawings/vmlDrawing2.vml"/><Relationship Id="rId1" Type="http://schemas.openxmlformats.org/officeDocument/2006/relationships/hyperlink" Target="http://www.digikey.com/product-detail/en/MCP9700T-E%2FTT/MCP9700T-E%2FTTCT-ND/1212545" TargetMode="External"/><Relationship Id="rId6" Type="http://schemas.openxmlformats.org/officeDocument/2006/relationships/hyperlink" Target="http://www.mouser.com/ProductDetail/ALPS/SSSS810701/?qs=sGAEpiMZZMtHXLepoqNyVe%252bcQMRoBF1BAzyvwoNmgBo%3d" TargetMode="External"/><Relationship Id="rId11" Type="http://schemas.openxmlformats.org/officeDocument/2006/relationships/hyperlink" Target="http://www.mouser.com/ProductDetail/Texas-Instruments/TLC5948ADBQ/?qs=ACPZU2kmEKPCpip1PiiECQ%3D%3D" TargetMode="External"/><Relationship Id="rId5" Type="http://schemas.openxmlformats.org/officeDocument/2006/relationships/hyperlink" Target="http://www.digikey.com/product-detail/en/sullins-connector-solutions/NPPN031FGGN-RC/S5752-03-ND/804822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mouser.com/ProductDetail/Murata-Electronics/GRM188R60J475KE19D/?qs=sGAEpiMZZMsh%252b1woXyUXjzfNNvbifBIlVUVSZQsQmkw%3d" TargetMode="External"/><Relationship Id="rId4" Type="http://schemas.openxmlformats.org/officeDocument/2006/relationships/hyperlink" Target="http://www.digikey.com/product-detail/en/harwin-inc/M22-2520205/952-1317-ND/2264298" TargetMode="External"/><Relationship Id="rId9" Type="http://schemas.openxmlformats.org/officeDocument/2006/relationships/hyperlink" Target="https://www.alibaba.com/product-detail/Good-price-20mA-clear-lens-sanan_60446688945.html?spm=a2700.7724838.0.0.tnsQ6Z" TargetMode="External"/><Relationship Id="rId14" Type="http://schemas.openxmlformats.org/officeDocument/2006/relationships/hyperlink" Target="http://www.mouser.com/ProductDetail/Panasonic/ERJ-3EKF1801V/?qs=sGAEpiMZZMtlubZbdhIBIEpCgapuOP%252bo5WtqJDi745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zoomScaleNormal="100" zoomScaleSheetLayoutView="115" workbookViewId="0">
      <pane ySplit="2" topLeftCell="A3" activePane="bottomLeft" state="frozen"/>
      <selection activeCell="G1" sqref="G1"/>
      <selection pane="bottomLeft" activeCell="C13" sqref="C13"/>
    </sheetView>
  </sheetViews>
  <sheetFormatPr defaultRowHeight="15" x14ac:dyDescent="0.25"/>
  <cols>
    <col min="1" max="2" width="4.85546875" style="5" customWidth="1"/>
    <col min="3" max="3" width="15" style="72" bestFit="1" customWidth="1"/>
    <col min="4" max="4" width="19" style="6" customWidth="1"/>
    <col min="5" max="5" width="21.140625" style="6" customWidth="1"/>
    <col min="6" max="6" width="20" style="6" customWidth="1"/>
    <col min="7" max="7" width="24.85546875" style="15" bestFit="1" customWidth="1"/>
    <col min="8" max="8" width="5.42578125" style="1" customWidth="1"/>
    <col min="9" max="9" width="11.140625" style="1" customWidth="1"/>
    <col min="10" max="10" width="8" style="2" customWidth="1"/>
    <col min="11" max="11" width="6.42578125" style="1" customWidth="1"/>
    <col min="12" max="15" width="5.42578125" style="1" customWidth="1"/>
    <col min="16" max="16" width="5.5703125" style="1" customWidth="1"/>
    <col min="17" max="17" width="10.42578125" style="3" customWidth="1"/>
    <col min="18" max="18" width="7.5703125" style="33" customWidth="1"/>
    <col min="19" max="19" width="9.5703125" style="2" customWidth="1"/>
    <col min="20" max="20" width="10.42578125" style="2" customWidth="1"/>
    <col min="21" max="21" width="13" style="1" customWidth="1"/>
    <col min="22" max="22" width="10.5703125" style="1" customWidth="1"/>
    <col min="23" max="23" width="12.85546875" style="1" customWidth="1"/>
    <col min="24" max="24" width="33.85546875" style="6" customWidth="1"/>
    <col min="25" max="25" width="9.140625" style="41" customWidth="1"/>
  </cols>
  <sheetData>
    <row r="1" spans="1:25" ht="18.75" x14ac:dyDescent="0.25">
      <c r="A1" s="130" t="s">
        <v>463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5" s="29" customFormat="1" ht="30" x14ac:dyDescent="0.25">
      <c r="A2" s="26" t="s">
        <v>0</v>
      </c>
      <c r="B2" s="26" t="s">
        <v>324</v>
      </c>
      <c r="C2" s="36" t="s">
        <v>1</v>
      </c>
      <c r="D2" s="36" t="s">
        <v>2</v>
      </c>
      <c r="E2" s="36" t="s">
        <v>3</v>
      </c>
      <c r="F2" s="106" t="s">
        <v>4</v>
      </c>
      <c r="G2" s="34" t="s">
        <v>5</v>
      </c>
      <c r="H2" s="26" t="s">
        <v>6</v>
      </c>
      <c r="I2" s="26" t="s">
        <v>7</v>
      </c>
      <c r="J2" s="35" t="s">
        <v>8</v>
      </c>
      <c r="K2" s="26" t="s">
        <v>9</v>
      </c>
      <c r="L2" s="26" t="s">
        <v>10</v>
      </c>
      <c r="M2" s="26" t="s">
        <v>163</v>
      </c>
      <c r="N2" s="26" t="s">
        <v>162</v>
      </c>
      <c r="O2" s="26" t="s">
        <v>161</v>
      </c>
      <c r="P2" s="26" t="s">
        <v>89</v>
      </c>
      <c r="Q2" s="8" t="s">
        <v>11</v>
      </c>
      <c r="R2" s="31" t="s">
        <v>12</v>
      </c>
      <c r="S2" s="35" t="s">
        <v>13</v>
      </c>
      <c r="T2" s="35" t="s">
        <v>152</v>
      </c>
      <c r="U2" s="9" t="s">
        <v>14</v>
      </c>
      <c r="V2" s="9" t="s">
        <v>15</v>
      </c>
      <c r="W2" s="29" t="s">
        <v>16</v>
      </c>
      <c r="X2" s="29" t="s">
        <v>17</v>
      </c>
      <c r="Y2" s="40" t="s">
        <v>98</v>
      </c>
    </row>
    <row r="3" spans="1:25" s="4" customFormat="1" x14ac:dyDescent="0.25">
      <c r="A3" s="45">
        <v>1</v>
      </c>
      <c r="B3" s="45" t="s">
        <v>465</v>
      </c>
      <c r="C3" s="71" t="s">
        <v>470</v>
      </c>
      <c r="D3" s="18" t="s">
        <v>359</v>
      </c>
      <c r="E3" s="23" t="s">
        <v>360</v>
      </c>
      <c r="F3" s="18" t="s">
        <v>364</v>
      </c>
      <c r="G3" s="14" t="s">
        <v>405</v>
      </c>
      <c r="H3" s="12" t="s">
        <v>23</v>
      </c>
      <c r="I3" s="20" t="s">
        <v>31</v>
      </c>
      <c r="J3" s="11">
        <v>0.66174999999999995</v>
      </c>
      <c r="K3" s="12">
        <v>1000</v>
      </c>
      <c r="L3" s="12">
        <v>0</v>
      </c>
      <c r="M3" s="12">
        <v>2</v>
      </c>
      <c r="N3" s="1">
        <f t="shared" ref="N3:N15" si="0">L3*$P3</f>
        <v>0</v>
      </c>
      <c r="O3" s="1">
        <f t="shared" ref="O3:O16" si="1">M3*$P3</f>
        <v>4</v>
      </c>
      <c r="P3" s="12">
        <v>2</v>
      </c>
      <c r="Q3" s="13">
        <v>0.05</v>
      </c>
      <c r="R3" s="74">
        <v>1000</v>
      </c>
      <c r="S3" s="11">
        <f t="shared" ref="S3:S39" si="2">P3*J3</f>
        <v>1.3234999999999999</v>
      </c>
      <c r="T3" s="2">
        <f t="shared" ref="T3:T39" si="3">R3*J3</f>
        <v>661.75</v>
      </c>
      <c r="U3" s="12" t="s">
        <v>401</v>
      </c>
      <c r="V3" s="49"/>
      <c r="W3" s="19"/>
      <c r="X3" s="30"/>
      <c r="Y3" s="46"/>
    </row>
    <row r="4" spans="1:25" s="10" customFormat="1" x14ac:dyDescent="0.25">
      <c r="A4" s="7">
        <v>2</v>
      </c>
      <c r="B4" s="7" t="s">
        <v>465</v>
      </c>
      <c r="C4" s="71" t="s">
        <v>381</v>
      </c>
      <c r="D4" s="18" t="s">
        <v>382</v>
      </c>
      <c r="E4" s="18" t="s">
        <v>271</v>
      </c>
      <c r="F4" s="18" t="s">
        <v>467</v>
      </c>
      <c r="G4" s="14" t="s">
        <v>469</v>
      </c>
      <c r="H4" s="12" t="s">
        <v>23</v>
      </c>
      <c r="I4" s="20" t="s">
        <v>35</v>
      </c>
      <c r="J4" s="54">
        <v>8.7999999999999995E-2</v>
      </c>
      <c r="K4" s="25">
        <v>1000</v>
      </c>
      <c r="L4" s="25">
        <v>2</v>
      </c>
      <c r="M4" s="25"/>
      <c r="N4" s="1">
        <f t="shared" si="0"/>
        <v>8</v>
      </c>
      <c r="O4" s="1">
        <f t="shared" si="1"/>
        <v>0</v>
      </c>
      <c r="P4" s="25">
        <v>4</v>
      </c>
      <c r="Q4" s="55">
        <v>0.1</v>
      </c>
      <c r="R4" s="74">
        <v>2000</v>
      </c>
      <c r="S4" s="11">
        <f t="shared" si="2"/>
        <v>0.35199999999999998</v>
      </c>
      <c r="T4" s="2">
        <f t="shared" si="3"/>
        <v>176</v>
      </c>
      <c r="U4" s="25" t="s">
        <v>401</v>
      </c>
      <c r="V4" s="12"/>
      <c r="W4" s="19"/>
      <c r="X4" s="30"/>
      <c r="Y4" s="43"/>
    </row>
    <row r="5" spans="1:25" s="4" customFormat="1" ht="30" x14ac:dyDescent="0.25">
      <c r="A5" s="45">
        <v>3</v>
      </c>
      <c r="B5" s="45" t="s">
        <v>465</v>
      </c>
      <c r="C5" s="72" t="s">
        <v>400</v>
      </c>
      <c r="D5" s="68" t="s">
        <v>251</v>
      </c>
      <c r="E5" s="69" t="s">
        <v>380</v>
      </c>
      <c r="F5" s="30" t="s">
        <v>467</v>
      </c>
      <c r="G5" s="47" t="s">
        <v>471</v>
      </c>
      <c r="H5" s="49" t="s">
        <v>23</v>
      </c>
      <c r="I5" s="47" t="s">
        <v>35</v>
      </c>
      <c r="J5" s="38">
        <v>2.5000000000000001E-2</v>
      </c>
      <c r="K5" s="12">
        <f>P5*$F$41*(1+Q5)</f>
        <v>1980.0000000000002</v>
      </c>
      <c r="L5" s="12">
        <v>2</v>
      </c>
      <c r="M5" s="12"/>
      <c r="N5" s="1">
        <f t="shared" si="0"/>
        <v>8</v>
      </c>
      <c r="O5" s="1">
        <f t="shared" si="1"/>
        <v>0</v>
      </c>
      <c r="P5" s="12">
        <v>4</v>
      </c>
      <c r="Q5" s="22">
        <v>0.1</v>
      </c>
      <c r="R5" s="74">
        <v>2000</v>
      </c>
      <c r="S5" s="11">
        <f t="shared" si="2"/>
        <v>0.1</v>
      </c>
      <c r="T5" s="2">
        <f t="shared" si="3"/>
        <v>50</v>
      </c>
      <c r="U5" s="25" t="s">
        <v>401</v>
      </c>
      <c r="V5" s="12"/>
      <c r="W5" s="28"/>
      <c r="X5" s="30"/>
      <c r="Y5" s="43"/>
    </row>
    <row r="6" spans="1:25" s="4" customFormat="1" x14ac:dyDescent="0.25">
      <c r="A6" s="7">
        <v>4</v>
      </c>
      <c r="B6" s="45" t="s">
        <v>465</v>
      </c>
      <c r="C6" s="72" t="s">
        <v>369</v>
      </c>
      <c r="D6" s="6" t="s">
        <v>370</v>
      </c>
      <c r="E6" s="18" t="s">
        <v>368</v>
      </c>
      <c r="F6" s="6" t="s">
        <v>461</v>
      </c>
      <c r="G6" s="27" t="s">
        <v>462</v>
      </c>
      <c r="H6" s="12" t="s">
        <v>23</v>
      </c>
      <c r="I6" s="47" t="s">
        <v>35</v>
      </c>
      <c r="J6" s="2">
        <v>0.14399999999999999</v>
      </c>
      <c r="K6" s="1">
        <v>1000</v>
      </c>
      <c r="L6" s="1">
        <v>2</v>
      </c>
      <c r="M6" s="1"/>
      <c r="N6" s="1">
        <f t="shared" si="0"/>
        <v>4</v>
      </c>
      <c r="O6" s="1">
        <f t="shared" si="1"/>
        <v>0</v>
      </c>
      <c r="P6" s="1">
        <v>2</v>
      </c>
      <c r="Q6" s="3">
        <v>0.1</v>
      </c>
      <c r="R6" s="74">
        <v>1000</v>
      </c>
      <c r="S6" s="11">
        <f t="shared" si="2"/>
        <v>0.28799999999999998</v>
      </c>
      <c r="T6" s="2">
        <f t="shared" si="3"/>
        <v>144</v>
      </c>
      <c r="U6" s="25" t="s">
        <v>20</v>
      </c>
      <c r="V6" s="1"/>
      <c r="W6" s="1"/>
      <c r="X6" s="6"/>
      <c r="Y6" s="41"/>
    </row>
    <row r="7" spans="1:25" s="4" customFormat="1" x14ac:dyDescent="0.25">
      <c r="A7" s="45">
        <v>5</v>
      </c>
      <c r="B7" s="45" t="s">
        <v>465</v>
      </c>
      <c r="C7" s="99" t="s">
        <v>377</v>
      </c>
      <c r="D7" s="100" t="s">
        <v>36</v>
      </c>
      <c r="E7" s="100" t="s">
        <v>402</v>
      </c>
      <c r="F7" s="101" t="s">
        <v>406</v>
      </c>
      <c r="G7" s="104" t="s">
        <v>464</v>
      </c>
      <c r="H7" s="12" t="s">
        <v>23</v>
      </c>
      <c r="I7" s="82" t="s">
        <v>35</v>
      </c>
      <c r="J7" s="2">
        <v>8.0000000000000002E-3</v>
      </c>
      <c r="K7" s="102">
        <v>1000</v>
      </c>
      <c r="L7" s="102">
        <v>2</v>
      </c>
      <c r="M7" s="102"/>
      <c r="N7" s="1">
        <f t="shared" si="0"/>
        <v>4</v>
      </c>
      <c r="O7" s="1">
        <f t="shared" si="1"/>
        <v>0</v>
      </c>
      <c r="P7" s="102">
        <v>2</v>
      </c>
      <c r="Q7" s="3">
        <v>0.1</v>
      </c>
      <c r="R7" s="74">
        <v>1000</v>
      </c>
      <c r="S7" s="11">
        <f t="shared" si="2"/>
        <v>1.6E-2</v>
      </c>
      <c r="T7" s="2">
        <f t="shared" si="3"/>
        <v>8</v>
      </c>
      <c r="U7" s="25" t="s">
        <v>20</v>
      </c>
      <c r="V7" s="102"/>
      <c r="W7" s="102"/>
      <c r="X7" s="100"/>
      <c r="Y7" s="103"/>
    </row>
    <row r="8" spans="1:25" s="4" customFormat="1" x14ac:dyDescent="0.25">
      <c r="A8" s="7">
        <v>6</v>
      </c>
      <c r="B8" s="7" t="s">
        <v>465</v>
      </c>
      <c r="C8" s="72" t="s">
        <v>373</v>
      </c>
      <c r="D8" s="6" t="s">
        <v>251</v>
      </c>
      <c r="E8" s="6" t="s">
        <v>374</v>
      </c>
      <c r="F8" s="30" t="s">
        <v>33</v>
      </c>
      <c r="G8" s="27" t="s">
        <v>296</v>
      </c>
      <c r="H8" s="12" t="s">
        <v>23</v>
      </c>
      <c r="I8" s="47" t="s">
        <v>35</v>
      </c>
      <c r="J8" s="2">
        <v>3.1E-2</v>
      </c>
      <c r="K8" s="1">
        <v>1000</v>
      </c>
      <c r="L8" s="1">
        <v>2</v>
      </c>
      <c r="M8" s="1"/>
      <c r="N8" s="1">
        <f t="shared" si="0"/>
        <v>2</v>
      </c>
      <c r="O8" s="1">
        <f t="shared" si="1"/>
        <v>0</v>
      </c>
      <c r="P8" s="1">
        <v>1</v>
      </c>
      <c r="Q8" s="3"/>
      <c r="R8" s="74">
        <v>500</v>
      </c>
      <c r="S8" s="11">
        <f t="shared" si="2"/>
        <v>3.1E-2</v>
      </c>
      <c r="T8" s="2">
        <f t="shared" si="3"/>
        <v>15.5</v>
      </c>
      <c r="U8" s="25" t="s">
        <v>401</v>
      </c>
      <c r="V8" s="1"/>
      <c r="W8" s="1"/>
      <c r="X8" s="6"/>
      <c r="Y8" s="41"/>
    </row>
    <row r="9" spans="1:25" s="4" customFormat="1" ht="60" x14ac:dyDescent="0.25">
      <c r="A9" s="45">
        <v>7</v>
      </c>
      <c r="B9" s="45" t="s">
        <v>465</v>
      </c>
      <c r="C9" s="72" t="s">
        <v>432</v>
      </c>
      <c r="D9" s="6" t="s">
        <v>251</v>
      </c>
      <c r="E9" s="6" t="s">
        <v>393</v>
      </c>
      <c r="F9" s="30" t="s">
        <v>467</v>
      </c>
      <c r="G9" s="27" t="s">
        <v>468</v>
      </c>
      <c r="H9" s="12" t="s">
        <v>23</v>
      </c>
      <c r="I9" s="47" t="s">
        <v>35</v>
      </c>
      <c r="J9" s="2">
        <v>1.2E-2</v>
      </c>
      <c r="K9" s="1">
        <v>4000</v>
      </c>
      <c r="L9" s="1">
        <v>2</v>
      </c>
      <c r="M9" s="1"/>
      <c r="N9" s="1">
        <f t="shared" si="0"/>
        <v>22</v>
      </c>
      <c r="O9" s="1">
        <f t="shared" si="1"/>
        <v>0</v>
      </c>
      <c r="P9" s="1">
        <v>11</v>
      </c>
      <c r="Q9" s="3">
        <v>0.1</v>
      </c>
      <c r="R9" s="74">
        <v>5500</v>
      </c>
      <c r="S9" s="11">
        <f t="shared" si="2"/>
        <v>0.13200000000000001</v>
      </c>
      <c r="T9" s="2">
        <f t="shared" si="3"/>
        <v>66</v>
      </c>
      <c r="U9" s="25" t="s">
        <v>401</v>
      </c>
      <c r="V9" s="12"/>
      <c r="W9" s="17"/>
      <c r="X9" s="6"/>
      <c r="Y9" s="44"/>
    </row>
    <row r="10" spans="1:25" s="4" customFormat="1" x14ac:dyDescent="0.25">
      <c r="A10" s="7">
        <v>8</v>
      </c>
      <c r="B10" s="7" t="s">
        <v>23</v>
      </c>
      <c r="C10" s="72" t="s">
        <v>347</v>
      </c>
      <c r="D10" s="30" t="s">
        <v>349</v>
      </c>
      <c r="E10" s="30" t="s">
        <v>350</v>
      </c>
      <c r="F10" s="30" t="s">
        <v>317</v>
      </c>
      <c r="G10" s="27" t="s">
        <v>403</v>
      </c>
      <c r="H10" s="49" t="s">
        <v>18</v>
      </c>
      <c r="I10" s="47">
        <v>1204</v>
      </c>
      <c r="J10" s="2">
        <v>4.8000000000000001E-2</v>
      </c>
      <c r="K10" s="1">
        <v>12000</v>
      </c>
      <c r="L10" s="1">
        <v>4</v>
      </c>
      <c r="M10" s="1"/>
      <c r="N10" s="1">
        <f t="shared" si="0"/>
        <v>72</v>
      </c>
      <c r="O10" s="1">
        <f t="shared" si="1"/>
        <v>0</v>
      </c>
      <c r="P10" s="1">
        <v>18</v>
      </c>
      <c r="Q10" s="3">
        <f>K10/(P10*F42)-1</f>
        <v>0.68350168350168361</v>
      </c>
      <c r="R10" s="74">
        <f t="shared" ref="R10:R22" si="4">P10*$F$41*(1+Q10)</f>
        <v>13636.363636363638</v>
      </c>
      <c r="S10" s="11">
        <f t="shared" si="2"/>
        <v>0.86399999999999999</v>
      </c>
      <c r="T10" s="2">
        <f t="shared" si="3"/>
        <v>654.54545454545462</v>
      </c>
      <c r="U10" s="1" t="s">
        <v>466</v>
      </c>
      <c r="V10" s="1"/>
      <c r="W10" s="1"/>
      <c r="X10" s="6"/>
      <c r="Y10" s="41"/>
    </row>
    <row r="11" spans="1:25" s="4" customFormat="1" x14ac:dyDescent="0.25">
      <c r="A11" s="45">
        <v>9</v>
      </c>
      <c r="B11" s="45" t="s">
        <v>23</v>
      </c>
      <c r="C11" s="71" t="s">
        <v>348</v>
      </c>
      <c r="D11" s="30" t="s">
        <v>309</v>
      </c>
      <c r="E11" s="30" t="s">
        <v>431</v>
      </c>
      <c r="F11" s="30" t="s">
        <v>317</v>
      </c>
      <c r="G11" s="27" t="s">
        <v>404</v>
      </c>
      <c r="H11" s="49" t="s">
        <v>18</v>
      </c>
      <c r="I11" s="47" t="s">
        <v>308</v>
      </c>
      <c r="J11" s="2">
        <v>3.2000000000000001E-2</v>
      </c>
      <c r="K11" s="1">
        <v>4000</v>
      </c>
      <c r="L11" s="1">
        <v>4</v>
      </c>
      <c r="M11" s="1"/>
      <c r="N11" s="1">
        <f t="shared" si="0"/>
        <v>24</v>
      </c>
      <c r="O11" s="1">
        <f t="shared" si="1"/>
        <v>0</v>
      </c>
      <c r="P11" s="1">
        <v>6</v>
      </c>
      <c r="Q11" s="3">
        <f>K11/(P11*F41)-1</f>
        <v>0.4814814814814814</v>
      </c>
      <c r="R11" s="74">
        <f t="shared" si="4"/>
        <v>4000</v>
      </c>
      <c r="S11" s="11">
        <f t="shared" si="2"/>
        <v>0.192</v>
      </c>
      <c r="T11" s="2">
        <f t="shared" si="3"/>
        <v>128</v>
      </c>
      <c r="U11" s="12" t="s">
        <v>466</v>
      </c>
      <c r="V11" s="12"/>
      <c r="W11" s="19"/>
      <c r="X11" s="30"/>
      <c r="Y11" s="43"/>
    </row>
    <row r="12" spans="1:25" s="4" customFormat="1" x14ac:dyDescent="0.25">
      <c r="A12" s="132">
        <v>10</v>
      </c>
      <c r="B12" s="132" t="s">
        <v>18</v>
      </c>
      <c r="C12" s="133" t="s">
        <v>473</v>
      </c>
      <c r="D12" s="134" t="s">
        <v>378</v>
      </c>
      <c r="E12" s="134" t="s">
        <v>379</v>
      </c>
      <c r="F12" s="135" t="s">
        <v>57</v>
      </c>
      <c r="G12" s="136" t="s">
        <v>58</v>
      </c>
      <c r="H12" s="137" t="s">
        <v>23</v>
      </c>
      <c r="I12" s="138" t="s">
        <v>59</v>
      </c>
      <c r="J12" s="139">
        <v>0.19900000000000001</v>
      </c>
      <c r="K12" s="137">
        <v>100</v>
      </c>
      <c r="L12" s="137">
        <v>6</v>
      </c>
      <c r="M12" s="137"/>
      <c r="N12" s="140">
        <f t="shared" si="0"/>
        <v>0</v>
      </c>
      <c r="O12" s="140">
        <f t="shared" si="1"/>
        <v>0</v>
      </c>
      <c r="P12" s="137"/>
      <c r="Q12" s="141">
        <v>0.1</v>
      </c>
      <c r="R12" s="142">
        <f t="shared" si="4"/>
        <v>0</v>
      </c>
      <c r="S12" s="143">
        <f t="shared" si="2"/>
        <v>0</v>
      </c>
      <c r="T12" s="2">
        <f t="shared" si="3"/>
        <v>0</v>
      </c>
      <c r="U12" s="49" t="s">
        <v>175</v>
      </c>
      <c r="V12" s="12"/>
      <c r="W12" s="19"/>
      <c r="X12" s="30"/>
      <c r="Y12" s="43"/>
    </row>
    <row r="13" spans="1:25" s="10" customFormat="1" x14ac:dyDescent="0.25">
      <c r="A13" s="45">
        <v>11</v>
      </c>
      <c r="B13" s="5">
        <v>0</v>
      </c>
      <c r="C13" s="72" t="s">
        <v>175</v>
      </c>
      <c r="D13" s="6" t="s">
        <v>429</v>
      </c>
      <c r="E13" s="108" t="s">
        <v>437</v>
      </c>
      <c r="F13" s="6"/>
      <c r="G13" s="15"/>
      <c r="H13" s="1" t="s">
        <v>23</v>
      </c>
      <c r="I13" s="21" t="s">
        <v>19</v>
      </c>
      <c r="J13" s="2">
        <v>0.05</v>
      </c>
      <c r="K13" s="1">
        <f>450*4</f>
        <v>1800</v>
      </c>
      <c r="L13" s="1"/>
      <c r="M13" s="1"/>
      <c r="N13" s="1">
        <f t="shared" si="0"/>
        <v>0</v>
      </c>
      <c r="O13" s="1">
        <f t="shared" si="1"/>
        <v>0</v>
      </c>
      <c r="P13" s="1">
        <v>4</v>
      </c>
      <c r="Q13" s="3">
        <v>0.1</v>
      </c>
      <c r="R13" s="33">
        <v>0</v>
      </c>
      <c r="S13" s="2">
        <f t="shared" si="2"/>
        <v>0.2</v>
      </c>
      <c r="T13" s="2">
        <f t="shared" si="3"/>
        <v>0</v>
      </c>
      <c r="U13" s="1" t="s">
        <v>19</v>
      </c>
      <c r="V13" s="1"/>
      <c r="W13" s="1"/>
      <c r="X13" s="6"/>
      <c r="Y13" s="41"/>
    </row>
    <row r="14" spans="1:25" s="4" customFormat="1" x14ac:dyDescent="0.25">
      <c r="A14" s="7">
        <v>12</v>
      </c>
      <c r="B14" s="5">
        <v>0</v>
      </c>
      <c r="C14" s="72" t="s">
        <v>175</v>
      </c>
      <c r="D14" s="6" t="s">
        <v>435</v>
      </c>
      <c r="E14" s="6" t="s">
        <v>436</v>
      </c>
      <c r="F14" s="6"/>
      <c r="G14" s="15"/>
      <c r="H14" s="1" t="s">
        <v>23</v>
      </c>
      <c r="I14" s="1" t="s">
        <v>19</v>
      </c>
      <c r="J14" s="2">
        <v>5</v>
      </c>
      <c r="K14" s="1">
        <v>450</v>
      </c>
      <c r="L14" s="1"/>
      <c r="M14" s="1"/>
      <c r="N14" s="1">
        <f t="shared" si="0"/>
        <v>0</v>
      </c>
      <c r="O14" s="1">
        <f t="shared" si="1"/>
        <v>0</v>
      </c>
      <c r="P14" s="1">
        <v>1</v>
      </c>
      <c r="Q14" s="3">
        <v>0.1</v>
      </c>
      <c r="R14" s="33">
        <v>0</v>
      </c>
      <c r="S14" s="2">
        <f t="shared" si="2"/>
        <v>5</v>
      </c>
      <c r="T14" s="2">
        <f t="shared" si="3"/>
        <v>0</v>
      </c>
      <c r="U14" s="1" t="s">
        <v>19</v>
      </c>
      <c r="V14" s="1"/>
      <c r="W14" s="1"/>
      <c r="X14" s="6"/>
      <c r="Y14" s="41"/>
    </row>
    <row r="15" spans="1:25" s="4" customFormat="1" x14ac:dyDescent="0.25">
      <c r="A15" s="45">
        <v>13</v>
      </c>
      <c r="B15" s="5">
        <v>0</v>
      </c>
      <c r="C15" s="72" t="s">
        <v>175</v>
      </c>
      <c r="D15" s="6" t="s">
        <v>425</v>
      </c>
      <c r="E15" s="6" t="s">
        <v>19</v>
      </c>
      <c r="F15" s="6" t="s">
        <v>430</v>
      </c>
      <c r="G15" s="15" t="s">
        <v>175</v>
      </c>
      <c r="H15" s="1" t="s">
        <v>18</v>
      </c>
      <c r="I15" s="21" t="s">
        <v>19</v>
      </c>
      <c r="J15" s="2">
        <v>3.5</v>
      </c>
      <c r="K15" s="1">
        <v>20</v>
      </c>
      <c r="L15" s="1"/>
      <c r="M15" s="1"/>
      <c r="N15" s="1">
        <f t="shared" si="0"/>
        <v>0</v>
      </c>
      <c r="O15" s="1">
        <f t="shared" si="1"/>
        <v>0</v>
      </c>
      <c r="P15" s="1">
        <v>1</v>
      </c>
      <c r="Q15" s="13">
        <v>0.1</v>
      </c>
      <c r="R15" s="74">
        <v>0</v>
      </c>
      <c r="S15" s="11">
        <f t="shared" si="2"/>
        <v>3.5</v>
      </c>
      <c r="T15" s="2">
        <f t="shared" si="3"/>
        <v>0</v>
      </c>
      <c r="U15" s="1" t="s">
        <v>19</v>
      </c>
      <c r="V15" s="1"/>
      <c r="W15" s="1"/>
      <c r="X15" s="6"/>
      <c r="Y15" s="41"/>
    </row>
    <row r="16" spans="1:25" x14ac:dyDescent="0.25">
      <c r="A16" s="7">
        <v>14</v>
      </c>
      <c r="B16" s="45" t="s">
        <v>23</v>
      </c>
      <c r="C16" s="72" t="s">
        <v>341</v>
      </c>
      <c r="D16" s="6" t="s">
        <v>338</v>
      </c>
      <c r="E16" s="6" t="s">
        <v>343</v>
      </c>
      <c r="F16" s="6" t="s">
        <v>339</v>
      </c>
      <c r="G16" s="15" t="s">
        <v>340</v>
      </c>
      <c r="H16" s="1" t="s">
        <v>18</v>
      </c>
      <c r="I16" s="21" t="s">
        <v>31</v>
      </c>
      <c r="J16" s="2">
        <v>0.18</v>
      </c>
      <c r="K16" s="1">
        <v>624</v>
      </c>
      <c r="M16" s="1">
        <v>14</v>
      </c>
      <c r="N16" s="1">
        <f t="shared" ref="N16:N39" si="5">L16*$P16</f>
        <v>0</v>
      </c>
      <c r="O16" s="1">
        <f t="shared" si="1"/>
        <v>28</v>
      </c>
      <c r="P16" s="1">
        <v>2</v>
      </c>
      <c r="Q16" s="3">
        <v>0.2</v>
      </c>
      <c r="R16" s="74">
        <f t="shared" si="4"/>
        <v>1080</v>
      </c>
      <c r="S16" s="11">
        <f t="shared" si="2"/>
        <v>0.36</v>
      </c>
      <c r="T16" s="2">
        <v>208</v>
      </c>
      <c r="U16" s="49" t="s">
        <v>466</v>
      </c>
      <c r="V16" s="12" t="s">
        <v>25</v>
      </c>
      <c r="W16" s="17"/>
      <c r="Y16" s="44"/>
    </row>
    <row r="17" spans="1:25" x14ac:dyDescent="0.25">
      <c r="A17" s="45">
        <v>15</v>
      </c>
      <c r="B17" s="45" t="s">
        <v>23</v>
      </c>
      <c r="C17" s="73" t="s">
        <v>426</v>
      </c>
      <c r="D17" s="6" t="s">
        <v>362</v>
      </c>
      <c r="E17" s="6" t="s">
        <v>363</v>
      </c>
      <c r="F17" s="30" t="s">
        <v>364</v>
      </c>
      <c r="G17" s="49">
        <v>4881</v>
      </c>
      <c r="H17" s="49" t="s">
        <v>23</v>
      </c>
      <c r="I17" s="49" t="s">
        <v>22</v>
      </c>
      <c r="J17" s="2">
        <v>0.25779999999999997</v>
      </c>
      <c r="K17" s="1">
        <v>500</v>
      </c>
      <c r="L17" s="1">
        <v>1</v>
      </c>
      <c r="M17" s="1">
        <v>0</v>
      </c>
      <c r="N17" s="1">
        <f t="shared" si="5"/>
        <v>4</v>
      </c>
      <c r="O17" s="1">
        <f t="shared" ref="O17:O39" si="6">M17*$P17</f>
        <v>0</v>
      </c>
      <c r="P17" s="1">
        <v>4</v>
      </c>
      <c r="Q17" s="13">
        <v>0.1</v>
      </c>
      <c r="R17" s="74">
        <v>2000</v>
      </c>
      <c r="S17" s="11">
        <f t="shared" si="2"/>
        <v>1.0311999999999999</v>
      </c>
      <c r="T17" s="2">
        <f t="shared" si="3"/>
        <v>515.59999999999991</v>
      </c>
      <c r="U17" s="1" t="s">
        <v>20</v>
      </c>
    </row>
    <row r="18" spans="1:25" x14ac:dyDescent="0.25">
      <c r="A18" s="7">
        <v>16</v>
      </c>
      <c r="B18" s="7"/>
      <c r="C18" s="76" t="s">
        <v>386</v>
      </c>
      <c r="D18" s="18" t="s">
        <v>387</v>
      </c>
      <c r="E18" s="18" t="s">
        <v>327</v>
      </c>
      <c r="F18" s="18" t="s">
        <v>62</v>
      </c>
      <c r="G18" s="14" t="s">
        <v>249</v>
      </c>
      <c r="H18" s="12" t="s">
        <v>23</v>
      </c>
      <c r="I18" s="82" t="s">
        <v>221</v>
      </c>
      <c r="J18" s="54">
        <v>3.6999999999999998E-2</v>
      </c>
      <c r="K18" s="25">
        <v>500</v>
      </c>
      <c r="L18" s="25">
        <v>2</v>
      </c>
      <c r="M18" s="25"/>
      <c r="N18" s="1">
        <f t="shared" si="5"/>
        <v>4</v>
      </c>
      <c r="O18" s="1">
        <f t="shared" si="6"/>
        <v>0</v>
      </c>
      <c r="P18" s="12">
        <v>2</v>
      </c>
      <c r="Q18" s="13">
        <v>0.1</v>
      </c>
      <c r="R18" s="74">
        <v>1000</v>
      </c>
      <c r="S18" s="11">
        <f t="shared" si="2"/>
        <v>7.3999999999999996E-2</v>
      </c>
      <c r="T18" s="2">
        <f t="shared" si="3"/>
        <v>37</v>
      </c>
      <c r="U18" s="1" t="s">
        <v>20</v>
      </c>
      <c r="V18" s="25"/>
      <c r="W18" s="19"/>
      <c r="X18" s="30"/>
      <c r="Y18" s="43"/>
    </row>
    <row r="19" spans="1:25" s="122" customFormat="1" x14ac:dyDescent="0.25">
      <c r="A19" s="45">
        <v>17</v>
      </c>
      <c r="B19" s="112">
        <v>0</v>
      </c>
      <c r="C19" s="113" t="s">
        <v>300</v>
      </c>
      <c r="D19" s="114" t="s">
        <v>399</v>
      </c>
      <c r="E19" s="114" t="s">
        <v>175</v>
      </c>
      <c r="F19" s="114" t="s">
        <v>175</v>
      </c>
      <c r="G19" s="115" t="s">
        <v>175</v>
      </c>
      <c r="H19" s="116" t="s">
        <v>23</v>
      </c>
      <c r="I19" s="116">
        <v>2.54</v>
      </c>
      <c r="J19" s="117">
        <v>0</v>
      </c>
      <c r="K19" s="116">
        <v>0</v>
      </c>
      <c r="L19" s="116"/>
      <c r="M19" s="116"/>
      <c r="N19" s="116">
        <f t="shared" si="5"/>
        <v>0</v>
      </c>
      <c r="O19" s="116">
        <f t="shared" si="6"/>
        <v>0</v>
      </c>
      <c r="P19" s="116">
        <v>0</v>
      </c>
      <c r="Q19" s="118">
        <v>0</v>
      </c>
      <c r="R19" s="119">
        <f t="shared" si="4"/>
        <v>0</v>
      </c>
      <c r="S19" s="120">
        <f t="shared" si="2"/>
        <v>0</v>
      </c>
      <c r="T19" s="117">
        <f t="shared" si="3"/>
        <v>0</v>
      </c>
      <c r="U19" s="116"/>
      <c r="V19" s="116"/>
      <c r="W19" s="116"/>
      <c r="X19" s="114"/>
      <c r="Y19" s="121"/>
    </row>
    <row r="20" spans="1:25" s="122" customFormat="1" x14ac:dyDescent="0.25">
      <c r="A20" s="7">
        <v>18</v>
      </c>
      <c r="B20" s="111">
        <v>0</v>
      </c>
      <c r="C20" s="113" t="s">
        <v>232</v>
      </c>
      <c r="D20" s="114" t="s">
        <v>396</v>
      </c>
      <c r="E20" s="114" t="s">
        <v>447</v>
      </c>
      <c r="F20" s="123" t="s">
        <v>175</v>
      </c>
      <c r="G20" s="115" t="s">
        <v>175</v>
      </c>
      <c r="H20" s="116" t="s">
        <v>23</v>
      </c>
      <c r="I20" s="124" t="s">
        <v>424</v>
      </c>
      <c r="J20" s="117">
        <v>0</v>
      </c>
      <c r="K20" s="116">
        <v>0</v>
      </c>
      <c r="L20" s="116"/>
      <c r="M20" s="116"/>
      <c r="N20" s="116">
        <f t="shared" si="5"/>
        <v>0</v>
      </c>
      <c r="O20" s="116">
        <f t="shared" si="6"/>
        <v>0</v>
      </c>
      <c r="P20" s="116">
        <v>0</v>
      </c>
      <c r="Q20" s="118">
        <v>0</v>
      </c>
      <c r="R20" s="119">
        <f t="shared" si="4"/>
        <v>0</v>
      </c>
      <c r="S20" s="120">
        <f t="shared" si="2"/>
        <v>0</v>
      </c>
      <c r="T20" s="117">
        <f t="shared" si="3"/>
        <v>0</v>
      </c>
      <c r="U20" s="116"/>
      <c r="V20" s="116"/>
      <c r="W20" s="116"/>
      <c r="X20" s="114"/>
      <c r="Y20" s="121"/>
    </row>
    <row r="21" spans="1:25" s="122" customFormat="1" x14ac:dyDescent="0.25">
      <c r="A21" s="45">
        <v>19</v>
      </c>
      <c r="B21" s="111">
        <v>0</v>
      </c>
      <c r="C21" s="113" t="s">
        <v>394</v>
      </c>
      <c r="D21" s="114" t="s">
        <v>397</v>
      </c>
      <c r="E21" s="114" t="s">
        <v>447</v>
      </c>
      <c r="F21" s="123" t="s">
        <v>175</v>
      </c>
      <c r="G21" s="115" t="s">
        <v>175</v>
      </c>
      <c r="H21" s="116" t="s">
        <v>23</v>
      </c>
      <c r="I21" s="124" t="s">
        <v>424</v>
      </c>
      <c r="J21" s="117">
        <v>0</v>
      </c>
      <c r="K21" s="116">
        <v>0</v>
      </c>
      <c r="L21" s="116"/>
      <c r="M21" s="116"/>
      <c r="N21" s="116">
        <f t="shared" si="5"/>
        <v>0</v>
      </c>
      <c r="O21" s="116">
        <f t="shared" si="6"/>
        <v>0</v>
      </c>
      <c r="P21" s="116">
        <v>0</v>
      </c>
      <c r="Q21" s="118">
        <v>0</v>
      </c>
      <c r="R21" s="119">
        <f t="shared" si="4"/>
        <v>0</v>
      </c>
      <c r="S21" s="120">
        <f t="shared" si="2"/>
        <v>0</v>
      </c>
      <c r="T21" s="117">
        <f t="shared" si="3"/>
        <v>0</v>
      </c>
      <c r="U21" s="116"/>
      <c r="V21" s="116"/>
      <c r="W21" s="116"/>
      <c r="X21" s="114"/>
      <c r="Y21" s="121"/>
    </row>
    <row r="22" spans="1:25" s="122" customFormat="1" x14ac:dyDescent="0.25">
      <c r="A22" s="7">
        <v>20</v>
      </c>
      <c r="B22" s="125">
        <v>0</v>
      </c>
      <c r="C22" s="113" t="s">
        <v>395</v>
      </c>
      <c r="D22" s="114" t="s">
        <v>398</v>
      </c>
      <c r="E22" s="114" t="s">
        <v>448</v>
      </c>
      <c r="F22" s="123" t="s">
        <v>175</v>
      </c>
      <c r="G22" s="115" t="s">
        <v>175</v>
      </c>
      <c r="H22" s="116" t="s">
        <v>23</v>
      </c>
      <c r="I22" s="124" t="s">
        <v>424</v>
      </c>
      <c r="J22" s="117">
        <v>0</v>
      </c>
      <c r="K22" s="116">
        <v>0</v>
      </c>
      <c r="L22" s="116"/>
      <c r="M22" s="116"/>
      <c r="N22" s="116">
        <f t="shared" si="5"/>
        <v>0</v>
      </c>
      <c r="O22" s="116">
        <f t="shared" si="6"/>
        <v>0</v>
      </c>
      <c r="P22" s="116">
        <v>0</v>
      </c>
      <c r="Q22" s="118">
        <v>0</v>
      </c>
      <c r="R22" s="119">
        <f t="shared" si="4"/>
        <v>0</v>
      </c>
      <c r="S22" s="120">
        <f t="shared" si="2"/>
        <v>0</v>
      </c>
      <c r="T22" s="117">
        <f t="shared" si="3"/>
        <v>0</v>
      </c>
      <c r="U22" s="116"/>
      <c r="V22" s="116"/>
      <c r="W22" s="116"/>
      <c r="X22" s="114"/>
      <c r="Y22" s="121"/>
    </row>
    <row r="23" spans="1:25" s="122" customFormat="1" x14ac:dyDescent="0.25">
      <c r="A23" s="45">
        <v>21</v>
      </c>
      <c r="B23" s="125">
        <v>0</v>
      </c>
      <c r="C23" s="113" t="s">
        <v>235</v>
      </c>
      <c r="D23" s="114" t="s">
        <v>445</v>
      </c>
      <c r="E23" s="114" t="s">
        <v>446</v>
      </c>
      <c r="F23" s="123" t="s">
        <v>175</v>
      </c>
      <c r="G23" s="115" t="s">
        <v>175</v>
      </c>
      <c r="H23" s="116" t="s">
        <v>23</v>
      </c>
      <c r="I23" s="124" t="s">
        <v>449</v>
      </c>
      <c r="J23" s="117">
        <v>0</v>
      </c>
      <c r="K23" s="116">
        <v>0</v>
      </c>
      <c r="L23" s="116"/>
      <c r="M23" s="116"/>
      <c r="N23" s="116">
        <f t="shared" si="5"/>
        <v>0</v>
      </c>
      <c r="O23" s="116">
        <f t="shared" si="6"/>
        <v>0</v>
      </c>
      <c r="P23" s="116">
        <v>1</v>
      </c>
      <c r="Q23" s="118">
        <v>0</v>
      </c>
      <c r="R23" s="119">
        <v>0</v>
      </c>
      <c r="S23" s="120">
        <f t="shared" si="2"/>
        <v>0</v>
      </c>
      <c r="T23" s="117">
        <f t="shared" si="3"/>
        <v>0</v>
      </c>
      <c r="U23" s="116"/>
      <c r="V23" s="116"/>
      <c r="W23" s="116"/>
      <c r="X23" s="114"/>
      <c r="Y23" s="121"/>
    </row>
    <row r="24" spans="1:25" x14ac:dyDescent="0.25">
      <c r="A24" s="7">
        <v>22</v>
      </c>
      <c r="B24" s="98" t="s">
        <v>23</v>
      </c>
      <c r="C24" s="73" t="s">
        <v>376</v>
      </c>
      <c r="D24" s="18" t="s">
        <v>272</v>
      </c>
      <c r="E24" s="18" t="s">
        <v>375</v>
      </c>
      <c r="F24" s="18" t="s">
        <v>62</v>
      </c>
      <c r="G24" s="14" t="s">
        <v>408</v>
      </c>
      <c r="H24" s="12" t="s">
        <v>23</v>
      </c>
      <c r="I24" s="20" t="s">
        <v>35</v>
      </c>
      <c r="J24" s="11">
        <v>4.0000000000000001E-3</v>
      </c>
      <c r="K24" s="12">
        <v>500</v>
      </c>
      <c r="L24" s="12">
        <v>2</v>
      </c>
      <c r="M24" s="12"/>
      <c r="N24" s="1">
        <f t="shared" si="5"/>
        <v>4</v>
      </c>
      <c r="O24" s="1">
        <f t="shared" si="6"/>
        <v>0</v>
      </c>
      <c r="P24" s="12">
        <v>2</v>
      </c>
      <c r="Q24" s="13">
        <v>0.1</v>
      </c>
      <c r="R24" s="74">
        <v>1000</v>
      </c>
      <c r="S24" s="11">
        <f t="shared" si="2"/>
        <v>8.0000000000000002E-3</v>
      </c>
      <c r="T24" s="2">
        <f t="shared" si="3"/>
        <v>4</v>
      </c>
      <c r="U24" s="12" t="s">
        <v>20</v>
      </c>
      <c r="V24" s="12"/>
      <c r="W24" s="19"/>
      <c r="X24" s="30"/>
      <c r="Y24" s="43"/>
    </row>
    <row r="25" spans="1:25" x14ac:dyDescent="0.25">
      <c r="A25" s="45">
        <v>23</v>
      </c>
      <c r="B25" s="45"/>
      <c r="C25" s="72" t="s">
        <v>390</v>
      </c>
      <c r="D25" s="6" t="s">
        <v>391</v>
      </c>
      <c r="E25" s="6" t="s">
        <v>392</v>
      </c>
      <c r="F25" s="6" t="s">
        <v>406</v>
      </c>
      <c r="G25" s="15" t="s">
        <v>407</v>
      </c>
      <c r="H25" s="1" t="s">
        <v>23</v>
      </c>
      <c r="I25" s="21" t="s">
        <v>221</v>
      </c>
      <c r="J25" s="2">
        <v>2.8000000000000001E-2</v>
      </c>
      <c r="K25" s="1">
        <v>100</v>
      </c>
      <c r="L25" s="1">
        <v>2</v>
      </c>
      <c r="N25" s="1">
        <f t="shared" si="5"/>
        <v>2</v>
      </c>
      <c r="O25" s="1">
        <f t="shared" si="6"/>
        <v>0</v>
      </c>
      <c r="P25" s="1">
        <v>1</v>
      </c>
      <c r="Q25" s="13">
        <v>0.1</v>
      </c>
      <c r="R25" s="74">
        <v>500</v>
      </c>
      <c r="S25" s="11">
        <f t="shared" si="2"/>
        <v>2.8000000000000001E-2</v>
      </c>
      <c r="T25" s="2">
        <f t="shared" si="3"/>
        <v>14</v>
      </c>
      <c r="U25" s="1" t="s">
        <v>401</v>
      </c>
    </row>
    <row r="26" spans="1:25" x14ac:dyDescent="0.25">
      <c r="A26" s="7">
        <v>24</v>
      </c>
      <c r="B26" s="7"/>
      <c r="C26" s="71" t="s">
        <v>383</v>
      </c>
      <c r="D26" s="18" t="s">
        <v>384</v>
      </c>
      <c r="E26" s="37" t="s">
        <v>385</v>
      </c>
      <c r="F26" s="18" t="s">
        <v>69</v>
      </c>
      <c r="G26" s="14" t="s">
        <v>409</v>
      </c>
      <c r="H26" s="12" t="s">
        <v>23</v>
      </c>
      <c r="I26" s="47" t="s">
        <v>35</v>
      </c>
      <c r="J26" s="48">
        <v>3.0000000000000001E-3</v>
      </c>
      <c r="K26" s="49">
        <v>100</v>
      </c>
      <c r="L26" s="49">
        <v>2</v>
      </c>
      <c r="M26" s="49"/>
      <c r="N26" s="1">
        <f t="shared" si="5"/>
        <v>8</v>
      </c>
      <c r="O26" s="1">
        <f t="shared" si="6"/>
        <v>0</v>
      </c>
      <c r="P26" s="49">
        <v>4</v>
      </c>
      <c r="Q26" s="13">
        <v>0.1</v>
      </c>
      <c r="R26" s="74">
        <v>2000</v>
      </c>
      <c r="S26" s="11">
        <f t="shared" si="2"/>
        <v>1.2E-2</v>
      </c>
      <c r="T26" s="2">
        <f t="shared" si="3"/>
        <v>6</v>
      </c>
      <c r="U26" s="12" t="s">
        <v>20</v>
      </c>
      <c r="V26" s="12"/>
      <c r="W26" s="19"/>
      <c r="X26" s="30"/>
      <c r="Y26" s="39"/>
    </row>
    <row r="27" spans="1:25" x14ac:dyDescent="0.25">
      <c r="A27" s="45">
        <v>25</v>
      </c>
      <c r="C27" s="72" t="s">
        <v>421</v>
      </c>
      <c r="D27" s="6" t="s">
        <v>422</v>
      </c>
      <c r="E27" s="6" t="s">
        <v>450</v>
      </c>
      <c r="F27" s="30" t="s">
        <v>452</v>
      </c>
      <c r="G27" s="126" t="s">
        <v>453</v>
      </c>
      <c r="H27" s="1" t="s">
        <v>23</v>
      </c>
      <c r="I27" s="21" t="s">
        <v>35</v>
      </c>
      <c r="J27" s="2">
        <v>2.5999999999999999E-2</v>
      </c>
      <c r="K27" s="1">
        <v>100</v>
      </c>
      <c r="L27" s="1">
        <v>2</v>
      </c>
      <c r="N27" s="1">
        <f t="shared" si="5"/>
        <v>2</v>
      </c>
      <c r="O27" s="1">
        <f t="shared" si="6"/>
        <v>0</v>
      </c>
      <c r="P27" s="1">
        <v>1</v>
      </c>
      <c r="Q27" s="22">
        <v>0.1</v>
      </c>
      <c r="R27" s="74">
        <v>500</v>
      </c>
      <c r="S27" s="11">
        <f t="shared" si="2"/>
        <v>2.5999999999999999E-2</v>
      </c>
      <c r="T27" s="2">
        <f t="shared" si="3"/>
        <v>13</v>
      </c>
      <c r="U27" s="1" t="s">
        <v>20</v>
      </c>
    </row>
    <row r="28" spans="1:25" x14ac:dyDescent="0.25">
      <c r="A28" s="7">
        <v>26</v>
      </c>
      <c r="C28" s="72" t="s">
        <v>442</v>
      </c>
      <c r="D28" s="6" t="s">
        <v>443</v>
      </c>
      <c r="E28" s="6" t="s">
        <v>444</v>
      </c>
      <c r="F28" s="127" t="s">
        <v>454</v>
      </c>
      <c r="G28" s="128" t="s">
        <v>455</v>
      </c>
      <c r="H28" s="1" t="s">
        <v>23</v>
      </c>
      <c r="I28" s="21" t="s">
        <v>35</v>
      </c>
      <c r="J28" s="2">
        <v>5.0000000000000001E-3</v>
      </c>
      <c r="K28" s="1">
        <v>100</v>
      </c>
      <c r="N28" s="1">
        <f t="shared" si="5"/>
        <v>0</v>
      </c>
      <c r="O28" s="1">
        <f t="shared" si="6"/>
        <v>0</v>
      </c>
      <c r="P28" s="1">
        <v>2</v>
      </c>
      <c r="Q28" s="22">
        <v>0.1</v>
      </c>
      <c r="R28" s="74">
        <v>500</v>
      </c>
      <c r="S28" s="11">
        <f t="shared" si="2"/>
        <v>0.01</v>
      </c>
      <c r="T28" s="2">
        <f t="shared" si="3"/>
        <v>2.5</v>
      </c>
      <c r="U28" s="1" t="s">
        <v>20</v>
      </c>
    </row>
    <row r="29" spans="1:25" x14ac:dyDescent="0.25">
      <c r="A29" s="45">
        <v>27</v>
      </c>
      <c r="B29" s="45"/>
      <c r="C29" s="76" t="s">
        <v>244</v>
      </c>
      <c r="D29" s="18" t="s">
        <v>388</v>
      </c>
      <c r="E29" s="18" t="s">
        <v>389</v>
      </c>
      <c r="F29" s="18" t="s">
        <v>69</v>
      </c>
      <c r="G29" s="14" t="s">
        <v>472</v>
      </c>
      <c r="H29" s="12" t="s">
        <v>23</v>
      </c>
      <c r="I29" s="47" t="s">
        <v>221</v>
      </c>
      <c r="J29" s="48">
        <v>6.7000000000000004E-2</v>
      </c>
      <c r="K29" s="49">
        <v>100</v>
      </c>
      <c r="L29" s="49">
        <v>2</v>
      </c>
      <c r="M29" s="49"/>
      <c r="N29" s="1">
        <f t="shared" si="5"/>
        <v>2</v>
      </c>
      <c r="O29" s="1">
        <f t="shared" si="6"/>
        <v>0</v>
      </c>
      <c r="P29" s="49">
        <v>1</v>
      </c>
      <c r="Q29" s="13">
        <v>0.1</v>
      </c>
      <c r="R29" s="74">
        <v>500</v>
      </c>
      <c r="S29" s="11">
        <f t="shared" si="2"/>
        <v>6.7000000000000004E-2</v>
      </c>
      <c r="T29" s="2">
        <f t="shared" si="3"/>
        <v>33.5</v>
      </c>
      <c r="U29" s="49" t="s">
        <v>20</v>
      </c>
      <c r="V29" s="49"/>
      <c r="W29" s="19"/>
      <c r="X29" s="30"/>
      <c r="Y29" s="43"/>
    </row>
    <row r="30" spans="1:25" x14ac:dyDescent="0.25">
      <c r="A30" s="7">
        <v>28</v>
      </c>
      <c r="B30" s="7"/>
      <c r="C30" s="71" t="s">
        <v>245</v>
      </c>
      <c r="D30" s="18" t="s">
        <v>354</v>
      </c>
      <c r="E30" s="18" t="s">
        <v>355</v>
      </c>
      <c r="F30" s="18" t="s">
        <v>356</v>
      </c>
      <c r="G30" s="14" t="s">
        <v>357</v>
      </c>
      <c r="H30" s="12" t="s">
        <v>23</v>
      </c>
      <c r="I30" s="20" t="s">
        <v>358</v>
      </c>
      <c r="J30" s="11">
        <v>0.18778</v>
      </c>
      <c r="K30" s="12">
        <v>500</v>
      </c>
      <c r="L30" s="12"/>
      <c r="M30" s="12">
        <v>5</v>
      </c>
      <c r="N30" s="1">
        <f t="shared" si="5"/>
        <v>0</v>
      </c>
      <c r="O30" s="1">
        <f t="shared" si="6"/>
        <v>5</v>
      </c>
      <c r="P30" s="12">
        <v>1</v>
      </c>
      <c r="Q30" s="13">
        <v>0.1</v>
      </c>
      <c r="R30" s="74">
        <v>500</v>
      </c>
      <c r="S30" s="11">
        <f t="shared" si="2"/>
        <v>0.18778</v>
      </c>
      <c r="T30" s="2">
        <f t="shared" si="3"/>
        <v>93.89</v>
      </c>
      <c r="U30" s="12" t="s">
        <v>20</v>
      </c>
      <c r="V30" s="12"/>
      <c r="W30" s="19"/>
      <c r="X30" s="30"/>
      <c r="Y30" s="46"/>
    </row>
    <row r="31" spans="1:25" x14ac:dyDescent="0.25">
      <c r="A31" s="45">
        <v>29</v>
      </c>
      <c r="C31" s="71" t="s">
        <v>361</v>
      </c>
      <c r="D31" s="6" t="s">
        <v>427</v>
      </c>
      <c r="E31" s="30" t="s">
        <v>456</v>
      </c>
      <c r="F31" s="30" t="s">
        <v>457</v>
      </c>
      <c r="G31" s="27" t="s">
        <v>458</v>
      </c>
      <c r="H31" s="1" t="s">
        <v>18</v>
      </c>
      <c r="I31" s="21" t="s">
        <v>459</v>
      </c>
      <c r="J31" s="2">
        <v>0.16500000000000001</v>
      </c>
      <c r="K31" s="1">
        <v>1000</v>
      </c>
      <c r="L31" s="1">
        <v>4</v>
      </c>
      <c r="N31" s="1">
        <f t="shared" si="5"/>
        <v>16</v>
      </c>
      <c r="O31" s="1">
        <f t="shared" si="6"/>
        <v>0</v>
      </c>
      <c r="P31" s="1">
        <v>4</v>
      </c>
      <c r="Q31" s="22">
        <v>0.1</v>
      </c>
      <c r="R31" s="74">
        <v>2000</v>
      </c>
      <c r="S31" s="11">
        <f t="shared" si="2"/>
        <v>0.66</v>
      </c>
      <c r="T31" s="2">
        <f t="shared" si="3"/>
        <v>330</v>
      </c>
      <c r="U31" s="1" t="s">
        <v>401</v>
      </c>
    </row>
    <row r="32" spans="1:25" x14ac:dyDescent="0.25">
      <c r="A32" s="7">
        <v>30</v>
      </c>
      <c r="B32" s="45"/>
      <c r="C32" s="72" t="s">
        <v>192</v>
      </c>
      <c r="D32" s="6" t="s">
        <v>335</v>
      </c>
      <c r="F32" s="6" t="s">
        <v>193</v>
      </c>
      <c r="G32" s="27" t="s">
        <v>410</v>
      </c>
      <c r="H32" s="1" t="s">
        <v>18</v>
      </c>
      <c r="I32" s="1" t="s">
        <v>352</v>
      </c>
      <c r="J32" s="2">
        <v>2.4300000000000002</v>
      </c>
      <c r="K32" s="1">
        <v>500</v>
      </c>
      <c r="L32" s="1">
        <v>64</v>
      </c>
      <c r="N32" s="1">
        <f t="shared" si="5"/>
        <v>64</v>
      </c>
      <c r="O32" s="1">
        <f t="shared" si="6"/>
        <v>0</v>
      </c>
      <c r="P32" s="1">
        <v>1</v>
      </c>
      <c r="Q32" s="13">
        <v>0.1</v>
      </c>
      <c r="R32" s="74">
        <v>475</v>
      </c>
      <c r="S32" s="11">
        <f t="shared" si="2"/>
        <v>2.4300000000000002</v>
      </c>
      <c r="T32" s="2">
        <f t="shared" si="3"/>
        <v>1154.25</v>
      </c>
      <c r="U32" s="1" t="s">
        <v>193</v>
      </c>
      <c r="Y32" s="44"/>
    </row>
    <row r="33" spans="1:25" x14ac:dyDescent="0.25">
      <c r="A33" s="45">
        <v>31</v>
      </c>
      <c r="B33" s="7"/>
      <c r="C33" s="72" t="s">
        <v>198</v>
      </c>
      <c r="D33" s="6" t="s">
        <v>334</v>
      </c>
      <c r="E33" s="30"/>
      <c r="F33" s="30" t="s">
        <v>193</v>
      </c>
      <c r="G33" s="12" t="s">
        <v>346</v>
      </c>
      <c r="H33" s="49" t="s">
        <v>18</v>
      </c>
      <c r="I33" s="49" t="s">
        <v>351</v>
      </c>
      <c r="J33" s="48">
        <v>0.88</v>
      </c>
      <c r="K33" s="49">
        <v>500</v>
      </c>
      <c r="L33" s="1">
        <v>48</v>
      </c>
      <c r="N33" s="1">
        <f t="shared" si="5"/>
        <v>48</v>
      </c>
      <c r="O33" s="1">
        <f t="shared" si="6"/>
        <v>0</v>
      </c>
      <c r="P33" s="1">
        <v>1</v>
      </c>
      <c r="Q33" s="13">
        <v>0.1</v>
      </c>
      <c r="R33" s="74">
        <v>475</v>
      </c>
      <c r="S33" s="11">
        <f t="shared" si="2"/>
        <v>0.88</v>
      </c>
      <c r="T33" s="2">
        <f t="shared" si="3"/>
        <v>418</v>
      </c>
      <c r="U33" s="1" t="s">
        <v>193</v>
      </c>
    </row>
    <row r="34" spans="1:25" x14ac:dyDescent="0.25">
      <c r="A34" s="7">
        <v>32</v>
      </c>
      <c r="B34" s="45" t="s">
        <v>23</v>
      </c>
      <c r="C34" s="75" t="s">
        <v>248</v>
      </c>
      <c r="D34" s="18" t="s">
        <v>337</v>
      </c>
      <c r="E34" s="18"/>
      <c r="F34" s="18" t="s">
        <v>78</v>
      </c>
      <c r="G34" s="14" t="s">
        <v>149</v>
      </c>
      <c r="H34" s="12" t="s">
        <v>18</v>
      </c>
      <c r="I34" s="20" t="s">
        <v>22</v>
      </c>
      <c r="J34" s="11">
        <v>0.7</v>
      </c>
      <c r="K34" s="12">
        <v>500</v>
      </c>
      <c r="L34" s="12">
        <v>12</v>
      </c>
      <c r="M34" s="12"/>
      <c r="N34" s="1">
        <f t="shared" si="5"/>
        <v>12</v>
      </c>
      <c r="O34" s="1">
        <f t="shared" si="6"/>
        <v>0</v>
      </c>
      <c r="P34" s="12">
        <v>1</v>
      </c>
      <c r="Q34" s="13">
        <v>0.1</v>
      </c>
      <c r="R34" s="74">
        <v>500</v>
      </c>
      <c r="S34" s="11">
        <f t="shared" si="2"/>
        <v>0.7</v>
      </c>
      <c r="T34" s="2">
        <f t="shared" si="3"/>
        <v>350</v>
      </c>
      <c r="U34" s="12" t="s">
        <v>466</v>
      </c>
      <c r="V34" s="12"/>
      <c r="W34" s="19"/>
      <c r="X34" s="18"/>
      <c r="Y34" s="78"/>
    </row>
    <row r="35" spans="1:25" x14ac:dyDescent="0.25">
      <c r="A35" s="45">
        <v>33</v>
      </c>
      <c r="C35" s="71" t="s">
        <v>332</v>
      </c>
      <c r="D35" s="18" t="s">
        <v>80</v>
      </c>
      <c r="E35" s="18"/>
      <c r="F35" s="18" t="s">
        <v>345</v>
      </c>
      <c r="G35" s="14" t="s">
        <v>423</v>
      </c>
      <c r="H35" s="12" t="s">
        <v>18</v>
      </c>
      <c r="I35" s="20" t="s">
        <v>353</v>
      </c>
      <c r="J35" s="11">
        <v>1.9</v>
      </c>
      <c r="K35" s="12">
        <v>500</v>
      </c>
      <c r="L35" s="12">
        <v>48</v>
      </c>
      <c r="M35" s="12"/>
      <c r="N35" s="1">
        <f t="shared" si="5"/>
        <v>48</v>
      </c>
      <c r="O35" s="1">
        <f t="shared" si="6"/>
        <v>0</v>
      </c>
      <c r="P35" s="12">
        <v>1</v>
      </c>
      <c r="Q35" s="13">
        <v>0.1</v>
      </c>
      <c r="R35" s="74">
        <v>500</v>
      </c>
      <c r="S35" s="11">
        <f t="shared" si="2"/>
        <v>1.9</v>
      </c>
      <c r="T35" s="2">
        <f t="shared" si="3"/>
        <v>950</v>
      </c>
      <c r="U35" s="12" t="s">
        <v>466</v>
      </c>
      <c r="V35" s="49"/>
      <c r="W35" s="19"/>
      <c r="X35" s="30"/>
      <c r="Y35" s="46"/>
    </row>
    <row r="36" spans="1:25" x14ac:dyDescent="0.25">
      <c r="A36" s="7">
        <v>34</v>
      </c>
      <c r="C36" s="71" t="s">
        <v>211</v>
      </c>
      <c r="D36" s="18" t="s">
        <v>336</v>
      </c>
      <c r="E36" s="6" t="s">
        <v>213</v>
      </c>
      <c r="F36" s="30" t="s">
        <v>214</v>
      </c>
      <c r="G36" s="27" t="s">
        <v>451</v>
      </c>
      <c r="H36" s="1" t="s">
        <v>18</v>
      </c>
      <c r="I36" s="1" t="s">
        <v>216</v>
      </c>
      <c r="J36" s="2">
        <v>1.9</v>
      </c>
      <c r="K36" s="1">
        <v>100</v>
      </c>
      <c r="L36" s="1">
        <v>8</v>
      </c>
      <c r="N36" s="1">
        <f t="shared" si="5"/>
        <v>8</v>
      </c>
      <c r="O36" s="1">
        <f t="shared" si="6"/>
        <v>0</v>
      </c>
      <c r="P36" s="1">
        <v>1</v>
      </c>
      <c r="Q36" s="3">
        <v>0.05</v>
      </c>
      <c r="R36" s="74">
        <v>480</v>
      </c>
      <c r="S36" s="11">
        <f t="shared" si="2"/>
        <v>1.9</v>
      </c>
      <c r="T36" s="2">
        <f t="shared" si="3"/>
        <v>912</v>
      </c>
      <c r="U36" s="12" t="s">
        <v>20</v>
      </c>
      <c r="V36" s="12"/>
      <c r="W36" s="19"/>
      <c r="X36" s="30"/>
      <c r="Y36" s="43"/>
    </row>
    <row r="37" spans="1:25" x14ac:dyDescent="0.25">
      <c r="A37" s="45">
        <v>35</v>
      </c>
      <c r="C37" s="72" t="s">
        <v>333</v>
      </c>
      <c r="D37" s="68" t="s">
        <v>342</v>
      </c>
      <c r="E37" s="69" t="s">
        <v>208</v>
      </c>
      <c r="F37" s="30" t="s">
        <v>209</v>
      </c>
      <c r="G37" s="49" t="s">
        <v>210</v>
      </c>
      <c r="H37" s="49" t="s">
        <v>18</v>
      </c>
      <c r="I37" s="47" t="s">
        <v>250</v>
      </c>
      <c r="J37" s="38">
        <v>0.18128</v>
      </c>
      <c r="K37" s="12">
        <v>500</v>
      </c>
      <c r="L37" s="12">
        <v>14</v>
      </c>
      <c r="M37" s="12"/>
      <c r="N37" s="1">
        <f t="shared" si="5"/>
        <v>14</v>
      </c>
      <c r="O37" s="1">
        <f t="shared" si="6"/>
        <v>0</v>
      </c>
      <c r="P37" s="12">
        <v>1</v>
      </c>
      <c r="Q37" s="22">
        <v>0.1</v>
      </c>
      <c r="R37" s="74">
        <v>500</v>
      </c>
      <c r="S37" s="11">
        <f t="shared" si="2"/>
        <v>0.18128</v>
      </c>
      <c r="T37" s="2">
        <f t="shared" si="3"/>
        <v>90.64</v>
      </c>
      <c r="U37" s="49" t="s">
        <v>20</v>
      </c>
      <c r="V37" s="12"/>
      <c r="W37" s="17"/>
      <c r="Y37" s="44"/>
    </row>
    <row r="38" spans="1:25" x14ac:dyDescent="0.25">
      <c r="A38" s="7">
        <v>36</v>
      </c>
      <c r="C38" s="72" t="s">
        <v>344</v>
      </c>
      <c r="D38" s="6" t="s">
        <v>85</v>
      </c>
      <c r="E38" s="18" t="s">
        <v>85</v>
      </c>
      <c r="F38" s="18" t="s">
        <v>86</v>
      </c>
      <c r="G38" s="16" t="s">
        <v>87</v>
      </c>
      <c r="H38" s="12" t="s">
        <v>18</v>
      </c>
      <c r="I38" s="12" t="s">
        <v>88</v>
      </c>
      <c r="J38" s="11">
        <v>0.40200000000000002</v>
      </c>
      <c r="K38" s="12">
        <v>100</v>
      </c>
      <c r="L38" s="12">
        <v>6</v>
      </c>
      <c r="M38" s="12"/>
      <c r="N38" s="1">
        <f t="shared" si="5"/>
        <v>12</v>
      </c>
      <c r="O38" s="1">
        <f t="shared" si="6"/>
        <v>0</v>
      </c>
      <c r="P38" s="12">
        <v>2</v>
      </c>
      <c r="Q38" s="13">
        <v>0.1</v>
      </c>
      <c r="R38" s="74">
        <v>1000</v>
      </c>
      <c r="S38" s="11">
        <f t="shared" si="2"/>
        <v>0.80400000000000005</v>
      </c>
      <c r="T38" s="2">
        <f t="shared" si="3"/>
        <v>402</v>
      </c>
      <c r="U38" s="49" t="s">
        <v>20</v>
      </c>
      <c r="V38" s="12"/>
      <c r="W38" s="59"/>
    </row>
    <row r="39" spans="1:25" x14ac:dyDescent="0.25">
      <c r="A39" s="45">
        <v>37</v>
      </c>
      <c r="C39" s="72" t="s">
        <v>365</v>
      </c>
      <c r="D39" s="6" t="s">
        <v>366</v>
      </c>
      <c r="E39" s="6" t="s">
        <v>367</v>
      </c>
      <c r="F39" s="18" t="s">
        <v>371</v>
      </c>
      <c r="G39" s="14" t="s">
        <v>372</v>
      </c>
      <c r="H39" s="49" t="s">
        <v>23</v>
      </c>
      <c r="I39" s="49" t="s">
        <v>428</v>
      </c>
      <c r="J39" s="2">
        <v>0.39710000000000001</v>
      </c>
      <c r="K39" s="1">
        <v>500</v>
      </c>
      <c r="L39" s="1">
        <v>4</v>
      </c>
      <c r="N39" s="1">
        <f t="shared" si="5"/>
        <v>4</v>
      </c>
      <c r="O39" s="1">
        <f t="shared" si="6"/>
        <v>0</v>
      </c>
      <c r="P39" s="1">
        <v>1</v>
      </c>
      <c r="Q39" s="22">
        <v>0.1</v>
      </c>
      <c r="R39" s="74">
        <v>500</v>
      </c>
      <c r="S39" s="11">
        <f t="shared" si="2"/>
        <v>0.39710000000000001</v>
      </c>
      <c r="T39" s="2">
        <f t="shared" si="3"/>
        <v>198.55</v>
      </c>
      <c r="U39" s="49" t="s">
        <v>20</v>
      </c>
      <c r="V39" s="12"/>
      <c r="W39" s="17"/>
      <c r="Y39" s="44"/>
    </row>
    <row r="41" spans="1:25" x14ac:dyDescent="0.25">
      <c r="C41" s="97"/>
      <c r="D41" s="80"/>
      <c r="E41" s="80" t="s">
        <v>304</v>
      </c>
      <c r="F41" s="6">
        <v>450</v>
      </c>
      <c r="G41" s="81"/>
    </row>
    <row r="42" spans="1:25" x14ac:dyDescent="0.25">
      <c r="C42" s="131" t="s">
        <v>186</v>
      </c>
      <c r="D42" s="131"/>
      <c r="E42" s="131"/>
      <c r="F42" s="6">
        <f>SUM(N3:N40)</f>
        <v>396</v>
      </c>
      <c r="G42" s="81"/>
    </row>
    <row r="43" spans="1:25" x14ac:dyDescent="0.25">
      <c r="C43" s="131" t="s">
        <v>187</v>
      </c>
      <c r="D43" s="131"/>
      <c r="E43" s="131"/>
      <c r="F43" s="6">
        <f>SUM(O3:O40)</f>
        <v>37</v>
      </c>
    </row>
    <row r="44" spans="1:25" x14ac:dyDescent="0.25">
      <c r="C44" s="131" t="s">
        <v>188</v>
      </c>
      <c r="D44" s="131"/>
      <c r="E44" s="131"/>
      <c r="F44" s="6">
        <f>COUNT(A3:A39)-8</f>
        <v>29</v>
      </c>
    </row>
    <row r="45" spans="1:25" x14ac:dyDescent="0.25">
      <c r="C45" s="131" t="s">
        <v>189</v>
      </c>
      <c r="D45" s="131"/>
      <c r="E45" s="131"/>
      <c r="F45" s="6">
        <f>SUM(P3:P40)</f>
        <v>90</v>
      </c>
    </row>
    <row r="46" spans="1:25" x14ac:dyDescent="0.25">
      <c r="C46" s="97"/>
      <c r="D46" s="80"/>
      <c r="E46" s="80" t="s">
        <v>438</v>
      </c>
      <c r="F46" s="110">
        <f>SUM(S3:S39)</f>
        <v>23.654859999999992</v>
      </c>
    </row>
    <row r="47" spans="1:25" x14ac:dyDescent="0.25">
      <c r="E47" s="80" t="s">
        <v>439</v>
      </c>
      <c r="F47" s="109">
        <f>SUM(T3:T39)</f>
        <v>7636.7254545454543</v>
      </c>
    </row>
    <row r="48" spans="1:25" x14ac:dyDescent="0.25">
      <c r="E48" s="6" t="s">
        <v>460</v>
      </c>
      <c r="F48" s="129">
        <f>F47-SUM(T13:T15)</f>
        <v>7636.7254545454543</v>
      </c>
    </row>
  </sheetData>
  <autoFilter ref="A2:Y39">
    <sortState ref="A3:Z39">
      <sortCondition ref="C2:C39"/>
    </sortState>
  </autoFilter>
  <mergeCells count="5">
    <mergeCell ref="A1:Y1"/>
    <mergeCell ref="C42:E42"/>
    <mergeCell ref="C43:E43"/>
    <mergeCell ref="C44:E44"/>
    <mergeCell ref="C45:E45"/>
  </mergeCells>
  <conditionalFormatting sqref="T3:T3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gridLines="1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45" sqref="A45"/>
    </sheetView>
  </sheetViews>
  <sheetFormatPr defaultRowHeight="15" x14ac:dyDescent="0.25"/>
  <cols>
    <col min="1" max="1" width="19" bestFit="1" customWidth="1"/>
    <col min="2" max="2" width="11.42578125" style="105" customWidth="1"/>
    <col min="3" max="3" width="8" style="105" bestFit="1" customWidth="1"/>
    <col min="4" max="4" width="9.140625" style="107"/>
  </cols>
  <sheetData>
    <row r="1" spans="1:5" x14ac:dyDescent="0.25">
      <c r="B1" s="105" t="s">
        <v>411</v>
      </c>
      <c r="C1" s="105" t="s">
        <v>434</v>
      </c>
      <c r="D1" s="107" t="s">
        <v>414</v>
      </c>
      <c r="E1" t="s">
        <v>416</v>
      </c>
    </row>
    <row r="2" spans="1:5" x14ac:dyDescent="0.25">
      <c r="A2" t="s">
        <v>412</v>
      </c>
      <c r="B2" s="105">
        <f>3752.53+250+105</f>
        <v>4107.5300000000007</v>
      </c>
      <c r="C2" s="105">
        <f>B2/'2018'!$F$41</f>
        <v>9.1278444444444453</v>
      </c>
      <c r="D2" s="107">
        <v>15</v>
      </c>
      <c r="E2" t="s">
        <v>417</v>
      </c>
    </row>
    <row r="3" spans="1:5" x14ac:dyDescent="0.25">
      <c r="A3" t="s">
        <v>413</v>
      </c>
      <c r="B3" s="105">
        <v>5400</v>
      </c>
      <c r="C3" s="105">
        <f>B3/'2018'!$F$41</f>
        <v>12</v>
      </c>
      <c r="D3" s="107">
        <v>15</v>
      </c>
      <c r="E3" t="s">
        <v>25</v>
      </c>
    </row>
    <row r="4" spans="1:5" x14ac:dyDescent="0.25">
      <c r="A4" t="s">
        <v>415</v>
      </c>
      <c r="B4" s="105">
        <v>10650</v>
      </c>
      <c r="C4" s="105">
        <f>B4/'2018'!$F$41</f>
        <v>23.666666666666668</v>
      </c>
      <c r="D4" s="107">
        <v>10</v>
      </c>
      <c r="E4" t="s">
        <v>25</v>
      </c>
    </row>
    <row r="5" spans="1:5" x14ac:dyDescent="0.25">
      <c r="A5" t="s">
        <v>418</v>
      </c>
      <c r="B5" s="105">
        <v>9650</v>
      </c>
      <c r="C5" s="105">
        <f>B5/'2018'!$F$41</f>
        <v>21.444444444444443</v>
      </c>
      <c r="D5" s="107">
        <v>15</v>
      </c>
      <c r="E5" t="s">
        <v>25</v>
      </c>
    </row>
    <row r="6" spans="1:5" x14ac:dyDescent="0.25">
      <c r="A6" t="s">
        <v>419</v>
      </c>
      <c r="B6" s="105">
        <v>573.79999999999995</v>
      </c>
      <c r="C6" s="105">
        <f>B6/'2018'!$F$41</f>
        <v>1.2751111111111111</v>
      </c>
      <c r="D6" s="107">
        <v>15</v>
      </c>
      <c r="E6" t="s">
        <v>185</v>
      </c>
    </row>
    <row r="7" spans="1:5" x14ac:dyDescent="0.25">
      <c r="A7" t="s">
        <v>420</v>
      </c>
      <c r="B7" s="105">
        <v>5341</v>
      </c>
      <c r="C7" s="105">
        <f>B7/'2018'!$F$41</f>
        <v>11.86888888888889</v>
      </c>
      <c r="D7" s="107" t="s">
        <v>433</v>
      </c>
      <c r="E7" t="s">
        <v>25</v>
      </c>
    </row>
    <row r="8" spans="1:5" x14ac:dyDescent="0.25">
      <c r="A8" t="s">
        <v>440</v>
      </c>
      <c r="B8" s="105">
        <f>1613+20.46</f>
        <v>1633.46</v>
      </c>
      <c r="C8" s="105">
        <f>B8/'2018'!$F$41</f>
        <v>3.6299111111111113</v>
      </c>
      <c r="D8" s="107" t="s">
        <v>441</v>
      </c>
      <c r="E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zoomScaleNormal="100" zoomScaleSheetLayoutView="115" workbookViewId="0">
      <pane ySplit="2" topLeftCell="A3" activePane="bottomLeft" state="frozen"/>
      <selection pane="bottomLeft" activeCell="T2" sqref="T1:T1048576"/>
    </sheetView>
  </sheetViews>
  <sheetFormatPr defaultRowHeight="15" x14ac:dyDescent="0.25"/>
  <cols>
    <col min="1" max="2" width="4.85546875" style="5" customWidth="1"/>
    <col min="3" max="3" width="15" style="72" bestFit="1" customWidth="1"/>
    <col min="4" max="4" width="19" style="6" customWidth="1"/>
    <col min="5" max="5" width="21.140625" style="6" customWidth="1"/>
    <col min="6" max="6" width="20" style="6" customWidth="1"/>
    <col min="7" max="7" width="24.85546875" style="15" bestFit="1" customWidth="1"/>
    <col min="8" max="8" width="28.42578125" style="15" customWidth="1"/>
    <col min="9" max="9" width="5.42578125" style="1" customWidth="1"/>
    <col min="10" max="10" width="11.140625" style="1" customWidth="1"/>
    <col min="11" max="11" width="8" style="2" customWidth="1"/>
    <col min="12" max="12" width="6.42578125" style="1" customWidth="1"/>
    <col min="13" max="16" width="5.42578125" style="1" customWidth="1"/>
    <col min="17" max="17" width="5.5703125" style="1" customWidth="1"/>
    <col min="18" max="18" width="10.42578125" style="3" customWidth="1"/>
    <col min="19" max="19" width="7.5703125" style="33" customWidth="1"/>
    <col min="20" max="20" width="9.5703125" style="1" customWidth="1"/>
    <col min="21" max="21" width="10.42578125" style="1" customWidth="1"/>
    <col min="22" max="23" width="10.5703125" style="1" customWidth="1"/>
    <col min="24" max="24" width="12.85546875" style="1" customWidth="1"/>
    <col min="25" max="25" width="33.85546875" style="6" customWidth="1"/>
    <col min="26" max="26" width="9.140625" style="41" customWidth="1"/>
  </cols>
  <sheetData>
    <row r="1" spans="1:26" ht="18.75" x14ac:dyDescent="0.25">
      <c r="A1" s="130" t="s">
        <v>331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spans="1:26" s="29" customFormat="1" ht="30" x14ac:dyDescent="0.25">
      <c r="A2" s="26" t="s">
        <v>0</v>
      </c>
      <c r="B2" s="26" t="s">
        <v>324</v>
      </c>
      <c r="C2" s="36" t="s">
        <v>1</v>
      </c>
      <c r="D2" s="36" t="s">
        <v>2</v>
      </c>
      <c r="E2" s="36" t="s">
        <v>3</v>
      </c>
      <c r="F2" s="36" t="s">
        <v>4</v>
      </c>
      <c r="G2" s="34" t="s">
        <v>5</v>
      </c>
      <c r="H2" s="34" t="s">
        <v>100</v>
      </c>
      <c r="I2" s="26" t="s">
        <v>6</v>
      </c>
      <c r="J2" s="26" t="s">
        <v>7</v>
      </c>
      <c r="K2" s="35" t="s">
        <v>8</v>
      </c>
      <c r="L2" s="26" t="s">
        <v>9</v>
      </c>
      <c r="M2" s="26" t="s">
        <v>10</v>
      </c>
      <c r="N2" s="26" t="s">
        <v>163</v>
      </c>
      <c r="O2" s="26" t="s">
        <v>162</v>
      </c>
      <c r="P2" s="26" t="s">
        <v>161</v>
      </c>
      <c r="Q2" s="26" t="s">
        <v>89</v>
      </c>
      <c r="R2" s="8" t="s">
        <v>11</v>
      </c>
      <c r="S2" s="31" t="s">
        <v>12</v>
      </c>
      <c r="T2" s="26" t="s">
        <v>13</v>
      </c>
      <c r="U2" s="26" t="s">
        <v>152</v>
      </c>
      <c r="V2" s="9" t="s">
        <v>14</v>
      </c>
      <c r="W2" s="9" t="s">
        <v>15</v>
      </c>
      <c r="X2" s="29" t="s">
        <v>16</v>
      </c>
      <c r="Y2" s="29" t="s">
        <v>17</v>
      </c>
      <c r="Z2" s="40" t="s">
        <v>98</v>
      </c>
    </row>
    <row r="3" spans="1:26" s="4" customFormat="1" x14ac:dyDescent="0.25">
      <c r="A3" s="45">
        <v>1</v>
      </c>
      <c r="B3" s="45" t="s">
        <v>23</v>
      </c>
      <c r="C3" s="72" t="s">
        <v>277</v>
      </c>
      <c r="D3" s="6" t="s">
        <v>278</v>
      </c>
      <c r="E3" s="6" t="s">
        <v>279</v>
      </c>
      <c r="F3" s="6" t="s">
        <v>288</v>
      </c>
      <c r="G3" s="27" t="s">
        <v>329</v>
      </c>
      <c r="H3" s="15"/>
      <c r="I3" s="1" t="s">
        <v>18</v>
      </c>
      <c r="J3" s="1" t="s">
        <v>328</v>
      </c>
      <c r="K3" s="2">
        <v>0.436</v>
      </c>
      <c r="L3" s="1">
        <v>100</v>
      </c>
      <c r="M3" s="1">
        <v>2</v>
      </c>
      <c r="N3" s="1">
        <v>0</v>
      </c>
      <c r="O3" s="1">
        <f t="shared" ref="O3:O31" si="0">M3*Q3</f>
        <v>2</v>
      </c>
      <c r="P3" s="1">
        <f t="shared" ref="P3:P32" si="1">N3*Q3</f>
        <v>0</v>
      </c>
      <c r="Q3" s="1">
        <v>1</v>
      </c>
      <c r="R3" s="3">
        <v>0.1</v>
      </c>
      <c r="S3" s="74">
        <v>315</v>
      </c>
      <c r="T3" s="11">
        <f t="shared" ref="T3:T31" si="2">S3*K3/$F$36</f>
        <v>0.48189473684210526</v>
      </c>
      <c r="U3" s="77">
        <f t="shared" ref="U3:U31" si="3">T3*$F$36</f>
        <v>137.34</v>
      </c>
      <c r="V3" s="1"/>
      <c r="W3" s="1"/>
      <c r="X3" s="1"/>
      <c r="Y3" s="6"/>
      <c r="Z3" s="44" t="s">
        <v>289</v>
      </c>
    </row>
    <row r="4" spans="1:26" s="10" customFormat="1" x14ac:dyDescent="0.25">
      <c r="A4" s="7">
        <v>2</v>
      </c>
      <c r="B4" s="7" t="s">
        <v>23</v>
      </c>
      <c r="C4" s="72" t="s">
        <v>275</v>
      </c>
      <c r="D4" s="6" t="s">
        <v>276</v>
      </c>
      <c r="E4" s="30" t="s">
        <v>19</v>
      </c>
      <c r="F4" s="30" t="s">
        <v>319</v>
      </c>
      <c r="G4" s="27" t="s">
        <v>320</v>
      </c>
      <c r="H4" s="27"/>
      <c r="I4" s="49" t="s">
        <v>18</v>
      </c>
      <c r="J4" s="49" t="s">
        <v>19</v>
      </c>
      <c r="K4" s="48"/>
      <c r="L4" s="49">
        <v>2000</v>
      </c>
      <c r="M4" s="1">
        <v>5</v>
      </c>
      <c r="N4" s="1">
        <v>2</v>
      </c>
      <c r="O4" s="1">
        <f t="shared" si="0"/>
        <v>5</v>
      </c>
      <c r="P4" s="1">
        <f t="shared" si="1"/>
        <v>2</v>
      </c>
      <c r="Q4" s="1">
        <v>1</v>
      </c>
      <c r="R4" s="3">
        <v>0.15</v>
      </c>
      <c r="S4" s="74">
        <v>315</v>
      </c>
      <c r="T4" s="11">
        <f t="shared" si="2"/>
        <v>0</v>
      </c>
      <c r="U4" s="77">
        <v>170</v>
      </c>
      <c r="V4" s="1"/>
      <c r="W4" s="1"/>
      <c r="X4" s="1"/>
      <c r="Y4" s="6"/>
      <c r="Z4" s="41"/>
    </row>
    <row r="5" spans="1:26" s="4" customFormat="1" x14ac:dyDescent="0.25">
      <c r="A5" s="45">
        <v>3</v>
      </c>
      <c r="B5" s="45" t="s">
        <v>23</v>
      </c>
      <c r="C5" s="75" t="s">
        <v>122</v>
      </c>
      <c r="D5" s="18" t="s">
        <v>27</v>
      </c>
      <c r="E5" s="18" t="s">
        <v>28</v>
      </c>
      <c r="F5" s="18" t="s">
        <v>29</v>
      </c>
      <c r="G5" s="14" t="s">
        <v>30</v>
      </c>
      <c r="H5" s="14"/>
      <c r="I5" s="12" t="s">
        <v>23</v>
      </c>
      <c r="J5" s="20" t="s">
        <v>31</v>
      </c>
      <c r="K5" s="11">
        <v>0.75</v>
      </c>
      <c r="L5" s="12">
        <v>100</v>
      </c>
      <c r="M5" s="12">
        <v>0</v>
      </c>
      <c r="N5" s="12">
        <v>2</v>
      </c>
      <c r="O5" s="1">
        <f t="shared" si="0"/>
        <v>0</v>
      </c>
      <c r="P5" s="1">
        <f t="shared" si="1"/>
        <v>2</v>
      </c>
      <c r="Q5" s="12">
        <v>1</v>
      </c>
      <c r="R5" s="13">
        <v>0.1</v>
      </c>
      <c r="S5" s="74">
        <v>315</v>
      </c>
      <c r="T5" s="11">
        <f t="shared" si="2"/>
        <v>0.82894736842105265</v>
      </c>
      <c r="U5" s="77">
        <f t="shared" si="3"/>
        <v>236.25</v>
      </c>
      <c r="V5" s="12" t="s">
        <v>20</v>
      </c>
      <c r="W5" s="12"/>
      <c r="X5" s="19"/>
      <c r="Y5" s="18"/>
      <c r="Z5" s="78" t="s">
        <v>307</v>
      </c>
    </row>
    <row r="6" spans="1:26" s="4" customFormat="1" x14ac:dyDescent="0.25">
      <c r="A6" s="45">
        <v>4</v>
      </c>
      <c r="B6" s="45" t="s">
        <v>23</v>
      </c>
      <c r="C6" s="71" t="s">
        <v>225</v>
      </c>
      <c r="D6" s="18" t="s">
        <v>270</v>
      </c>
      <c r="E6" s="18" t="s">
        <v>271</v>
      </c>
      <c r="F6" s="18" t="s">
        <v>33</v>
      </c>
      <c r="G6" s="14" t="s">
        <v>290</v>
      </c>
      <c r="H6" s="14"/>
      <c r="I6" s="12" t="s">
        <v>23</v>
      </c>
      <c r="J6" s="20" t="s">
        <v>35</v>
      </c>
      <c r="K6" s="11">
        <v>8.4000000000000005E-2</v>
      </c>
      <c r="L6" s="12">
        <v>100</v>
      </c>
      <c r="M6" s="12">
        <v>2</v>
      </c>
      <c r="N6" s="12">
        <v>0</v>
      </c>
      <c r="O6" s="1">
        <f t="shared" si="0"/>
        <v>4</v>
      </c>
      <c r="P6" s="1">
        <f t="shared" si="1"/>
        <v>0</v>
      </c>
      <c r="Q6" s="12">
        <v>2</v>
      </c>
      <c r="R6" s="13">
        <v>0.1</v>
      </c>
      <c r="S6" s="74">
        <f t="shared" ref="S6" si="4">Q6*$F$36*(1+R6)</f>
        <v>627</v>
      </c>
      <c r="T6" s="11">
        <f t="shared" si="2"/>
        <v>0.18480000000000002</v>
      </c>
      <c r="U6" s="77">
        <f t="shared" si="3"/>
        <v>52.668000000000006</v>
      </c>
      <c r="V6" s="12"/>
      <c r="W6" s="49"/>
      <c r="X6" s="19"/>
      <c r="Y6" s="30"/>
      <c r="Z6" s="46"/>
    </row>
    <row r="7" spans="1:26" s="4" customFormat="1" x14ac:dyDescent="0.25">
      <c r="A7" s="7">
        <v>5</v>
      </c>
      <c r="B7" s="7" t="s">
        <v>23</v>
      </c>
      <c r="C7" s="71" t="s">
        <v>261</v>
      </c>
      <c r="D7" s="18" t="s">
        <v>251</v>
      </c>
      <c r="E7" s="18" t="s">
        <v>262</v>
      </c>
      <c r="F7" s="18" t="s">
        <v>69</v>
      </c>
      <c r="G7" s="14" t="s">
        <v>325</v>
      </c>
      <c r="H7" s="14"/>
      <c r="I7" s="12" t="s">
        <v>23</v>
      </c>
      <c r="J7" s="20" t="s">
        <v>35</v>
      </c>
      <c r="K7" s="11">
        <v>1.9E-2</v>
      </c>
      <c r="L7" s="12">
        <v>100</v>
      </c>
      <c r="M7" s="12">
        <v>2</v>
      </c>
      <c r="N7" s="12">
        <v>0</v>
      </c>
      <c r="O7" s="1">
        <f t="shared" si="0"/>
        <v>2</v>
      </c>
      <c r="P7" s="1">
        <f t="shared" si="1"/>
        <v>0</v>
      </c>
      <c r="Q7" s="12">
        <v>1</v>
      </c>
      <c r="R7" s="13">
        <v>0.1</v>
      </c>
      <c r="S7" s="74">
        <v>315</v>
      </c>
      <c r="T7" s="11">
        <f t="shared" si="2"/>
        <v>2.0999999999999998E-2</v>
      </c>
      <c r="U7" s="77">
        <f t="shared" si="3"/>
        <v>5.9849999999999994</v>
      </c>
      <c r="V7" s="12"/>
      <c r="W7" s="12"/>
      <c r="X7" s="19"/>
      <c r="Y7" s="30"/>
      <c r="Z7" s="43"/>
    </row>
    <row r="8" spans="1:26" s="4" customFormat="1" x14ac:dyDescent="0.25">
      <c r="A8" s="45">
        <v>6</v>
      </c>
      <c r="B8" s="45" t="s">
        <v>23</v>
      </c>
      <c r="C8" s="72" t="s">
        <v>294</v>
      </c>
      <c r="D8" s="6" t="s">
        <v>251</v>
      </c>
      <c r="E8" s="6" t="s">
        <v>252</v>
      </c>
      <c r="F8" s="6" t="s">
        <v>291</v>
      </c>
      <c r="G8" s="15" t="s">
        <v>292</v>
      </c>
      <c r="H8" s="15"/>
      <c r="I8" s="1" t="s">
        <v>23</v>
      </c>
      <c r="J8" s="21" t="s">
        <v>127</v>
      </c>
      <c r="K8" s="2">
        <v>8.0000000000000002E-3</v>
      </c>
      <c r="L8" s="1">
        <v>1000</v>
      </c>
      <c r="M8" s="1">
        <v>2</v>
      </c>
      <c r="N8" s="1">
        <v>0</v>
      </c>
      <c r="O8" s="1">
        <f t="shared" si="0"/>
        <v>14</v>
      </c>
      <c r="P8" s="1">
        <f t="shared" si="1"/>
        <v>0</v>
      </c>
      <c r="Q8" s="1">
        <v>7</v>
      </c>
      <c r="R8" s="3">
        <v>0.05</v>
      </c>
      <c r="S8" s="74">
        <v>2400</v>
      </c>
      <c r="T8" s="11">
        <f t="shared" si="2"/>
        <v>6.7368421052631577E-2</v>
      </c>
      <c r="U8" s="77">
        <f t="shared" si="3"/>
        <v>19.2</v>
      </c>
      <c r="V8" s="49"/>
      <c r="W8" s="12"/>
      <c r="X8" s="17"/>
      <c r="Y8" s="6"/>
      <c r="Z8" s="44"/>
    </row>
    <row r="9" spans="1:26" s="4" customFormat="1" ht="60" x14ac:dyDescent="0.25">
      <c r="A9" s="45">
        <v>7</v>
      </c>
      <c r="B9" s="45" t="s">
        <v>23</v>
      </c>
      <c r="C9" s="72" t="s">
        <v>295</v>
      </c>
      <c r="D9" s="6" t="s">
        <v>251</v>
      </c>
      <c r="E9" s="6" t="s">
        <v>252</v>
      </c>
      <c r="F9" s="6" t="s">
        <v>69</v>
      </c>
      <c r="G9" s="15" t="s">
        <v>293</v>
      </c>
      <c r="H9" s="15"/>
      <c r="I9" s="1" t="s">
        <v>23</v>
      </c>
      <c r="J9" s="21" t="s">
        <v>35</v>
      </c>
      <c r="K9" s="2">
        <v>4.0000000000000001E-3</v>
      </c>
      <c r="L9" s="1">
        <v>100</v>
      </c>
      <c r="M9" s="1">
        <v>2</v>
      </c>
      <c r="N9" s="1">
        <v>0</v>
      </c>
      <c r="O9" s="1">
        <f t="shared" si="0"/>
        <v>24</v>
      </c>
      <c r="P9" s="1">
        <f t="shared" si="1"/>
        <v>0</v>
      </c>
      <c r="Q9" s="1">
        <v>12</v>
      </c>
      <c r="R9" s="3">
        <v>0.1</v>
      </c>
      <c r="S9" s="74">
        <v>3750</v>
      </c>
      <c r="T9" s="11">
        <f t="shared" si="2"/>
        <v>5.2631578947368418E-2</v>
      </c>
      <c r="U9" s="77">
        <f t="shared" si="3"/>
        <v>15</v>
      </c>
      <c r="V9" s="49"/>
      <c r="W9" s="12"/>
      <c r="X9" s="17"/>
      <c r="Y9" s="6"/>
      <c r="Z9" s="44"/>
    </row>
    <row r="10" spans="1:26" s="4" customFormat="1" x14ac:dyDescent="0.25">
      <c r="A10" s="7">
        <v>8</v>
      </c>
      <c r="B10" s="7" t="s">
        <v>23</v>
      </c>
      <c r="C10" s="72" t="s">
        <v>255</v>
      </c>
      <c r="D10" s="6" t="s">
        <v>254</v>
      </c>
      <c r="E10" s="6" t="s">
        <v>253</v>
      </c>
      <c r="F10" s="6" t="s">
        <v>33</v>
      </c>
      <c r="G10" s="15" t="s">
        <v>296</v>
      </c>
      <c r="H10" s="15"/>
      <c r="I10" s="1" t="s">
        <v>23</v>
      </c>
      <c r="J10" s="21" t="s">
        <v>35</v>
      </c>
      <c r="K10" s="2">
        <v>4.1000000000000002E-2</v>
      </c>
      <c r="L10" s="1">
        <v>100</v>
      </c>
      <c r="M10" s="1">
        <v>2</v>
      </c>
      <c r="N10" s="1">
        <v>0</v>
      </c>
      <c r="O10" s="1">
        <f t="shared" si="0"/>
        <v>4</v>
      </c>
      <c r="P10" s="1">
        <f t="shared" si="1"/>
        <v>0</v>
      </c>
      <c r="Q10" s="1">
        <v>2</v>
      </c>
      <c r="R10" s="3">
        <v>0.1</v>
      </c>
      <c r="S10" s="74">
        <v>630</v>
      </c>
      <c r="T10" s="11">
        <f t="shared" si="2"/>
        <v>9.0631578947368424E-2</v>
      </c>
      <c r="U10" s="77">
        <f t="shared" si="3"/>
        <v>25.830000000000002</v>
      </c>
      <c r="V10" s="49"/>
      <c r="W10" s="12"/>
      <c r="X10" s="59"/>
      <c r="Y10" s="6"/>
      <c r="Z10" s="41"/>
    </row>
    <row r="11" spans="1:26" s="4" customFormat="1" ht="30" x14ac:dyDescent="0.25">
      <c r="A11" s="45">
        <v>9</v>
      </c>
      <c r="B11" s="45" t="s">
        <v>23</v>
      </c>
      <c r="C11" s="72" t="s">
        <v>287</v>
      </c>
      <c r="D11" s="30" t="s">
        <v>309</v>
      </c>
      <c r="E11" s="30" t="s">
        <v>19</v>
      </c>
      <c r="F11" s="30" t="s">
        <v>317</v>
      </c>
      <c r="G11" s="27" t="s">
        <v>318</v>
      </c>
      <c r="H11" s="27"/>
      <c r="I11" s="49" t="s">
        <v>18</v>
      </c>
      <c r="J11" s="47" t="s">
        <v>308</v>
      </c>
      <c r="K11" s="2">
        <v>3.2000000000000001E-2</v>
      </c>
      <c r="L11" s="1">
        <v>20000</v>
      </c>
      <c r="M11" s="1">
        <v>4</v>
      </c>
      <c r="N11" s="1">
        <v>0</v>
      </c>
      <c r="O11" s="1">
        <f t="shared" si="0"/>
        <v>292</v>
      </c>
      <c r="P11" s="1">
        <f t="shared" si="1"/>
        <v>0</v>
      </c>
      <c r="Q11" s="1">
        <v>73</v>
      </c>
      <c r="R11" s="3">
        <f>1-(Q11*$F$36)/S11</f>
        <v>0.25696428571428576</v>
      </c>
      <c r="S11" s="74">
        <v>28000</v>
      </c>
      <c r="T11" s="11">
        <f t="shared" si="2"/>
        <v>3.143859649122807</v>
      </c>
      <c r="U11" s="77">
        <f t="shared" si="3"/>
        <v>896</v>
      </c>
      <c r="V11" s="1"/>
      <c r="W11" s="1"/>
      <c r="X11" s="1"/>
      <c r="Y11" s="6"/>
      <c r="Z11" s="41"/>
    </row>
    <row r="12" spans="1:26" s="4" customFormat="1" x14ac:dyDescent="0.25">
      <c r="A12" s="45">
        <v>10</v>
      </c>
      <c r="B12" s="45" t="s">
        <v>23</v>
      </c>
      <c r="C12" s="71" t="s">
        <v>266</v>
      </c>
      <c r="D12" s="18" t="s">
        <v>55</v>
      </c>
      <c r="E12" s="18" t="s">
        <v>267</v>
      </c>
      <c r="F12" s="18" t="s">
        <v>57</v>
      </c>
      <c r="G12" s="56" t="s">
        <v>58</v>
      </c>
      <c r="H12" s="14"/>
      <c r="I12" s="12" t="s">
        <v>23</v>
      </c>
      <c r="J12" s="12" t="s">
        <v>59</v>
      </c>
      <c r="K12" s="11">
        <v>0.19800000000000001</v>
      </c>
      <c r="L12" s="12">
        <v>100</v>
      </c>
      <c r="M12" s="12">
        <v>6</v>
      </c>
      <c r="N12" s="12">
        <v>0</v>
      </c>
      <c r="O12" s="1">
        <f t="shared" si="0"/>
        <v>12</v>
      </c>
      <c r="P12" s="1">
        <f t="shared" si="1"/>
        <v>0</v>
      </c>
      <c r="Q12" s="12">
        <v>2</v>
      </c>
      <c r="R12" s="13">
        <v>0.1</v>
      </c>
      <c r="S12" s="74">
        <f t="shared" ref="S12:S17" si="5">Q12*$F$36*(1+R12)</f>
        <v>627</v>
      </c>
      <c r="T12" s="11">
        <f t="shared" si="2"/>
        <v>0.43559999999999999</v>
      </c>
      <c r="U12" s="77">
        <f t="shared" si="3"/>
        <v>124.146</v>
      </c>
      <c r="V12" s="12"/>
      <c r="W12" s="12"/>
      <c r="X12" s="19"/>
      <c r="Y12" s="30"/>
      <c r="Z12" s="43"/>
    </row>
    <row r="13" spans="1:26" s="4" customFormat="1" x14ac:dyDescent="0.25">
      <c r="A13" s="7">
        <v>11</v>
      </c>
      <c r="B13" s="7" t="s">
        <v>23</v>
      </c>
      <c r="C13" s="71" t="s">
        <v>199</v>
      </c>
      <c r="D13" s="18" t="s">
        <v>202</v>
      </c>
      <c r="E13" s="18" t="s">
        <v>200</v>
      </c>
      <c r="F13" s="18" t="s">
        <v>33</v>
      </c>
      <c r="G13" s="14" t="s">
        <v>201</v>
      </c>
      <c r="H13" s="14"/>
      <c r="I13" s="12" t="s">
        <v>23</v>
      </c>
      <c r="J13" s="20" t="s">
        <v>35</v>
      </c>
      <c r="K13" s="11">
        <v>8.6099999999999996E-2</v>
      </c>
      <c r="L13" s="12">
        <v>250</v>
      </c>
      <c r="M13" s="12">
        <v>2</v>
      </c>
      <c r="N13" s="12">
        <v>0</v>
      </c>
      <c r="O13" s="1">
        <f t="shared" si="0"/>
        <v>2</v>
      </c>
      <c r="P13" s="1">
        <f t="shared" si="1"/>
        <v>0</v>
      </c>
      <c r="Q13" s="12">
        <v>1</v>
      </c>
      <c r="R13" s="13">
        <v>0.1</v>
      </c>
      <c r="S13" s="74">
        <v>315</v>
      </c>
      <c r="T13" s="11">
        <f t="shared" si="2"/>
        <v>9.5163157894736838E-2</v>
      </c>
      <c r="U13" s="77">
        <f t="shared" si="3"/>
        <v>27.121499999999997</v>
      </c>
      <c r="V13" s="12"/>
      <c r="W13" s="12"/>
      <c r="X13" s="19"/>
      <c r="Y13" s="30"/>
      <c r="Z13" s="46" t="s">
        <v>222</v>
      </c>
    </row>
    <row r="14" spans="1:26" s="10" customFormat="1" x14ac:dyDescent="0.25">
      <c r="A14" s="45">
        <v>12</v>
      </c>
      <c r="B14" s="45" t="s">
        <v>23</v>
      </c>
      <c r="C14" s="71" t="s">
        <v>223</v>
      </c>
      <c r="D14" s="18" t="s">
        <v>224</v>
      </c>
      <c r="E14" s="23" t="s">
        <v>327</v>
      </c>
      <c r="F14" s="18" t="s">
        <v>62</v>
      </c>
      <c r="G14" s="14" t="s">
        <v>249</v>
      </c>
      <c r="H14" s="14"/>
      <c r="I14" s="12" t="s">
        <v>23</v>
      </c>
      <c r="J14" s="20" t="s">
        <v>221</v>
      </c>
      <c r="K14" s="11">
        <v>5.5E-2</v>
      </c>
      <c r="L14" s="12">
        <v>100</v>
      </c>
      <c r="M14" s="12">
        <v>2</v>
      </c>
      <c r="N14" s="12">
        <v>0</v>
      </c>
      <c r="O14" s="1">
        <f t="shared" si="0"/>
        <v>2</v>
      </c>
      <c r="P14" s="1">
        <f t="shared" si="1"/>
        <v>0</v>
      </c>
      <c r="Q14" s="12">
        <v>1</v>
      </c>
      <c r="R14" s="13">
        <v>0.1</v>
      </c>
      <c r="S14" s="74">
        <v>315</v>
      </c>
      <c r="T14" s="11">
        <f t="shared" si="2"/>
        <v>6.0789473684210525E-2</v>
      </c>
      <c r="U14" s="77">
        <f t="shared" si="3"/>
        <v>17.324999999999999</v>
      </c>
      <c r="V14" s="12"/>
      <c r="W14" s="49"/>
      <c r="X14" s="19"/>
      <c r="Y14" s="30"/>
      <c r="Z14" s="46"/>
    </row>
    <row r="15" spans="1:26" s="4" customFormat="1" x14ac:dyDescent="0.25">
      <c r="A15" s="45">
        <v>13</v>
      </c>
      <c r="B15" s="45" t="s">
        <v>23</v>
      </c>
      <c r="C15" s="71" t="s">
        <v>203</v>
      </c>
      <c r="D15" s="18" t="s">
        <v>204</v>
      </c>
      <c r="E15" s="18" t="s">
        <v>205</v>
      </c>
      <c r="F15" s="18" t="s">
        <v>62</v>
      </c>
      <c r="G15" s="27" t="s">
        <v>220</v>
      </c>
      <c r="H15" s="27"/>
      <c r="I15" s="12" t="s">
        <v>23</v>
      </c>
      <c r="J15" s="47" t="s">
        <v>221</v>
      </c>
      <c r="K15" s="48">
        <v>6.0999999999999999E-2</v>
      </c>
      <c r="L15" s="49">
        <v>100</v>
      </c>
      <c r="M15" s="49">
        <v>2</v>
      </c>
      <c r="N15" s="49">
        <v>0</v>
      </c>
      <c r="O15" s="1">
        <f t="shared" si="0"/>
        <v>2</v>
      </c>
      <c r="P15" s="1">
        <f t="shared" si="1"/>
        <v>0</v>
      </c>
      <c r="Q15" s="49">
        <v>1</v>
      </c>
      <c r="R15" s="50">
        <v>0.1</v>
      </c>
      <c r="S15" s="74">
        <v>315</v>
      </c>
      <c r="T15" s="11">
        <f t="shared" si="2"/>
        <v>6.7421052631578951E-2</v>
      </c>
      <c r="U15" s="77">
        <f t="shared" si="3"/>
        <v>19.215</v>
      </c>
      <c r="V15" s="12"/>
      <c r="W15" s="12"/>
      <c r="X15" s="19"/>
      <c r="Y15" s="30"/>
      <c r="Z15" s="43"/>
    </row>
    <row r="16" spans="1:26" s="4" customFormat="1" x14ac:dyDescent="0.25">
      <c r="A16" s="7">
        <v>14</v>
      </c>
      <c r="B16" s="7" t="s">
        <v>23</v>
      </c>
      <c r="C16" s="72" t="s">
        <v>300</v>
      </c>
      <c r="D16" s="6" t="s">
        <v>175</v>
      </c>
      <c r="E16" s="6" t="s">
        <v>175</v>
      </c>
      <c r="F16" s="30" t="s">
        <v>175</v>
      </c>
      <c r="G16" s="49" t="s">
        <v>175</v>
      </c>
      <c r="H16" s="27"/>
      <c r="I16" s="49" t="s">
        <v>23</v>
      </c>
      <c r="J16" s="49" t="s">
        <v>19</v>
      </c>
      <c r="K16" s="2">
        <v>0</v>
      </c>
      <c r="L16" s="1">
        <v>0</v>
      </c>
      <c r="M16" s="1">
        <v>0</v>
      </c>
      <c r="N16" s="1">
        <v>0</v>
      </c>
      <c r="O16" s="1">
        <f t="shared" si="0"/>
        <v>0</v>
      </c>
      <c r="P16" s="1">
        <f t="shared" si="1"/>
        <v>0</v>
      </c>
      <c r="Q16" s="1">
        <v>0</v>
      </c>
      <c r="R16" s="3">
        <v>0</v>
      </c>
      <c r="S16" s="74">
        <f t="shared" si="5"/>
        <v>0</v>
      </c>
      <c r="T16" s="11">
        <f t="shared" si="2"/>
        <v>0</v>
      </c>
      <c r="U16" s="77">
        <f t="shared" si="3"/>
        <v>0</v>
      </c>
      <c r="V16" s="1"/>
      <c r="W16" s="1"/>
      <c r="X16" s="1"/>
      <c r="Y16" s="6"/>
      <c r="Z16" s="41"/>
    </row>
    <row r="17" spans="1:26" x14ac:dyDescent="0.25">
      <c r="A17" s="45">
        <v>15</v>
      </c>
      <c r="B17" s="45" t="s">
        <v>23</v>
      </c>
      <c r="C17" s="72" t="s">
        <v>263</v>
      </c>
      <c r="D17" s="6" t="s">
        <v>264</v>
      </c>
      <c r="E17" s="6" t="s">
        <v>265</v>
      </c>
      <c r="F17" s="30" t="s">
        <v>297</v>
      </c>
      <c r="G17" s="27" t="s">
        <v>298</v>
      </c>
      <c r="H17" s="27"/>
      <c r="I17" s="49" t="s">
        <v>18</v>
      </c>
      <c r="J17" s="49" t="s">
        <v>299</v>
      </c>
      <c r="K17" s="2">
        <v>0.24</v>
      </c>
      <c r="L17" s="1">
        <v>1000</v>
      </c>
      <c r="M17" s="1">
        <v>6</v>
      </c>
      <c r="N17" s="1">
        <v>0</v>
      </c>
      <c r="O17" s="1">
        <f t="shared" si="0"/>
        <v>24</v>
      </c>
      <c r="P17" s="1">
        <f t="shared" si="1"/>
        <v>0</v>
      </c>
      <c r="Q17" s="1">
        <v>4</v>
      </c>
      <c r="R17" s="3">
        <v>0.1</v>
      </c>
      <c r="S17" s="74">
        <f t="shared" si="5"/>
        <v>1254</v>
      </c>
      <c r="T17" s="11">
        <f t="shared" si="2"/>
        <v>1.0559999999999998</v>
      </c>
      <c r="U17" s="77">
        <f t="shared" si="3"/>
        <v>300.95999999999992</v>
      </c>
      <c r="V17" s="49"/>
      <c r="W17" s="12"/>
      <c r="X17" s="17"/>
      <c r="Z17" s="44"/>
    </row>
    <row r="18" spans="1:26" x14ac:dyDescent="0.25">
      <c r="A18" s="45">
        <v>16</v>
      </c>
      <c r="B18" s="45" t="s">
        <v>23</v>
      </c>
      <c r="C18" s="72" t="s">
        <v>237</v>
      </c>
      <c r="D18" s="6" t="s">
        <v>96</v>
      </c>
      <c r="E18" s="6" t="s">
        <v>273</v>
      </c>
      <c r="F18" s="18" t="s">
        <v>170</v>
      </c>
      <c r="G18" s="14" t="s">
        <v>169</v>
      </c>
      <c r="H18" s="27"/>
      <c r="I18" s="49" t="s">
        <v>18</v>
      </c>
      <c r="J18" s="49" t="s">
        <v>19</v>
      </c>
      <c r="K18" s="2">
        <v>0.23599999999999999</v>
      </c>
      <c r="L18" s="1">
        <v>100</v>
      </c>
      <c r="M18" s="1">
        <v>2</v>
      </c>
      <c r="N18" s="1">
        <v>0</v>
      </c>
      <c r="O18" s="1">
        <f t="shared" si="0"/>
        <v>2</v>
      </c>
      <c r="P18" s="1">
        <f t="shared" si="1"/>
        <v>0</v>
      </c>
      <c r="Q18" s="1">
        <v>1</v>
      </c>
      <c r="R18" s="3">
        <v>0.1</v>
      </c>
      <c r="S18" s="74">
        <v>315</v>
      </c>
      <c r="T18" s="11">
        <f t="shared" si="2"/>
        <v>0.26084210526315788</v>
      </c>
      <c r="U18" s="77">
        <f t="shared" si="3"/>
        <v>74.339999999999989</v>
      </c>
    </row>
    <row r="19" spans="1:26" x14ac:dyDescent="0.25">
      <c r="A19" s="7">
        <v>17</v>
      </c>
      <c r="B19" s="7" t="s">
        <v>23</v>
      </c>
      <c r="C19" s="72" t="s">
        <v>284</v>
      </c>
      <c r="D19" s="6" t="s">
        <v>280</v>
      </c>
      <c r="E19" s="6" t="s">
        <v>133</v>
      </c>
      <c r="F19" s="30" t="s">
        <v>134</v>
      </c>
      <c r="G19" s="27" t="s">
        <v>136</v>
      </c>
      <c r="H19" s="27"/>
      <c r="I19" s="49"/>
      <c r="J19" s="49" t="s">
        <v>59</v>
      </c>
      <c r="K19" s="2">
        <v>7.0999999999999994E-2</v>
      </c>
      <c r="L19" s="1">
        <v>3000</v>
      </c>
      <c r="M19" s="1">
        <v>6</v>
      </c>
      <c r="N19" s="1">
        <v>0</v>
      </c>
      <c r="O19" s="1">
        <f t="shared" si="0"/>
        <v>48</v>
      </c>
      <c r="P19" s="1">
        <f t="shared" si="1"/>
        <v>0</v>
      </c>
      <c r="Q19" s="1">
        <v>8</v>
      </c>
      <c r="R19" s="3">
        <f>S19/(Q19*$F$36)-1</f>
        <v>9.6491228070175517E-2</v>
      </c>
      <c r="S19" s="74">
        <v>2500</v>
      </c>
      <c r="T19" s="11">
        <f t="shared" si="2"/>
        <v>0.62280701754385959</v>
      </c>
      <c r="U19" s="77">
        <f t="shared" si="3"/>
        <v>177.49999999999997</v>
      </c>
    </row>
    <row r="20" spans="1:26" x14ac:dyDescent="0.25">
      <c r="A20" s="45">
        <v>18</v>
      </c>
      <c r="B20" s="45" t="s">
        <v>23</v>
      </c>
      <c r="C20" s="72" t="s">
        <v>256</v>
      </c>
      <c r="D20" s="6" t="s">
        <v>257</v>
      </c>
      <c r="E20" s="6" t="s">
        <v>258</v>
      </c>
      <c r="F20" s="30" t="s">
        <v>141</v>
      </c>
      <c r="G20" s="27" t="s">
        <v>301</v>
      </c>
      <c r="H20" s="27"/>
      <c r="I20" s="49" t="s">
        <v>23</v>
      </c>
      <c r="J20" s="47" t="s">
        <v>127</v>
      </c>
      <c r="K20" s="2">
        <v>5.0000000000000001E-3</v>
      </c>
      <c r="L20" s="1">
        <v>100</v>
      </c>
      <c r="M20" s="1">
        <v>2</v>
      </c>
      <c r="N20" s="1">
        <v>0</v>
      </c>
      <c r="O20" s="1">
        <f t="shared" si="0"/>
        <v>4</v>
      </c>
      <c r="P20" s="1">
        <f t="shared" si="1"/>
        <v>0</v>
      </c>
      <c r="Q20" s="1">
        <v>2</v>
      </c>
      <c r="R20" s="3">
        <v>0.1</v>
      </c>
      <c r="S20" s="74">
        <v>630</v>
      </c>
      <c r="T20" s="11">
        <f t="shared" si="2"/>
        <v>1.1052631578947368E-2</v>
      </c>
      <c r="U20" s="77">
        <f t="shared" si="3"/>
        <v>3.15</v>
      </c>
      <c r="V20" s="49"/>
      <c r="W20" s="12"/>
      <c r="X20" s="17"/>
      <c r="Z20" s="44"/>
    </row>
    <row r="21" spans="1:26" x14ac:dyDescent="0.25">
      <c r="A21" s="45">
        <v>19</v>
      </c>
      <c r="B21" s="45"/>
      <c r="C21" s="73" t="s">
        <v>238</v>
      </c>
      <c r="D21" s="18" t="s">
        <v>272</v>
      </c>
      <c r="E21" s="18" t="s">
        <v>168</v>
      </c>
      <c r="F21" s="18" t="s">
        <v>69</v>
      </c>
      <c r="G21" s="16" t="s">
        <v>303</v>
      </c>
      <c r="H21" s="16"/>
      <c r="I21" s="12" t="s">
        <v>23</v>
      </c>
      <c r="J21" s="20" t="s">
        <v>35</v>
      </c>
      <c r="K21" s="11">
        <v>3.0000000000000001E-3</v>
      </c>
      <c r="L21" s="12">
        <v>100</v>
      </c>
      <c r="M21" s="12">
        <v>2</v>
      </c>
      <c r="N21" s="12">
        <v>0</v>
      </c>
      <c r="O21" s="1">
        <f t="shared" si="0"/>
        <v>2</v>
      </c>
      <c r="P21" s="1">
        <f t="shared" si="1"/>
        <v>0</v>
      </c>
      <c r="Q21" s="12">
        <v>1</v>
      </c>
      <c r="R21" s="13">
        <v>0.1</v>
      </c>
      <c r="S21" s="74">
        <v>315</v>
      </c>
      <c r="T21" s="11">
        <f t="shared" si="2"/>
        <v>3.3157894736842108E-3</v>
      </c>
      <c r="U21" s="77">
        <f t="shared" si="3"/>
        <v>0.94500000000000006</v>
      </c>
      <c r="V21" s="12"/>
      <c r="W21" s="12"/>
      <c r="X21" s="19"/>
      <c r="Y21" s="30"/>
      <c r="Z21" s="43"/>
    </row>
    <row r="22" spans="1:26" ht="30" x14ac:dyDescent="0.25">
      <c r="A22" s="7">
        <v>20</v>
      </c>
      <c r="B22" s="92" t="s">
        <v>23</v>
      </c>
      <c r="C22" s="72" t="s">
        <v>283</v>
      </c>
      <c r="D22" s="6" t="s">
        <v>281</v>
      </c>
      <c r="E22" s="6" t="s">
        <v>282</v>
      </c>
      <c r="F22" s="30" t="s">
        <v>69</v>
      </c>
      <c r="G22" s="27" t="s">
        <v>326</v>
      </c>
      <c r="H22" s="27"/>
      <c r="I22" s="49" t="s">
        <v>23</v>
      </c>
      <c r="J22" s="47" t="s">
        <v>127</v>
      </c>
      <c r="K22" s="2">
        <v>1E-3</v>
      </c>
      <c r="L22" s="1">
        <v>2500</v>
      </c>
      <c r="M22" s="1">
        <v>2</v>
      </c>
      <c r="N22" s="1">
        <v>0</v>
      </c>
      <c r="O22" s="1">
        <f t="shared" si="0"/>
        <v>30</v>
      </c>
      <c r="P22" s="1">
        <f t="shared" si="1"/>
        <v>0</v>
      </c>
      <c r="Q22" s="1">
        <v>15</v>
      </c>
      <c r="R22" s="3">
        <v>0.05</v>
      </c>
      <c r="S22" s="74">
        <v>4500</v>
      </c>
      <c r="T22" s="11">
        <f t="shared" si="2"/>
        <v>1.5789473684210527E-2</v>
      </c>
      <c r="U22" s="77">
        <f t="shared" si="3"/>
        <v>4.5</v>
      </c>
    </row>
    <row r="23" spans="1:26" x14ac:dyDescent="0.25">
      <c r="A23" s="83">
        <v>21</v>
      </c>
      <c r="B23" s="83" t="s">
        <v>18</v>
      </c>
      <c r="C23" s="84" t="s">
        <v>241</v>
      </c>
      <c r="D23" s="85" t="s">
        <v>285</v>
      </c>
      <c r="E23" s="85" t="s">
        <v>286</v>
      </c>
      <c r="F23" s="93" t="s">
        <v>305</v>
      </c>
      <c r="G23" s="94" t="s">
        <v>306</v>
      </c>
      <c r="H23" s="94"/>
      <c r="I23" s="95" t="s">
        <v>23</v>
      </c>
      <c r="J23" s="96" t="s">
        <v>35</v>
      </c>
      <c r="K23" s="87">
        <v>7.0000000000000001E-3</v>
      </c>
      <c r="L23" s="86">
        <v>100</v>
      </c>
      <c r="M23" s="86">
        <v>2</v>
      </c>
      <c r="N23" s="86">
        <v>0</v>
      </c>
      <c r="O23" s="86">
        <f t="shared" si="0"/>
        <v>0</v>
      </c>
      <c r="P23" s="86">
        <f t="shared" si="1"/>
        <v>0</v>
      </c>
      <c r="Q23" s="86">
        <v>0</v>
      </c>
      <c r="R23" s="88">
        <v>0.1</v>
      </c>
      <c r="S23" s="89">
        <f t="shared" ref="S23" si="6">Q23*$F$36*(1+R23)</f>
        <v>0</v>
      </c>
      <c r="T23" s="90">
        <f t="shared" si="2"/>
        <v>0</v>
      </c>
      <c r="U23" s="91">
        <f t="shared" si="3"/>
        <v>0</v>
      </c>
    </row>
    <row r="24" spans="1:26" x14ac:dyDescent="0.25">
      <c r="A24" s="45">
        <v>22</v>
      </c>
      <c r="B24" s="45" t="s">
        <v>23</v>
      </c>
      <c r="C24" s="73" t="s">
        <v>268</v>
      </c>
      <c r="D24" s="18" t="s">
        <v>269</v>
      </c>
      <c r="E24" s="18" t="s">
        <v>71</v>
      </c>
      <c r="F24" s="18" t="s">
        <v>69</v>
      </c>
      <c r="G24" s="14" t="s">
        <v>321</v>
      </c>
      <c r="H24" s="14"/>
      <c r="I24" s="12" t="s">
        <v>23</v>
      </c>
      <c r="J24" s="20" t="s">
        <v>35</v>
      </c>
      <c r="K24" s="11">
        <v>3.0000000000000001E-3</v>
      </c>
      <c r="L24" s="12">
        <v>100</v>
      </c>
      <c r="M24" s="12">
        <v>2</v>
      </c>
      <c r="N24" s="12">
        <v>0</v>
      </c>
      <c r="O24" s="1">
        <f t="shared" si="0"/>
        <v>2</v>
      </c>
      <c r="P24" s="1">
        <f t="shared" si="1"/>
        <v>0</v>
      </c>
      <c r="Q24" s="12">
        <v>1</v>
      </c>
      <c r="R24" s="13">
        <v>0.1</v>
      </c>
      <c r="S24" s="74">
        <v>315</v>
      </c>
      <c r="T24" s="11">
        <f t="shared" si="2"/>
        <v>3.3157894736842108E-3</v>
      </c>
      <c r="U24" s="77">
        <f t="shared" si="3"/>
        <v>0.94500000000000006</v>
      </c>
      <c r="V24" s="12"/>
      <c r="W24" s="12"/>
      <c r="X24" s="19"/>
      <c r="Y24" s="30"/>
      <c r="Z24" s="43"/>
    </row>
    <row r="25" spans="1:26" x14ac:dyDescent="0.25">
      <c r="A25" s="7">
        <v>23</v>
      </c>
      <c r="B25" s="7" t="s">
        <v>23</v>
      </c>
      <c r="C25" s="72" t="s">
        <v>323</v>
      </c>
      <c r="D25" s="6" t="s">
        <v>274</v>
      </c>
      <c r="E25" s="6" t="s">
        <v>322</v>
      </c>
      <c r="F25" s="18" t="s">
        <v>69</v>
      </c>
      <c r="G25" s="27" t="s">
        <v>314</v>
      </c>
      <c r="H25" s="27"/>
      <c r="I25" s="49" t="s">
        <v>23</v>
      </c>
      <c r="J25" s="47" t="s">
        <v>35</v>
      </c>
      <c r="K25" s="2">
        <v>3.0000000000000001E-3</v>
      </c>
      <c r="L25" s="1">
        <v>100</v>
      </c>
      <c r="M25" s="1">
        <v>2</v>
      </c>
      <c r="N25" s="1">
        <v>0</v>
      </c>
      <c r="O25" s="1">
        <f t="shared" si="0"/>
        <v>4</v>
      </c>
      <c r="P25" s="1">
        <f t="shared" si="1"/>
        <v>0</v>
      </c>
      <c r="Q25" s="1">
        <v>2</v>
      </c>
      <c r="R25" s="3">
        <v>0.1</v>
      </c>
      <c r="S25" s="74">
        <v>630</v>
      </c>
      <c r="T25" s="11">
        <f t="shared" si="2"/>
        <v>6.6315789473684215E-3</v>
      </c>
      <c r="U25" s="77">
        <f t="shared" si="3"/>
        <v>1.8900000000000001</v>
      </c>
    </row>
    <row r="26" spans="1:26" x14ac:dyDescent="0.25">
      <c r="A26" s="45">
        <v>24</v>
      </c>
      <c r="B26" s="45" t="s">
        <v>23</v>
      </c>
      <c r="C26" s="72" t="s">
        <v>192</v>
      </c>
      <c r="D26" s="6" t="s">
        <v>72</v>
      </c>
      <c r="E26" s="6" t="s">
        <v>195</v>
      </c>
      <c r="F26" s="30" t="s">
        <v>193</v>
      </c>
      <c r="G26" s="27" t="s">
        <v>194</v>
      </c>
      <c r="H26" s="27"/>
      <c r="I26" s="49" t="s">
        <v>18</v>
      </c>
      <c r="J26" s="47" t="s">
        <v>196</v>
      </c>
      <c r="K26" s="2">
        <v>3.26</v>
      </c>
      <c r="L26" s="1">
        <v>350</v>
      </c>
      <c r="M26" s="1">
        <v>48</v>
      </c>
      <c r="N26" s="1">
        <v>0</v>
      </c>
      <c r="O26" s="1">
        <f t="shared" si="0"/>
        <v>48</v>
      </c>
      <c r="P26" s="1">
        <f t="shared" si="1"/>
        <v>0</v>
      </c>
      <c r="Q26" s="1">
        <v>1</v>
      </c>
      <c r="R26" s="3">
        <v>0.05</v>
      </c>
      <c r="S26" s="74">
        <v>315</v>
      </c>
      <c r="T26" s="11">
        <f t="shared" si="2"/>
        <v>3.6031578947368414</v>
      </c>
      <c r="U26" s="77">
        <f t="shared" si="3"/>
        <v>1026.8999999999999</v>
      </c>
      <c r="V26" s="49"/>
      <c r="W26" s="12"/>
      <c r="X26" s="17"/>
      <c r="Z26" s="44"/>
    </row>
    <row r="27" spans="1:26" x14ac:dyDescent="0.25">
      <c r="A27" s="45">
        <v>25</v>
      </c>
      <c r="B27" s="45" t="s">
        <v>23</v>
      </c>
      <c r="C27" s="73" t="s">
        <v>198</v>
      </c>
      <c r="D27" s="30" t="s">
        <v>197</v>
      </c>
      <c r="E27" s="30" t="s">
        <v>19</v>
      </c>
      <c r="F27" s="30" t="s">
        <v>193</v>
      </c>
      <c r="G27" s="27" t="s">
        <v>315</v>
      </c>
      <c r="H27" s="27"/>
      <c r="I27" s="49" t="s">
        <v>18</v>
      </c>
      <c r="J27" s="47"/>
      <c r="K27" s="48">
        <v>1.66</v>
      </c>
      <c r="L27" s="49">
        <v>700</v>
      </c>
      <c r="M27" s="49">
        <v>24</v>
      </c>
      <c r="N27" s="49">
        <v>0</v>
      </c>
      <c r="O27" s="1">
        <f t="shared" si="0"/>
        <v>24</v>
      </c>
      <c r="P27" s="1">
        <f t="shared" si="1"/>
        <v>0</v>
      </c>
      <c r="Q27" s="49">
        <v>1</v>
      </c>
      <c r="R27" s="50">
        <v>0.05</v>
      </c>
      <c r="S27" s="74">
        <v>315</v>
      </c>
      <c r="T27" s="11">
        <f t="shared" si="2"/>
        <v>1.834736842105263</v>
      </c>
      <c r="U27" s="77">
        <f t="shared" si="3"/>
        <v>522.9</v>
      </c>
      <c r="V27" s="49"/>
      <c r="W27" s="12"/>
      <c r="X27" s="19"/>
      <c r="Y27" s="30"/>
      <c r="Z27" s="43"/>
    </row>
    <row r="28" spans="1:26" x14ac:dyDescent="0.25">
      <c r="A28" s="7">
        <v>26</v>
      </c>
      <c r="B28" s="7" t="s">
        <v>23</v>
      </c>
      <c r="C28" s="72" t="s">
        <v>207</v>
      </c>
      <c r="D28" s="68" t="s">
        <v>206</v>
      </c>
      <c r="E28" s="69" t="s">
        <v>208</v>
      </c>
      <c r="F28" s="30" t="s">
        <v>209</v>
      </c>
      <c r="G28" s="49" t="s">
        <v>210</v>
      </c>
      <c r="H28" s="27"/>
      <c r="I28" s="49" t="s">
        <v>18</v>
      </c>
      <c r="J28" s="47" t="s">
        <v>250</v>
      </c>
      <c r="K28" s="38">
        <v>0.18128</v>
      </c>
      <c r="L28" s="12">
        <v>500</v>
      </c>
      <c r="M28" s="12">
        <v>14</v>
      </c>
      <c r="N28" s="12">
        <v>0</v>
      </c>
      <c r="O28" s="1">
        <f t="shared" si="0"/>
        <v>28</v>
      </c>
      <c r="P28" s="1">
        <f t="shared" si="1"/>
        <v>0</v>
      </c>
      <c r="Q28" s="12">
        <v>2</v>
      </c>
      <c r="R28" s="22">
        <v>0.1</v>
      </c>
      <c r="S28" s="74">
        <v>630</v>
      </c>
      <c r="T28" s="11">
        <f t="shared" si="2"/>
        <v>0.40072421052631579</v>
      </c>
      <c r="U28" s="77">
        <f t="shared" si="3"/>
        <v>114.2064</v>
      </c>
      <c r="V28" s="12"/>
      <c r="W28" s="12"/>
      <c r="X28" s="28"/>
      <c r="Y28" s="30"/>
      <c r="Z28" s="43"/>
    </row>
    <row r="29" spans="1:26" x14ac:dyDescent="0.25">
      <c r="A29" s="45">
        <v>27</v>
      </c>
      <c r="B29" s="45" t="s">
        <v>23</v>
      </c>
      <c r="C29" s="72" t="s">
        <v>211</v>
      </c>
      <c r="D29" s="6" t="s">
        <v>212</v>
      </c>
      <c r="E29" s="6" t="s">
        <v>213</v>
      </c>
      <c r="F29" s="6" t="s">
        <v>214</v>
      </c>
      <c r="G29" s="15" t="s">
        <v>215</v>
      </c>
      <c r="I29" s="1" t="s">
        <v>18</v>
      </c>
      <c r="J29" s="1" t="s">
        <v>216</v>
      </c>
      <c r="K29" s="2">
        <v>0.36</v>
      </c>
      <c r="L29" s="1">
        <v>100</v>
      </c>
      <c r="M29" s="1">
        <v>8</v>
      </c>
      <c r="N29" s="1">
        <v>0</v>
      </c>
      <c r="O29" s="1">
        <f t="shared" si="0"/>
        <v>8</v>
      </c>
      <c r="P29" s="1">
        <f t="shared" si="1"/>
        <v>0</v>
      </c>
      <c r="Q29" s="1">
        <v>1</v>
      </c>
      <c r="R29" s="3">
        <v>0.05</v>
      </c>
      <c r="S29" s="74">
        <v>315</v>
      </c>
      <c r="T29" s="11">
        <f t="shared" si="2"/>
        <v>0.39789473684210525</v>
      </c>
      <c r="U29" s="77">
        <f t="shared" si="3"/>
        <v>113.39999999999999</v>
      </c>
      <c r="V29" s="49"/>
      <c r="W29" s="49"/>
      <c r="Z29" s="44" t="s">
        <v>217</v>
      </c>
    </row>
    <row r="30" spans="1:26" x14ac:dyDescent="0.25">
      <c r="A30" s="45">
        <v>28</v>
      </c>
      <c r="B30" s="45" t="s">
        <v>23</v>
      </c>
      <c r="C30" s="71" t="s">
        <v>218</v>
      </c>
      <c r="D30" s="18" t="s">
        <v>84</v>
      </c>
      <c r="E30" s="18" t="s">
        <v>85</v>
      </c>
      <c r="F30" s="18" t="s">
        <v>86</v>
      </c>
      <c r="G30" s="16" t="s">
        <v>219</v>
      </c>
      <c r="H30" s="16"/>
      <c r="I30" s="12" t="s">
        <v>18</v>
      </c>
      <c r="J30" s="12" t="s">
        <v>88</v>
      </c>
      <c r="K30" s="54">
        <v>0.56899999999999995</v>
      </c>
      <c r="L30" s="25">
        <v>250</v>
      </c>
      <c r="M30" s="25">
        <v>6</v>
      </c>
      <c r="N30" s="25">
        <v>0</v>
      </c>
      <c r="O30" s="1">
        <f t="shared" si="0"/>
        <v>6</v>
      </c>
      <c r="P30" s="1">
        <f t="shared" si="1"/>
        <v>0</v>
      </c>
      <c r="Q30" s="25">
        <v>1</v>
      </c>
      <c r="R30" s="55">
        <v>0.1</v>
      </c>
      <c r="S30" s="74">
        <v>315</v>
      </c>
      <c r="T30" s="11">
        <f t="shared" si="2"/>
        <v>0.62889473684210517</v>
      </c>
      <c r="U30" s="77">
        <f t="shared" si="3"/>
        <v>179.23499999999999</v>
      </c>
      <c r="V30" s="25"/>
      <c r="W30" s="12"/>
      <c r="X30" s="19"/>
      <c r="Y30" s="30"/>
      <c r="Z30" s="43"/>
    </row>
    <row r="31" spans="1:26" x14ac:dyDescent="0.25">
      <c r="A31" s="7">
        <v>29</v>
      </c>
      <c r="B31" s="7" t="s">
        <v>23</v>
      </c>
      <c r="C31" s="71" t="s">
        <v>259</v>
      </c>
      <c r="D31" s="18" t="s">
        <v>260</v>
      </c>
      <c r="E31" s="37" t="s">
        <v>330</v>
      </c>
      <c r="F31" s="18" t="s">
        <v>313</v>
      </c>
      <c r="G31" s="27" t="s">
        <v>316</v>
      </c>
      <c r="H31" s="27"/>
      <c r="I31" s="12" t="s">
        <v>18</v>
      </c>
      <c r="J31" s="47"/>
      <c r="K31" s="48"/>
      <c r="L31" s="49"/>
      <c r="M31" s="49"/>
      <c r="N31" s="49">
        <v>0</v>
      </c>
      <c r="O31" s="1">
        <f t="shared" si="0"/>
        <v>0</v>
      </c>
      <c r="P31" s="1">
        <f t="shared" si="1"/>
        <v>0</v>
      </c>
      <c r="Q31" s="49">
        <v>1</v>
      </c>
      <c r="R31" s="50">
        <v>0.1</v>
      </c>
      <c r="S31" s="74">
        <v>315</v>
      </c>
      <c r="T31" s="11">
        <f t="shared" si="2"/>
        <v>0</v>
      </c>
      <c r="U31" s="77">
        <f t="shared" si="3"/>
        <v>0</v>
      </c>
      <c r="V31" s="12"/>
      <c r="W31" s="12"/>
      <c r="X31" s="19"/>
      <c r="Y31" s="30"/>
      <c r="Z31" s="39"/>
    </row>
    <row r="32" spans="1:26" x14ac:dyDescent="0.25">
      <c r="A32" s="45">
        <v>30</v>
      </c>
      <c r="B32" s="45" t="s">
        <v>23</v>
      </c>
      <c r="C32" s="76" t="s">
        <v>310</v>
      </c>
      <c r="D32" s="18" t="s">
        <v>311</v>
      </c>
      <c r="E32" s="18" t="s">
        <v>19</v>
      </c>
      <c r="F32" s="52" t="s">
        <v>288</v>
      </c>
      <c r="G32" s="53" t="s">
        <v>312</v>
      </c>
      <c r="H32" s="53"/>
      <c r="I32" s="12" t="s">
        <v>18</v>
      </c>
      <c r="J32" s="82" t="s">
        <v>35</v>
      </c>
      <c r="K32" s="54">
        <v>0.29699999999999999</v>
      </c>
      <c r="L32" s="25">
        <v>100</v>
      </c>
      <c r="M32" s="25">
        <v>6</v>
      </c>
      <c r="N32" s="25">
        <v>0</v>
      </c>
      <c r="P32" s="1">
        <f t="shared" si="1"/>
        <v>0</v>
      </c>
      <c r="Q32" s="12">
        <v>1</v>
      </c>
      <c r="R32" s="55"/>
      <c r="S32" s="74">
        <v>315</v>
      </c>
      <c r="T32" s="11"/>
      <c r="U32" s="77"/>
      <c r="V32" s="25"/>
      <c r="W32" s="25"/>
      <c r="X32" s="19"/>
      <c r="Y32" s="30"/>
      <c r="Z32" s="43"/>
    </row>
    <row r="33" spans="3:26" x14ac:dyDescent="0.25">
      <c r="C33" s="76"/>
      <c r="D33" s="18"/>
      <c r="E33" s="18"/>
      <c r="F33" s="18"/>
      <c r="G33" s="14"/>
      <c r="H33" s="14"/>
      <c r="I33" s="12"/>
      <c r="J33" s="49"/>
      <c r="K33" s="48"/>
      <c r="L33" s="49"/>
      <c r="M33" s="49"/>
      <c r="N33" s="49"/>
      <c r="Q33" s="49"/>
      <c r="R33" s="50"/>
      <c r="S33" s="74"/>
      <c r="T33" s="11"/>
      <c r="U33" s="77"/>
      <c r="V33" s="49"/>
      <c r="W33" s="49"/>
      <c r="X33" s="19"/>
      <c r="Y33" s="30"/>
      <c r="Z33" s="43"/>
    </row>
    <row r="36" spans="3:26" x14ac:dyDescent="0.25">
      <c r="C36" s="70"/>
      <c r="D36" s="80"/>
      <c r="E36" s="80" t="s">
        <v>304</v>
      </c>
      <c r="F36" s="68">
        <v>285</v>
      </c>
      <c r="G36" s="81"/>
    </row>
    <row r="37" spans="3:26" x14ac:dyDescent="0.25">
      <c r="C37" s="131" t="s">
        <v>186</v>
      </c>
      <c r="D37" s="131"/>
      <c r="E37" s="131"/>
      <c r="F37" s="68">
        <f>SUM(O3:O35)</f>
        <v>595</v>
      </c>
      <c r="G37" s="81">
        <f>E46-0.3*E46</f>
        <v>0</v>
      </c>
    </row>
    <row r="38" spans="3:26" x14ac:dyDescent="0.25">
      <c r="C38" s="131" t="s">
        <v>187</v>
      </c>
      <c r="D38" s="131"/>
      <c r="E38" s="131"/>
      <c r="F38" s="68">
        <f>SUM(P3:P35)</f>
        <v>4</v>
      </c>
    </row>
    <row r="39" spans="3:26" x14ac:dyDescent="0.25">
      <c r="C39" s="131" t="s">
        <v>188</v>
      </c>
      <c r="D39" s="131"/>
      <c r="E39" s="131"/>
      <c r="F39" s="68">
        <f>COUNT(A3:A31)</f>
        <v>29</v>
      </c>
    </row>
    <row r="40" spans="3:26" x14ac:dyDescent="0.25">
      <c r="C40" s="131" t="s">
        <v>189</v>
      </c>
      <c r="D40" s="131"/>
      <c r="E40" s="131"/>
      <c r="F40" s="68">
        <f>SUM(Q3:Q35)</f>
        <v>147</v>
      </c>
    </row>
    <row r="41" spans="3:26" hidden="1" x14ac:dyDescent="0.25">
      <c r="C41" s="70"/>
      <c r="D41" s="80"/>
      <c r="E41" s="80" t="s">
        <v>302</v>
      </c>
      <c r="F41" s="79">
        <f>SUM(T3:T33)</f>
        <v>14.375269824561402</v>
      </c>
    </row>
  </sheetData>
  <autoFilter ref="C2:Z31">
    <sortState ref="C3:Z34">
      <sortCondition ref="C2:C32"/>
    </sortState>
  </autoFilter>
  <mergeCells count="5">
    <mergeCell ref="A1:Z1"/>
    <mergeCell ref="C37:E37"/>
    <mergeCell ref="C38:E38"/>
    <mergeCell ref="C39:E39"/>
    <mergeCell ref="C40:E40"/>
  </mergeCells>
  <conditionalFormatting sqref="U3:U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Z29" r:id="rId1"/>
    <hyperlink ref="Z13" r:id="rId2"/>
    <hyperlink ref="Z3" r:id="rId3"/>
    <hyperlink ref="Z5" r:id="rId4"/>
  </hyperlinks>
  <printOptions horizontalCentered="1" headings="1"/>
  <pageMargins left="0.25" right="0.25" top="0.75" bottom="0.75" header="0.3" footer="0.3"/>
  <pageSetup orientation="landscape"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9"/>
  <sheetViews>
    <sheetView zoomScaleNormal="100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1" width="4.85546875" style="5" bestFit="1" customWidth="1"/>
    <col min="2" max="2" width="18" style="24" customWidth="1"/>
    <col min="3" max="3" width="19" style="6" customWidth="1"/>
    <col min="4" max="4" width="21.140625" style="6" bestFit="1" customWidth="1"/>
    <col min="5" max="5" width="20" style="6" bestFit="1" customWidth="1"/>
    <col min="6" max="6" width="22.28515625" style="15" bestFit="1" customWidth="1"/>
    <col min="7" max="7" width="28.42578125" style="15" customWidth="1"/>
    <col min="8" max="8" width="5.42578125" style="1" customWidth="1"/>
    <col min="9" max="9" width="11.140625" style="1" bestFit="1" customWidth="1"/>
    <col min="10" max="10" width="8" style="2" customWidth="1"/>
    <col min="11" max="11" width="6.42578125" style="1" customWidth="1"/>
    <col min="12" max="15" width="5.42578125" style="1" customWidth="1"/>
    <col min="16" max="16" width="5.5703125" style="1" customWidth="1"/>
    <col min="17" max="17" width="6" style="3" customWidth="1"/>
    <col min="18" max="18" width="7.5703125" style="33" customWidth="1"/>
    <col min="19" max="19" width="9.85546875" style="1" customWidth="1"/>
    <col min="20" max="20" width="10.42578125" style="1" customWidth="1"/>
    <col min="21" max="22" width="10.5703125" style="1" customWidth="1"/>
    <col min="23" max="23" width="12.85546875" style="1" customWidth="1"/>
    <col min="24" max="24" width="33.85546875" style="6" customWidth="1"/>
    <col min="25" max="25" width="9.140625" style="41" customWidth="1"/>
  </cols>
  <sheetData>
    <row r="1" spans="1:25" ht="18.75" x14ac:dyDescent="0.25">
      <c r="A1" s="130" t="s">
        <v>191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5" s="29" customFormat="1" ht="30" x14ac:dyDescent="0.25">
      <c r="A2" s="26" t="s">
        <v>0</v>
      </c>
      <c r="B2" s="26" t="s">
        <v>1</v>
      </c>
      <c r="C2" s="36" t="s">
        <v>2</v>
      </c>
      <c r="D2" s="36" t="s">
        <v>3</v>
      </c>
      <c r="E2" s="36" t="s">
        <v>4</v>
      </c>
      <c r="F2" s="34" t="s">
        <v>5</v>
      </c>
      <c r="G2" s="34" t="s">
        <v>100</v>
      </c>
      <c r="H2" s="26" t="s">
        <v>6</v>
      </c>
      <c r="I2" s="26" t="s">
        <v>7</v>
      </c>
      <c r="J2" s="35" t="s">
        <v>8</v>
      </c>
      <c r="K2" s="26" t="s">
        <v>9</v>
      </c>
      <c r="L2" s="26" t="s">
        <v>10</v>
      </c>
      <c r="M2" s="26" t="s">
        <v>163</v>
      </c>
      <c r="N2" s="26" t="s">
        <v>162</v>
      </c>
      <c r="O2" s="26" t="s">
        <v>161</v>
      </c>
      <c r="P2" s="26" t="s">
        <v>89</v>
      </c>
      <c r="Q2" s="8" t="s">
        <v>11</v>
      </c>
      <c r="R2" s="31" t="s">
        <v>12</v>
      </c>
      <c r="S2" s="26" t="s">
        <v>13</v>
      </c>
      <c r="T2" s="26" t="s">
        <v>152</v>
      </c>
      <c r="U2" s="9" t="s">
        <v>14</v>
      </c>
      <c r="V2" s="9" t="s">
        <v>15</v>
      </c>
      <c r="W2" s="29" t="s">
        <v>16</v>
      </c>
      <c r="X2" s="29" t="s">
        <v>17</v>
      </c>
      <c r="Y2" s="40" t="s">
        <v>98</v>
      </c>
    </row>
    <row r="3" spans="1:25" s="4" customFormat="1" x14ac:dyDescent="0.25">
      <c r="A3" s="45">
        <v>1</v>
      </c>
      <c r="B3" s="10" t="s">
        <v>122</v>
      </c>
      <c r="C3" s="18" t="s">
        <v>27</v>
      </c>
      <c r="D3" s="18" t="s">
        <v>28</v>
      </c>
      <c r="E3" s="18" t="s">
        <v>29</v>
      </c>
      <c r="F3" s="14" t="s">
        <v>30</v>
      </c>
      <c r="G3" s="14"/>
      <c r="H3" s="12" t="s">
        <v>23</v>
      </c>
      <c r="I3" s="20" t="s">
        <v>31</v>
      </c>
      <c r="J3" s="11">
        <v>0.68</v>
      </c>
      <c r="K3" s="12">
        <v>100</v>
      </c>
      <c r="L3" s="12"/>
      <c r="M3" s="12">
        <v>2</v>
      </c>
      <c r="N3" s="12">
        <f t="shared" ref="N3:N33" si="0">P3*L3</f>
        <v>0</v>
      </c>
      <c r="O3" s="12">
        <f t="shared" ref="O3:O33" si="1">P3*M3</f>
        <v>2</v>
      </c>
      <c r="P3" s="12">
        <v>1</v>
      </c>
      <c r="Q3" s="13">
        <v>0.1</v>
      </c>
      <c r="R3" s="32">
        <f t="shared" ref="R3:R29" si="2">P3*250*(1+Q3)</f>
        <v>275</v>
      </c>
      <c r="S3" s="11">
        <f t="shared" ref="S3:S33" si="3">J3*P3*(1+Q3)</f>
        <v>0.74800000000000011</v>
      </c>
      <c r="T3" s="11">
        <f t="shared" ref="T3:T33" si="4">S3*215</f>
        <v>160.82000000000002</v>
      </c>
      <c r="U3" s="60" t="s">
        <v>20</v>
      </c>
      <c r="V3" s="60" t="s">
        <v>183</v>
      </c>
      <c r="W3" s="19"/>
      <c r="X3" s="18"/>
      <c r="Y3" s="42"/>
    </row>
    <row r="4" spans="1:25" s="10" customFormat="1" x14ac:dyDescent="0.25">
      <c r="A4" s="7">
        <f>A3+1</f>
        <v>2</v>
      </c>
      <c r="B4" s="24" t="s">
        <v>225</v>
      </c>
      <c r="C4" s="6" t="s">
        <v>123</v>
      </c>
      <c r="D4" s="6" t="s">
        <v>124</v>
      </c>
      <c r="E4" s="6" t="s">
        <v>33</v>
      </c>
      <c r="F4" s="15" t="s">
        <v>145</v>
      </c>
      <c r="G4" s="15"/>
      <c r="H4" s="1" t="s">
        <v>23</v>
      </c>
      <c r="I4" s="21" t="s">
        <v>35</v>
      </c>
      <c r="J4" s="2">
        <v>2.5000000000000001E-2</v>
      </c>
      <c r="K4" s="1">
        <v>100</v>
      </c>
      <c r="L4" s="1">
        <v>2</v>
      </c>
      <c r="M4" s="1"/>
      <c r="N4" s="12">
        <f t="shared" si="0"/>
        <v>4</v>
      </c>
      <c r="O4" s="12">
        <f t="shared" si="1"/>
        <v>0</v>
      </c>
      <c r="P4" s="1">
        <v>2</v>
      </c>
      <c r="Q4" s="3">
        <v>0.1</v>
      </c>
      <c r="R4" s="32">
        <f t="shared" si="2"/>
        <v>550</v>
      </c>
      <c r="S4" s="11">
        <f t="shared" si="3"/>
        <v>5.5000000000000007E-2</v>
      </c>
      <c r="T4" s="11">
        <f t="shared" si="4"/>
        <v>11.825000000000001</v>
      </c>
      <c r="U4" s="61" t="s">
        <v>20</v>
      </c>
      <c r="V4" s="60" t="s">
        <v>183</v>
      </c>
      <c r="W4" s="17">
        <v>42500</v>
      </c>
      <c r="X4" s="6"/>
      <c r="Y4" s="44" t="s">
        <v>146</v>
      </c>
    </row>
    <row r="5" spans="1:25" s="4" customFormat="1" x14ac:dyDescent="0.25">
      <c r="A5" s="7">
        <f t="shared" ref="A5:A33" si="5">A4+1</f>
        <v>3</v>
      </c>
      <c r="B5" s="51" t="s">
        <v>226</v>
      </c>
      <c r="C5" s="30" t="s">
        <v>36</v>
      </c>
      <c r="D5" s="30" t="s">
        <v>37</v>
      </c>
      <c r="E5" s="30" t="s">
        <v>33</v>
      </c>
      <c r="F5" s="27" t="s">
        <v>38</v>
      </c>
      <c r="G5" s="27"/>
      <c r="H5" s="49" t="s">
        <v>23</v>
      </c>
      <c r="I5" s="47" t="s">
        <v>35</v>
      </c>
      <c r="J5" s="48">
        <v>1.2E-2</v>
      </c>
      <c r="K5" s="49">
        <v>100</v>
      </c>
      <c r="L5" s="49">
        <v>2</v>
      </c>
      <c r="M5" s="49"/>
      <c r="N5" s="12">
        <f t="shared" si="0"/>
        <v>2</v>
      </c>
      <c r="O5" s="12">
        <f t="shared" si="1"/>
        <v>0</v>
      </c>
      <c r="P5" s="49">
        <v>1</v>
      </c>
      <c r="Q5" s="50">
        <v>0.1</v>
      </c>
      <c r="R5" s="32">
        <f t="shared" si="2"/>
        <v>275</v>
      </c>
      <c r="S5" s="11">
        <f t="shared" si="3"/>
        <v>1.3200000000000002E-2</v>
      </c>
      <c r="T5" s="11">
        <f t="shared" si="4"/>
        <v>2.8380000000000005</v>
      </c>
      <c r="U5" s="61" t="s">
        <v>20</v>
      </c>
      <c r="V5" s="60" t="s">
        <v>183</v>
      </c>
      <c r="W5" s="19"/>
      <c r="X5" s="30"/>
      <c r="Y5" s="43"/>
    </row>
    <row r="6" spans="1:25" s="4" customFormat="1" x14ac:dyDescent="0.25">
      <c r="A6" s="7">
        <f t="shared" si="5"/>
        <v>4</v>
      </c>
      <c r="B6" s="23" t="s">
        <v>227</v>
      </c>
      <c r="C6" s="18" t="s">
        <v>39</v>
      </c>
      <c r="D6" s="18" t="s">
        <v>40</v>
      </c>
      <c r="E6" s="18" t="s">
        <v>41</v>
      </c>
      <c r="F6" s="14" t="s">
        <v>42</v>
      </c>
      <c r="G6" s="14"/>
      <c r="H6" s="12" t="s">
        <v>23</v>
      </c>
      <c r="I6" s="20" t="s">
        <v>35</v>
      </c>
      <c r="J6" s="11">
        <v>8.0000000000000002E-3</v>
      </c>
      <c r="K6" s="12">
        <v>500</v>
      </c>
      <c r="L6" s="12">
        <v>2</v>
      </c>
      <c r="M6" s="12"/>
      <c r="N6" s="12">
        <f t="shared" si="0"/>
        <v>8</v>
      </c>
      <c r="O6" s="12">
        <f t="shared" si="1"/>
        <v>0</v>
      </c>
      <c r="P6" s="12">
        <v>4</v>
      </c>
      <c r="Q6" s="13">
        <v>0.1</v>
      </c>
      <c r="R6" s="32">
        <f t="shared" si="2"/>
        <v>1100</v>
      </c>
      <c r="S6" s="11">
        <f t="shared" si="3"/>
        <v>3.5200000000000002E-2</v>
      </c>
      <c r="T6" s="11">
        <f t="shared" si="4"/>
        <v>7.5680000000000005</v>
      </c>
      <c r="U6" s="60" t="s">
        <v>20</v>
      </c>
      <c r="V6" s="60" t="s">
        <v>183</v>
      </c>
      <c r="W6" s="19"/>
      <c r="X6" s="30"/>
      <c r="Y6" s="43"/>
    </row>
    <row r="7" spans="1:25" s="4" customFormat="1" x14ac:dyDescent="0.25">
      <c r="A7" s="7">
        <f t="shared" si="5"/>
        <v>5</v>
      </c>
      <c r="B7" s="23" t="s">
        <v>228</v>
      </c>
      <c r="C7" s="18" t="s">
        <v>132</v>
      </c>
      <c r="D7" s="18" t="s">
        <v>32</v>
      </c>
      <c r="E7" s="18" t="s">
        <v>33</v>
      </c>
      <c r="F7" s="27" t="s">
        <v>34</v>
      </c>
      <c r="G7" s="27"/>
      <c r="H7" s="12" t="s">
        <v>23</v>
      </c>
      <c r="I7" s="47" t="s">
        <v>35</v>
      </c>
      <c r="J7" s="48">
        <v>2.1999999999999999E-2</v>
      </c>
      <c r="K7" s="49">
        <v>100</v>
      </c>
      <c r="L7" s="49">
        <v>2</v>
      </c>
      <c r="M7" s="49"/>
      <c r="N7" s="12">
        <f t="shared" si="0"/>
        <v>6</v>
      </c>
      <c r="O7" s="12">
        <f t="shared" si="1"/>
        <v>0</v>
      </c>
      <c r="P7" s="49">
        <v>3</v>
      </c>
      <c r="Q7" s="50">
        <v>0.1</v>
      </c>
      <c r="R7" s="32">
        <f t="shared" si="2"/>
        <v>825.00000000000011</v>
      </c>
      <c r="S7" s="11">
        <f t="shared" si="3"/>
        <v>7.2600000000000012E-2</v>
      </c>
      <c r="T7" s="11">
        <f t="shared" si="4"/>
        <v>15.609000000000002</v>
      </c>
      <c r="U7" s="60" t="s">
        <v>20</v>
      </c>
      <c r="V7" s="60" t="s">
        <v>183</v>
      </c>
      <c r="W7" s="19"/>
      <c r="X7" s="30"/>
      <c r="Y7" s="43"/>
    </row>
    <row r="8" spans="1:25" s="4" customFormat="1" hidden="1" x14ac:dyDescent="0.25">
      <c r="A8" s="7">
        <f t="shared" si="5"/>
        <v>6</v>
      </c>
      <c r="C8" s="18" t="s">
        <v>43</v>
      </c>
      <c r="D8" s="18" t="s">
        <v>44</v>
      </c>
      <c r="E8" s="52" t="s">
        <v>45</v>
      </c>
      <c r="F8" s="53" t="s">
        <v>46</v>
      </c>
      <c r="G8" s="53"/>
      <c r="H8" s="12" t="s">
        <v>23</v>
      </c>
      <c r="I8" s="25" t="s">
        <v>19</v>
      </c>
      <c r="J8" s="54">
        <v>40.98</v>
      </c>
      <c r="K8" s="25">
        <v>1</v>
      </c>
      <c r="L8" s="25">
        <v>0</v>
      </c>
      <c r="M8" s="25"/>
      <c r="N8" s="12">
        <f t="shared" si="0"/>
        <v>0</v>
      </c>
      <c r="O8" s="12">
        <f t="shared" si="1"/>
        <v>0</v>
      </c>
      <c r="P8" s="12"/>
      <c r="Q8" s="55">
        <v>0</v>
      </c>
      <c r="R8" s="32">
        <f t="shared" si="2"/>
        <v>0</v>
      </c>
      <c r="S8" s="11">
        <f t="shared" si="3"/>
        <v>0</v>
      </c>
      <c r="T8" s="11">
        <f t="shared" si="4"/>
        <v>0</v>
      </c>
      <c r="U8" s="25" t="s">
        <v>47</v>
      </c>
      <c r="V8" s="25" t="s">
        <v>47</v>
      </c>
      <c r="W8" s="19"/>
      <c r="X8" s="30" t="s">
        <v>48</v>
      </c>
      <c r="Y8" s="43"/>
    </row>
    <row r="9" spans="1:25" s="4" customFormat="1" hidden="1" x14ac:dyDescent="0.25">
      <c r="A9" s="7">
        <f t="shared" si="5"/>
        <v>7</v>
      </c>
      <c r="C9" s="18" t="s">
        <v>49</v>
      </c>
      <c r="D9" s="18" t="s">
        <v>50</v>
      </c>
      <c r="E9" s="18" t="s">
        <v>51</v>
      </c>
      <c r="F9" s="14" t="s">
        <v>52</v>
      </c>
      <c r="G9" s="14"/>
      <c r="H9" s="12" t="s">
        <v>23</v>
      </c>
      <c r="I9" s="49" t="s">
        <v>19</v>
      </c>
      <c r="J9" s="48">
        <v>0.56999999999999995</v>
      </c>
      <c r="K9" s="49">
        <v>100</v>
      </c>
      <c r="L9" s="49">
        <v>0</v>
      </c>
      <c r="M9" s="49"/>
      <c r="N9" s="12">
        <f t="shared" si="0"/>
        <v>0</v>
      </c>
      <c r="O9" s="12">
        <f t="shared" si="1"/>
        <v>0</v>
      </c>
      <c r="P9" s="49"/>
      <c r="Q9" s="50">
        <v>0.2</v>
      </c>
      <c r="R9" s="32">
        <f t="shared" si="2"/>
        <v>0</v>
      </c>
      <c r="S9" s="11">
        <f t="shared" si="3"/>
        <v>0</v>
      </c>
      <c r="T9" s="11">
        <f t="shared" si="4"/>
        <v>0</v>
      </c>
      <c r="U9" s="49"/>
      <c r="V9" s="49"/>
      <c r="W9" s="19"/>
      <c r="X9" s="30" t="s">
        <v>48</v>
      </c>
      <c r="Y9" s="43"/>
    </row>
    <row r="10" spans="1:25" s="4" customFormat="1" ht="45" x14ac:dyDescent="0.25">
      <c r="A10" s="7">
        <f t="shared" si="5"/>
        <v>8</v>
      </c>
      <c r="B10" s="23" t="s">
        <v>229</v>
      </c>
      <c r="C10" s="18" t="s">
        <v>53</v>
      </c>
      <c r="D10" s="18" t="s">
        <v>54</v>
      </c>
      <c r="E10" s="18" t="s">
        <v>150</v>
      </c>
      <c r="F10" s="14" t="s">
        <v>151</v>
      </c>
      <c r="G10" s="14"/>
      <c r="H10" s="12" t="s">
        <v>18</v>
      </c>
      <c r="I10" s="20" t="s">
        <v>35</v>
      </c>
      <c r="J10" s="38">
        <v>0.05</v>
      </c>
      <c r="K10" s="12">
        <v>100</v>
      </c>
      <c r="L10" s="12">
        <v>2</v>
      </c>
      <c r="M10" s="12"/>
      <c r="N10" s="12">
        <f t="shared" si="0"/>
        <v>120</v>
      </c>
      <c r="O10" s="12">
        <f t="shared" si="1"/>
        <v>0</v>
      </c>
      <c r="P10" s="12">
        <v>60</v>
      </c>
      <c r="Q10" s="22">
        <v>0.05</v>
      </c>
      <c r="R10" s="32">
        <f t="shared" si="2"/>
        <v>15750</v>
      </c>
      <c r="S10" s="11">
        <f t="shared" si="3"/>
        <v>3.1500000000000004</v>
      </c>
      <c r="T10" s="11">
        <f t="shared" si="4"/>
        <v>677.25000000000011</v>
      </c>
      <c r="U10" s="66" t="s">
        <v>140</v>
      </c>
      <c r="V10" s="66" t="s">
        <v>25</v>
      </c>
      <c r="W10" s="28"/>
      <c r="X10" s="30"/>
      <c r="Y10" s="43"/>
    </row>
    <row r="11" spans="1:25" s="4" customFormat="1" ht="30" x14ac:dyDescent="0.25">
      <c r="A11" s="7">
        <f t="shared" si="5"/>
        <v>9</v>
      </c>
      <c r="B11" s="24" t="s">
        <v>230</v>
      </c>
      <c r="C11" s="6" t="s">
        <v>128</v>
      </c>
      <c r="D11" s="6" t="s">
        <v>138</v>
      </c>
      <c r="E11" s="6" t="s">
        <v>190</v>
      </c>
      <c r="F11" s="15" t="s">
        <v>137</v>
      </c>
      <c r="G11" s="15"/>
      <c r="H11" s="1" t="s">
        <v>18</v>
      </c>
      <c r="I11" s="1" t="s">
        <v>139</v>
      </c>
      <c r="J11" s="2">
        <f>0.03*4000/3000</f>
        <v>0.04</v>
      </c>
      <c r="K11" s="1"/>
      <c r="L11" s="1"/>
      <c r="M11" s="1"/>
      <c r="N11" s="12">
        <f t="shared" si="0"/>
        <v>0</v>
      </c>
      <c r="O11" s="12">
        <f t="shared" si="1"/>
        <v>0</v>
      </c>
      <c r="P11" s="1">
        <v>8</v>
      </c>
      <c r="Q11" s="3">
        <v>0</v>
      </c>
      <c r="R11" s="32">
        <v>4000</v>
      </c>
      <c r="S11" s="11">
        <f t="shared" si="3"/>
        <v>0.32</v>
      </c>
      <c r="T11" s="11">
        <f t="shared" si="4"/>
        <v>68.8</v>
      </c>
      <c r="U11" s="67" t="s">
        <v>140</v>
      </c>
      <c r="V11" s="67" t="s">
        <v>25</v>
      </c>
      <c r="W11" s="1"/>
      <c r="X11" s="6"/>
      <c r="Y11" s="44" t="s">
        <v>144</v>
      </c>
    </row>
    <row r="12" spans="1:25" s="4" customFormat="1" x14ac:dyDescent="0.25">
      <c r="A12" s="7">
        <f t="shared" si="5"/>
        <v>10</v>
      </c>
      <c r="B12" s="23" t="s">
        <v>231</v>
      </c>
      <c r="C12" s="18" t="s">
        <v>55</v>
      </c>
      <c r="D12" s="18" t="s">
        <v>56</v>
      </c>
      <c r="E12" s="18" t="s">
        <v>57</v>
      </c>
      <c r="F12" s="56" t="s">
        <v>58</v>
      </c>
      <c r="G12" s="56"/>
      <c r="H12" s="12" t="s">
        <v>23</v>
      </c>
      <c r="I12" s="25" t="s">
        <v>59</v>
      </c>
      <c r="J12" s="54">
        <v>0.19</v>
      </c>
      <c r="K12" s="25">
        <v>100</v>
      </c>
      <c r="L12" s="25">
        <v>6</v>
      </c>
      <c r="M12" s="25"/>
      <c r="N12" s="12">
        <f t="shared" si="0"/>
        <v>6</v>
      </c>
      <c r="O12" s="12">
        <f t="shared" si="1"/>
        <v>0</v>
      </c>
      <c r="P12" s="25">
        <v>1</v>
      </c>
      <c r="Q12" s="55">
        <v>0.1</v>
      </c>
      <c r="R12" s="32">
        <f t="shared" si="2"/>
        <v>275</v>
      </c>
      <c r="S12" s="11">
        <f t="shared" si="3"/>
        <v>0.20900000000000002</v>
      </c>
      <c r="T12" s="11">
        <f t="shared" si="4"/>
        <v>44.935000000000002</v>
      </c>
      <c r="U12" s="62" t="s">
        <v>20</v>
      </c>
      <c r="V12" s="60" t="s">
        <v>183</v>
      </c>
      <c r="W12" s="19"/>
      <c r="X12" s="30"/>
      <c r="Y12" s="43"/>
    </row>
    <row r="13" spans="1:25" s="4" customFormat="1" x14ac:dyDescent="0.25">
      <c r="A13" s="7">
        <f t="shared" si="5"/>
        <v>11</v>
      </c>
      <c r="B13" s="4" t="s">
        <v>223</v>
      </c>
      <c r="C13" s="18" t="s">
        <v>60</v>
      </c>
      <c r="D13" s="18" t="s">
        <v>61</v>
      </c>
      <c r="E13" s="18" t="s">
        <v>62</v>
      </c>
      <c r="F13" s="14" t="s">
        <v>63</v>
      </c>
      <c r="G13" s="14"/>
      <c r="H13" s="12" t="s">
        <v>23</v>
      </c>
      <c r="I13" s="20" t="s">
        <v>160</v>
      </c>
      <c r="J13" s="11">
        <v>0.13500000000000001</v>
      </c>
      <c r="K13" s="12">
        <v>100</v>
      </c>
      <c r="L13" s="12">
        <v>2</v>
      </c>
      <c r="M13" s="12"/>
      <c r="N13" s="12">
        <f t="shared" si="0"/>
        <v>2</v>
      </c>
      <c r="O13" s="12">
        <f t="shared" si="1"/>
        <v>0</v>
      </c>
      <c r="P13" s="12">
        <v>1</v>
      </c>
      <c r="Q13" s="13">
        <v>0.1</v>
      </c>
      <c r="R13" s="32">
        <f t="shared" si="2"/>
        <v>275</v>
      </c>
      <c r="S13" s="11">
        <f t="shared" si="3"/>
        <v>0.14850000000000002</v>
      </c>
      <c r="T13" s="11">
        <f t="shared" si="4"/>
        <v>31.927500000000006</v>
      </c>
      <c r="U13" s="60" t="s">
        <v>20</v>
      </c>
      <c r="V13" s="60" t="s">
        <v>183</v>
      </c>
      <c r="W13" s="19"/>
      <c r="X13" s="30"/>
      <c r="Y13" s="43"/>
    </row>
    <row r="14" spans="1:25" s="4" customFormat="1" x14ac:dyDescent="0.25">
      <c r="A14" s="7">
        <f t="shared" si="5"/>
        <v>12</v>
      </c>
      <c r="B14" s="24" t="s">
        <v>232</v>
      </c>
      <c r="C14" s="6" t="s">
        <v>108</v>
      </c>
      <c r="D14" s="6" t="s">
        <v>109</v>
      </c>
      <c r="E14" s="6" t="s">
        <v>110</v>
      </c>
      <c r="F14" s="15" t="s">
        <v>111</v>
      </c>
      <c r="G14" s="15"/>
      <c r="H14" s="1" t="s">
        <v>23</v>
      </c>
      <c r="I14" s="1" t="s">
        <v>112</v>
      </c>
      <c r="J14" s="2">
        <v>0.19500000000000001</v>
      </c>
      <c r="K14" s="1">
        <v>100</v>
      </c>
      <c r="L14" s="1"/>
      <c r="M14" s="1"/>
      <c r="N14" s="12">
        <f t="shared" si="0"/>
        <v>0</v>
      </c>
      <c r="O14" s="12">
        <f t="shared" si="1"/>
        <v>0</v>
      </c>
      <c r="P14" s="1">
        <v>0</v>
      </c>
      <c r="Q14" s="3">
        <v>0.1</v>
      </c>
      <c r="R14" s="32">
        <f t="shared" si="2"/>
        <v>0</v>
      </c>
      <c r="S14" s="11">
        <f t="shared" si="3"/>
        <v>0</v>
      </c>
      <c r="T14" s="11">
        <f t="shared" si="4"/>
        <v>0</v>
      </c>
      <c r="U14" s="1" t="s">
        <v>175</v>
      </c>
      <c r="V14" s="1" t="s">
        <v>175</v>
      </c>
      <c r="W14" s="17">
        <v>42498</v>
      </c>
      <c r="X14" s="6"/>
      <c r="Y14" s="44" t="s">
        <v>113</v>
      </c>
    </row>
    <row r="15" spans="1:25" s="4" customFormat="1" x14ac:dyDescent="0.25">
      <c r="A15" s="7">
        <f t="shared" si="5"/>
        <v>13</v>
      </c>
      <c r="B15" s="51" t="s">
        <v>233</v>
      </c>
      <c r="C15" s="30" t="s">
        <v>103</v>
      </c>
      <c r="D15" s="30" t="s">
        <v>104</v>
      </c>
      <c r="E15" s="30" t="s">
        <v>101</v>
      </c>
      <c r="F15" s="27" t="s">
        <v>105</v>
      </c>
      <c r="G15" s="27"/>
      <c r="H15" s="49" t="s">
        <v>23</v>
      </c>
      <c r="I15" s="12" t="s">
        <v>99</v>
      </c>
      <c r="J15" s="48">
        <v>0.36670000000000003</v>
      </c>
      <c r="K15" s="49">
        <v>250</v>
      </c>
      <c r="L15" s="49"/>
      <c r="M15" s="49">
        <v>4</v>
      </c>
      <c r="N15" s="12">
        <f t="shared" si="0"/>
        <v>0</v>
      </c>
      <c r="O15" s="12">
        <f t="shared" si="1"/>
        <v>8</v>
      </c>
      <c r="P15" s="49">
        <v>2</v>
      </c>
      <c r="Q15" s="50">
        <v>0.1</v>
      </c>
      <c r="R15" s="32">
        <f t="shared" si="2"/>
        <v>550</v>
      </c>
      <c r="S15" s="11">
        <f t="shared" si="3"/>
        <v>0.80674000000000012</v>
      </c>
      <c r="T15" s="11">
        <f t="shared" si="4"/>
        <v>173.44910000000002</v>
      </c>
      <c r="U15" s="63" t="s">
        <v>47</v>
      </c>
      <c r="V15" s="63" t="s">
        <v>184</v>
      </c>
      <c r="W15" s="19">
        <v>42494</v>
      </c>
      <c r="X15" s="30"/>
      <c r="Y15" s="46" t="s">
        <v>106</v>
      </c>
    </row>
    <row r="16" spans="1:25" s="4" customFormat="1" x14ac:dyDescent="0.25">
      <c r="A16" s="7">
        <f t="shared" si="5"/>
        <v>14</v>
      </c>
      <c r="B16" s="23" t="s">
        <v>234</v>
      </c>
      <c r="C16" s="18" t="s">
        <v>102</v>
      </c>
      <c r="D16" s="23" t="s">
        <v>180</v>
      </c>
      <c r="E16" s="18" t="s">
        <v>110</v>
      </c>
      <c r="F16" s="14" t="s">
        <v>176</v>
      </c>
      <c r="G16" s="14"/>
      <c r="H16" s="12" t="s">
        <v>23</v>
      </c>
      <c r="I16" s="12" t="s">
        <v>112</v>
      </c>
      <c r="J16" s="11">
        <v>0.155</v>
      </c>
      <c r="K16" s="12">
        <v>100</v>
      </c>
      <c r="L16" s="12"/>
      <c r="M16" s="12">
        <v>3</v>
      </c>
      <c r="N16" s="12">
        <f t="shared" si="0"/>
        <v>0</v>
      </c>
      <c r="O16" s="12">
        <f t="shared" si="1"/>
        <v>3</v>
      </c>
      <c r="P16" s="12">
        <v>1</v>
      </c>
      <c r="Q16" s="13">
        <v>0.1</v>
      </c>
      <c r="R16" s="32">
        <f t="shared" si="2"/>
        <v>275</v>
      </c>
      <c r="S16" s="11">
        <f t="shared" si="3"/>
        <v>0.17050000000000001</v>
      </c>
      <c r="T16" s="11">
        <f t="shared" si="4"/>
        <v>36.657500000000006</v>
      </c>
      <c r="U16" s="64" t="s">
        <v>47</v>
      </c>
      <c r="V16" s="63" t="s">
        <v>184</v>
      </c>
      <c r="W16" s="19"/>
      <c r="X16" s="30"/>
      <c r="Y16" s="46" t="s">
        <v>155</v>
      </c>
    </row>
    <row r="17" spans="1:25" s="4" customFormat="1" ht="30" x14ac:dyDescent="0.25">
      <c r="A17" s="7">
        <f t="shared" si="5"/>
        <v>15</v>
      </c>
      <c r="B17" s="23" t="s">
        <v>235</v>
      </c>
      <c r="C17" s="18" t="s">
        <v>107</v>
      </c>
      <c r="D17" s="23" t="s">
        <v>181</v>
      </c>
      <c r="E17" s="18" t="s">
        <v>101</v>
      </c>
      <c r="F17" s="14" t="s">
        <v>114</v>
      </c>
      <c r="G17" s="14" t="s">
        <v>116</v>
      </c>
      <c r="H17" s="12" t="s">
        <v>23</v>
      </c>
      <c r="I17" s="12" t="s">
        <v>112</v>
      </c>
      <c r="J17" s="11">
        <v>0.628</v>
      </c>
      <c r="K17" s="12">
        <v>100</v>
      </c>
      <c r="L17" s="12"/>
      <c r="M17" s="12">
        <v>3</v>
      </c>
      <c r="N17" s="12">
        <f t="shared" si="0"/>
        <v>0</v>
      </c>
      <c r="O17" s="12">
        <f t="shared" si="1"/>
        <v>3</v>
      </c>
      <c r="P17" s="12">
        <v>1</v>
      </c>
      <c r="Q17" s="13">
        <v>0.1</v>
      </c>
      <c r="R17" s="32">
        <f t="shared" si="2"/>
        <v>275</v>
      </c>
      <c r="S17" s="11">
        <f t="shared" si="3"/>
        <v>0.69080000000000008</v>
      </c>
      <c r="T17" s="11">
        <f t="shared" si="4"/>
        <v>148.52200000000002</v>
      </c>
      <c r="U17" s="64" t="s">
        <v>47</v>
      </c>
      <c r="V17" s="63" t="s">
        <v>184</v>
      </c>
      <c r="W17" s="19"/>
      <c r="X17" s="30"/>
      <c r="Y17" s="46" t="s">
        <v>115</v>
      </c>
    </row>
    <row r="18" spans="1:25" s="4" customFormat="1" x14ac:dyDescent="0.25">
      <c r="A18" s="7">
        <f t="shared" si="5"/>
        <v>16</v>
      </c>
      <c r="B18" s="24" t="s">
        <v>236</v>
      </c>
      <c r="C18" s="6" t="s">
        <v>129</v>
      </c>
      <c r="D18" s="6" t="s">
        <v>133</v>
      </c>
      <c r="E18" s="6" t="s">
        <v>134</v>
      </c>
      <c r="F18" s="15" t="s">
        <v>136</v>
      </c>
      <c r="G18" s="15"/>
      <c r="H18" s="1" t="s">
        <v>18</v>
      </c>
      <c r="I18" s="1" t="s">
        <v>59</v>
      </c>
      <c r="J18" s="2">
        <v>9.7000000000000003E-2</v>
      </c>
      <c r="K18" s="1">
        <v>100</v>
      </c>
      <c r="L18" s="1">
        <v>6</v>
      </c>
      <c r="M18" s="1">
        <v>0</v>
      </c>
      <c r="N18" s="12">
        <f t="shared" si="0"/>
        <v>18</v>
      </c>
      <c r="O18" s="12">
        <f t="shared" si="1"/>
        <v>0</v>
      </c>
      <c r="P18" s="1">
        <v>3</v>
      </c>
      <c r="Q18" s="3">
        <v>0.1</v>
      </c>
      <c r="R18" s="32">
        <f t="shared" si="2"/>
        <v>825.00000000000011</v>
      </c>
      <c r="S18" s="11">
        <f t="shared" si="3"/>
        <v>0.32010000000000005</v>
      </c>
      <c r="T18" s="11">
        <f t="shared" si="4"/>
        <v>68.821500000000015</v>
      </c>
      <c r="U18" s="61" t="s">
        <v>20</v>
      </c>
      <c r="V18" s="60" t="s">
        <v>183</v>
      </c>
      <c r="W18" s="17">
        <v>42500</v>
      </c>
      <c r="X18" s="6"/>
      <c r="Y18" s="44" t="s">
        <v>135</v>
      </c>
    </row>
    <row r="19" spans="1:25" s="10" customFormat="1" x14ac:dyDescent="0.25">
      <c r="A19" s="7">
        <f t="shared" si="5"/>
        <v>17</v>
      </c>
      <c r="B19" s="23" t="s">
        <v>237</v>
      </c>
      <c r="C19" s="18" t="s">
        <v>96</v>
      </c>
      <c r="D19" s="18" t="s">
        <v>174</v>
      </c>
      <c r="E19" s="18" t="s">
        <v>170</v>
      </c>
      <c r="F19" s="14" t="s">
        <v>169</v>
      </c>
      <c r="G19" s="58" t="s">
        <v>166</v>
      </c>
      <c r="H19" s="12" t="s">
        <v>18</v>
      </c>
      <c r="I19" s="12" t="s">
        <v>171</v>
      </c>
      <c r="J19" s="11">
        <v>0.23599999999999999</v>
      </c>
      <c r="K19" s="12">
        <v>100</v>
      </c>
      <c r="L19" s="12">
        <v>2</v>
      </c>
      <c r="M19" s="12"/>
      <c r="N19" s="12">
        <f t="shared" si="0"/>
        <v>2</v>
      </c>
      <c r="O19" s="12">
        <f t="shared" si="1"/>
        <v>0</v>
      </c>
      <c r="P19" s="12">
        <v>1</v>
      </c>
      <c r="Q19" s="13">
        <v>0.1</v>
      </c>
      <c r="R19" s="32">
        <f t="shared" si="2"/>
        <v>275</v>
      </c>
      <c r="S19" s="11">
        <f t="shared" si="3"/>
        <v>0.2596</v>
      </c>
      <c r="T19" s="11">
        <f t="shared" si="4"/>
        <v>55.814</v>
      </c>
      <c r="U19" s="60" t="s">
        <v>20</v>
      </c>
      <c r="V19" s="60" t="s">
        <v>183</v>
      </c>
      <c r="W19" s="19">
        <v>42373</v>
      </c>
      <c r="X19" s="30"/>
      <c r="Y19" s="46" t="s">
        <v>97</v>
      </c>
    </row>
    <row r="20" spans="1:25" s="4" customFormat="1" x14ac:dyDescent="0.25">
      <c r="A20" s="7">
        <f t="shared" si="5"/>
        <v>18</v>
      </c>
      <c r="B20" s="24" t="s">
        <v>238</v>
      </c>
      <c r="C20" s="6" t="s">
        <v>164</v>
      </c>
      <c r="D20" s="6" t="s">
        <v>165</v>
      </c>
      <c r="E20" s="6" t="s">
        <v>157</v>
      </c>
      <c r="F20" s="15" t="s">
        <v>173</v>
      </c>
      <c r="G20" s="15"/>
      <c r="H20" s="1" t="s">
        <v>23</v>
      </c>
      <c r="I20" s="21" t="s">
        <v>35</v>
      </c>
      <c r="J20" s="2">
        <v>8.9999999999999993E-3</v>
      </c>
      <c r="K20" s="1">
        <v>100</v>
      </c>
      <c r="L20" s="1">
        <v>2</v>
      </c>
      <c r="M20" s="1"/>
      <c r="N20" s="1">
        <f t="shared" si="0"/>
        <v>2</v>
      </c>
      <c r="O20" s="1">
        <f t="shared" si="1"/>
        <v>0</v>
      </c>
      <c r="P20" s="1">
        <v>1</v>
      </c>
      <c r="Q20" s="3">
        <v>0.1</v>
      </c>
      <c r="R20" s="32">
        <f t="shared" si="2"/>
        <v>275</v>
      </c>
      <c r="S20" s="2">
        <f t="shared" si="3"/>
        <v>9.9000000000000008E-3</v>
      </c>
      <c r="T20" s="2">
        <f t="shared" si="4"/>
        <v>2.1285000000000003</v>
      </c>
      <c r="U20" s="61" t="s">
        <v>20</v>
      </c>
      <c r="V20" s="60" t="s">
        <v>183</v>
      </c>
      <c r="W20" s="59">
        <v>42535</v>
      </c>
      <c r="X20" s="6"/>
      <c r="Y20" s="41"/>
    </row>
    <row r="21" spans="1:25" s="4" customFormat="1" ht="30" x14ac:dyDescent="0.25">
      <c r="A21" s="7">
        <f t="shared" si="5"/>
        <v>19</v>
      </c>
      <c r="B21" s="24" t="s">
        <v>239</v>
      </c>
      <c r="C21" s="6" t="s">
        <v>125</v>
      </c>
      <c r="D21" s="6" t="s">
        <v>126</v>
      </c>
      <c r="E21" s="6" t="s">
        <v>141</v>
      </c>
      <c r="F21" s="15" t="s">
        <v>142</v>
      </c>
      <c r="G21" s="15"/>
      <c r="H21" s="1" t="s">
        <v>23</v>
      </c>
      <c r="I21" s="21" t="s">
        <v>127</v>
      </c>
      <c r="J21" s="2">
        <v>5.0000000000000001E-3</v>
      </c>
      <c r="K21" s="1">
        <v>100</v>
      </c>
      <c r="L21" s="1">
        <v>2</v>
      </c>
      <c r="M21" s="1"/>
      <c r="N21" s="12">
        <f t="shared" si="0"/>
        <v>12</v>
      </c>
      <c r="O21" s="12">
        <f t="shared" si="1"/>
        <v>0</v>
      </c>
      <c r="P21" s="1">
        <v>6</v>
      </c>
      <c r="Q21" s="3">
        <v>0.1</v>
      </c>
      <c r="R21" s="32">
        <f t="shared" si="2"/>
        <v>1650.0000000000002</v>
      </c>
      <c r="S21" s="11">
        <f t="shared" si="3"/>
        <v>3.3000000000000002E-2</v>
      </c>
      <c r="T21" s="11">
        <f t="shared" si="4"/>
        <v>7.0950000000000006</v>
      </c>
      <c r="U21" s="61" t="s">
        <v>20</v>
      </c>
      <c r="V21" s="60" t="s">
        <v>183</v>
      </c>
      <c r="W21" s="17">
        <v>42500</v>
      </c>
      <c r="X21" s="6"/>
      <c r="Y21" s="44" t="s">
        <v>143</v>
      </c>
    </row>
    <row r="22" spans="1:25" s="4" customFormat="1" x14ac:dyDescent="0.25">
      <c r="A22" s="7">
        <f t="shared" si="5"/>
        <v>20</v>
      </c>
      <c r="B22" s="24" t="s">
        <v>240</v>
      </c>
      <c r="C22" s="6" t="s">
        <v>167</v>
      </c>
      <c r="D22" s="6" t="s">
        <v>168</v>
      </c>
      <c r="E22" s="6" t="s">
        <v>69</v>
      </c>
      <c r="F22" s="15" t="s">
        <v>172</v>
      </c>
      <c r="G22" s="15"/>
      <c r="H22" s="1" t="s">
        <v>23</v>
      </c>
      <c r="I22" s="21" t="s">
        <v>127</v>
      </c>
      <c r="J22" s="2">
        <v>4.1200000000000004E-3</v>
      </c>
      <c r="K22" s="1">
        <v>2000</v>
      </c>
      <c r="L22" s="1">
        <v>2</v>
      </c>
      <c r="M22" s="1"/>
      <c r="N22" s="1">
        <f t="shared" si="0"/>
        <v>2</v>
      </c>
      <c r="O22" s="1">
        <f t="shared" si="1"/>
        <v>0</v>
      </c>
      <c r="P22" s="1">
        <v>1</v>
      </c>
      <c r="Q22" s="3">
        <v>0.1</v>
      </c>
      <c r="R22" s="32">
        <f t="shared" si="2"/>
        <v>275</v>
      </c>
      <c r="S22" s="11">
        <f t="shared" si="3"/>
        <v>4.5320000000000004E-3</v>
      </c>
      <c r="T22" s="11">
        <f t="shared" si="4"/>
        <v>0.97438000000000013</v>
      </c>
      <c r="U22" s="60" t="s">
        <v>20</v>
      </c>
      <c r="V22" s="60" t="s">
        <v>183</v>
      </c>
      <c r="W22" s="1"/>
      <c r="X22" s="6"/>
      <c r="Y22" s="41"/>
    </row>
    <row r="23" spans="1:25" s="4" customFormat="1" x14ac:dyDescent="0.25">
      <c r="A23" s="7">
        <f t="shared" si="5"/>
        <v>21</v>
      </c>
      <c r="B23" s="24" t="s">
        <v>241</v>
      </c>
      <c r="C23" s="6" t="s">
        <v>131</v>
      </c>
      <c r="D23" s="6" t="s">
        <v>156</v>
      </c>
      <c r="E23" s="6" t="s">
        <v>157</v>
      </c>
      <c r="F23" s="15" t="s">
        <v>158</v>
      </c>
      <c r="G23" s="15"/>
      <c r="H23" s="1" t="s">
        <v>23</v>
      </c>
      <c r="I23" s="21" t="s">
        <v>35</v>
      </c>
      <c r="J23" s="2">
        <v>8.0000000000000002E-3</v>
      </c>
      <c r="K23" s="1">
        <v>100</v>
      </c>
      <c r="L23" s="1">
        <v>2</v>
      </c>
      <c r="M23" s="1">
        <v>0</v>
      </c>
      <c r="N23" s="12">
        <f t="shared" si="0"/>
        <v>2</v>
      </c>
      <c r="O23" s="12">
        <f t="shared" si="1"/>
        <v>0</v>
      </c>
      <c r="P23" s="1">
        <v>1</v>
      </c>
      <c r="Q23" s="3">
        <v>0.1</v>
      </c>
      <c r="R23" s="32">
        <f t="shared" si="2"/>
        <v>275</v>
      </c>
      <c r="S23" s="11">
        <f t="shared" si="3"/>
        <v>8.8000000000000005E-3</v>
      </c>
      <c r="T23" s="11">
        <f t="shared" si="4"/>
        <v>1.8920000000000001</v>
      </c>
      <c r="U23" s="61" t="s">
        <v>20</v>
      </c>
      <c r="V23" s="60" t="s">
        <v>183</v>
      </c>
      <c r="W23" s="17">
        <v>42501</v>
      </c>
      <c r="X23" s="6"/>
      <c r="Y23" s="44" t="s">
        <v>159</v>
      </c>
    </row>
    <row r="24" spans="1:25" s="4" customFormat="1" x14ac:dyDescent="0.25">
      <c r="A24" s="7">
        <f t="shared" si="5"/>
        <v>22</v>
      </c>
      <c r="B24" s="51" t="s">
        <v>242</v>
      </c>
      <c r="C24" s="18" t="s">
        <v>70</v>
      </c>
      <c r="D24" s="18" t="s">
        <v>71</v>
      </c>
      <c r="E24" s="18" t="s">
        <v>64</v>
      </c>
      <c r="F24" s="14" t="s">
        <v>182</v>
      </c>
      <c r="G24" s="14"/>
      <c r="H24" s="12" t="s">
        <v>23</v>
      </c>
      <c r="I24" s="20" t="s">
        <v>35</v>
      </c>
      <c r="J24" s="11">
        <v>2.8000000000000001E-2</v>
      </c>
      <c r="K24" s="12">
        <v>100</v>
      </c>
      <c r="L24" s="12">
        <v>2</v>
      </c>
      <c r="M24" s="12"/>
      <c r="N24" s="12">
        <f t="shared" si="0"/>
        <v>4</v>
      </c>
      <c r="O24" s="12">
        <f t="shared" si="1"/>
        <v>0</v>
      </c>
      <c r="P24" s="12">
        <v>2</v>
      </c>
      <c r="Q24" s="13">
        <v>0.1</v>
      </c>
      <c r="R24" s="32">
        <f t="shared" si="2"/>
        <v>550</v>
      </c>
      <c r="S24" s="11">
        <f t="shared" si="3"/>
        <v>6.1600000000000009E-2</v>
      </c>
      <c r="T24" s="11">
        <f t="shared" si="4"/>
        <v>13.244000000000002</v>
      </c>
      <c r="U24" s="60" t="s">
        <v>20</v>
      </c>
      <c r="V24" s="60" t="s">
        <v>183</v>
      </c>
      <c r="W24" s="19"/>
      <c r="X24" s="30"/>
      <c r="Y24" s="43"/>
    </row>
    <row r="25" spans="1:25" x14ac:dyDescent="0.25">
      <c r="A25" s="7">
        <f t="shared" si="5"/>
        <v>23</v>
      </c>
      <c r="B25" s="23" t="s">
        <v>243</v>
      </c>
      <c r="C25" s="18" t="s">
        <v>130</v>
      </c>
      <c r="D25" s="37" t="s">
        <v>65</v>
      </c>
      <c r="E25" s="18" t="s">
        <v>64</v>
      </c>
      <c r="F25" s="27" t="s">
        <v>66</v>
      </c>
      <c r="G25" s="27"/>
      <c r="H25" s="12" t="s">
        <v>23</v>
      </c>
      <c r="I25" s="47" t="s">
        <v>35</v>
      </c>
      <c r="J25" s="48">
        <v>4.0000000000000001E-3</v>
      </c>
      <c r="K25" s="49">
        <v>100</v>
      </c>
      <c r="L25" s="49">
        <v>2</v>
      </c>
      <c r="M25" s="49"/>
      <c r="N25" s="12">
        <f t="shared" si="0"/>
        <v>2</v>
      </c>
      <c r="O25" s="12">
        <f t="shared" si="1"/>
        <v>0</v>
      </c>
      <c r="P25" s="49">
        <v>1</v>
      </c>
      <c r="Q25" s="50">
        <v>0.1</v>
      </c>
      <c r="R25" s="32">
        <f t="shared" si="2"/>
        <v>275</v>
      </c>
      <c r="S25" s="11">
        <f t="shared" si="3"/>
        <v>4.4000000000000003E-3</v>
      </c>
      <c r="T25" s="11">
        <f t="shared" si="4"/>
        <v>0.94600000000000006</v>
      </c>
      <c r="U25" s="60" t="s">
        <v>20</v>
      </c>
      <c r="V25" s="60" t="s">
        <v>183</v>
      </c>
      <c r="W25" s="19">
        <v>42506</v>
      </c>
      <c r="X25" s="30"/>
      <c r="Y25" s="39" t="s">
        <v>154</v>
      </c>
    </row>
    <row r="26" spans="1:25" x14ac:dyDescent="0.25">
      <c r="A26" s="7">
        <f t="shared" si="5"/>
        <v>24</v>
      </c>
      <c r="B26" s="23" t="s">
        <v>244</v>
      </c>
      <c r="C26" s="18" t="s">
        <v>67</v>
      </c>
      <c r="D26" s="18" t="s">
        <v>68</v>
      </c>
      <c r="E26" s="18" t="s">
        <v>69</v>
      </c>
      <c r="F26" s="14" t="s">
        <v>153</v>
      </c>
      <c r="G26" s="14"/>
      <c r="H26" s="12" t="s">
        <v>23</v>
      </c>
      <c r="I26" s="20" t="s">
        <v>35</v>
      </c>
      <c r="J26" s="11">
        <v>0.01</v>
      </c>
      <c r="K26" s="12">
        <v>100</v>
      </c>
      <c r="L26" s="12">
        <v>2</v>
      </c>
      <c r="M26" s="12"/>
      <c r="N26" s="12">
        <f t="shared" si="0"/>
        <v>2</v>
      </c>
      <c r="O26" s="12">
        <f t="shared" si="1"/>
        <v>0</v>
      </c>
      <c r="P26" s="12">
        <v>1</v>
      </c>
      <c r="Q26" s="13">
        <v>0.1</v>
      </c>
      <c r="R26" s="32">
        <f t="shared" si="2"/>
        <v>275</v>
      </c>
      <c r="S26" s="11">
        <f t="shared" si="3"/>
        <v>1.1000000000000001E-2</v>
      </c>
      <c r="T26" s="11">
        <f t="shared" si="4"/>
        <v>2.3650000000000002</v>
      </c>
      <c r="U26" s="60" t="s">
        <v>20</v>
      </c>
      <c r="V26" s="60" t="s">
        <v>183</v>
      </c>
      <c r="W26" s="19"/>
      <c r="X26" s="30"/>
      <c r="Y26" s="43"/>
    </row>
    <row r="27" spans="1:25" x14ac:dyDescent="0.25">
      <c r="A27" s="7">
        <f t="shared" si="5"/>
        <v>25</v>
      </c>
      <c r="B27" s="24" t="s">
        <v>245</v>
      </c>
      <c r="C27" s="6" t="s">
        <v>117</v>
      </c>
      <c r="D27" s="6" t="s">
        <v>118</v>
      </c>
      <c r="E27" s="6" t="s">
        <v>119</v>
      </c>
      <c r="F27" s="15" t="s">
        <v>120</v>
      </c>
      <c r="H27" s="1" t="s">
        <v>18</v>
      </c>
      <c r="I27" s="1" t="s">
        <v>19</v>
      </c>
      <c r="J27" s="2">
        <v>0.159</v>
      </c>
      <c r="K27" s="1">
        <v>100</v>
      </c>
      <c r="L27" s="1">
        <v>3</v>
      </c>
      <c r="M27" s="1">
        <v>2</v>
      </c>
      <c r="N27" s="12">
        <f t="shared" si="0"/>
        <v>3</v>
      </c>
      <c r="O27" s="12">
        <f t="shared" si="1"/>
        <v>2</v>
      </c>
      <c r="P27" s="1">
        <v>1</v>
      </c>
      <c r="Q27" s="3">
        <v>0.1</v>
      </c>
      <c r="R27" s="32">
        <f t="shared" si="2"/>
        <v>275</v>
      </c>
      <c r="S27" s="11">
        <f t="shared" si="3"/>
        <v>0.17490000000000003</v>
      </c>
      <c r="T27" s="11">
        <f t="shared" si="4"/>
        <v>37.603500000000004</v>
      </c>
      <c r="U27" s="61" t="s">
        <v>20</v>
      </c>
      <c r="V27" s="60" t="s">
        <v>183</v>
      </c>
      <c r="W27" s="17">
        <v>42500</v>
      </c>
      <c r="Y27" s="44" t="s">
        <v>121</v>
      </c>
    </row>
    <row r="28" spans="1:25" x14ac:dyDescent="0.25">
      <c r="A28" s="7">
        <f t="shared" si="5"/>
        <v>26</v>
      </c>
      <c r="B28" s="23" t="s">
        <v>246</v>
      </c>
      <c r="C28" s="18" t="s">
        <v>21</v>
      </c>
      <c r="D28" s="18" t="s">
        <v>22</v>
      </c>
      <c r="E28" s="18" t="s">
        <v>177</v>
      </c>
      <c r="F28" s="14" t="s">
        <v>178</v>
      </c>
      <c r="G28" s="14"/>
      <c r="H28" s="12" t="s">
        <v>23</v>
      </c>
      <c r="I28" s="12" t="s">
        <v>179</v>
      </c>
      <c r="J28" s="11">
        <v>0.08</v>
      </c>
      <c r="K28" s="12">
        <v>100</v>
      </c>
      <c r="L28" s="12">
        <v>4</v>
      </c>
      <c r="M28" s="12"/>
      <c r="N28" s="12">
        <f t="shared" si="0"/>
        <v>8</v>
      </c>
      <c r="O28" s="12">
        <f t="shared" si="1"/>
        <v>0</v>
      </c>
      <c r="P28" s="12">
        <v>2</v>
      </c>
      <c r="Q28" s="13">
        <v>0.1</v>
      </c>
      <c r="R28" s="32">
        <f t="shared" si="2"/>
        <v>550</v>
      </c>
      <c r="S28" s="11">
        <f t="shared" si="3"/>
        <v>0.17600000000000002</v>
      </c>
      <c r="T28" s="11">
        <f t="shared" si="4"/>
        <v>37.840000000000003</v>
      </c>
      <c r="U28" s="66" t="s">
        <v>24</v>
      </c>
      <c r="V28" s="66" t="s">
        <v>25</v>
      </c>
      <c r="W28" s="19"/>
      <c r="X28" s="30" t="s">
        <v>26</v>
      </c>
      <c r="Y28" s="43"/>
    </row>
    <row r="29" spans="1:25" x14ac:dyDescent="0.25">
      <c r="A29" s="7">
        <f t="shared" si="5"/>
        <v>27</v>
      </c>
      <c r="B29" s="23" t="s">
        <v>247</v>
      </c>
      <c r="C29" s="18" t="s">
        <v>90</v>
      </c>
      <c r="D29" s="18" t="s">
        <v>91</v>
      </c>
      <c r="E29" s="18" t="s">
        <v>92</v>
      </c>
      <c r="F29" s="14" t="s">
        <v>93</v>
      </c>
      <c r="G29" s="14"/>
      <c r="H29" s="12" t="s">
        <v>18</v>
      </c>
      <c r="I29" s="12" t="s">
        <v>94</v>
      </c>
      <c r="J29" s="11">
        <v>0.19</v>
      </c>
      <c r="K29" s="12">
        <v>100</v>
      </c>
      <c r="L29" s="12">
        <v>3</v>
      </c>
      <c r="M29" s="12"/>
      <c r="N29" s="12">
        <f t="shared" si="0"/>
        <v>3</v>
      </c>
      <c r="O29" s="12">
        <f t="shared" si="1"/>
        <v>0</v>
      </c>
      <c r="P29" s="12">
        <v>1</v>
      </c>
      <c r="Q29" s="13">
        <v>0.1</v>
      </c>
      <c r="R29" s="32">
        <f t="shared" si="2"/>
        <v>275</v>
      </c>
      <c r="S29" s="11">
        <f t="shared" si="3"/>
        <v>0.20900000000000002</v>
      </c>
      <c r="T29" s="11">
        <f t="shared" si="4"/>
        <v>44.935000000000002</v>
      </c>
      <c r="U29" s="60" t="s">
        <v>20</v>
      </c>
      <c r="V29" s="60" t="s">
        <v>183</v>
      </c>
      <c r="W29" s="19">
        <v>42373</v>
      </c>
      <c r="X29" s="30"/>
      <c r="Y29" s="46" t="s">
        <v>95</v>
      </c>
    </row>
    <row r="30" spans="1:25" x14ac:dyDescent="0.25">
      <c r="A30" s="7">
        <f t="shared" si="5"/>
        <v>28</v>
      </c>
      <c r="B30" s="23" t="s">
        <v>192</v>
      </c>
      <c r="C30" s="18" t="s">
        <v>72</v>
      </c>
      <c r="D30" s="23" t="s">
        <v>73</v>
      </c>
      <c r="E30" s="18" t="s">
        <v>74</v>
      </c>
      <c r="F30" s="14" t="s">
        <v>75</v>
      </c>
      <c r="G30" s="14"/>
      <c r="H30" s="57" t="s">
        <v>18</v>
      </c>
      <c r="I30" s="12" t="s">
        <v>76</v>
      </c>
      <c r="J30" s="11">
        <v>4.1500000000000004</v>
      </c>
      <c r="K30" s="12">
        <v>100</v>
      </c>
      <c r="L30" s="12">
        <v>38</v>
      </c>
      <c r="M30" s="12"/>
      <c r="N30" s="12">
        <f t="shared" si="0"/>
        <v>38</v>
      </c>
      <c r="O30" s="12">
        <f t="shared" si="1"/>
        <v>0</v>
      </c>
      <c r="P30" s="12">
        <v>1</v>
      </c>
      <c r="Q30" s="13">
        <v>0.05</v>
      </c>
      <c r="R30" s="32">
        <v>260</v>
      </c>
      <c r="S30" s="11">
        <f t="shared" si="3"/>
        <v>4.3575000000000008</v>
      </c>
      <c r="T30" s="11">
        <f t="shared" si="4"/>
        <v>936.86250000000018</v>
      </c>
      <c r="U30" s="60" t="s">
        <v>20</v>
      </c>
      <c r="V30" s="60" t="s">
        <v>183</v>
      </c>
      <c r="W30" s="19"/>
      <c r="X30" s="30"/>
      <c r="Y30" s="43"/>
    </row>
    <row r="31" spans="1:25" x14ac:dyDescent="0.25">
      <c r="A31" s="7">
        <f t="shared" si="5"/>
        <v>29</v>
      </c>
      <c r="B31" s="51" t="s">
        <v>198</v>
      </c>
      <c r="C31" s="18" t="s">
        <v>77</v>
      </c>
      <c r="D31" s="18" t="s">
        <v>148</v>
      </c>
      <c r="E31" s="18" t="s">
        <v>78</v>
      </c>
      <c r="F31" s="14" t="s">
        <v>149</v>
      </c>
      <c r="G31" s="14"/>
      <c r="H31" s="12" t="s">
        <v>18</v>
      </c>
      <c r="I31" s="12" t="s">
        <v>22</v>
      </c>
      <c r="J31" s="11">
        <v>0.7</v>
      </c>
      <c r="K31" s="12">
        <v>200</v>
      </c>
      <c r="L31" s="12">
        <v>8</v>
      </c>
      <c r="M31" s="12"/>
      <c r="N31" s="12">
        <f t="shared" si="0"/>
        <v>8</v>
      </c>
      <c r="O31" s="12">
        <f t="shared" si="1"/>
        <v>0</v>
      </c>
      <c r="P31" s="12">
        <v>1</v>
      </c>
      <c r="Q31" s="13">
        <v>0.2</v>
      </c>
      <c r="R31" s="32">
        <f>P31*250*(1+Q31)</f>
        <v>300</v>
      </c>
      <c r="S31" s="11">
        <f t="shared" si="3"/>
        <v>0.84</v>
      </c>
      <c r="T31" s="11">
        <f t="shared" si="4"/>
        <v>180.6</v>
      </c>
      <c r="U31" s="65" t="s">
        <v>78</v>
      </c>
      <c r="V31" s="65" t="s">
        <v>185</v>
      </c>
      <c r="W31" s="19"/>
      <c r="X31" s="30" t="s">
        <v>79</v>
      </c>
      <c r="Y31" s="43"/>
    </row>
    <row r="32" spans="1:25" x14ac:dyDescent="0.25">
      <c r="A32" s="7">
        <f t="shared" si="5"/>
        <v>30</v>
      </c>
      <c r="B32" s="23" t="s">
        <v>248</v>
      </c>
      <c r="C32" s="18" t="s">
        <v>80</v>
      </c>
      <c r="D32" s="18" t="s">
        <v>81</v>
      </c>
      <c r="E32" s="18" t="s">
        <v>74</v>
      </c>
      <c r="F32" s="14" t="s">
        <v>82</v>
      </c>
      <c r="G32" s="14"/>
      <c r="H32" s="12" t="s">
        <v>18</v>
      </c>
      <c r="I32" s="20" t="s">
        <v>83</v>
      </c>
      <c r="J32" s="11">
        <v>2.73</v>
      </c>
      <c r="K32" s="12">
        <v>100</v>
      </c>
      <c r="L32" s="12">
        <v>24</v>
      </c>
      <c r="M32" s="12"/>
      <c r="N32" s="12">
        <f t="shared" si="0"/>
        <v>24</v>
      </c>
      <c r="O32" s="12">
        <f t="shared" si="1"/>
        <v>0</v>
      </c>
      <c r="P32" s="12">
        <v>1</v>
      </c>
      <c r="Q32" s="13">
        <v>0.05</v>
      </c>
      <c r="R32" s="32">
        <f>P32*250*(1+Q32)</f>
        <v>262.5</v>
      </c>
      <c r="S32" s="11">
        <f t="shared" si="3"/>
        <v>2.8665000000000003</v>
      </c>
      <c r="T32" s="11">
        <f t="shared" si="4"/>
        <v>616.29750000000001</v>
      </c>
      <c r="U32" s="64" t="s">
        <v>47</v>
      </c>
      <c r="V32" s="63" t="s">
        <v>184</v>
      </c>
      <c r="W32" s="19">
        <v>42500</v>
      </c>
      <c r="X32" s="30"/>
      <c r="Y32" s="46" t="s">
        <v>147</v>
      </c>
    </row>
    <row r="33" spans="1:25" x14ac:dyDescent="0.25">
      <c r="A33" s="7">
        <f t="shared" si="5"/>
        <v>31</v>
      </c>
      <c r="B33" s="51" t="s">
        <v>218</v>
      </c>
      <c r="C33" s="18" t="s">
        <v>84</v>
      </c>
      <c r="D33" s="18" t="s">
        <v>85</v>
      </c>
      <c r="E33" s="18" t="s">
        <v>86</v>
      </c>
      <c r="F33" s="16" t="s">
        <v>87</v>
      </c>
      <c r="G33" s="16"/>
      <c r="H33" s="12" t="s">
        <v>18</v>
      </c>
      <c r="I33" s="12" t="s">
        <v>88</v>
      </c>
      <c r="J33" s="11">
        <v>0.40200000000000002</v>
      </c>
      <c r="K33" s="12">
        <v>100</v>
      </c>
      <c r="L33" s="12">
        <v>6</v>
      </c>
      <c r="M33" s="12"/>
      <c r="N33" s="12">
        <f t="shared" si="0"/>
        <v>6</v>
      </c>
      <c r="O33" s="12">
        <f t="shared" si="1"/>
        <v>0</v>
      </c>
      <c r="P33" s="12">
        <v>1</v>
      </c>
      <c r="Q33" s="13">
        <v>0.1</v>
      </c>
      <c r="R33" s="32">
        <f>P33*250*(1+Q33)</f>
        <v>275</v>
      </c>
      <c r="S33" s="11">
        <f t="shared" si="3"/>
        <v>0.44220000000000004</v>
      </c>
      <c r="T33" s="11">
        <f t="shared" si="4"/>
        <v>95.073000000000008</v>
      </c>
      <c r="U33" s="60" t="s">
        <v>20</v>
      </c>
      <c r="V33" s="60" t="s">
        <v>183</v>
      </c>
      <c r="W33" s="19"/>
      <c r="X33" s="30"/>
      <c r="Y33" s="43"/>
    </row>
    <row r="36" spans="1:25" x14ac:dyDescent="0.25">
      <c r="B36" s="131" t="s">
        <v>186</v>
      </c>
      <c r="C36" s="131"/>
      <c r="D36" s="131"/>
      <c r="E36" s="68">
        <f>SUM(N3:N33)</f>
        <v>284</v>
      </c>
    </row>
    <row r="37" spans="1:25" x14ac:dyDescent="0.25">
      <c r="B37" s="131" t="s">
        <v>187</v>
      </c>
      <c r="C37" s="131"/>
      <c r="D37" s="131"/>
      <c r="E37" s="68">
        <f>SUM(O3:O33)</f>
        <v>18</v>
      </c>
    </row>
    <row r="38" spans="1:25" x14ac:dyDescent="0.25">
      <c r="B38" s="131" t="s">
        <v>188</v>
      </c>
      <c r="C38" s="131"/>
      <c r="D38" s="131"/>
      <c r="E38" s="68">
        <f>COUNT(A3:A33)</f>
        <v>31</v>
      </c>
    </row>
    <row r="39" spans="1:25" x14ac:dyDescent="0.25">
      <c r="B39" s="131" t="s">
        <v>189</v>
      </c>
      <c r="C39" s="131"/>
      <c r="D39" s="131"/>
      <c r="E39" s="68">
        <f>SUM(P3:P33)</f>
        <v>110</v>
      </c>
    </row>
  </sheetData>
  <autoFilter ref="A2:Y2">
    <sortState ref="A2:Z34">
      <sortCondition ref="B1"/>
    </sortState>
  </autoFilter>
  <sortState ref="B3:AA39">
    <sortCondition descending="1" ref="J3:J39"/>
  </sortState>
  <mergeCells count="5">
    <mergeCell ref="B36:D36"/>
    <mergeCell ref="B37:D37"/>
    <mergeCell ref="B38:D38"/>
    <mergeCell ref="B39:D39"/>
    <mergeCell ref="A1:Y1"/>
  </mergeCells>
  <conditionalFormatting sqref="T3:T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Y29" r:id="rId1"/>
    <hyperlink ref="Y19" r:id="rId2"/>
    <hyperlink ref="Y15" r:id="rId3"/>
    <hyperlink ref="Y14" r:id="rId4"/>
    <hyperlink ref="Y17" r:id="rId5"/>
    <hyperlink ref="Y27" r:id="rId6"/>
    <hyperlink ref="Y18" r:id="rId7"/>
    <hyperlink ref="Y21" r:id="rId8"/>
    <hyperlink ref="Y11" r:id="rId9"/>
    <hyperlink ref="Y4" r:id="rId10"/>
    <hyperlink ref="Y32" r:id="rId11"/>
    <hyperlink ref="Y25" r:id="rId12"/>
    <hyperlink ref="Y16" r:id="rId13"/>
    <hyperlink ref="Y23" r:id="rId14"/>
  </hyperlinks>
  <printOptions horizontalCentered="1" headings="1"/>
  <pageMargins left="0.25" right="0.25" top="0.75" bottom="0.75" header="0.3" footer="0.3"/>
  <pageSetup orientation="landscape"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2018</vt:lpstr>
      <vt:lpstr>2018 Quotes</vt:lpstr>
      <vt:lpstr>2017</vt:lpstr>
      <vt:lpstr>2016</vt:lpstr>
      <vt:lpstr>'2016'!Print_Titles</vt:lpstr>
      <vt:lpstr>'2017'!Print_Titles</vt:lpstr>
      <vt:lpstr>'2018'!Print_Titles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Evan Mackay</cp:lastModifiedBy>
  <cp:revision/>
  <cp:lastPrinted>2018-06-25T14:51:06Z</cp:lastPrinted>
  <dcterms:created xsi:type="dcterms:W3CDTF">2014-04-13T22:19:22Z</dcterms:created>
  <dcterms:modified xsi:type="dcterms:W3CDTF">2018-06-25T20:44:33Z</dcterms:modified>
</cp:coreProperties>
</file>