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PCB Projects\QC19 - 2022\"/>
    </mc:Choice>
  </mc:AlternateContent>
  <xr:revisionPtr revIDLastSave="0" documentId="13_ncr:1_{D0AB3C3E-9E9A-4A92-B99C-CA05A27D27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2" sheetId="21" r:id="rId1"/>
    <sheet name="2021" sheetId="19" r:id="rId2"/>
    <sheet name="2021 Quotes" sheetId="20" r:id="rId3"/>
    <sheet name="2019" sheetId="15" r:id="rId4"/>
    <sheet name="2018" sheetId="11" r:id="rId5"/>
    <sheet name="2017" sheetId="10" r:id="rId6"/>
    <sheet name="2016" sheetId="1" r:id="rId7"/>
    <sheet name="2018 Quotes" sheetId="13" r:id="rId8"/>
    <sheet name="2019 Quotes" sheetId="16" r:id="rId9"/>
  </sheets>
  <definedNames>
    <definedName name="_xlnm._FilterDatabase" localSheetId="6" hidden="1">'2016'!$A$2:$Y$2</definedName>
    <definedName name="_xlnm._FilterDatabase" localSheetId="5" hidden="1">'2017'!$C$2:$Z$31</definedName>
    <definedName name="_xlnm._FilterDatabase" localSheetId="4" hidden="1">'2018'!$A$2:$Y$39</definedName>
    <definedName name="_xlnm._FilterDatabase" localSheetId="3" hidden="1">'2019'!$A$2:$Z$31</definedName>
    <definedName name="_xlnm._FilterDatabase" localSheetId="1" hidden="1">'2021'!$A$2:$AA$30</definedName>
    <definedName name="_xlnm._FilterDatabase" localSheetId="0" hidden="1">'2022'!$A$2:$W$29</definedName>
    <definedName name="_xlnm.Print_Titles" localSheetId="6">'2016'!$2:$2</definedName>
    <definedName name="_xlnm.Print_Titles" localSheetId="5">'2017'!$2:$2</definedName>
    <definedName name="_xlnm.Print_Titles" localSheetId="4">'2018'!$2:$2</definedName>
    <definedName name="_xlnm.Print_Titles" localSheetId="3">'2019'!$2:$2</definedName>
    <definedName name="_xlnm.Print_Titles" localSheetId="1">'2021'!$2:$2</definedName>
    <definedName name="_xlnm.Print_Titles" localSheetId="0">'2022'!$2:$2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" i="21" l="1"/>
  <c r="E40" i="21"/>
  <c r="O14" i="21"/>
  <c r="N14" i="21"/>
  <c r="O12" i="21"/>
  <c r="N12" i="21"/>
  <c r="O9" i="21"/>
  <c r="N9" i="21"/>
  <c r="O11" i="21"/>
  <c r="N11" i="21"/>
  <c r="O13" i="21"/>
  <c r="N13" i="21"/>
  <c r="O6" i="21"/>
  <c r="N6" i="21"/>
  <c r="O4" i="21"/>
  <c r="N4" i="21"/>
  <c r="O5" i="21" l="1"/>
  <c r="N5" i="21"/>
  <c r="O3" i="21" l="1"/>
  <c r="N3" i="21"/>
  <c r="R16" i="21"/>
  <c r="R10" i="21"/>
  <c r="R8" i="21"/>
  <c r="R7" i="21"/>
  <c r="R3" i="21"/>
  <c r="R5" i="21"/>
  <c r="R4" i="21"/>
  <c r="R6" i="21"/>
  <c r="R13" i="21"/>
  <c r="R11" i="21"/>
  <c r="R9" i="21"/>
  <c r="R12" i="21"/>
  <c r="R14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15" i="21"/>
  <c r="N16" i="21" l="1"/>
  <c r="O16" i="21"/>
  <c r="N10" i="21"/>
  <c r="O10" i="21"/>
  <c r="N8" i="21"/>
  <c r="O8" i="21"/>
  <c r="N7" i="21"/>
  <c r="O7" i="21"/>
  <c r="O15" i="21"/>
  <c r="N15" i="21"/>
  <c r="E41" i="21"/>
  <c r="S29" i="21"/>
  <c r="T29" i="21" s="1"/>
  <c r="Q29" i="21"/>
  <c r="O29" i="21"/>
  <c r="S28" i="21"/>
  <c r="T28" i="21" s="1"/>
  <c r="S27" i="21"/>
  <c r="T27" i="21" s="1"/>
  <c r="S26" i="21"/>
  <c r="T26" i="21" s="1"/>
  <c r="S25" i="21"/>
  <c r="T25" i="21" s="1"/>
  <c r="S24" i="21"/>
  <c r="T24" i="21" s="1"/>
  <c r="S23" i="21"/>
  <c r="T23" i="21" s="1"/>
  <c r="S22" i="21"/>
  <c r="T22" i="21" s="1"/>
  <c r="S21" i="21"/>
  <c r="T21" i="21" s="1"/>
  <c r="S20" i="21"/>
  <c r="T20" i="21" s="1"/>
  <c r="S19" i="21"/>
  <c r="T19" i="21" s="1"/>
  <c r="S18" i="21"/>
  <c r="T18" i="21" s="1"/>
  <c r="S17" i="21"/>
  <c r="T17" i="21" s="1"/>
  <c r="S14" i="21"/>
  <c r="T14" i="21" s="1"/>
  <c r="S12" i="21"/>
  <c r="T12" i="21" s="1"/>
  <c r="S9" i="21"/>
  <c r="T9" i="21" s="1"/>
  <c r="S11" i="21"/>
  <c r="T11" i="21" s="1"/>
  <c r="S13" i="21"/>
  <c r="T13" i="21" s="1"/>
  <c r="S6" i="21"/>
  <c r="T6" i="21" s="1"/>
  <c r="S4" i="21"/>
  <c r="T4" i="21" s="1"/>
  <c r="S5" i="21"/>
  <c r="T5" i="21" s="1"/>
  <c r="S3" i="21"/>
  <c r="T3" i="21" s="1"/>
  <c r="S7" i="21"/>
  <c r="T7" i="21" s="1"/>
  <c r="S8" i="21"/>
  <c r="T8" i="21" s="1"/>
  <c r="S10" i="21"/>
  <c r="T10" i="21" s="1"/>
  <c r="S16" i="21"/>
  <c r="T16" i="21" s="1"/>
  <c r="S15" i="21"/>
  <c r="T15" i="21" s="1"/>
  <c r="C16" i="20"/>
  <c r="C17" i="20"/>
  <c r="C18" i="20"/>
  <c r="C19" i="20"/>
  <c r="C20" i="20"/>
  <c r="C21" i="20"/>
  <c r="C22" i="20"/>
  <c r="C23" i="20"/>
  <c r="C24" i="20"/>
  <c r="C25" i="20"/>
  <c r="C26" i="20"/>
  <c r="C27" i="20"/>
  <c r="G14" i="20"/>
  <c r="G12" i="20"/>
  <c r="B15" i="20"/>
  <c r="G15" i="20" s="1"/>
  <c r="F15" i="20" s="1"/>
  <c r="H41" i="19"/>
  <c r="F19" i="20"/>
  <c r="F23" i="20"/>
  <c r="F27" i="20"/>
  <c r="B11" i="20"/>
  <c r="C11" i="20" s="1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J10" i="20"/>
  <c r="J11" i="20"/>
  <c r="J12" i="20"/>
  <c r="C12" i="20"/>
  <c r="C13" i="20"/>
  <c r="C14" i="20"/>
  <c r="C10" i="20"/>
  <c r="D11" i="20"/>
  <c r="E11" i="20" s="1"/>
  <c r="J13" i="20"/>
  <c r="G16" i="20"/>
  <c r="F16" i="20" s="1"/>
  <c r="G17" i="20"/>
  <c r="F17" i="20" s="1"/>
  <c r="G18" i="20"/>
  <c r="F18" i="20" s="1"/>
  <c r="G19" i="20"/>
  <c r="G20" i="20"/>
  <c r="F20" i="20" s="1"/>
  <c r="G21" i="20"/>
  <c r="F21" i="20" s="1"/>
  <c r="G22" i="20"/>
  <c r="F22" i="20" s="1"/>
  <c r="G23" i="20"/>
  <c r="G24" i="20"/>
  <c r="F24" i="20" s="1"/>
  <c r="G25" i="20"/>
  <c r="F25" i="20" s="1"/>
  <c r="G26" i="20"/>
  <c r="F26" i="20" s="1"/>
  <c r="G27" i="20"/>
  <c r="G13" i="20"/>
  <c r="F13" i="20" s="1"/>
  <c r="G10" i="20"/>
  <c r="F10" i="20" s="1"/>
  <c r="E10" i="20"/>
  <c r="C5" i="20"/>
  <c r="C6" i="20"/>
  <c r="C7" i="20"/>
  <c r="C3" i="20"/>
  <c r="C4" i="20"/>
  <c r="C2" i="20"/>
  <c r="W20" i="19"/>
  <c r="X20" i="19" s="1"/>
  <c r="S20" i="19"/>
  <c r="R20" i="19"/>
  <c r="U20" i="19"/>
  <c r="U8" i="19"/>
  <c r="U23" i="19"/>
  <c r="U24" i="19"/>
  <c r="U25" i="19"/>
  <c r="U26" i="19"/>
  <c r="U3" i="19"/>
  <c r="U21" i="19"/>
  <c r="U12" i="19"/>
  <c r="U13" i="19"/>
  <c r="U16" i="19"/>
  <c r="U27" i="19"/>
  <c r="U4" i="19"/>
  <c r="U11" i="19"/>
  <c r="U5" i="19"/>
  <c r="U6" i="19"/>
  <c r="U9" i="19"/>
  <c r="U7" i="19"/>
  <c r="U18" i="19"/>
  <c r="U10" i="19"/>
  <c r="U19" i="19"/>
  <c r="U17" i="19"/>
  <c r="U14" i="19"/>
  <c r="U15" i="19"/>
  <c r="U28" i="19"/>
  <c r="U29" i="19"/>
  <c r="U30" i="19"/>
  <c r="U22" i="19"/>
  <c r="W8" i="19"/>
  <c r="X8" i="19" s="1"/>
  <c r="V10" i="19"/>
  <c r="W10" i="19" s="1"/>
  <c r="X10" i="19" s="1"/>
  <c r="V14" i="19"/>
  <c r="W14" i="19" s="1"/>
  <c r="X14" i="19" s="1"/>
  <c r="V15" i="19"/>
  <c r="W15" i="19" s="1"/>
  <c r="X15" i="19" s="1"/>
  <c r="V28" i="19"/>
  <c r="W28" i="19" s="1"/>
  <c r="X28" i="19" s="1"/>
  <c r="V29" i="19"/>
  <c r="W29" i="19" s="1"/>
  <c r="X29" i="19" s="1"/>
  <c r="V30" i="19"/>
  <c r="W30" i="19" s="1"/>
  <c r="X30" i="19" s="1"/>
  <c r="W6" i="19"/>
  <c r="X6" i="19" s="1"/>
  <c r="R8" i="19"/>
  <c r="W22" i="19"/>
  <c r="X22" i="19" s="1"/>
  <c r="W23" i="19"/>
  <c r="X23" i="19" s="1"/>
  <c r="W9" i="19"/>
  <c r="X9" i="19" s="1"/>
  <c r="W7" i="19"/>
  <c r="X7" i="19" s="1"/>
  <c r="W18" i="19"/>
  <c r="X18" i="19" s="1"/>
  <c r="W19" i="19"/>
  <c r="X19" i="19" s="1"/>
  <c r="W17" i="19"/>
  <c r="X17" i="19" s="1"/>
  <c r="W24" i="19"/>
  <c r="X24" i="19" s="1"/>
  <c r="W25" i="19"/>
  <c r="X25" i="19" s="1"/>
  <c r="W26" i="19"/>
  <c r="X26" i="19" s="1"/>
  <c r="W3" i="19"/>
  <c r="X3" i="19" s="1"/>
  <c r="W21" i="19"/>
  <c r="X21" i="19" s="1"/>
  <c r="W12" i="19"/>
  <c r="X12" i="19" s="1"/>
  <c r="W13" i="19"/>
  <c r="X13" i="19" s="1"/>
  <c r="W16" i="19"/>
  <c r="X16" i="19" s="1"/>
  <c r="W27" i="19"/>
  <c r="X27" i="19" s="1"/>
  <c r="W4" i="19"/>
  <c r="X4" i="19" s="1"/>
  <c r="W11" i="19"/>
  <c r="X11" i="19" s="1"/>
  <c r="W5" i="19"/>
  <c r="X5" i="19" s="1"/>
  <c r="R23" i="19"/>
  <c r="S23" i="19"/>
  <c r="R24" i="19"/>
  <c r="S24" i="19"/>
  <c r="R25" i="19"/>
  <c r="S25" i="19"/>
  <c r="R26" i="19"/>
  <c r="S26" i="19"/>
  <c r="R3" i="19"/>
  <c r="S3" i="19"/>
  <c r="R21" i="19"/>
  <c r="S21" i="19"/>
  <c r="R12" i="19"/>
  <c r="S12" i="19"/>
  <c r="R13" i="19"/>
  <c r="S13" i="19"/>
  <c r="R16" i="19"/>
  <c r="S16" i="19"/>
  <c r="R27" i="19"/>
  <c r="S27" i="19"/>
  <c r="R4" i="19"/>
  <c r="S4" i="19"/>
  <c r="R11" i="19"/>
  <c r="S11" i="19"/>
  <c r="R5" i="19"/>
  <c r="S5" i="19"/>
  <c r="R6" i="19"/>
  <c r="S6" i="19"/>
  <c r="S8" i="19"/>
  <c r="R9" i="19"/>
  <c r="S9" i="19"/>
  <c r="R7" i="19"/>
  <c r="S7" i="19"/>
  <c r="R18" i="19"/>
  <c r="S18" i="19"/>
  <c r="R10" i="19"/>
  <c r="S10" i="19"/>
  <c r="R19" i="19"/>
  <c r="S19" i="19"/>
  <c r="R17" i="19"/>
  <c r="S17" i="19"/>
  <c r="R14" i="19"/>
  <c r="S14" i="19"/>
  <c r="R15" i="19"/>
  <c r="S15" i="19"/>
  <c r="R28" i="19"/>
  <c r="S28" i="19"/>
  <c r="R29" i="19"/>
  <c r="S29" i="19"/>
  <c r="R30" i="19"/>
  <c r="S30" i="19"/>
  <c r="S22" i="19"/>
  <c r="R22" i="19"/>
  <c r="E38" i="21" l="1"/>
  <c r="E39" i="21"/>
  <c r="E43" i="21"/>
  <c r="E44" i="21"/>
  <c r="C15" i="20"/>
  <c r="G11" i="20"/>
  <c r="F11" i="20" s="1"/>
  <c r="L26" i="20" s="1"/>
  <c r="L27" i="20" s="1"/>
  <c r="H44" i="19"/>
  <c r="H43" i="19"/>
  <c r="H42" i="19"/>
  <c r="H40" i="19"/>
  <c r="H39" i="19"/>
  <c r="T13" i="15" l="1"/>
  <c r="V13" i="15" s="1"/>
  <c r="W13" i="15" s="1"/>
  <c r="U13" i="15"/>
  <c r="R13" i="15"/>
  <c r="Q13" i="15"/>
  <c r="T21" i="15" l="1"/>
  <c r="D10" i="16" l="1"/>
  <c r="B2" i="16" l="1"/>
  <c r="G42" i="15" l="1"/>
  <c r="R22" i="15"/>
  <c r="R12" i="15"/>
  <c r="Q22" i="15"/>
  <c r="Q12" i="15"/>
  <c r="U22" i="15"/>
  <c r="U12" i="15"/>
  <c r="T22" i="15"/>
  <c r="V22" i="15" s="1"/>
  <c r="W22" i="15" s="1"/>
  <c r="T12" i="15"/>
  <c r="V12" i="15" s="1"/>
  <c r="W12" i="15" s="1"/>
  <c r="G43" i="15" l="1"/>
  <c r="T27" i="15" l="1"/>
  <c r="V27" i="15" s="1"/>
  <c r="W27" i="15" s="1"/>
  <c r="U27" i="15"/>
  <c r="R27" i="15"/>
  <c r="R9" i="15"/>
  <c r="R11" i="15"/>
  <c r="Q11" i="15"/>
  <c r="Q9" i="15"/>
  <c r="B9" i="16"/>
  <c r="D9" i="16" s="1"/>
  <c r="C2" i="16"/>
  <c r="E2" i="16" s="1"/>
  <c r="D3" i="16"/>
  <c r="D4" i="16"/>
  <c r="D5" i="16"/>
  <c r="D6" i="16"/>
  <c r="D7" i="16"/>
  <c r="D8" i="16"/>
  <c r="R4" i="15"/>
  <c r="R5" i="15"/>
  <c r="R6" i="15"/>
  <c r="R7" i="15"/>
  <c r="R8" i="15"/>
  <c r="R10" i="15"/>
  <c r="R14" i="15"/>
  <c r="R15" i="15"/>
  <c r="R16" i="15"/>
  <c r="R17" i="15"/>
  <c r="R18" i="15"/>
  <c r="R19" i="15"/>
  <c r="R20" i="15"/>
  <c r="R21" i="15"/>
  <c r="R23" i="15"/>
  <c r="R24" i="15"/>
  <c r="R25" i="15"/>
  <c r="R28" i="15"/>
  <c r="R29" i="15"/>
  <c r="R30" i="15"/>
  <c r="R31" i="15"/>
  <c r="R32" i="15"/>
  <c r="R33" i="15"/>
  <c r="R34" i="15"/>
  <c r="R35" i="15"/>
  <c r="R36" i="15"/>
  <c r="R37" i="15"/>
  <c r="R26" i="15"/>
  <c r="R3" i="15"/>
  <c r="Q3" i="15"/>
  <c r="G41" i="15" l="1"/>
  <c r="D2" i="16"/>
  <c r="U21" i="15"/>
  <c r="V21" i="15"/>
  <c r="W21" i="15" s="1"/>
  <c r="Q21" i="15"/>
  <c r="Q27" i="15"/>
  <c r="T33" i="15" l="1"/>
  <c r="V33" i="15" s="1"/>
  <c r="W33" i="15" s="1"/>
  <c r="T34" i="15"/>
  <c r="V34" i="15" s="1"/>
  <c r="W34" i="15" s="1"/>
  <c r="T20" i="15"/>
  <c r="V20" i="15" s="1"/>
  <c r="W20" i="15" s="1"/>
  <c r="T36" i="15"/>
  <c r="V36" i="15" s="1"/>
  <c r="W36" i="15" s="1"/>
  <c r="T5" i="15"/>
  <c r="V5" i="15" s="1"/>
  <c r="W5" i="15" s="1"/>
  <c r="T30" i="15"/>
  <c r="V30" i="15" s="1"/>
  <c r="W30" i="15" s="1"/>
  <c r="T4" i="15"/>
  <c r="V4" i="15" s="1"/>
  <c r="W4" i="15" s="1"/>
  <c r="T25" i="15"/>
  <c r="V25" i="15" s="1"/>
  <c r="W25" i="15" s="1"/>
  <c r="T18" i="15"/>
  <c r="V18" i="15" s="1"/>
  <c r="W18" i="15" s="1"/>
  <c r="T37" i="15"/>
  <c r="V37" i="15" s="1"/>
  <c r="W37" i="15" s="1"/>
  <c r="T32" i="15"/>
  <c r="T3" i="15"/>
  <c r="V3" i="15" s="1"/>
  <c r="V15" i="15"/>
  <c r="W15" i="15" s="1"/>
  <c r="T24" i="15"/>
  <c r="V24" i="15" s="1"/>
  <c r="W24" i="15" s="1"/>
  <c r="T29" i="15"/>
  <c r="V29" i="15" s="1"/>
  <c r="W29" i="15" s="1"/>
  <c r="T28" i="15"/>
  <c r="V28" i="15" s="1"/>
  <c r="W28" i="15" s="1"/>
  <c r="T31" i="15"/>
  <c r="V31" i="15" s="1"/>
  <c r="W31" i="15" s="1"/>
  <c r="T17" i="15"/>
  <c r="V17" i="15" s="1"/>
  <c r="W17" i="15" s="1"/>
  <c r="T6" i="15"/>
  <c r="V6" i="15" s="1"/>
  <c r="W6" i="15" s="1"/>
  <c r="T16" i="15"/>
  <c r="V16" i="15" s="1"/>
  <c r="W16" i="15" s="1"/>
  <c r="T7" i="15"/>
  <c r="V7" i="15" s="1"/>
  <c r="W7" i="15" s="1"/>
  <c r="T8" i="15"/>
  <c r="V8" i="15" s="1"/>
  <c r="W8" i="15" s="1"/>
  <c r="T10" i="15"/>
  <c r="V10" i="15" s="1"/>
  <c r="W10" i="15" s="1"/>
  <c r="T19" i="15"/>
  <c r="V19" i="15" s="1"/>
  <c r="W19" i="15" s="1"/>
  <c r="T23" i="15"/>
  <c r="V23" i="15" s="1"/>
  <c r="W23" i="15" s="1"/>
  <c r="T14" i="15"/>
  <c r="V14" i="15" s="1"/>
  <c r="W14" i="15" s="1"/>
  <c r="T26" i="15"/>
  <c r="V26" i="15" s="1"/>
  <c r="W26" i="15" s="1"/>
  <c r="T35" i="15"/>
  <c r="V35" i="15" s="1"/>
  <c r="W35" i="15" s="1"/>
  <c r="U33" i="15"/>
  <c r="U34" i="15"/>
  <c r="U20" i="15"/>
  <c r="U36" i="15"/>
  <c r="U5" i="15"/>
  <c r="U30" i="15"/>
  <c r="U4" i="15"/>
  <c r="U25" i="15"/>
  <c r="U18" i="15"/>
  <c r="U37" i="15"/>
  <c r="U32" i="15"/>
  <c r="U3" i="15"/>
  <c r="U15" i="15"/>
  <c r="U24" i="15"/>
  <c r="U29" i="15"/>
  <c r="U28" i="15"/>
  <c r="U31" i="15"/>
  <c r="U17" i="15"/>
  <c r="U6" i="15"/>
  <c r="U16" i="15"/>
  <c r="U7" i="15"/>
  <c r="U8" i="15"/>
  <c r="U10" i="15"/>
  <c r="U19" i="15"/>
  <c r="U23" i="15"/>
  <c r="U14" i="15"/>
  <c r="U26" i="15"/>
  <c r="U35" i="15"/>
  <c r="Q33" i="15"/>
  <c r="Q34" i="15"/>
  <c r="Q20" i="15"/>
  <c r="Q36" i="15"/>
  <c r="Q5" i="15"/>
  <c r="Q30" i="15"/>
  <c r="Q4" i="15"/>
  <c r="Q25" i="15"/>
  <c r="Q18" i="15"/>
  <c r="Q37" i="15"/>
  <c r="Q32" i="15"/>
  <c r="Q15" i="15"/>
  <c r="Q24" i="15"/>
  <c r="Q29" i="15"/>
  <c r="Q28" i="15"/>
  <c r="Q31" i="15"/>
  <c r="Q17" i="15"/>
  <c r="Q6" i="15"/>
  <c r="Q16" i="15"/>
  <c r="Q7" i="15"/>
  <c r="Q8" i="15"/>
  <c r="Q10" i="15"/>
  <c r="Q19" i="15"/>
  <c r="Q23" i="15"/>
  <c r="Q14" i="15"/>
  <c r="Q26" i="15"/>
  <c r="Q35" i="15"/>
  <c r="V32" i="15"/>
  <c r="W32" i="15" s="1"/>
  <c r="G40" i="15" l="1"/>
  <c r="W3" i="15"/>
  <c r="S4" i="11"/>
  <c r="S5" i="11"/>
  <c r="S6" i="11"/>
  <c r="S7" i="11"/>
  <c r="S8" i="11"/>
  <c r="S9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3" i="11"/>
  <c r="O13" i="11" l="1"/>
  <c r="O14" i="11"/>
  <c r="O15" i="11"/>
  <c r="O16" i="11"/>
  <c r="N13" i="11"/>
  <c r="N14" i="11"/>
  <c r="N15" i="11"/>
  <c r="F44" i="11"/>
  <c r="T23" i="11"/>
  <c r="N23" i="11"/>
  <c r="O23" i="11"/>
  <c r="N28" i="11"/>
  <c r="T28" i="11"/>
  <c r="O28" i="11"/>
  <c r="B8" i="13"/>
  <c r="C8" i="13"/>
  <c r="T14" i="11"/>
  <c r="T13" i="11"/>
  <c r="K13" i="11"/>
  <c r="Q11" i="11"/>
  <c r="S11" i="11" s="1"/>
  <c r="T5" i="11"/>
  <c r="R12" i="11"/>
  <c r="T12" i="11" s="1"/>
  <c r="T17" i="11"/>
  <c r="T18" i="11"/>
  <c r="R20" i="11"/>
  <c r="T20" i="11" s="1"/>
  <c r="R21" i="11"/>
  <c r="T21" i="11" s="1"/>
  <c r="R22" i="11"/>
  <c r="T22" i="11" s="1"/>
  <c r="T24" i="11"/>
  <c r="T25" i="11"/>
  <c r="T26" i="11"/>
  <c r="T29" i="11"/>
  <c r="T30" i="11"/>
  <c r="T32" i="11"/>
  <c r="T33" i="11"/>
  <c r="T34" i="11"/>
  <c r="T35" i="11"/>
  <c r="T36" i="11"/>
  <c r="T37" i="11"/>
  <c r="T38" i="11"/>
  <c r="T39" i="11"/>
  <c r="R19" i="11"/>
  <c r="T19" i="11" s="1"/>
  <c r="T27" i="11"/>
  <c r="T15" i="11"/>
  <c r="T31" i="11"/>
  <c r="T4" i="11"/>
  <c r="T6" i="11"/>
  <c r="T7" i="11"/>
  <c r="T8" i="11"/>
  <c r="T9" i="11"/>
  <c r="T3" i="11"/>
  <c r="C3" i="13"/>
  <c r="C4" i="13"/>
  <c r="C5" i="13"/>
  <c r="C6" i="13"/>
  <c r="C7" i="13"/>
  <c r="B2" i="13"/>
  <c r="N31" i="11"/>
  <c r="O31" i="11"/>
  <c r="N20" i="11"/>
  <c r="N19" i="11"/>
  <c r="O19" i="11"/>
  <c r="N27" i="11"/>
  <c r="O27" i="11"/>
  <c r="N4" i="11"/>
  <c r="O4" i="11"/>
  <c r="N6" i="11"/>
  <c r="O6" i="11"/>
  <c r="N7" i="11"/>
  <c r="O7" i="11"/>
  <c r="N8" i="11"/>
  <c r="O8" i="11"/>
  <c r="N9" i="11"/>
  <c r="O9" i="11"/>
  <c r="N10" i="11"/>
  <c r="O10" i="11"/>
  <c r="N5" i="11"/>
  <c r="O5" i="11"/>
  <c r="N11" i="11"/>
  <c r="O11" i="11"/>
  <c r="N12" i="11"/>
  <c r="O12" i="11"/>
  <c r="N16" i="11"/>
  <c r="N17" i="11"/>
  <c r="O17" i="11"/>
  <c r="N18" i="11"/>
  <c r="O18" i="11"/>
  <c r="O20" i="11"/>
  <c r="N21" i="11"/>
  <c r="O21" i="11"/>
  <c r="N22" i="11"/>
  <c r="O22" i="11"/>
  <c r="N24" i="11"/>
  <c r="O24" i="11"/>
  <c r="N25" i="11"/>
  <c r="O25" i="11"/>
  <c r="N26" i="11"/>
  <c r="O26" i="11"/>
  <c r="N29" i="11"/>
  <c r="O29" i="11"/>
  <c r="N30" i="11"/>
  <c r="O30" i="11"/>
  <c r="N32" i="11"/>
  <c r="O32" i="11"/>
  <c r="N33" i="11"/>
  <c r="O33" i="11"/>
  <c r="N34" i="11"/>
  <c r="O34" i="11"/>
  <c r="N35" i="11"/>
  <c r="O35" i="11"/>
  <c r="N36" i="11"/>
  <c r="O36" i="11"/>
  <c r="N37" i="11"/>
  <c r="O37" i="11"/>
  <c r="N38" i="11"/>
  <c r="O38" i="11"/>
  <c r="N39" i="11"/>
  <c r="O39" i="11"/>
  <c r="O3" i="11"/>
  <c r="N3" i="11"/>
  <c r="K5" i="11"/>
  <c r="R16" i="11"/>
  <c r="F45" i="11"/>
  <c r="G37" i="10"/>
  <c r="P32" i="10"/>
  <c r="T4" i="10"/>
  <c r="F39" i="10"/>
  <c r="R11" i="10"/>
  <c r="R19" i="10"/>
  <c r="T26" i="10"/>
  <c r="U26" i="10" s="1"/>
  <c r="T5" i="10"/>
  <c r="U5" i="10" s="1"/>
  <c r="S6" i="10"/>
  <c r="T6" i="10" s="1"/>
  <c r="U6" i="10" s="1"/>
  <c r="T7" i="10"/>
  <c r="U7" i="10" s="1"/>
  <c r="T8" i="10"/>
  <c r="U8" i="10" s="1"/>
  <c r="T9" i="10"/>
  <c r="U9" i="10" s="1"/>
  <c r="T10" i="10"/>
  <c r="U10" i="10" s="1"/>
  <c r="S12" i="10"/>
  <c r="T12" i="10" s="1"/>
  <c r="T13" i="10"/>
  <c r="U13" i="10" s="1"/>
  <c r="T14" i="10"/>
  <c r="U14" i="10" s="1"/>
  <c r="T15" i="10"/>
  <c r="U15" i="10" s="1"/>
  <c r="S16" i="10"/>
  <c r="T16" i="10" s="1"/>
  <c r="U16" i="10" s="1"/>
  <c r="S17" i="10"/>
  <c r="T17" i="10" s="1"/>
  <c r="U17" i="10" s="1"/>
  <c r="T18" i="10"/>
  <c r="U18" i="10" s="1"/>
  <c r="T20" i="10"/>
  <c r="U20" i="10" s="1"/>
  <c r="T21" i="10"/>
  <c r="U21" i="10" s="1"/>
  <c r="T22" i="10"/>
  <c r="U22" i="10" s="1"/>
  <c r="S23" i="10"/>
  <c r="T23" i="10" s="1"/>
  <c r="U23" i="10" s="1"/>
  <c r="T24" i="10"/>
  <c r="U24" i="10" s="1"/>
  <c r="T25" i="10"/>
  <c r="U25" i="10" s="1"/>
  <c r="T27" i="10"/>
  <c r="U27" i="10" s="1"/>
  <c r="T28" i="10"/>
  <c r="U28" i="10" s="1"/>
  <c r="T29" i="10"/>
  <c r="U29" i="10" s="1"/>
  <c r="T30" i="10"/>
  <c r="U30" i="10" s="1"/>
  <c r="T31" i="10"/>
  <c r="U31" i="10" s="1"/>
  <c r="T3" i="10"/>
  <c r="U3" i="10" s="1"/>
  <c r="T11" i="10"/>
  <c r="U11" i="10" s="1"/>
  <c r="O4" i="10"/>
  <c r="P4" i="10"/>
  <c r="O5" i="10"/>
  <c r="P5" i="10"/>
  <c r="O6" i="10"/>
  <c r="P6" i="10"/>
  <c r="O7" i="10"/>
  <c r="P7" i="10"/>
  <c r="O8" i="10"/>
  <c r="P8" i="10"/>
  <c r="O9" i="10"/>
  <c r="P9" i="10"/>
  <c r="O10" i="10"/>
  <c r="P10" i="10"/>
  <c r="O11" i="10"/>
  <c r="P11" i="10"/>
  <c r="O12" i="10"/>
  <c r="P12" i="10"/>
  <c r="O13" i="10"/>
  <c r="P13" i="10"/>
  <c r="O14" i="10"/>
  <c r="P14" i="10"/>
  <c r="O15" i="10"/>
  <c r="P15" i="10"/>
  <c r="O16" i="10"/>
  <c r="P16" i="10"/>
  <c r="O17" i="10"/>
  <c r="P17" i="10"/>
  <c r="O18" i="10"/>
  <c r="P18" i="10"/>
  <c r="O19" i="10"/>
  <c r="P19" i="10"/>
  <c r="O20" i="10"/>
  <c r="P20" i="10"/>
  <c r="O21" i="10"/>
  <c r="P21" i="10"/>
  <c r="O22" i="10"/>
  <c r="P22" i="10"/>
  <c r="O23" i="10"/>
  <c r="P23" i="10"/>
  <c r="O24" i="10"/>
  <c r="P24" i="10"/>
  <c r="O25" i="10"/>
  <c r="P25" i="10"/>
  <c r="O26" i="10"/>
  <c r="P26" i="10"/>
  <c r="O27" i="10"/>
  <c r="P27" i="10"/>
  <c r="O28" i="10"/>
  <c r="P28" i="10"/>
  <c r="O29" i="10"/>
  <c r="P29" i="10"/>
  <c r="O30" i="10"/>
  <c r="P30" i="10"/>
  <c r="O31" i="10"/>
  <c r="P31" i="10"/>
  <c r="P3" i="10"/>
  <c r="O3" i="10"/>
  <c r="F40" i="10"/>
  <c r="E39" i="1"/>
  <c r="A4" i="1"/>
  <c r="R4" i="1"/>
  <c r="R5" i="1"/>
  <c r="R6" i="1"/>
  <c r="R7" i="1"/>
  <c r="R8" i="1"/>
  <c r="R9" i="1"/>
  <c r="R10" i="1"/>
  <c r="R12" i="1"/>
  <c r="R13" i="1"/>
  <c r="R14" i="1"/>
  <c r="R15" i="1"/>
  <c r="R17" i="1"/>
  <c r="R16" i="1"/>
  <c r="R18" i="1"/>
  <c r="R19" i="1"/>
  <c r="R20" i="1"/>
  <c r="R21" i="1"/>
  <c r="R23" i="1"/>
  <c r="R24" i="1"/>
  <c r="R25" i="1"/>
  <c r="R26" i="1"/>
  <c r="R27" i="1"/>
  <c r="R28" i="1"/>
  <c r="R29" i="1"/>
  <c r="R31" i="1"/>
  <c r="R32" i="1"/>
  <c r="R33" i="1"/>
  <c r="R22" i="1"/>
  <c r="R3" i="1"/>
  <c r="S20" i="1"/>
  <c r="T20" i="1" s="1"/>
  <c r="N20" i="1"/>
  <c r="O20" i="1"/>
  <c r="S22" i="1"/>
  <c r="T22" i="1" s="1"/>
  <c r="O22" i="1"/>
  <c r="N22" i="1"/>
  <c r="O3" i="1"/>
  <c r="O7" i="1"/>
  <c r="O5" i="1"/>
  <c r="O6" i="1"/>
  <c r="O8" i="1"/>
  <c r="O9" i="1"/>
  <c r="O10" i="1"/>
  <c r="O12" i="1"/>
  <c r="O13" i="1"/>
  <c r="O25" i="1"/>
  <c r="O26" i="1"/>
  <c r="O24" i="1"/>
  <c r="O30" i="1"/>
  <c r="O31" i="1"/>
  <c r="O32" i="1"/>
  <c r="O33" i="1"/>
  <c r="O29" i="1"/>
  <c r="O19" i="1"/>
  <c r="O17" i="1"/>
  <c r="O16" i="1"/>
  <c r="O15" i="1"/>
  <c r="O14" i="1"/>
  <c r="O27" i="1"/>
  <c r="O4" i="1"/>
  <c r="O21" i="1"/>
  <c r="O11" i="1"/>
  <c r="O18" i="1"/>
  <c r="O23" i="1"/>
  <c r="O28" i="1"/>
  <c r="N3" i="1"/>
  <c r="N7" i="1"/>
  <c r="N5" i="1"/>
  <c r="N6" i="1"/>
  <c r="N8" i="1"/>
  <c r="N9" i="1"/>
  <c r="N10" i="1"/>
  <c r="N12" i="1"/>
  <c r="N13" i="1"/>
  <c r="N25" i="1"/>
  <c r="N26" i="1"/>
  <c r="N24" i="1"/>
  <c r="N30" i="1"/>
  <c r="N31" i="1"/>
  <c r="N32" i="1"/>
  <c r="N33" i="1"/>
  <c r="N29" i="1"/>
  <c r="N19" i="1"/>
  <c r="N17" i="1"/>
  <c r="N16" i="1"/>
  <c r="N15" i="1"/>
  <c r="N14" i="1"/>
  <c r="N27" i="1"/>
  <c r="N4" i="1"/>
  <c r="N21" i="1"/>
  <c r="N11" i="1"/>
  <c r="N18" i="1"/>
  <c r="N23" i="1"/>
  <c r="N28" i="1"/>
  <c r="S23" i="1"/>
  <c r="T23" i="1" s="1"/>
  <c r="J11" i="1"/>
  <c r="S11" i="1" s="1"/>
  <c r="T11" i="1" s="1"/>
  <c r="S4" i="1"/>
  <c r="T4" i="1" s="1"/>
  <c r="S21" i="1"/>
  <c r="T21" i="1" s="1"/>
  <c r="S18" i="1"/>
  <c r="T18" i="1" s="1"/>
  <c r="S16" i="1"/>
  <c r="T16" i="1" s="1"/>
  <c r="S15" i="1"/>
  <c r="T15" i="1" s="1"/>
  <c r="S14" i="1"/>
  <c r="T14" i="1"/>
  <c r="S27" i="1"/>
  <c r="T27" i="1" s="1"/>
  <c r="S17" i="1"/>
  <c r="T17" i="1" s="1"/>
  <c r="S19" i="1"/>
  <c r="T19" i="1" s="1"/>
  <c r="S29" i="1"/>
  <c r="T29" i="1" s="1"/>
  <c r="S28" i="1"/>
  <c r="T28" i="1" s="1"/>
  <c r="S3" i="1"/>
  <c r="T3" i="1" s="1"/>
  <c r="S7" i="1"/>
  <c r="T7" i="1" s="1"/>
  <c r="S5" i="1"/>
  <c r="T5" i="1" s="1"/>
  <c r="S6" i="1"/>
  <c r="T6" i="1" s="1"/>
  <c r="S8" i="1"/>
  <c r="T8" i="1" s="1"/>
  <c r="S9" i="1"/>
  <c r="T9" i="1" s="1"/>
  <c r="S10" i="1"/>
  <c r="T10" i="1" s="1"/>
  <c r="S12" i="1"/>
  <c r="T12" i="1" s="1"/>
  <c r="S13" i="1"/>
  <c r="T13" i="1" s="1"/>
  <c r="S25" i="1"/>
  <c r="T25" i="1" s="1"/>
  <c r="S26" i="1"/>
  <c r="T26" i="1" s="1"/>
  <c r="S24" i="1"/>
  <c r="T24" i="1" s="1"/>
  <c r="S30" i="1"/>
  <c r="T30" i="1" s="1"/>
  <c r="S31" i="1"/>
  <c r="T31" i="1" s="1"/>
  <c r="S32" i="1"/>
  <c r="T32" i="1" s="1"/>
  <c r="S33" i="1"/>
  <c r="T33" i="1" s="1"/>
  <c r="T19" i="10"/>
  <c r="U19" i="10" s="1"/>
  <c r="C8" i="16" l="1"/>
  <c r="E8" i="16" s="1"/>
  <c r="F42" i="11"/>
  <c r="Q10" i="11" s="1"/>
  <c r="S10" i="11" s="1"/>
  <c r="F46" i="11" s="1"/>
  <c r="F43" i="11"/>
  <c r="R11" i="11"/>
  <c r="T11" i="11" s="1"/>
  <c r="F38" i="10"/>
  <c r="C2" i="13"/>
  <c r="B11" i="13"/>
  <c r="C6" i="16"/>
  <c r="E6" i="16" s="1"/>
  <c r="C7" i="16"/>
  <c r="E7" i="16" s="1"/>
  <c r="C9" i="16"/>
  <c r="E9" i="16" s="1"/>
  <c r="C5" i="16"/>
  <c r="E5" i="16" s="1"/>
  <c r="C4" i="16"/>
  <c r="E4" i="16" s="1"/>
  <c r="C3" i="16"/>
  <c r="E3" i="16" s="1"/>
  <c r="E37" i="1"/>
  <c r="E36" i="1"/>
  <c r="F37" i="10"/>
  <c r="U12" i="10"/>
  <c r="F41" i="10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R10" i="11" l="1"/>
  <c r="T10" i="11" s="1"/>
  <c r="F47" i="11" s="1"/>
  <c r="E38" i="1"/>
  <c r="V9" i="15"/>
  <c r="W9" i="15" s="1"/>
  <c r="U9" i="15"/>
  <c r="V11" i="15"/>
  <c r="W11" i="15" s="1"/>
  <c r="U11" i="15"/>
  <c r="G44" i="15" l="1"/>
  <c r="G45" i="15"/>
  <c r="B14" i="16" s="1"/>
  <c r="B22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Evan</author>
  </authors>
  <commentList>
    <comment ref="W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Evan:</t>
        </r>
        <r>
          <rPr>
            <sz val="9"/>
            <color indexed="81"/>
            <rFont val="Tahoma"/>
            <family val="2"/>
          </rPr>
          <t xml:space="preserve">
If a Mouser/ Digi reel would make sense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Evan Mackay</author>
  </authors>
  <commentList>
    <comment ref="G3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Evan Mackay:</t>
        </r>
        <r>
          <rPr>
            <sz val="9"/>
            <color indexed="81"/>
            <rFont val="Tahoma"/>
            <family val="2"/>
          </rPr>
          <t xml:space="preserve">
Alt: 3M 3302/14 300SF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Evan Mackay</author>
  </authors>
  <commentList>
    <comment ref="F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Evan Mackay:</t>
        </r>
        <r>
          <rPr>
            <sz val="9"/>
            <color indexed="81"/>
            <rFont val="Tahoma"/>
            <family val="2"/>
          </rPr>
          <t xml:space="preserve">
Alt: 3M 3302/14 300SF</t>
        </r>
      </text>
    </comment>
  </commentList>
</comments>
</file>

<file path=xl/sharedStrings.xml><?xml version="1.0" encoding="utf-8"?>
<sst xmlns="http://schemas.openxmlformats.org/spreadsheetml/2006/main" count="1721" uniqueCount="721">
  <si>
    <t>#</t>
  </si>
  <si>
    <t>Designator</t>
  </si>
  <si>
    <t>Name</t>
  </si>
  <si>
    <t>Spec</t>
  </si>
  <si>
    <t>Manufacturer</t>
  </si>
  <si>
    <t>PN</t>
  </si>
  <si>
    <t>Any*</t>
  </si>
  <si>
    <t>Footprint</t>
  </si>
  <si>
    <t>Cost</t>
  </si>
  <si>
    <t>@ Qty</t>
  </si>
  <si>
    <t>Pads</t>
  </si>
  <si>
    <t>% Spare</t>
  </si>
  <si>
    <t>Ship QTY</t>
  </si>
  <si>
    <t>Subtotal</t>
  </si>
  <si>
    <t>Vendor</t>
  </si>
  <si>
    <t>Shipped From</t>
  </si>
  <si>
    <t>Last Verified</t>
  </si>
  <si>
    <t>Note</t>
  </si>
  <si>
    <t>N</t>
  </si>
  <si>
    <t>NA</t>
  </si>
  <si>
    <t>Mouser</t>
  </si>
  <si>
    <t>Button</t>
  </si>
  <si>
    <t>SMT</t>
  </si>
  <si>
    <t>Y</t>
  </si>
  <si>
    <t>Amazon</t>
  </si>
  <si>
    <t>USA</t>
  </si>
  <si>
    <t>Customer Supplied</t>
  </si>
  <si>
    <t>Battery Holder</t>
  </si>
  <si>
    <t>2xAA, TH</t>
  </si>
  <si>
    <t>Eagle Plastic Devices</t>
  </si>
  <si>
    <t>12BH321P-GR</t>
  </si>
  <si>
    <t>TH</t>
  </si>
  <si>
    <t>1.0uF, 25V, 10%</t>
  </si>
  <si>
    <t>Murata</t>
  </si>
  <si>
    <t>GRM188R61E105KA12D</t>
  </si>
  <si>
    <t>0603</t>
  </si>
  <si>
    <t>Reset Cap</t>
  </si>
  <si>
    <t>2.2nF, 25V, 20%</t>
  </si>
  <si>
    <t>GRM188R71H222KA01D</t>
  </si>
  <si>
    <t>Bypass cap</t>
  </si>
  <si>
    <t>0.1 uF</t>
  </si>
  <si>
    <t>Kemet</t>
  </si>
  <si>
    <t>C0603C104K3RACTU</t>
  </si>
  <si>
    <t>Ribbon Cable</t>
  </si>
  <si>
    <t>14C, 1.27mm, Rainbow</t>
  </si>
  <si>
    <t>Assman WSW</t>
  </si>
  <si>
    <t>AWG28-14/F/300</t>
  </si>
  <si>
    <t>Digikey</t>
  </si>
  <si>
    <t>Customer Supplied, DNP, DNQ</t>
  </si>
  <si>
    <t>Ribbon Cable Connector</t>
  </si>
  <si>
    <t>14P, Female, Press fit</t>
  </si>
  <si>
    <t>Molex</t>
  </si>
  <si>
    <t>0906351141</t>
  </si>
  <si>
    <t>White</t>
  </si>
  <si>
    <t>5 mA, White</t>
  </si>
  <si>
    <t>ESD</t>
  </si>
  <si>
    <t>4C, Bidirectional</t>
  </si>
  <si>
    <t>Diodes Inc</t>
  </si>
  <si>
    <t>DT1446-04S-7</t>
  </si>
  <si>
    <t>SOT-363-6</t>
  </si>
  <si>
    <t>PS Inductor</t>
  </si>
  <si>
    <t>4.7uH, 1A, 110mOhms</t>
  </si>
  <si>
    <t>Bourns</t>
  </si>
  <si>
    <t>CVH252009-4R7M</t>
  </si>
  <si>
    <t>Vishay / Dale</t>
  </si>
  <si>
    <t>1.1k, 1%, 100mW</t>
  </si>
  <si>
    <t>CRCW06031K10FKEA</t>
  </si>
  <si>
    <t>3.3 divider Res</t>
  </si>
  <si>
    <t>604k, 1%</t>
  </si>
  <si>
    <t>Yageo</t>
  </si>
  <si>
    <t>Resistors</t>
  </si>
  <si>
    <t>1.02M</t>
  </si>
  <si>
    <t>MCU</t>
  </si>
  <si>
    <t>16-bit Microcontroller</t>
  </si>
  <si>
    <t>Texas Instruments</t>
  </si>
  <si>
    <t>MSP430FR5949IDA</t>
  </si>
  <si>
    <t>DA / TSOP</t>
  </si>
  <si>
    <t>Wireless</t>
  </si>
  <si>
    <t>HopeRF</t>
  </si>
  <si>
    <t>Customer Supplied, See instructions</t>
  </si>
  <si>
    <t>LED Controller</t>
  </si>
  <si>
    <t>PWM, latching</t>
  </si>
  <si>
    <t>TLC5948ADBQ</t>
  </si>
  <si>
    <t>SSOP-24</t>
  </si>
  <si>
    <t>Regulator</t>
  </si>
  <si>
    <t>Boost Regulator</t>
  </si>
  <si>
    <t>Skyworks</t>
  </si>
  <si>
    <t>AAT1217ICA-1.2-T1</t>
  </si>
  <si>
    <t>TSOT23-6</t>
  </si>
  <si>
    <t>QTY</t>
  </si>
  <si>
    <t>Temp Sensor</t>
  </si>
  <si>
    <t>Vout</t>
  </si>
  <si>
    <t>Microchip</t>
  </si>
  <si>
    <t>MCP9700T-E/TT</t>
  </si>
  <si>
    <t>SOT-23-3</t>
  </si>
  <si>
    <t>http://www.digikey.com/product-detail/en/MCP9700T-E%2FTT/MCP9700T-E%2FTTCT-ND/1212545</t>
  </si>
  <si>
    <t>Light Sensor</t>
  </si>
  <si>
    <t>http://www.digikey.com/product-detail/en/PT15-21C%2FTR8/1080-1380-1-ND/2676114</t>
  </si>
  <si>
    <t>URL</t>
  </si>
  <si>
    <t>2.54 TH</t>
  </si>
  <si>
    <t>Alt</t>
  </si>
  <si>
    <t>Sullins</t>
  </si>
  <si>
    <t>Male mating</t>
  </si>
  <si>
    <t>Female Hat</t>
  </si>
  <si>
    <t>4 Position Header Connector 0.100" (2.54mm) Through Hole, Right Angle Tin</t>
  </si>
  <si>
    <t>PPTC041LGBN-RC</t>
  </si>
  <si>
    <t>http://www.digikey.com/product-detail/en/sullins-connector-solutions/PPTC041LGBN-RC/S5440-ND/775898</t>
  </si>
  <si>
    <t>Female Mating</t>
  </si>
  <si>
    <t>Prog Header</t>
  </si>
  <si>
    <t>4 Positions Header, Unshrouded, Breakaway Connector 0.079" (2.00mm) Through Hole Gold</t>
  </si>
  <si>
    <t>Harwin</t>
  </si>
  <si>
    <t>M22-2520205</t>
  </si>
  <si>
    <t>2.00 TH</t>
  </si>
  <si>
    <t>http://www.digikey.com/product-detail/en/harwin-inc/M22-2520205/952-1317-ND/2264298</t>
  </si>
  <si>
    <t>NPPN031FGGN-RC</t>
  </si>
  <si>
    <t>http://www.digikey.com/product-detail/en/sullins-connector-solutions/NPPN031FGGN-RC/S5752-03-ND/804822</t>
  </si>
  <si>
    <t>950503-5002-AR</t>
  </si>
  <si>
    <t>Power Switch</t>
  </si>
  <si>
    <t>SPST SMT</t>
  </si>
  <si>
    <t>Alps</t>
  </si>
  <si>
    <t>SSSS810701</t>
  </si>
  <si>
    <t>http://www.mouser.com/ProductDetail/ALPS/SSSS810701/?qs=sGAEpiMZZMtHXLepoqNyVe%252bcQMRoBF1BAzyvwoNmgBo%3d</t>
  </si>
  <si>
    <t>BT1</t>
  </si>
  <si>
    <t>PS Cap</t>
  </si>
  <si>
    <t>4.7uF X7R</t>
  </si>
  <si>
    <t>Gate Limiter</t>
  </si>
  <si>
    <t>100 Ohms</t>
  </si>
  <si>
    <t>0402</t>
  </si>
  <si>
    <t>0603 RGB LEDs</t>
  </si>
  <si>
    <t>Drivers</t>
  </si>
  <si>
    <t>Photodiode Res</t>
  </si>
  <si>
    <t>LED Driver Resistor</t>
  </si>
  <si>
    <t>RF Bypass</t>
  </si>
  <si>
    <t>P-Channel MOSFET</t>
  </si>
  <si>
    <t>Infineon</t>
  </si>
  <si>
    <t>http://www.mouser.com/ProductDetail/Infineon-Technologies/BSD223PH6327XTSA1/?qs=sGAEpiMZZMshyDBzk1%2fWi924cJVm5vwEHSuRe6lUiy0%3d</t>
  </si>
  <si>
    <t>BSD223PH6327XTSA1</t>
  </si>
  <si>
    <t>HQ19-2333RGBC</t>
  </si>
  <si>
    <t>0603 Chip LED</t>
  </si>
  <si>
    <t>1.6x1.5x055</t>
  </si>
  <si>
    <t>Alibaba</t>
  </si>
  <si>
    <t>KOA</t>
  </si>
  <si>
    <t>RK73B1ETTP101J</t>
  </si>
  <si>
    <t>http://www.mouser.com/ProductDetail/KOA-Speer/RK73B1ETTP101J/?qs=sGAEpiMZZMtlubZbdhIBIG%2fx8tXXyMOeZriV2Uq8Kts%3d</t>
  </si>
  <si>
    <t>https://www.alibaba.com/product-detail/Good-price-20mA-clear-lens-sanan_60446688945.html?spm=a2700.7724838.0.0.tnsQ6Z</t>
  </si>
  <si>
    <t>GRM188R60J475KE19D</t>
  </si>
  <si>
    <t>http://www.mouser.com/ProductDetail/Murata-Electronics/GRM188R60J475KE19D/?qs=sGAEpiMZZMsh%252b1woXyUXjzfNNvbifBIlVUVSZQsQmkw%3d</t>
  </si>
  <si>
    <t>http://www.mouser.com/ProductDetail/Texas-Instruments/TLC5948ADBQ/?qs=ACPZU2kmEKPCpip1PiiECQ%3D%3D</t>
  </si>
  <si>
    <t>2.4 GHz SOC</t>
  </si>
  <si>
    <t>RFM75</t>
  </si>
  <si>
    <t>Lite-On</t>
  </si>
  <si>
    <t xml:space="preserve"> LTW-C190DA5</t>
  </si>
  <si>
    <t>All in</t>
  </si>
  <si>
    <t>RC0603FR-07604KL</t>
  </si>
  <si>
    <t>http://www.mouser.com/ProductDetail/KOA-Speer/RK73B1JTTDD125J/?qs=sGAEpiMZZMu61qfTUdNhG5eFuApKbqVdPJJPW9ks6lo%3d</t>
  </si>
  <si>
    <t>http://www.mouser.com/ProductDetail/Harwin/M22-2030305/?qs=sGAEpiMZZMs%252bGHln7q6pmwGlxKXpENpe7gKnVlBjStU%3d</t>
  </si>
  <si>
    <t>1.8k, 1%</t>
  </si>
  <si>
    <t>Panasonic</t>
  </si>
  <si>
    <t>ERJ-3EKF1801V</t>
  </si>
  <si>
    <t>http://www.mouser.com/ProductDetail/Panasonic/ERJ-3EKF1801V/?qs=sGAEpiMZZMtlubZbdhIBIEpCgapuOP%252bo5WtqJDi745A%3d</t>
  </si>
  <si>
    <t>1008</t>
  </si>
  <si>
    <t>TOT Hole</t>
  </si>
  <si>
    <t>TOT SMT</t>
  </si>
  <si>
    <t>THs</t>
  </si>
  <si>
    <t>Reset PU</t>
  </si>
  <si>
    <t>50k</t>
  </si>
  <si>
    <t>PT11-21C/L41/TR8</t>
  </si>
  <si>
    <t>Resistor, pull down</t>
  </si>
  <si>
    <t>100k</t>
  </si>
  <si>
    <t>KDT00030TR</t>
  </si>
  <si>
    <t>Fairchild</t>
  </si>
  <si>
    <t>PLCC-2</t>
  </si>
  <si>
    <t>RC0402FR-07100KL</t>
  </si>
  <si>
    <t>ERJ-3EKF4992V</t>
  </si>
  <si>
    <t>Photo transistor</t>
  </si>
  <si>
    <t>DNP</t>
  </si>
  <si>
    <t>M22-2530305</t>
  </si>
  <si>
    <t>uxcell</t>
  </si>
  <si>
    <t>a13090500ux1149</t>
  </si>
  <si>
    <t>5x5x1.5</t>
  </si>
  <si>
    <t>3P 2mm TH RA, Male</t>
  </si>
  <si>
    <t>3P 2mm TH RA, Female</t>
  </si>
  <si>
    <t xml:space="preserve"> CRCW06031M02FKEA</t>
  </si>
  <si>
    <t>Mouser HK</t>
  </si>
  <si>
    <t>Digikey HK</t>
  </si>
  <si>
    <t>China</t>
  </si>
  <si>
    <t>Number of Pads</t>
  </si>
  <si>
    <t>Number of Holes</t>
  </si>
  <si>
    <t>Number of Unique Components</t>
  </si>
  <si>
    <t>Total Number of Components</t>
  </si>
  <si>
    <t>HARVATEK</t>
  </si>
  <si>
    <t>QC2017 Main Badge BOM - rA0</t>
  </si>
  <si>
    <t>U1</t>
  </si>
  <si>
    <t>TI</t>
  </si>
  <si>
    <t>CC2640F128RGZ</t>
  </si>
  <si>
    <t>128k BLE</t>
  </si>
  <si>
    <t xml:space="preserve"> VQFN-48</t>
  </si>
  <si>
    <t>LED Driver</t>
  </si>
  <si>
    <t>U2</t>
  </si>
  <si>
    <t>FL1</t>
  </si>
  <si>
    <t>1.5kOhm, 500mA</t>
  </si>
  <si>
    <t>BLM18HE152SN1D</t>
  </si>
  <si>
    <t>CPU Choke</t>
  </si>
  <si>
    <t>L2</t>
  </si>
  <si>
    <t>Inductor</t>
  </si>
  <si>
    <t>10uH</t>
  </si>
  <si>
    <t>Counter</t>
  </si>
  <si>
    <t>U3, U4</t>
  </si>
  <si>
    <t>8 bit shift register</t>
  </si>
  <si>
    <t>Toshiba</t>
  </si>
  <si>
    <t>74HC164D(BJ)</t>
  </si>
  <si>
    <t>U5</t>
  </si>
  <si>
    <t>Flash Memory</t>
  </si>
  <si>
    <t>16 Mbit</t>
  </si>
  <si>
    <t>Cypress</t>
  </si>
  <si>
    <t>S25FL216K0PMFI011</t>
  </si>
  <si>
    <t>8-SOIC</t>
  </si>
  <si>
    <t>http://www.mouser.com/ProductDetail/Cypress-Semiconductor/S25FL216K0PMFI011/</t>
  </si>
  <si>
    <t>VR1</t>
  </si>
  <si>
    <t>AAT1217ICA-3.3-T1</t>
  </si>
  <si>
    <t>CV201210-100K</t>
  </si>
  <si>
    <t>0805</t>
  </si>
  <si>
    <t>http://www.mouser.com/ProductDetail/Murata/BLM18HE152SN1D/?qs=%2fha2pyFadui6f2SQf6FvFr4mX4GWjOceLlK9fngY5F%2fE%2fnOxhLh2HA%3d%3d</t>
  </si>
  <si>
    <t>L1</t>
  </si>
  <si>
    <t>PSU Inductor</t>
  </si>
  <si>
    <t>C1, C2</t>
  </si>
  <si>
    <t>C20</t>
  </si>
  <si>
    <t>C3, C4, C6, C16</t>
  </si>
  <si>
    <t>C5, C7, C17</t>
  </si>
  <si>
    <t>D0 - D14, D20-34, D40 - D54, D60 - D74</t>
  </si>
  <si>
    <t>D80, D81, D82, D83, D85, D86, D87, D88</t>
  </si>
  <si>
    <t>D99</t>
  </si>
  <si>
    <t>P1</t>
  </si>
  <si>
    <t>P32A, P32B</t>
  </si>
  <si>
    <t>P6</t>
  </si>
  <si>
    <t>P9</t>
  </si>
  <si>
    <t>Q1, Q2, Q3</t>
  </si>
  <si>
    <t>Q10</t>
  </si>
  <si>
    <t>R1</t>
  </si>
  <si>
    <t>R10, R11, R12, R13, R14, R15</t>
  </si>
  <si>
    <t>R22</t>
  </si>
  <si>
    <t>R3</t>
  </si>
  <si>
    <t>R4, R8</t>
  </si>
  <si>
    <t>R6</t>
  </si>
  <si>
    <t>R9</t>
  </si>
  <si>
    <t>S0</t>
  </si>
  <si>
    <t>S1, S2</t>
  </si>
  <si>
    <t>TS1</t>
  </si>
  <si>
    <t>U3</t>
  </si>
  <si>
    <t>CV201210-4R7K</t>
  </si>
  <si>
    <t>SOIC-14</t>
  </si>
  <si>
    <t>Bypass</t>
  </si>
  <si>
    <t>0.1uF</t>
  </si>
  <si>
    <t>10uF</t>
  </si>
  <si>
    <t>Power Filter, pin 34</t>
  </si>
  <si>
    <t>C6, C8</t>
  </si>
  <si>
    <t>R0, R26</t>
  </si>
  <si>
    <t>Jumper</t>
  </si>
  <si>
    <t>0 Ohm</t>
  </si>
  <si>
    <t>X2</t>
  </si>
  <si>
    <t>High Spd Xtal</t>
  </si>
  <si>
    <t>C19</t>
  </si>
  <si>
    <t>1uF</t>
  </si>
  <si>
    <t>P1, P2, P3, P4</t>
  </si>
  <si>
    <t>Mating</t>
  </si>
  <si>
    <t>4 pos, MF</t>
  </si>
  <si>
    <t>D96, D97</t>
  </si>
  <si>
    <t>TVS Diode Array</t>
  </si>
  <si>
    <t>R4</t>
  </si>
  <si>
    <t>Pwr Res</t>
  </si>
  <si>
    <t>Pwr Cap</t>
  </si>
  <si>
    <t>4.7uF, X7R</t>
  </si>
  <si>
    <t>Reset Res</t>
  </si>
  <si>
    <t>NPN</t>
  </si>
  <si>
    <t>Light Res</t>
  </si>
  <si>
    <t>B1</t>
  </si>
  <si>
    <t>Thumb Button</t>
  </si>
  <si>
    <t>A1</t>
  </si>
  <si>
    <t>Antenna</t>
  </si>
  <si>
    <t>2.4MHz Chip</t>
  </si>
  <si>
    <t>Ctrl transistors</t>
  </si>
  <si>
    <t>Gate res</t>
  </si>
  <si>
    <t>100 Ohm</t>
  </si>
  <si>
    <t>R10-R22, R24, R25</t>
  </si>
  <si>
    <t>Q1-Q8</t>
  </si>
  <si>
    <t>LED res</t>
  </si>
  <si>
    <t>1.8K, 1%</t>
  </si>
  <si>
    <t>D1-D49, D51-D74</t>
  </si>
  <si>
    <t>Johanson</t>
  </si>
  <si>
    <t>http://www.mouser.com/Search/ProductDetail.aspx?qs=yCnrNFeXz%252bg12F05%252b89fnA%3d%3d</t>
  </si>
  <si>
    <t>GRM188Z71A475ME15D</t>
  </si>
  <si>
    <t>Wurth</t>
  </si>
  <si>
    <t>885012105018</t>
  </si>
  <si>
    <t>CC0603KRX7R7BB104</t>
  </si>
  <si>
    <t>C26-C32</t>
  </si>
  <si>
    <t>C3, C4, C5, C7, C9, C16, C17, C18, C20, C24, C25, C33</t>
  </si>
  <si>
    <t>GRM188C80G106ME47D</t>
  </si>
  <si>
    <t>Amphenol</t>
  </si>
  <si>
    <t>10120045-400LF</t>
  </si>
  <si>
    <t>5mm</t>
  </si>
  <si>
    <t>P0</t>
  </si>
  <si>
    <t>RK73Z1ETTP</t>
  </si>
  <si>
    <t>Total Cost</t>
  </si>
  <si>
    <t>RC0603FR-07100KL</t>
  </si>
  <si>
    <t>Total Badges</t>
  </si>
  <si>
    <t>Koa</t>
  </si>
  <si>
    <t>RK73H1JTTD1801F</t>
  </si>
  <si>
    <t>http://www.allelectronics.com/item/bh-322/holder-for-two-aa-batteries/1.html</t>
  </si>
  <si>
    <t>0605</t>
  </si>
  <si>
    <t>RGB</t>
  </si>
  <si>
    <t>SC1</t>
  </si>
  <si>
    <t>Signal Conditioner</t>
  </si>
  <si>
    <t>2450BM14G0011T</t>
  </si>
  <si>
    <t>Epson</t>
  </si>
  <si>
    <t>RC0603FR-074K99L</t>
  </si>
  <si>
    <t>TLC5948ADBQR</t>
  </si>
  <si>
    <t>TSX-3225 24.0000MF10Z-C3</t>
  </si>
  <si>
    <t>Harvatek</t>
  </si>
  <si>
    <t>HQ19-2331BGRC322</t>
  </si>
  <si>
    <t>Leye Electronics</t>
  </si>
  <si>
    <t>LY-K3-01</t>
  </si>
  <si>
    <t>RC0603FR-071ML</t>
  </si>
  <si>
    <t>4.99K</t>
  </si>
  <si>
    <t>R3, R6</t>
  </si>
  <si>
    <t>O</t>
  </si>
  <si>
    <t>CC0603KRX5R8BB105</t>
  </si>
  <si>
    <t>RC0402FR-07100RL</t>
  </si>
  <si>
    <t>4.7uH</t>
  </si>
  <si>
    <t>SMT 5mm</t>
  </si>
  <si>
    <t>2450AT42A100E</t>
  </si>
  <si>
    <t>2.4GHz</t>
  </si>
  <si>
    <t>QC2017 Main Badge BOM - rD</t>
  </si>
  <si>
    <t>U4</t>
  </si>
  <si>
    <t>U6</t>
  </si>
  <si>
    <t>Game CPU</t>
  </si>
  <si>
    <t>Display CPU</t>
  </si>
  <si>
    <t>Flash Chip</t>
  </si>
  <si>
    <t>Radio</t>
  </si>
  <si>
    <t>Character Disp</t>
  </si>
  <si>
    <t>Wintek</t>
  </si>
  <si>
    <t>WD-C2401P-1GNN</t>
  </si>
  <si>
    <t>DS1, DS2</t>
  </si>
  <si>
    <t>Shift</t>
  </si>
  <si>
    <t>1x24 character display</t>
  </si>
  <si>
    <t>VR1, VR2</t>
  </si>
  <si>
    <t>Holtek</t>
  </si>
  <si>
    <t>MSP430FR2422</t>
  </si>
  <si>
    <t>D1 - D18</t>
  </si>
  <si>
    <t>D19 - D24</t>
  </si>
  <si>
    <t>Side View LED</t>
  </si>
  <si>
    <t>1204 Side View</t>
  </si>
  <si>
    <t>PW</t>
  </si>
  <si>
    <t>TSSOP/ RGC</t>
  </si>
  <si>
    <t>SOP-24</t>
  </si>
  <si>
    <t>Slide switch</t>
  </si>
  <si>
    <t>SPDT</t>
  </si>
  <si>
    <t>TE Connectivity</t>
  </si>
  <si>
    <t>1825232-1</t>
  </si>
  <si>
    <t>2.0mm</t>
  </si>
  <si>
    <t>Battery holder</t>
  </si>
  <si>
    <t>Battery holder AA</t>
  </si>
  <si>
    <t>S1, S2, S3, S4</t>
  </si>
  <si>
    <t>Recepticles</t>
  </si>
  <si>
    <t>4-40, 0.375"</t>
  </si>
  <si>
    <t>Keystone</t>
  </si>
  <si>
    <t>X1</t>
  </si>
  <si>
    <t>Clock XTL</t>
  </si>
  <si>
    <t>32k Crystal</t>
  </si>
  <si>
    <t>22pF, 1%x 16V</t>
  </si>
  <si>
    <t>C21, C22</t>
  </si>
  <si>
    <t>Xtal Caps</t>
  </si>
  <si>
    <t>ABRACON</t>
  </si>
  <si>
    <t>ABS25-32.768KHz-4-T</t>
  </si>
  <si>
    <t>C4</t>
  </si>
  <si>
    <t>10uF, Pol</t>
  </si>
  <si>
    <t>47k</t>
  </si>
  <si>
    <t>R1, R3</t>
  </si>
  <si>
    <t>C3, C10</t>
  </si>
  <si>
    <t>TVS</t>
  </si>
  <si>
    <t>4xBi</t>
  </si>
  <si>
    <t>1uF, POL</t>
  </si>
  <si>
    <t>C1, C2, C9, C8</t>
  </si>
  <si>
    <t>Pwr caps</t>
  </si>
  <si>
    <t>R2, R4, R8, R10</t>
  </si>
  <si>
    <t>Pwr res</t>
  </si>
  <si>
    <t>1.02M, 1%</t>
  </si>
  <si>
    <t>L1, L2</t>
  </si>
  <si>
    <t>Pwr ind</t>
  </si>
  <si>
    <t>Div Res 3.3</t>
  </si>
  <si>
    <t>529k, 1%</t>
  </si>
  <si>
    <t>R11</t>
  </si>
  <si>
    <t>Div Res 5V</t>
  </si>
  <si>
    <t>342k, 1%</t>
  </si>
  <si>
    <t>100nF / 0.1u</t>
  </si>
  <si>
    <t>P2</t>
  </si>
  <si>
    <t>P5</t>
  </si>
  <si>
    <t>U1 Prog</t>
  </si>
  <si>
    <t>U2 Prog</t>
  </si>
  <si>
    <t>U5 Prog</t>
  </si>
  <si>
    <t>Power Header</t>
  </si>
  <si>
    <t>C12, C14, C16, C7</t>
  </si>
  <si>
    <t>Digi</t>
  </si>
  <si>
    <t>1nF (1000 pF)</t>
  </si>
  <si>
    <t>HQ12-2353RGBC</t>
  </si>
  <si>
    <t>HQ67-2302RGBC</t>
  </si>
  <si>
    <t>2460</t>
  </si>
  <si>
    <t>Vishay</t>
  </si>
  <si>
    <t>CRCW0805340KFKEA</t>
  </si>
  <si>
    <t>CR0603-JW-473GLF</t>
  </si>
  <si>
    <t>RC0603JR-131ML</t>
  </si>
  <si>
    <t>MSP430FR5972IPMR</t>
  </si>
  <si>
    <t>Assembly</t>
  </si>
  <si>
    <t>Eteknet</t>
  </si>
  <si>
    <t>Advanced Assembly</t>
  </si>
  <si>
    <t>Lead</t>
  </si>
  <si>
    <t>Advanced Circuits</t>
  </si>
  <si>
    <t>Country</t>
  </si>
  <si>
    <t>Hybrid</t>
  </si>
  <si>
    <t>Screaming Circuits</t>
  </si>
  <si>
    <t>Ultimate PCB</t>
  </si>
  <si>
    <t>Telan</t>
  </si>
  <si>
    <t>R5</t>
  </si>
  <si>
    <t>Reference resistor</t>
  </si>
  <si>
    <t>HT16D35B</t>
  </si>
  <si>
    <t>2.54</t>
  </si>
  <si>
    <t>Top Board</t>
  </si>
  <si>
    <t>J1, J2, J3, J4</t>
  </si>
  <si>
    <t>Buttons</t>
  </si>
  <si>
    <t>4-SOJ</t>
  </si>
  <si>
    <t>Screws</t>
  </si>
  <si>
    <t>Queercon</t>
  </si>
  <si>
    <t>0603 Top View 20mA</t>
  </si>
  <si>
    <t>C5, C11, C13, C15, C6, C25, C26, C27, C28, C29, C17</t>
  </si>
  <si>
    <t>15-20</t>
  </si>
  <si>
    <t>Each</t>
  </si>
  <si>
    <t>Acrylic</t>
  </si>
  <si>
    <t>1/4" cut</t>
  </si>
  <si>
    <t>4-40 ??"</t>
  </si>
  <si>
    <t>Total Cost Each</t>
  </si>
  <si>
    <t>Grand Total</t>
  </si>
  <si>
    <t>Elecrow</t>
  </si>
  <si>
    <t>15+</t>
  </si>
  <si>
    <t>R6, R7</t>
  </si>
  <si>
    <t>Pull Up Resistor</t>
  </si>
  <si>
    <t>2k</t>
  </si>
  <si>
    <t>Crappy Add On</t>
  </si>
  <si>
    <t>6x2.54</t>
  </si>
  <si>
    <t>5x2.54</t>
  </si>
  <si>
    <t>2x4x2.54</t>
  </si>
  <si>
    <t>2.45</t>
  </si>
  <si>
    <t>1k 0603 TBD</t>
  </si>
  <si>
    <t>S25FS064SAGMFV01</t>
  </si>
  <si>
    <t>Rohm</t>
  </si>
  <si>
    <t>ESR03EZPJ102</t>
  </si>
  <si>
    <t>KOA Speer</t>
  </si>
  <si>
    <t>RK73B1JTTDD202J</t>
  </si>
  <si>
    <t>13mm</t>
  </si>
  <si>
    <t>Apem</t>
  </si>
  <si>
    <t>ADTSM66NVTR</t>
  </si>
  <si>
    <t>6x6mm 13h</t>
  </si>
  <si>
    <t>KEMET</t>
  </si>
  <si>
    <t>C0603C220K3GACTU</t>
  </si>
  <si>
    <t>QC2018 Main Badge BOM - rB4</t>
  </si>
  <si>
    <t>VJ0603Y102JXQCW1BC</t>
  </si>
  <si>
    <t>YB</t>
  </si>
  <si>
    <t>Tulsa</t>
  </si>
  <si>
    <t>Samsung</t>
  </si>
  <si>
    <t>CL10F104ZO8NNNC</t>
  </si>
  <si>
    <t>CL10B475KQ8NQNC</t>
  </si>
  <si>
    <t>BT1, BT2</t>
  </si>
  <si>
    <t>CL10B105KP8NNNC</t>
  </si>
  <si>
    <t>RC0805FR-07536KL</t>
  </si>
  <si>
    <t>D99 - DNP</t>
  </si>
  <si>
    <t>W25Q16JVSSIQ</t>
  </si>
  <si>
    <t>Winbond</t>
  </si>
  <si>
    <t>16M-bit flash</t>
  </si>
  <si>
    <t>Flash</t>
  </si>
  <si>
    <t>SOIC-8 (208mil)</t>
  </si>
  <si>
    <t>CPU</t>
  </si>
  <si>
    <t xml:space="preserve">CC2640R2FRGZR </t>
  </si>
  <si>
    <t>VQFN-48</t>
  </si>
  <si>
    <t xml:space="preserve">HT16D35B </t>
  </si>
  <si>
    <t>Programming</t>
  </si>
  <si>
    <t>Boost</t>
  </si>
  <si>
    <t>Pwr cap</t>
  </si>
  <si>
    <t>1206</t>
  </si>
  <si>
    <t>Pwr Ind</t>
  </si>
  <si>
    <t>Rst Pull-up</t>
  </si>
  <si>
    <t>Pwr Resistor</t>
  </si>
  <si>
    <t>Crystal</t>
  </si>
  <si>
    <t>24MHz</t>
  </si>
  <si>
    <t>0603x6</t>
  </si>
  <si>
    <t>DS9</t>
  </si>
  <si>
    <t>Display</t>
  </si>
  <si>
    <t>2.9" eINK</t>
  </si>
  <si>
    <t>GDEW029T5</t>
  </si>
  <si>
    <t>Dalian Good Display</t>
  </si>
  <si>
    <t>Balun</t>
  </si>
  <si>
    <t>VERIFY - MOUSER BAD</t>
  </si>
  <si>
    <t>MR</t>
  </si>
  <si>
    <t>Light Resistor</t>
  </si>
  <si>
    <t>5K</t>
  </si>
  <si>
    <t>I2C PU</t>
  </si>
  <si>
    <t>Rext</t>
  </si>
  <si>
    <t>1k</t>
  </si>
  <si>
    <t>K1</t>
  </si>
  <si>
    <t>Bypass Cap</t>
  </si>
  <si>
    <t>C20, C23</t>
  </si>
  <si>
    <t>R2, R7</t>
  </si>
  <si>
    <t>Display Cap</t>
  </si>
  <si>
    <t>1uF, 50V</t>
  </si>
  <si>
    <t>4.7uF X7R, 50V</t>
  </si>
  <si>
    <t>C1, C2, C3, C4</t>
  </si>
  <si>
    <t>D101, D102, D103</t>
  </si>
  <si>
    <t>Q1</t>
  </si>
  <si>
    <t>custom keypad</t>
  </si>
  <si>
    <t>TVS Diodes</t>
  </si>
  <si>
    <t>Display inductor</t>
  </si>
  <si>
    <t>50V</t>
  </si>
  <si>
    <t>10k</t>
  </si>
  <si>
    <t>Disp port</t>
  </si>
  <si>
    <t>2AA</t>
  </si>
  <si>
    <t>Eagle Plastic</t>
  </si>
  <si>
    <t>Taiyo Yuden</t>
  </si>
  <si>
    <t>UMK316AB7475KL-T</t>
  </si>
  <si>
    <t>CL10B104KB8NNNC</t>
  </si>
  <si>
    <t>y</t>
  </si>
  <si>
    <t>CL10A105KP8NNNC</t>
  </si>
  <si>
    <t>On Semi</t>
  </si>
  <si>
    <t>MBR0530T1GOSCT-ND</t>
  </si>
  <si>
    <t>SOD-123</t>
  </si>
  <si>
    <t>Display diode</t>
  </si>
  <si>
    <t>SOT-363</t>
  </si>
  <si>
    <t xml:space="preserve"> CBC2518T100M </t>
  </si>
  <si>
    <t>1210</t>
  </si>
  <si>
    <t>L2, L3</t>
  </si>
  <si>
    <t>SFV24R-4STE1HLF</t>
  </si>
  <si>
    <t>Amphenol FCI</t>
  </si>
  <si>
    <t>0.5 mm SMT</t>
  </si>
  <si>
    <t>0.5mm 24P</t>
  </si>
  <si>
    <t>SI1308EDL-T1-GE3</t>
  </si>
  <si>
    <t>SOT-323-3</t>
  </si>
  <si>
    <t>PCBWay</t>
  </si>
  <si>
    <t>Notes</t>
  </si>
  <si>
    <t>PCB cost estimated</t>
  </si>
  <si>
    <t>Will be late</t>
  </si>
  <si>
    <t>Estimated</t>
  </si>
  <si>
    <t>Each Est</t>
  </si>
  <si>
    <t>Fab + Assembly</t>
  </si>
  <si>
    <t>Parts</t>
  </si>
  <si>
    <t>Shipping</t>
  </si>
  <si>
    <t>Prototypes</t>
  </si>
  <si>
    <t>TOTAL</t>
  </si>
  <si>
    <t>RGB LEDs</t>
  </si>
  <si>
    <t>RA LEDs</t>
  </si>
  <si>
    <t>Connector</t>
  </si>
  <si>
    <t>RJ25</t>
  </si>
  <si>
    <t>0955016669</t>
  </si>
  <si>
    <t>D30</t>
  </si>
  <si>
    <t>Power Diode</t>
  </si>
  <si>
    <t>CR0603-JW-104ELF</t>
  </si>
  <si>
    <t>2.2k</t>
  </si>
  <si>
    <t>CR0603-JW-222ELF</t>
  </si>
  <si>
    <t>CR0603-FX-4991ELF</t>
  </si>
  <si>
    <t>CR0603-JW-102ELF</t>
  </si>
  <si>
    <t>CR0603-JW-103ELF</t>
  </si>
  <si>
    <t>Display Res</t>
  </si>
  <si>
    <t>MBR1020VL</t>
  </si>
  <si>
    <t>SOD-123F</t>
  </si>
  <si>
    <t>C</t>
  </si>
  <si>
    <t>?</t>
  </si>
  <si>
    <t>Shenzhen Huiyou</t>
  </si>
  <si>
    <t>HY-0603HRGBC</t>
  </si>
  <si>
    <t>HY-120615HRGBC</t>
  </si>
  <si>
    <t>Cables</t>
  </si>
  <si>
    <t>C15, C16, C17, C18, C19, C21, C22, C24, C25, C27</t>
  </si>
  <si>
    <t>C5, C6, C7, C8, C9, C10, C11, C12, C13, C14, C26</t>
  </si>
  <si>
    <t>D96</t>
  </si>
  <si>
    <t>Programmers</t>
  </si>
  <si>
    <t>3Ohms</t>
  </si>
  <si>
    <t>Kemet C0603C104K5RACAUTO7411</t>
  </si>
  <si>
    <t>ferrite bead</t>
  </si>
  <si>
    <t>10uH, 50V, WW</t>
  </si>
  <si>
    <t>TDK CGA3E3X5R1H105K080AB</t>
  </si>
  <si>
    <t>Walsin</t>
  </si>
  <si>
    <t>0402X106M6R3CT</t>
  </si>
  <si>
    <t>ESR03EZPJ3R0</t>
  </si>
  <si>
    <t>0.1uf/ 100nF, 50V</t>
  </si>
  <si>
    <t>Paul</t>
  </si>
  <si>
    <t>D31, D32, D33</t>
  </si>
  <si>
    <t>Protection Diode</t>
  </si>
  <si>
    <t>3.6 Zener Voltage</t>
  </si>
  <si>
    <t>AZ23C3V6-E3-08</t>
  </si>
  <si>
    <t>AZ23C3V6-7-F</t>
  </si>
  <si>
    <t>R8, R12</t>
  </si>
  <si>
    <t>P0, P3</t>
  </si>
  <si>
    <t>2.0 TH</t>
  </si>
  <si>
    <t>D19-D28</t>
  </si>
  <si>
    <t>C1</t>
  </si>
  <si>
    <t>QC2019 Main Badge BOM - rD1</t>
  </si>
  <si>
    <t>S</t>
  </si>
  <si>
    <t>IR Encoder</t>
  </si>
  <si>
    <t>IR Transmitter</t>
  </si>
  <si>
    <t>Ferrite Bead</t>
  </si>
  <si>
    <t>Inductor for fussy pants</t>
  </si>
  <si>
    <t>2021 Rogue Badge</t>
  </si>
  <si>
    <t>MCP2122T-E/SN</t>
  </si>
  <si>
    <t>TFBS4711-TR1</t>
  </si>
  <si>
    <t>SOIC-8</t>
  </si>
  <si>
    <t>QFN-48</t>
  </si>
  <si>
    <t>QFP-48</t>
  </si>
  <si>
    <t>BLM18HE152SH1D</t>
  </si>
  <si>
    <t>1.6x3.2</t>
  </si>
  <si>
    <t>1540601NBA500</t>
  </si>
  <si>
    <t>W25Q80DVSNIG TR</t>
  </si>
  <si>
    <t>1050</t>
  </si>
  <si>
    <t>2450AD18A7250</t>
  </si>
  <si>
    <t>SOIC-8 208</t>
  </si>
  <si>
    <t>Crystal 24MHz</t>
  </si>
  <si>
    <t>1xCR123</t>
  </si>
  <si>
    <t>D0-D6, D10-D16, D20-D26, D30-D36, D40-D46, D50-D56, D60-D66, D70-D76, D80-D86, D90-D96, D100-D106, D110-D116, D120-D126, D130-D136, D140-D146</t>
  </si>
  <si>
    <t>Everlight</t>
  </si>
  <si>
    <t>EAST1616RGBA8‎</t>
  </si>
  <si>
    <t>BT1-BT3</t>
  </si>
  <si>
    <t>RA NO M SMT</t>
  </si>
  <si>
    <t>CC2640R2FRGZR</t>
  </si>
  <si>
    <t>TLC6983RRFR</t>
  </si>
  <si>
    <t>4.7uF Tant</t>
  </si>
  <si>
    <t>0.1uF Bypass Cap</t>
  </si>
  <si>
    <t>10uF Bypass Cap</t>
  </si>
  <si>
    <t>C4, C11, C16</t>
  </si>
  <si>
    <t>C2, C3, C5, C6, C8, C9, C10, C12, C13, C15</t>
  </si>
  <si>
    <t>C17, C14</t>
  </si>
  <si>
    <t>Decoupling</t>
  </si>
  <si>
    <t>1uF Cap</t>
  </si>
  <si>
    <t>R2</t>
  </si>
  <si>
    <t>C7</t>
  </si>
  <si>
    <t>IR Resistor</t>
  </si>
  <si>
    <t>47 Ohm</t>
  </si>
  <si>
    <t>Current</t>
  </si>
  <si>
    <t>Low Ohm, High Watt</t>
  </si>
  <si>
    <t>2mm</t>
  </si>
  <si>
    <t>Min</t>
  </si>
  <si>
    <t>CRM2010AJW-1R0ELF</t>
  </si>
  <si>
    <t>AVX</t>
  </si>
  <si>
    <t>F980J475MMA</t>
  </si>
  <si>
    <t>06033C104KAT4A</t>
  </si>
  <si>
    <t>CL10A106KQ8NNNC</t>
  </si>
  <si>
    <t>CL10A105KA8NFNC</t>
  </si>
  <si>
    <t>RK73B1JTTDD470J</t>
  </si>
  <si>
    <t>5k light</t>
  </si>
  <si>
    <t>100k PU</t>
  </si>
  <si>
    <t>Pull up</t>
  </si>
  <si>
    <t>RC0603FR-104K99L</t>
  </si>
  <si>
    <t>light and ref</t>
  </si>
  <si>
    <t>Pu</t>
  </si>
  <si>
    <t>1.6 HASL MB</t>
  </si>
  <si>
    <t>3.2 HASL MB</t>
  </si>
  <si>
    <t>3.2 Silver MB</t>
  </si>
  <si>
    <t>1.6 HASL B</t>
  </si>
  <si>
    <t>3.2 HASL B</t>
  </si>
  <si>
    <t>3.2 Silver B</t>
  </si>
  <si>
    <t>Tot 100</t>
  </si>
  <si>
    <t>PCBWAY</t>
  </si>
  <si>
    <t>Company</t>
  </si>
  <si>
    <t>Advance Circuits</t>
  </si>
  <si>
    <t>Advance Assembly</t>
  </si>
  <si>
    <t>Fab</t>
  </si>
  <si>
    <t>Tot Ea</t>
  </si>
  <si>
    <t>Ass Lead</t>
  </si>
  <si>
    <t>Fab Lead</t>
  </si>
  <si>
    <t>Tot Lead</t>
  </si>
  <si>
    <t>Rush PCB</t>
  </si>
  <si>
    <t>Ea</t>
  </si>
  <si>
    <t>Total</t>
  </si>
  <si>
    <t>PBCx</t>
  </si>
  <si>
    <t>EVQ-P7J01P</t>
  </si>
  <si>
    <t>D1-D5</t>
  </si>
  <si>
    <t>CV94D-FCC-CYBB0B0E0WBYABB7A363</t>
  </si>
  <si>
    <t>Cree</t>
  </si>
  <si>
    <t>PLCC-6</t>
  </si>
  <si>
    <t>Captouch</t>
  </si>
  <si>
    <t>LEDs</t>
  </si>
  <si>
    <t>Pairing Header</t>
  </si>
  <si>
    <t>MSP430FR2633IDA</t>
  </si>
  <si>
    <t>TSSOP</t>
  </si>
  <si>
    <t>SSOP</t>
  </si>
  <si>
    <t>R+G+B</t>
  </si>
  <si>
    <t>C2, C3</t>
  </si>
  <si>
    <t>Bypass Caps</t>
  </si>
  <si>
    <t>TI Cap</t>
  </si>
  <si>
    <t>Reset cap</t>
  </si>
  <si>
    <t>Reset res</t>
  </si>
  <si>
    <t>47kOhm, +/-10%</t>
  </si>
  <si>
    <t>1nF, 20%</t>
  </si>
  <si>
    <t>10uF, X7R</t>
  </si>
  <si>
    <t>J1</t>
  </si>
  <si>
    <t>Power header</t>
  </si>
  <si>
    <t>2.54 x 2</t>
  </si>
  <si>
    <t>Programming Header</t>
  </si>
  <si>
    <t>2.00 x 4</t>
  </si>
  <si>
    <t>R0</t>
  </si>
  <si>
    <t>Power resistor</t>
  </si>
  <si>
    <t>2010</t>
  </si>
  <si>
    <t>2.00</t>
  </si>
  <si>
    <t>Current resistor</t>
  </si>
  <si>
    <t>CL10B102KB8NNWC</t>
  </si>
  <si>
    <t>ERJ-UP3F4702V</t>
  </si>
  <si>
    <t>1.1k - 1.6k, 1%</t>
  </si>
  <si>
    <t>MCT06030C1471FP5</t>
  </si>
  <si>
    <t>1Ohm, 1W, 10%</t>
  </si>
  <si>
    <t>Number of TH Components</t>
  </si>
  <si>
    <t>Total number of SMT Pads</t>
  </si>
  <si>
    <t>Items marked "Y" in the "Any" column may be subsituted for any product that meets the same or better specification</t>
  </si>
  <si>
    <t>Specification</t>
  </si>
  <si>
    <t>CR123A SMT Holder</t>
  </si>
  <si>
    <t>FP</t>
  </si>
  <si>
    <t>2022 3-4-5 Badge rA1</t>
  </si>
  <si>
    <t>0.1uF, 7v+, X7R, 10%</t>
  </si>
  <si>
    <t>GRM188Z71A106KA73D</t>
  </si>
  <si>
    <t>CRM2010-JW-1R0ELF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</si>
</sst>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* #,##0.000_);_(&quot;$&quot;* \(#,##0.0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9" fontId="3" fillId="0" borderId="0" xfId="2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2" applyNumberFormat="1" applyFont="1" applyAlignment="1">
      <alignment horizontal="center" vertical="center" wrapText="1"/>
    </xf>
    <xf numFmtId="1" fontId="0" fillId="0" borderId="0" xfId="2" applyNumberFormat="1" applyFont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4" fontId="3" fillId="0" borderId="0" xfId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7" fillId="0" borderId="0" xfId="3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3" applyAlignment="1">
      <alignment horizontal="left"/>
    </xf>
    <xf numFmtId="0" fontId="0" fillId="0" borderId="0" xfId="0" applyAlignment="1">
      <alignment horizontal="left" vertical="center"/>
    </xf>
    <xf numFmtId="49" fontId="0" fillId="0" borderId="0" xfId="2" applyNumberFormat="1" applyFont="1" applyAlignment="1">
      <alignment horizontal="center" vertical="center"/>
    </xf>
    <xf numFmtId="44" fontId="1" fillId="0" borderId="0" xfId="1" applyAlignment="1">
      <alignment horizontal="center" vertical="center"/>
    </xf>
    <xf numFmtId="9" fontId="1" fillId="0" borderId="0" xfId="2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4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44" fontId="11" fillId="0" borderId="0" xfId="1" applyFont="1" applyAlignment="1">
      <alignment horizontal="center" vertical="center"/>
    </xf>
    <xf numFmtId="9" fontId="11" fillId="0" borderId="0" xfId="2" applyFont="1" applyAlignment="1">
      <alignment horizontal="center" vertical="center"/>
    </xf>
    <xf numFmtId="1" fontId="11" fillId="0" borderId="0" xfId="2" applyNumberFormat="1" applyFont="1" applyAlignment="1">
      <alignment horizontal="center" vertical="center"/>
    </xf>
    <xf numFmtId="44" fontId="11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4" fontId="0" fillId="0" borderId="0" xfId="1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7" fontId="0" fillId="0" borderId="0" xfId="0" quotePrefix="1" applyNumberFormat="1" applyAlignment="1">
      <alignment vertical="center"/>
    </xf>
    <xf numFmtId="44" fontId="0" fillId="0" borderId="0" xfId="0" applyNumberFormat="1" applyAlignment="1">
      <alignment horizontal="right" vertical="center"/>
    </xf>
    <xf numFmtId="44" fontId="0" fillId="0" borderId="0" xfId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4" fontId="13" fillId="0" borderId="0" xfId="1" applyFont="1" applyAlignment="1">
      <alignment horizontal="center" vertical="center"/>
    </xf>
    <xf numFmtId="9" fontId="13" fillId="0" borderId="0" xfId="2" applyFont="1" applyAlignment="1">
      <alignment horizontal="center" vertical="center"/>
    </xf>
    <xf numFmtId="1" fontId="13" fillId="0" borderId="0" xfId="2" applyNumberFormat="1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/>
    <xf numFmtId="49" fontId="13" fillId="0" borderId="0" xfId="0" applyNumberFormat="1" applyFont="1" applyAlignment="1">
      <alignment vertical="center"/>
    </xf>
    <xf numFmtId="0" fontId="13" fillId="0" borderId="0" xfId="0" quotePrefix="1" applyFont="1" applyAlignment="1">
      <alignment horizontal="center" vertical="center"/>
    </xf>
    <xf numFmtId="44" fontId="0" fillId="0" borderId="0" xfId="0" applyNumberForma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/>
    </xf>
    <xf numFmtId="49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quotePrefix="1" applyFont="1" applyAlignment="1">
      <alignment horizontal="center" vertical="center"/>
    </xf>
    <xf numFmtId="44" fontId="15" fillId="0" borderId="0" xfId="1" applyFont="1" applyAlignment="1">
      <alignment horizontal="center" vertical="center"/>
    </xf>
    <xf numFmtId="9" fontId="15" fillId="0" borderId="0" xfId="2" applyFont="1" applyAlignment="1">
      <alignment horizontal="center" vertical="center"/>
    </xf>
    <xf numFmtId="1" fontId="15" fillId="0" borderId="0" xfId="2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1" applyNumberFormat="1" applyFont="1" applyAlignment="1">
      <alignment horizontal="center" vertical="center" wrapText="1"/>
    </xf>
    <xf numFmtId="0" fontId="0" fillId="0" borderId="0" xfId="1" applyNumberFormat="1" applyFont="1" applyAlignment="1">
      <alignment horizontal="center" vertical="center"/>
    </xf>
    <xf numFmtId="44" fontId="2" fillId="0" borderId="0" xfId="1" applyFont="1"/>
    <xf numFmtId="0" fontId="2" fillId="0" borderId="0" xfId="0" applyFont="1"/>
    <xf numFmtId="165" fontId="0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 wrapText="1"/>
    </xf>
    <xf numFmtId="165" fontId="1" fillId="0" borderId="0" xfId="1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0" fillId="0" borderId="0" xfId="2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1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8" borderId="0" xfId="0" applyFill="1" applyAlignment="1">
      <alignment vertical="center"/>
    </xf>
    <xf numFmtId="49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9" fontId="0" fillId="8" borderId="0" xfId="0" quotePrefix="1" applyNumberFormat="1" applyFill="1" applyAlignment="1">
      <alignment horizontal="center" vertical="center"/>
    </xf>
    <xf numFmtId="165" fontId="0" fillId="8" borderId="0" xfId="1" applyNumberFormat="1" applyFont="1" applyFill="1" applyAlignment="1">
      <alignment horizontal="center" vertical="center"/>
    </xf>
    <xf numFmtId="9" fontId="0" fillId="8" borderId="0" xfId="2" applyFont="1" applyFill="1" applyAlignment="1">
      <alignment horizontal="center" vertical="center"/>
    </xf>
    <xf numFmtId="44" fontId="0" fillId="8" borderId="0" xfId="1" applyFont="1" applyFill="1" applyAlignment="1">
      <alignment horizontal="center" vertical="center"/>
    </xf>
    <xf numFmtId="44" fontId="0" fillId="8" borderId="0" xfId="0" applyNumberFormat="1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1" fontId="3" fillId="0" borderId="0" xfId="2" applyNumberFormat="1" applyFont="1" applyAlignment="1">
      <alignment horizontal="center" vertical="center" wrapText="1"/>
    </xf>
    <xf numFmtId="44" fontId="0" fillId="0" borderId="0" xfId="0" applyNumberFormat="1"/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quotePrefix="1" applyNumberForma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1" fontId="0" fillId="0" borderId="0" xfId="2" applyNumberFormat="1" applyFont="1" applyFill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44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 vertical="center" wrapText="1"/>
    </xf>
    <xf numFmtId="17" fontId="0" fillId="0" borderId="0" xfId="0" quotePrefix="1" applyNumberFormat="1" applyFill="1" applyAlignment="1">
      <alignment vertical="center"/>
    </xf>
    <xf numFmtId="165" fontId="1" fillId="0" borderId="0" xfId="1" applyNumberFormat="1" applyFill="1" applyAlignment="1">
      <alignment horizontal="center" vertic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" fontId="0" fillId="8" borderId="0" xfId="2" applyNumberFormat="1" applyFont="1" applyFill="1" applyAlignment="1">
      <alignment horizontal="center" vertical="center"/>
    </xf>
    <xf numFmtId="0" fontId="0" fillId="8" borderId="0" xfId="0" applyFill="1"/>
    <xf numFmtId="0" fontId="2" fillId="0" borderId="0" xfId="0" applyFont="1" applyAlignment="1">
      <alignment horizontal="left" vertical="center"/>
    </xf>
    <xf numFmtId="0" fontId="9" fillId="9" borderId="0" xfId="4" applyFont="1" applyFill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9" fillId="6" borderId="0" xfId="4" applyFont="1" applyAlignment="1">
      <alignment horizontal="center" vertical="center"/>
    </xf>
  </cellXfs>
  <cellStyles count="5">
    <cellStyle name="Accent1" xfId="4" builtinId="29"/>
    <cellStyle name="Currency" xfId="1" builtinId="4"/>
    <cellStyle name="Hyperlink" xfId="3" builtinId="8"/>
    <cellStyle name="Normal" xfId="0" builtinId="0"/>
    <cellStyle name="Percent" xfId="2" builtinId="5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Search/ProductDetail.aspx?qs=yCnrNFeXz%252bg12F05%252b89fnA%3d%3d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://www.mouser.com/ProductDetail/Murata/BLM18HE152SN1D/?qs=%2fha2pyFadui6f2SQf6FvFr4mX4GWjOceLlK9fngY5F%2fE%2fnOxhLh2HA%3d%3d" TargetMode="External"/><Relationship Id="rId1" Type="http://schemas.openxmlformats.org/officeDocument/2006/relationships/hyperlink" Target="http://www.mouser.com/ProductDetail/Cypress-Semiconductor/S25FL216K0PMFI011/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allelectronics.com/item/bh-322/holder-for-two-aa-batteries/1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KOA-Speer/RK73B1ETTP101J/?qs=sGAEpiMZZMtlubZbdhIBIG%2fx8tXXyMOeZriV2Uq8Kts%3d" TargetMode="External"/><Relationship Id="rId13" Type="http://schemas.openxmlformats.org/officeDocument/2006/relationships/hyperlink" Target="http://www.mouser.com/ProductDetail/Harwin/M22-2030305/?qs=sGAEpiMZZMs%252bGHln7q6pmwGlxKXpENpe7gKnVlBjStU%3d" TargetMode="External"/><Relationship Id="rId3" Type="http://schemas.openxmlformats.org/officeDocument/2006/relationships/hyperlink" Target="http://www.digikey.com/product-detail/en/sullins-connector-solutions/PPTC041LGBN-RC/S5440-ND/775898" TargetMode="External"/><Relationship Id="rId7" Type="http://schemas.openxmlformats.org/officeDocument/2006/relationships/hyperlink" Target="http://www.mouser.com/ProductDetail/Infineon-Technologies/BSD223PH6327XTSA1/?qs=sGAEpiMZZMshyDBzk1%2fWi924cJVm5vwEHSuRe6lUiy0%3d" TargetMode="External"/><Relationship Id="rId12" Type="http://schemas.openxmlformats.org/officeDocument/2006/relationships/hyperlink" Target="http://www.mouser.com/ProductDetail/KOA-Speer/RK73B1JTTDD125J/?qs=sGAEpiMZZMu61qfTUdNhG5eFuApKbqVdPJJPW9ks6lo%3d" TargetMode="External"/><Relationship Id="rId17" Type="http://schemas.openxmlformats.org/officeDocument/2006/relationships/comments" Target="../comments3.xml"/><Relationship Id="rId2" Type="http://schemas.openxmlformats.org/officeDocument/2006/relationships/hyperlink" Target="http://www.digikey.com/product-detail/en/PT15-21C%2FTR8/1080-1380-1-ND/2676114" TargetMode="External"/><Relationship Id="rId16" Type="http://schemas.openxmlformats.org/officeDocument/2006/relationships/vmlDrawing" Target="../drawings/vmlDrawing3.vml"/><Relationship Id="rId1" Type="http://schemas.openxmlformats.org/officeDocument/2006/relationships/hyperlink" Target="http://www.digikey.com/product-detail/en/MCP9700T-E%2FTT/MCP9700T-E%2FTTCT-ND/1212545" TargetMode="External"/><Relationship Id="rId6" Type="http://schemas.openxmlformats.org/officeDocument/2006/relationships/hyperlink" Target="http://www.mouser.com/ProductDetail/ALPS/SSSS810701/?qs=sGAEpiMZZMtHXLepoqNyVe%252bcQMRoBF1BAzyvwoNmgBo%3d" TargetMode="External"/><Relationship Id="rId11" Type="http://schemas.openxmlformats.org/officeDocument/2006/relationships/hyperlink" Target="http://www.mouser.com/ProductDetail/Texas-Instruments/TLC5948ADBQ/?qs=ACPZU2kmEKPCpip1PiiECQ%3D%3D" TargetMode="External"/><Relationship Id="rId5" Type="http://schemas.openxmlformats.org/officeDocument/2006/relationships/hyperlink" Target="http://www.digikey.com/product-detail/en/sullins-connector-solutions/NPPN031FGGN-RC/S5752-03-ND/804822" TargetMode="External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://www.mouser.com/ProductDetail/Murata-Electronics/GRM188R60J475KE19D/?qs=sGAEpiMZZMsh%252b1woXyUXjzfNNvbifBIlVUVSZQsQmkw%3d" TargetMode="External"/><Relationship Id="rId4" Type="http://schemas.openxmlformats.org/officeDocument/2006/relationships/hyperlink" Target="http://www.digikey.com/product-detail/en/harwin-inc/M22-2520205/952-1317-ND/2264298" TargetMode="External"/><Relationship Id="rId9" Type="http://schemas.openxmlformats.org/officeDocument/2006/relationships/hyperlink" Target="https://www.alibaba.com/product-detail/Good-price-20mA-clear-lens-sanan_60446688945.html?spm=a2700.7724838.0.0.tnsQ6Z" TargetMode="External"/><Relationship Id="rId14" Type="http://schemas.openxmlformats.org/officeDocument/2006/relationships/hyperlink" Target="http://www.mouser.com/ProductDetail/Panasonic/ERJ-3EKF1801V/?qs=sGAEpiMZZMtlubZbdhIBIEpCgapuOP%252bo5WtqJDi745A%3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A5170-E613-43EC-8DF7-5CDA02DABEB2}">
  <dimension ref="A1:Y46"/>
  <sheetViews>
    <sheetView tabSelected="1" zoomScaleNormal="100" zoomScaleSheetLayoutView="100" workbookViewId="0">
      <pane ySplit="2" topLeftCell="A3" activePane="bottomLeft" state="frozen"/>
      <selection activeCell="G1" sqref="G1"/>
      <selection pane="bottomLeft" activeCell="I7" sqref="I7"/>
    </sheetView>
  </sheetViews>
  <sheetFormatPr defaultRowHeight="15" x14ac:dyDescent="0.25"/>
  <cols>
    <col min="1" max="1" width="4.85546875" style="91" customWidth="1"/>
    <col min="2" max="2" width="11.28515625" style="35" customWidth="1"/>
    <col min="3" max="3" width="20" style="92" bestFit="1" customWidth="1"/>
    <col min="4" max="4" width="21.140625" style="92" customWidth="1"/>
    <col min="5" max="5" width="15.5703125" style="92" bestFit="1" customWidth="1"/>
    <col min="6" max="6" width="34.7109375" style="94" bestFit="1" customWidth="1"/>
    <col min="7" max="7" width="5.42578125" style="89" customWidth="1"/>
    <col min="8" max="8" width="7.7109375" style="94" bestFit="1" customWidth="1"/>
    <col min="9" max="9" width="10" style="85" customWidth="1"/>
    <col min="10" max="11" width="6.42578125" style="89" customWidth="1"/>
    <col min="12" max="12" width="5.42578125" style="89" customWidth="1"/>
    <col min="13" max="13" width="5.42578125" style="89" hidden="1" customWidth="1"/>
    <col min="14" max="14" width="5.42578125" style="89" customWidth="1"/>
    <col min="15" max="15" width="5.42578125" style="89" hidden="1" customWidth="1"/>
    <col min="16" max="16" width="10.42578125" style="3" hidden="1" customWidth="1"/>
    <col min="17" max="17" width="6.85546875" style="97" hidden="1" customWidth="1"/>
    <col min="18" max="18" width="7.5703125" style="15" hidden="1" customWidth="1"/>
    <col min="19" max="19" width="9.5703125" style="90" hidden="1" customWidth="1"/>
    <col min="20" max="20" width="10.42578125" style="90" hidden="1" customWidth="1"/>
    <col min="21" max="21" width="13" style="89" hidden="1" customWidth="1"/>
    <col min="22" max="22" width="12.85546875" style="29" hidden="1" customWidth="1"/>
    <col min="23" max="23" width="33.85546875" style="92" hidden="1" customWidth="1"/>
    <col min="24" max="16384" width="9.140625" style="88"/>
  </cols>
  <sheetData>
    <row r="1" spans="1:23" ht="18.75" x14ac:dyDescent="0.25">
      <c r="A1" s="142" t="s">
        <v>717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</row>
    <row r="2" spans="1:23" s="93" customFormat="1" ht="30" x14ac:dyDescent="0.25">
      <c r="A2" s="93" t="s">
        <v>0</v>
      </c>
      <c r="B2" s="18" t="s">
        <v>1</v>
      </c>
      <c r="C2" s="18" t="s">
        <v>2</v>
      </c>
      <c r="D2" s="18" t="s">
        <v>714</v>
      </c>
      <c r="E2" s="53" t="s">
        <v>4</v>
      </c>
      <c r="F2" s="98" t="s">
        <v>5</v>
      </c>
      <c r="G2" s="93" t="s">
        <v>6</v>
      </c>
      <c r="H2" s="98" t="s">
        <v>716</v>
      </c>
      <c r="I2" s="86" t="s">
        <v>8</v>
      </c>
      <c r="J2" s="93" t="s">
        <v>9</v>
      </c>
      <c r="K2" s="93" t="s">
        <v>89</v>
      </c>
      <c r="L2" s="93" t="s">
        <v>10</v>
      </c>
      <c r="M2" s="93" t="s">
        <v>163</v>
      </c>
      <c r="N2" s="93" t="s">
        <v>162</v>
      </c>
      <c r="O2" s="93" t="s">
        <v>161</v>
      </c>
      <c r="P2" s="6" t="s">
        <v>11</v>
      </c>
      <c r="Q2" s="116" t="s">
        <v>642</v>
      </c>
      <c r="R2" s="13" t="s">
        <v>12</v>
      </c>
      <c r="S2" s="17" t="s">
        <v>13</v>
      </c>
      <c r="T2" s="17" t="s">
        <v>152</v>
      </c>
      <c r="U2" s="93" t="s">
        <v>14</v>
      </c>
      <c r="V2" s="80" t="s">
        <v>16</v>
      </c>
      <c r="W2" s="93" t="s">
        <v>17</v>
      </c>
    </row>
    <row r="3" spans="1:23" x14ac:dyDescent="0.25">
      <c r="A3" s="91">
        <v>1</v>
      </c>
      <c r="B3" s="35" t="s">
        <v>122</v>
      </c>
      <c r="C3" s="92" t="s">
        <v>27</v>
      </c>
      <c r="D3" s="92" t="s">
        <v>715</v>
      </c>
      <c r="E3" s="92" t="s">
        <v>364</v>
      </c>
      <c r="F3" s="94" t="s">
        <v>615</v>
      </c>
      <c r="G3" s="89" t="s">
        <v>18</v>
      </c>
      <c r="H3" s="51" t="s">
        <v>22</v>
      </c>
      <c r="I3" s="85">
        <v>2.69</v>
      </c>
      <c r="J3" s="89">
        <v>100</v>
      </c>
      <c r="K3" s="89">
        <v>1</v>
      </c>
      <c r="L3" s="89">
        <v>2</v>
      </c>
      <c r="M3" s="89">
        <v>0</v>
      </c>
      <c r="N3" s="89">
        <f t="shared" ref="N3:N16" si="0">L3*$K3</f>
        <v>2</v>
      </c>
      <c r="O3" s="89">
        <f t="shared" ref="O3:O16" si="1">M3*$K3</f>
        <v>0</v>
      </c>
      <c r="P3" s="3">
        <v>0.1</v>
      </c>
      <c r="R3" s="97">
        <f t="shared" ref="R3:R29" si="2">(1+P3)*K3*$E$37</f>
        <v>165</v>
      </c>
      <c r="S3" s="90">
        <f t="shared" ref="S3:S20" si="3">R3*I3/$E$37</f>
        <v>2.9589999999999996</v>
      </c>
      <c r="T3" s="90">
        <f t="shared" ref="T3:T29" si="4">S3*$E$37</f>
        <v>443.84999999999997</v>
      </c>
      <c r="U3" s="37"/>
    </row>
    <row r="4" spans="1:23" x14ac:dyDescent="0.25">
      <c r="A4" s="118">
        <v>2</v>
      </c>
      <c r="B4" s="130" t="s">
        <v>598</v>
      </c>
      <c r="C4" s="120" t="s">
        <v>690</v>
      </c>
      <c r="D4" s="120" t="s">
        <v>695</v>
      </c>
      <c r="E4" s="92" t="s">
        <v>33</v>
      </c>
      <c r="F4" s="94" t="s">
        <v>719</v>
      </c>
      <c r="G4" s="121" t="s">
        <v>23</v>
      </c>
      <c r="H4" s="122" t="s">
        <v>35</v>
      </c>
      <c r="I4" s="123">
        <v>0.124</v>
      </c>
      <c r="J4" s="121">
        <v>100</v>
      </c>
      <c r="K4" s="121">
        <v>1</v>
      </c>
      <c r="L4" s="121">
        <v>2</v>
      </c>
      <c r="M4" s="121">
        <v>0</v>
      </c>
      <c r="N4" s="121">
        <f t="shared" si="0"/>
        <v>2</v>
      </c>
      <c r="O4" s="121">
        <f t="shared" si="1"/>
        <v>0</v>
      </c>
      <c r="P4" s="124">
        <v>0.1</v>
      </c>
      <c r="Q4" s="125"/>
      <c r="R4" s="125">
        <f t="shared" si="2"/>
        <v>165</v>
      </c>
      <c r="S4" s="126">
        <f t="shared" si="3"/>
        <v>0.13639999999999999</v>
      </c>
      <c r="T4" s="126">
        <f t="shared" si="4"/>
        <v>20.459999999999997</v>
      </c>
      <c r="U4" s="127"/>
      <c r="V4" s="128"/>
      <c r="W4" s="120"/>
    </row>
    <row r="5" spans="1:23" x14ac:dyDescent="0.25">
      <c r="A5" s="91">
        <v>3</v>
      </c>
      <c r="B5" s="130" t="s">
        <v>688</v>
      </c>
      <c r="C5" s="120" t="s">
        <v>689</v>
      </c>
      <c r="D5" s="120" t="s">
        <v>718</v>
      </c>
      <c r="E5" s="92" t="s">
        <v>644</v>
      </c>
      <c r="F5" s="94" t="s">
        <v>646</v>
      </c>
      <c r="G5" s="121" t="s">
        <v>23</v>
      </c>
      <c r="H5" s="103" t="s">
        <v>35</v>
      </c>
      <c r="I5" s="123">
        <v>1.89E-2</v>
      </c>
      <c r="J5" s="121">
        <v>100</v>
      </c>
      <c r="K5" s="121">
        <v>2</v>
      </c>
      <c r="L5" s="121">
        <v>2</v>
      </c>
      <c r="M5" s="121">
        <v>0</v>
      </c>
      <c r="N5" s="121">
        <f t="shared" si="0"/>
        <v>4</v>
      </c>
      <c r="O5" s="121">
        <f t="shared" si="1"/>
        <v>0</v>
      </c>
      <c r="P5" s="124">
        <v>0.1</v>
      </c>
      <c r="Q5" s="125"/>
      <c r="R5" s="125">
        <f t="shared" si="2"/>
        <v>330</v>
      </c>
      <c r="S5" s="126">
        <f t="shared" si="3"/>
        <v>4.1579999999999999E-2</v>
      </c>
      <c r="T5" s="126">
        <f t="shared" si="4"/>
        <v>6.2370000000000001</v>
      </c>
      <c r="U5" s="121"/>
      <c r="V5" s="128"/>
      <c r="W5" s="120"/>
    </row>
    <row r="6" spans="1:23" x14ac:dyDescent="0.25">
      <c r="A6" s="118">
        <v>4</v>
      </c>
      <c r="B6" s="119" t="s">
        <v>373</v>
      </c>
      <c r="C6" s="120" t="s">
        <v>691</v>
      </c>
      <c r="D6" s="120" t="s">
        <v>694</v>
      </c>
      <c r="E6" s="92" t="s">
        <v>466</v>
      </c>
      <c r="F6" s="94" t="s">
        <v>706</v>
      </c>
      <c r="G6" s="121" t="s">
        <v>23</v>
      </c>
      <c r="H6" s="122" t="s">
        <v>35</v>
      </c>
      <c r="I6" s="123">
        <v>1.46E-2</v>
      </c>
      <c r="J6" s="121">
        <v>100</v>
      </c>
      <c r="K6" s="121">
        <v>1</v>
      </c>
      <c r="L6" s="121">
        <v>2</v>
      </c>
      <c r="M6" s="121">
        <v>0</v>
      </c>
      <c r="N6" s="121">
        <f t="shared" si="0"/>
        <v>2</v>
      </c>
      <c r="O6" s="121">
        <f t="shared" si="1"/>
        <v>0</v>
      </c>
      <c r="P6" s="124">
        <v>0.1</v>
      </c>
      <c r="Q6" s="125"/>
      <c r="R6" s="125">
        <f t="shared" si="2"/>
        <v>165</v>
      </c>
      <c r="S6" s="126">
        <f t="shared" si="3"/>
        <v>1.6059999999999998E-2</v>
      </c>
      <c r="T6" s="126">
        <f t="shared" si="4"/>
        <v>2.4089999999999998</v>
      </c>
      <c r="U6" s="127"/>
      <c r="V6" s="128"/>
      <c r="W6" s="120"/>
    </row>
    <row r="7" spans="1:23" x14ac:dyDescent="0.25">
      <c r="A7" s="91">
        <v>5</v>
      </c>
      <c r="B7" s="35" t="s">
        <v>677</v>
      </c>
      <c r="C7" s="92" t="s">
        <v>682</v>
      </c>
      <c r="D7" s="92" t="s">
        <v>687</v>
      </c>
      <c r="E7" s="92" t="s">
        <v>679</v>
      </c>
      <c r="F7" s="94" t="s">
        <v>678</v>
      </c>
      <c r="G7" s="89" t="s">
        <v>18</v>
      </c>
      <c r="H7" s="51" t="s">
        <v>680</v>
      </c>
      <c r="I7" s="85">
        <v>0.27</v>
      </c>
      <c r="J7" s="89">
        <v>1200</v>
      </c>
      <c r="K7" s="89">
        <v>5</v>
      </c>
      <c r="L7" s="89">
        <v>6</v>
      </c>
      <c r="M7" s="89">
        <v>0</v>
      </c>
      <c r="N7" s="89">
        <f t="shared" si="0"/>
        <v>30</v>
      </c>
      <c r="O7" s="89">
        <f t="shared" si="1"/>
        <v>0</v>
      </c>
      <c r="P7" s="3">
        <v>0.1</v>
      </c>
      <c r="R7" s="97">
        <f t="shared" si="2"/>
        <v>825</v>
      </c>
      <c r="S7" s="90">
        <f t="shared" si="3"/>
        <v>1.4850000000000001</v>
      </c>
      <c r="T7" s="90">
        <f t="shared" si="4"/>
        <v>222.75000000000003</v>
      </c>
      <c r="U7" s="37"/>
    </row>
    <row r="8" spans="1:23" s="140" customFormat="1" x14ac:dyDescent="0.25">
      <c r="A8" s="104">
        <v>6</v>
      </c>
      <c r="B8" s="114" t="s">
        <v>696</v>
      </c>
      <c r="C8" s="105" t="s">
        <v>681</v>
      </c>
      <c r="D8" s="105" t="s">
        <v>19</v>
      </c>
      <c r="E8" s="105" t="s">
        <v>19</v>
      </c>
      <c r="F8" s="106" t="s">
        <v>175</v>
      </c>
      <c r="G8" s="107" t="s">
        <v>23</v>
      </c>
      <c r="H8" s="108" t="s">
        <v>19</v>
      </c>
      <c r="I8" s="109">
        <v>0</v>
      </c>
      <c r="J8" s="107">
        <v>0</v>
      </c>
      <c r="K8" s="107">
        <v>0</v>
      </c>
      <c r="L8" s="107">
        <v>0</v>
      </c>
      <c r="M8" s="107">
        <v>0</v>
      </c>
      <c r="N8" s="107">
        <f t="shared" si="0"/>
        <v>0</v>
      </c>
      <c r="O8" s="107">
        <f t="shared" si="1"/>
        <v>0</v>
      </c>
      <c r="P8" s="110">
        <v>0.1</v>
      </c>
      <c r="Q8" s="139"/>
      <c r="R8" s="139">
        <f t="shared" si="2"/>
        <v>0</v>
      </c>
      <c r="S8" s="111">
        <f t="shared" si="3"/>
        <v>0</v>
      </c>
      <c r="T8" s="111">
        <f t="shared" si="4"/>
        <v>0</v>
      </c>
      <c r="U8" s="112"/>
      <c r="V8" s="113"/>
      <c r="W8" s="105"/>
    </row>
    <row r="9" spans="1:23" s="140" customFormat="1" x14ac:dyDescent="0.25">
      <c r="A9" s="104">
        <v>7</v>
      </c>
      <c r="B9" s="114" t="s">
        <v>300</v>
      </c>
      <c r="C9" s="105" t="s">
        <v>699</v>
      </c>
      <c r="D9" s="105" t="s">
        <v>700</v>
      </c>
      <c r="E9" s="105" t="s">
        <v>175</v>
      </c>
      <c r="F9" s="106" t="s">
        <v>175</v>
      </c>
      <c r="G9" s="107" t="s">
        <v>23</v>
      </c>
      <c r="H9" s="108" t="s">
        <v>704</v>
      </c>
      <c r="I9" s="109">
        <v>0</v>
      </c>
      <c r="J9" s="107">
        <v>0</v>
      </c>
      <c r="K9" s="107">
        <v>0</v>
      </c>
      <c r="L9" s="107">
        <v>0</v>
      </c>
      <c r="M9" s="107">
        <v>4</v>
      </c>
      <c r="N9" s="107">
        <f t="shared" si="0"/>
        <v>0</v>
      </c>
      <c r="O9" s="107">
        <f t="shared" si="1"/>
        <v>0</v>
      </c>
      <c r="P9" s="110">
        <v>0.1</v>
      </c>
      <c r="Q9" s="139"/>
      <c r="R9" s="139">
        <f t="shared" si="2"/>
        <v>0</v>
      </c>
      <c r="S9" s="111">
        <f t="shared" si="3"/>
        <v>0</v>
      </c>
      <c r="T9" s="111">
        <f t="shared" si="4"/>
        <v>0</v>
      </c>
      <c r="U9" s="107"/>
      <c r="V9" s="113"/>
      <c r="W9" s="105"/>
    </row>
    <row r="10" spans="1:23" s="140" customFormat="1" x14ac:dyDescent="0.25">
      <c r="A10" s="104">
        <v>8</v>
      </c>
      <c r="B10" s="114" t="s">
        <v>232</v>
      </c>
      <c r="C10" s="105" t="s">
        <v>683</v>
      </c>
      <c r="D10" s="105" t="s">
        <v>19</v>
      </c>
      <c r="E10" s="105" t="s">
        <v>19</v>
      </c>
      <c r="F10" s="106" t="s">
        <v>175</v>
      </c>
      <c r="G10" s="107" t="s">
        <v>23</v>
      </c>
      <c r="H10" s="108" t="s">
        <v>19</v>
      </c>
      <c r="I10" s="109">
        <v>0</v>
      </c>
      <c r="J10" s="107">
        <v>0</v>
      </c>
      <c r="K10" s="107">
        <v>0</v>
      </c>
      <c r="L10" s="107">
        <v>0</v>
      </c>
      <c r="M10" s="107">
        <v>0</v>
      </c>
      <c r="N10" s="107">
        <f t="shared" si="0"/>
        <v>0</v>
      </c>
      <c r="O10" s="107">
        <f t="shared" si="1"/>
        <v>0</v>
      </c>
      <c r="P10" s="110">
        <v>0.1</v>
      </c>
      <c r="Q10" s="139"/>
      <c r="R10" s="139">
        <f t="shared" si="2"/>
        <v>0</v>
      </c>
      <c r="S10" s="111">
        <f t="shared" si="3"/>
        <v>0</v>
      </c>
      <c r="T10" s="111">
        <f t="shared" si="4"/>
        <v>0</v>
      </c>
      <c r="U10" s="112"/>
      <c r="V10" s="113"/>
      <c r="W10" s="105"/>
    </row>
    <row r="11" spans="1:23" s="140" customFormat="1" x14ac:dyDescent="0.25">
      <c r="A11" s="104">
        <v>9</v>
      </c>
      <c r="B11" s="114" t="s">
        <v>394</v>
      </c>
      <c r="C11" s="105" t="s">
        <v>697</v>
      </c>
      <c r="D11" s="105" t="s">
        <v>698</v>
      </c>
      <c r="E11" s="105" t="s">
        <v>175</v>
      </c>
      <c r="F11" s="106" t="s">
        <v>175</v>
      </c>
      <c r="G11" s="107" t="s">
        <v>23</v>
      </c>
      <c r="H11" s="108" t="s">
        <v>424</v>
      </c>
      <c r="I11" s="109">
        <v>0</v>
      </c>
      <c r="J11" s="107">
        <v>0</v>
      </c>
      <c r="K11" s="107">
        <v>0</v>
      </c>
      <c r="L11" s="107">
        <v>0</v>
      </c>
      <c r="M11" s="107">
        <v>2</v>
      </c>
      <c r="N11" s="107">
        <f t="shared" si="0"/>
        <v>0</v>
      </c>
      <c r="O11" s="107">
        <f t="shared" si="1"/>
        <v>0</v>
      </c>
      <c r="P11" s="110">
        <v>0.1</v>
      </c>
      <c r="Q11" s="139"/>
      <c r="R11" s="139">
        <f t="shared" si="2"/>
        <v>0</v>
      </c>
      <c r="S11" s="111">
        <f t="shared" si="3"/>
        <v>0</v>
      </c>
      <c r="T11" s="111">
        <f t="shared" si="4"/>
        <v>0</v>
      </c>
      <c r="U11" s="112"/>
      <c r="V11" s="113"/>
      <c r="W11" s="105"/>
    </row>
    <row r="12" spans="1:23" s="129" customFormat="1" x14ac:dyDescent="0.25">
      <c r="A12" s="118">
        <v>10</v>
      </c>
      <c r="B12" s="130" t="s">
        <v>701</v>
      </c>
      <c r="C12" s="120" t="s">
        <v>702</v>
      </c>
      <c r="D12" s="120" t="s">
        <v>710</v>
      </c>
      <c r="E12" s="92" t="s">
        <v>62</v>
      </c>
      <c r="F12" s="94" t="s">
        <v>720</v>
      </c>
      <c r="G12" s="121" t="s">
        <v>23</v>
      </c>
      <c r="H12" s="122" t="s">
        <v>703</v>
      </c>
      <c r="I12" s="123">
        <v>0.22700000000000001</v>
      </c>
      <c r="J12" s="121">
        <v>100</v>
      </c>
      <c r="K12" s="121">
        <v>1</v>
      </c>
      <c r="L12" s="121">
        <v>2</v>
      </c>
      <c r="M12" s="121">
        <v>0</v>
      </c>
      <c r="N12" s="121">
        <f t="shared" si="0"/>
        <v>2</v>
      </c>
      <c r="O12" s="121">
        <f t="shared" si="1"/>
        <v>0</v>
      </c>
      <c r="P12" s="124">
        <v>0.1</v>
      </c>
      <c r="Q12" s="125"/>
      <c r="R12" s="125">
        <f t="shared" si="2"/>
        <v>165</v>
      </c>
      <c r="S12" s="126">
        <f t="shared" si="3"/>
        <v>0.24969999999999998</v>
      </c>
      <c r="T12" s="126">
        <f t="shared" si="4"/>
        <v>37.454999999999998</v>
      </c>
      <c r="U12" s="121"/>
      <c r="V12" s="128"/>
      <c r="W12" s="120"/>
    </row>
    <row r="13" spans="1:23" s="129" customFormat="1" x14ac:dyDescent="0.25">
      <c r="A13" s="91">
        <v>11</v>
      </c>
      <c r="B13" s="130" t="s">
        <v>238</v>
      </c>
      <c r="C13" s="120" t="s">
        <v>692</v>
      </c>
      <c r="D13" s="120" t="s">
        <v>693</v>
      </c>
      <c r="E13" s="92" t="s">
        <v>157</v>
      </c>
      <c r="F13" s="94" t="s">
        <v>707</v>
      </c>
      <c r="G13" s="121" t="s">
        <v>23</v>
      </c>
      <c r="H13" s="103" t="s">
        <v>35</v>
      </c>
      <c r="I13" s="123">
        <v>0.11600000000000001</v>
      </c>
      <c r="J13" s="121">
        <v>100</v>
      </c>
      <c r="K13" s="121">
        <v>1</v>
      </c>
      <c r="L13" s="121">
        <v>2</v>
      </c>
      <c r="M13" s="121">
        <v>0</v>
      </c>
      <c r="N13" s="121">
        <f t="shared" si="0"/>
        <v>2</v>
      </c>
      <c r="O13" s="121">
        <f t="shared" si="1"/>
        <v>0</v>
      </c>
      <c r="P13" s="124">
        <v>0.1</v>
      </c>
      <c r="Q13" s="125"/>
      <c r="R13" s="125">
        <f t="shared" si="2"/>
        <v>165</v>
      </c>
      <c r="S13" s="126">
        <f t="shared" si="3"/>
        <v>0.12759999999999999</v>
      </c>
      <c r="T13" s="126">
        <f t="shared" si="4"/>
        <v>19.139999999999997</v>
      </c>
      <c r="U13" s="121"/>
      <c r="V13" s="128"/>
      <c r="W13" s="120"/>
    </row>
    <row r="14" spans="1:23" s="129" customFormat="1" x14ac:dyDescent="0.25">
      <c r="A14" s="118">
        <v>12</v>
      </c>
      <c r="B14" s="130" t="s">
        <v>635</v>
      </c>
      <c r="C14" s="120" t="s">
        <v>705</v>
      </c>
      <c r="D14" s="120" t="s">
        <v>708</v>
      </c>
      <c r="E14" s="120" t="s">
        <v>406</v>
      </c>
      <c r="F14" s="103" t="s">
        <v>709</v>
      </c>
      <c r="G14" s="121" t="s">
        <v>23</v>
      </c>
      <c r="H14" s="122" t="s">
        <v>35</v>
      </c>
      <c r="I14" s="123">
        <v>4.9000000000000002E-2</v>
      </c>
      <c r="J14" s="121">
        <v>100</v>
      </c>
      <c r="K14" s="121">
        <v>1</v>
      </c>
      <c r="L14" s="121">
        <v>2</v>
      </c>
      <c r="M14" s="121">
        <v>0</v>
      </c>
      <c r="N14" s="121">
        <f t="shared" si="0"/>
        <v>2</v>
      </c>
      <c r="O14" s="121">
        <f t="shared" si="1"/>
        <v>0</v>
      </c>
      <c r="P14" s="124">
        <v>0.1</v>
      </c>
      <c r="Q14" s="125"/>
      <c r="R14" s="125">
        <f t="shared" si="2"/>
        <v>165</v>
      </c>
      <c r="S14" s="126">
        <f t="shared" si="3"/>
        <v>5.3900000000000003E-2</v>
      </c>
      <c r="T14" s="126">
        <f t="shared" si="4"/>
        <v>8.0850000000000009</v>
      </c>
      <c r="U14" s="127"/>
      <c r="V14" s="128"/>
      <c r="W14" s="120"/>
    </row>
    <row r="15" spans="1:23" s="129" customFormat="1" x14ac:dyDescent="0.25">
      <c r="A15" s="91">
        <v>13</v>
      </c>
      <c r="B15" s="35" t="s">
        <v>192</v>
      </c>
      <c r="C15" s="92" t="s">
        <v>478</v>
      </c>
      <c r="D15" s="92" t="s">
        <v>19</v>
      </c>
      <c r="E15" s="92" t="s">
        <v>193</v>
      </c>
      <c r="F15" s="89" t="s">
        <v>684</v>
      </c>
      <c r="G15" s="89" t="s">
        <v>18</v>
      </c>
      <c r="H15" s="51" t="s">
        <v>685</v>
      </c>
      <c r="I15" s="85">
        <v>2.73</v>
      </c>
      <c r="J15" s="89">
        <v>100</v>
      </c>
      <c r="K15" s="89">
        <v>1</v>
      </c>
      <c r="L15" s="89">
        <v>38</v>
      </c>
      <c r="M15" s="89">
        <v>0</v>
      </c>
      <c r="N15" s="89">
        <f t="shared" si="0"/>
        <v>38</v>
      </c>
      <c r="O15" s="89">
        <f t="shared" si="1"/>
        <v>0</v>
      </c>
      <c r="P15" s="3">
        <v>0.05</v>
      </c>
      <c r="Q15" s="97"/>
      <c r="R15" s="97">
        <f t="shared" si="2"/>
        <v>157.5</v>
      </c>
      <c r="S15" s="90">
        <f t="shared" si="3"/>
        <v>2.8665000000000003</v>
      </c>
      <c r="T15" s="90">
        <f t="shared" si="4"/>
        <v>429.97500000000002</v>
      </c>
      <c r="U15" s="37"/>
      <c r="V15" s="29"/>
      <c r="W15" s="92"/>
    </row>
    <row r="16" spans="1:23" s="129" customFormat="1" x14ac:dyDescent="0.25">
      <c r="A16" s="118">
        <v>14</v>
      </c>
      <c r="B16" s="35" t="s">
        <v>198</v>
      </c>
      <c r="C16" s="23" t="s">
        <v>197</v>
      </c>
      <c r="D16" s="23" t="s">
        <v>19</v>
      </c>
      <c r="E16" s="19" t="s">
        <v>193</v>
      </c>
      <c r="F16" s="102" t="s">
        <v>82</v>
      </c>
      <c r="G16" s="89" t="s">
        <v>18</v>
      </c>
      <c r="H16" s="51" t="s">
        <v>686</v>
      </c>
      <c r="I16" s="85">
        <v>1.5629999999999999</v>
      </c>
      <c r="J16" s="89">
        <v>100</v>
      </c>
      <c r="K16" s="89">
        <v>1</v>
      </c>
      <c r="L16" s="89">
        <v>24</v>
      </c>
      <c r="M16" s="89">
        <v>0</v>
      </c>
      <c r="N16" s="89">
        <f t="shared" si="0"/>
        <v>24</v>
      </c>
      <c r="O16" s="89">
        <f t="shared" si="1"/>
        <v>0</v>
      </c>
      <c r="P16" s="3">
        <v>0.05</v>
      </c>
      <c r="Q16" s="97"/>
      <c r="R16" s="97">
        <f t="shared" si="2"/>
        <v>157.5</v>
      </c>
      <c r="S16" s="90">
        <f t="shared" si="3"/>
        <v>1.6411499999999999</v>
      </c>
      <c r="T16" s="90">
        <f t="shared" si="4"/>
        <v>246.17249999999999</v>
      </c>
      <c r="U16" s="37"/>
      <c r="V16" s="29"/>
      <c r="W16" s="92"/>
    </row>
    <row r="17" spans="1:25" x14ac:dyDescent="0.25">
      <c r="H17" s="51"/>
      <c r="P17" s="3">
        <v>0.1</v>
      </c>
      <c r="R17" s="97">
        <f t="shared" si="2"/>
        <v>0</v>
      </c>
      <c r="S17" s="90">
        <f t="shared" si="3"/>
        <v>0</v>
      </c>
      <c r="T17" s="90">
        <f t="shared" si="4"/>
        <v>0</v>
      </c>
      <c r="U17" s="37"/>
    </row>
    <row r="18" spans="1:25" x14ac:dyDescent="0.25">
      <c r="B18" s="141" t="s">
        <v>713</v>
      </c>
      <c r="P18" s="3">
        <v>0.1</v>
      </c>
      <c r="R18" s="97">
        <f t="shared" si="2"/>
        <v>0</v>
      </c>
      <c r="S18" s="90">
        <f t="shared" si="3"/>
        <v>0</v>
      </c>
      <c r="T18" s="90">
        <f t="shared" si="4"/>
        <v>0</v>
      </c>
      <c r="U18" s="37"/>
    </row>
    <row r="19" spans="1:25" x14ac:dyDescent="0.25">
      <c r="P19" s="3">
        <v>0.1</v>
      </c>
      <c r="R19" s="97">
        <f t="shared" si="2"/>
        <v>0</v>
      </c>
      <c r="S19" s="90">
        <f t="shared" si="3"/>
        <v>0</v>
      </c>
      <c r="T19" s="90">
        <f t="shared" si="4"/>
        <v>0</v>
      </c>
      <c r="U19" s="37"/>
    </row>
    <row r="20" spans="1:25" x14ac:dyDescent="0.25">
      <c r="F20" s="99"/>
      <c r="H20" s="51"/>
      <c r="P20" s="3">
        <v>0.1</v>
      </c>
      <c r="R20" s="97">
        <f t="shared" si="2"/>
        <v>0</v>
      </c>
      <c r="S20" s="90">
        <f t="shared" si="3"/>
        <v>0</v>
      </c>
      <c r="T20" s="90">
        <f t="shared" si="4"/>
        <v>0</v>
      </c>
    </row>
    <row r="21" spans="1:25" s="120" customFormat="1" x14ac:dyDescent="0.25">
      <c r="A21" s="118"/>
      <c r="B21" s="119"/>
      <c r="F21" s="103"/>
      <c r="G21" s="121"/>
      <c r="H21" s="122"/>
      <c r="I21" s="123"/>
      <c r="J21" s="121"/>
      <c r="K21" s="121"/>
      <c r="L21" s="121"/>
      <c r="M21" s="121"/>
      <c r="N21" s="121"/>
      <c r="O21" s="121"/>
      <c r="P21" s="3">
        <v>0.1</v>
      </c>
      <c r="Q21" s="125"/>
      <c r="R21" s="97">
        <f t="shared" si="2"/>
        <v>0</v>
      </c>
      <c r="S21" s="126">
        <f>(R21*I21)/$E$37</f>
        <v>0</v>
      </c>
      <c r="T21" s="126">
        <f t="shared" si="4"/>
        <v>0</v>
      </c>
      <c r="U21" s="127"/>
      <c r="V21" s="128"/>
      <c r="X21" s="129"/>
      <c r="Y21" s="129"/>
    </row>
    <row r="22" spans="1:25" s="120" customFormat="1" x14ac:dyDescent="0.25">
      <c r="A22" s="118"/>
      <c r="B22" s="130"/>
      <c r="D22" s="131"/>
      <c r="F22" s="103"/>
      <c r="G22" s="121"/>
      <c r="H22" s="122"/>
      <c r="I22" s="123"/>
      <c r="J22" s="121"/>
      <c r="K22" s="121"/>
      <c r="L22" s="121"/>
      <c r="M22" s="121"/>
      <c r="N22" s="121"/>
      <c r="O22" s="121"/>
      <c r="P22" s="3">
        <v>0.1</v>
      </c>
      <c r="Q22" s="125"/>
      <c r="R22" s="97">
        <f t="shared" si="2"/>
        <v>0</v>
      </c>
      <c r="S22" s="126">
        <f t="shared" ref="S22:S29" si="5">R22*I22/$E$37</f>
        <v>0</v>
      </c>
      <c r="T22" s="126">
        <f t="shared" si="4"/>
        <v>0</v>
      </c>
      <c r="U22" s="127"/>
      <c r="V22" s="128"/>
      <c r="X22" s="129"/>
      <c r="Y22" s="129"/>
    </row>
    <row r="23" spans="1:25" s="120" customFormat="1" x14ac:dyDescent="0.25">
      <c r="A23" s="118"/>
      <c r="B23" s="130"/>
      <c r="F23" s="103"/>
      <c r="G23" s="121"/>
      <c r="H23" s="122"/>
      <c r="I23" s="132"/>
      <c r="J23" s="121"/>
      <c r="K23" s="121"/>
      <c r="L23" s="121"/>
      <c r="M23" s="121"/>
      <c r="N23" s="121"/>
      <c r="O23" s="121"/>
      <c r="P23" s="3">
        <v>0.1</v>
      </c>
      <c r="Q23" s="125"/>
      <c r="R23" s="97">
        <f t="shared" si="2"/>
        <v>0</v>
      </c>
      <c r="S23" s="126">
        <f t="shared" si="5"/>
        <v>0</v>
      </c>
      <c r="T23" s="126">
        <f t="shared" si="4"/>
        <v>0</v>
      </c>
      <c r="U23" s="127"/>
      <c r="V23" s="128"/>
      <c r="X23" s="129"/>
      <c r="Y23" s="129"/>
    </row>
    <row r="24" spans="1:25" s="120" customFormat="1" x14ac:dyDescent="0.25">
      <c r="A24" s="118"/>
      <c r="B24" s="130"/>
      <c r="F24" s="103"/>
      <c r="G24" s="121"/>
      <c r="H24" s="122"/>
      <c r="I24" s="123"/>
      <c r="J24" s="121"/>
      <c r="K24" s="121"/>
      <c r="L24" s="121"/>
      <c r="M24" s="121"/>
      <c r="N24" s="121"/>
      <c r="O24" s="121"/>
      <c r="P24" s="3">
        <v>0.1</v>
      </c>
      <c r="Q24" s="125"/>
      <c r="R24" s="97">
        <f t="shared" si="2"/>
        <v>0</v>
      </c>
      <c r="S24" s="126">
        <f t="shared" si="5"/>
        <v>0</v>
      </c>
      <c r="T24" s="126">
        <f t="shared" si="4"/>
        <v>0</v>
      </c>
      <c r="U24" s="127"/>
      <c r="V24" s="128"/>
      <c r="X24" s="129"/>
      <c r="Y24" s="129"/>
    </row>
    <row r="25" spans="1:25" s="120" customFormat="1" x14ac:dyDescent="0.25">
      <c r="A25" s="118"/>
      <c r="B25" s="130"/>
      <c r="F25" s="103"/>
      <c r="G25" s="121"/>
      <c r="H25" s="122"/>
      <c r="I25" s="123"/>
      <c r="J25" s="121"/>
      <c r="K25" s="121"/>
      <c r="L25" s="121"/>
      <c r="M25" s="121"/>
      <c r="N25" s="121"/>
      <c r="O25" s="121"/>
      <c r="P25" s="3">
        <v>0.1</v>
      </c>
      <c r="Q25" s="125"/>
      <c r="R25" s="97">
        <f t="shared" si="2"/>
        <v>0</v>
      </c>
      <c r="S25" s="126">
        <f t="shared" si="5"/>
        <v>0</v>
      </c>
      <c r="T25" s="126">
        <f t="shared" si="4"/>
        <v>0</v>
      </c>
      <c r="U25" s="127"/>
      <c r="V25" s="128"/>
      <c r="X25" s="129"/>
      <c r="Y25" s="129"/>
    </row>
    <row r="26" spans="1:25" s="120" customFormat="1" x14ac:dyDescent="0.25">
      <c r="A26" s="118"/>
      <c r="B26" s="130"/>
      <c r="F26" s="103"/>
      <c r="G26" s="121"/>
      <c r="H26" s="103"/>
      <c r="I26" s="123"/>
      <c r="J26" s="121"/>
      <c r="K26" s="121"/>
      <c r="L26" s="121"/>
      <c r="M26" s="121"/>
      <c r="N26" s="121"/>
      <c r="O26" s="121"/>
      <c r="P26" s="3">
        <v>0.1</v>
      </c>
      <c r="Q26" s="125"/>
      <c r="R26" s="97">
        <f t="shared" si="2"/>
        <v>0</v>
      </c>
      <c r="S26" s="126">
        <f t="shared" si="5"/>
        <v>0</v>
      </c>
      <c r="T26" s="126">
        <f t="shared" si="4"/>
        <v>0</v>
      </c>
      <c r="U26" s="121"/>
      <c r="V26" s="128"/>
      <c r="X26" s="129"/>
      <c r="Y26" s="129"/>
    </row>
    <row r="27" spans="1:25" s="92" customFormat="1" x14ac:dyDescent="0.25">
      <c r="A27" s="91"/>
      <c r="B27" s="35"/>
      <c r="D27" s="19"/>
      <c r="F27" s="94"/>
      <c r="G27" s="89"/>
      <c r="H27" s="51"/>
      <c r="I27" s="85"/>
      <c r="J27" s="89"/>
      <c r="K27" s="89"/>
      <c r="L27" s="89"/>
      <c r="M27" s="89"/>
      <c r="N27" s="89"/>
      <c r="O27" s="89"/>
      <c r="P27" s="3">
        <v>0.1</v>
      </c>
      <c r="Q27" s="97"/>
      <c r="R27" s="97">
        <f t="shared" si="2"/>
        <v>0</v>
      </c>
      <c r="S27" s="90">
        <f t="shared" si="5"/>
        <v>0</v>
      </c>
      <c r="T27" s="90">
        <f t="shared" si="4"/>
        <v>0</v>
      </c>
      <c r="U27" s="37"/>
      <c r="V27" s="29"/>
      <c r="X27" s="88"/>
      <c r="Y27" s="88"/>
    </row>
    <row r="28" spans="1:25" s="92" customFormat="1" x14ac:dyDescent="0.25">
      <c r="A28" s="91"/>
      <c r="B28" s="35"/>
      <c r="F28" s="94"/>
      <c r="G28" s="89"/>
      <c r="H28" s="51"/>
      <c r="I28" s="85"/>
      <c r="J28" s="89"/>
      <c r="K28" s="89"/>
      <c r="L28" s="89"/>
      <c r="M28" s="89"/>
      <c r="N28" s="89"/>
      <c r="O28" s="89"/>
      <c r="P28" s="3">
        <v>0.1</v>
      </c>
      <c r="Q28" s="97"/>
      <c r="R28" s="97">
        <f t="shared" si="2"/>
        <v>0</v>
      </c>
      <c r="S28" s="90">
        <f t="shared" si="5"/>
        <v>0</v>
      </c>
      <c r="T28" s="90">
        <f t="shared" si="4"/>
        <v>0</v>
      </c>
      <c r="U28" s="37"/>
      <c r="V28" s="29"/>
      <c r="X28" s="88"/>
      <c r="Y28" s="88"/>
    </row>
    <row r="29" spans="1:25" s="92" customFormat="1" x14ac:dyDescent="0.25">
      <c r="A29" s="91"/>
      <c r="B29" s="35"/>
      <c r="E29" s="19"/>
      <c r="F29" s="95"/>
      <c r="G29" s="89"/>
      <c r="H29" s="51"/>
      <c r="I29" s="85"/>
      <c r="J29" s="89"/>
      <c r="K29" s="89"/>
      <c r="L29" s="89"/>
      <c r="M29" s="89"/>
      <c r="N29" s="89"/>
      <c r="O29" s="89">
        <f>M29*$K29</f>
        <v>0</v>
      </c>
      <c r="P29" s="3">
        <v>0.1</v>
      </c>
      <c r="Q29" s="97">
        <f>K29*1.1*$E$37</f>
        <v>0</v>
      </c>
      <c r="R29" s="97">
        <f t="shared" si="2"/>
        <v>0</v>
      </c>
      <c r="S29" s="90">
        <f t="shared" si="5"/>
        <v>0</v>
      </c>
      <c r="T29" s="90">
        <f t="shared" si="4"/>
        <v>0</v>
      </c>
      <c r="U29" s="37"/>
      <c r="V29" s="29"/>
      <c r="X29" s="88"/>
      <c r="Y29" s="88"/>
    </row>
    <row r="30" spans="1:25" s="92" customFormat="1" x14ac:dyDescent="0.25">
      <c r="A30" s="91"/>
      <c r="B30" s="35"/>
      <c r="F30" s="99"/>
      <c r="G30" s="89"/>
      <c r="H30" s="94"/>
      <c r="I30" s="85"/>
      <c r="J30" s="89"/>
      <c r="K30" s="89"/>
      <c r="L30" s="89"/>
      <c r="M30" s="89"/>
      <c r="N30" s="89"/>
      <c r="O30" s="89"/>
      <c r="P30" s="3"/>
      <c r="Q30" s="97"/>
      <c r="R30" s="97"/>
      <c r="S30" s="90"/>
      <c r="T30" s="90"/>
      <c r="U30" s="37"/>
      <c r="V30" s="29"/>
      <c r="X30" s="88"/>
      <c r="Y30" s="88"/>
    </row>
    <row r="31" spans="1:25" x14ac:dyDescent="0.25">
      <c r="H31" s="51"/>
      <c r="I31" s="87"/>
      <c r="R31" s="97"/>
      <c r="U31" s="37"/>
    </row>
    <row r="32" spans="1:25" s="29" customFormat="1" x14ac:dyDescent="0.25">
      <c r="A32" s="91"/>
      <c r="B32" s="35"/>
      <c r="C32" s="23"/>
      <c r="D32" s="23"/>
      <c r="E32" s="92"/>
      <c r="F32" s="96"/>
      <c r="G32" s="89"/>
      <c r="H32" s="51"/>
      <c r="I32" s="85"/>
      <c r="J32" s="89"/>
      <c r="K32" s="89"/>
      <c r="L32" s="89"/>
      <c r="M32" s="89"/>
      <c r="N32" s="89"/>
      <c r="O32" s="89"/>
      <c r="P32" s="3"/>
      <c r="Q32" s="97"/>
      <c r="R32" s="97"/>
      <c r="S32" s="90"/>
      <c r="T32" s="90"/>
      <c r="U32" s="37"/>
      <c r="W32" s="92"/>
      <c r="X32" s="88"/>
      <c r="Y32" s="88"/>
    </row>
    <row r="33" spans="1:25" s="29" customFormat="1" x14ac:dyDescent="0.25">
      <c r="A33" s="91"/>
      <c r="B33" s="35"/>
      <c r="C33" s="92"/>
      <c r="D33" s="12"/>
      <c r="E33" s="92"/>
      <c r="F33" s="94"/>
      <c r="G33" s="89"/>
      <c r="H33" s="51"/>
      <c r="I33" s="85"/>
      <c r="J33" s="89"/>
      <c r="K33" s="89"/>
      <c r="L33" s="89"/>
      <c r="M33" s="89"/>
      <c r="N33" s="89"/>
      <c r="O33" s="89"/>
      <c r="P33" s="3"/>
      <c r="Q33" s="97"/>
      <c r="R33" s="97"/>
      <c r="S33" s="90"/>
      <c r="T33" s="90"/>
      <c r="U33" s="37"/>
      <c r="W33" s="92"/>
      <c r="X33" s="88"/>
      <c r="Y33" s="88"/>
    </row>
    <row r="34" spans="1:25" s="29" customFormat="1" x14ac:dyDescent="0.25">
      <c r="A34" s="91"/>
      <c r="B34" s="35"/>
      <c r="C34" s="92"/>
      <c r="D34" s="92"/>
      <c r="E34" s="92"/>
      <c r="F34" s="95"/>
      <c r="G34" s="89"/>
      <c r="H34" s="94"/>
      <c r="I34" s="85"/>
      <c r="J34" s="89"/>
      <c r="K34" s="89"/>
      <c r="L34" s="89"/>
      <c r="M34" s="89"/>
      <c r="N34" s="89"/>
      <c r="O34" s="89"/>
      <c r="P34" s="3"/>
      <c r="Q34" s="97"/>
      <c r="R34" s="97"/>
      <c r="S34" s="90"/>
      <c r="T34" s="90"/>
      <c r="U34" s="37"/>
      <c r="W34" s="92"/>
      <c r="X34" s="88"/>
      <c r="Y34" s="88"/>
    </row>
    <row r="35" spans="1:25" s="29" customFormat="1" x14ac:dyDescent="0.25">
      <c r="A35" s="91"/>
      <c r="B35" s="35"/>
      <c r="C35" s="92"/>
      <c r="D35" s="92"/>
      <c r="E35" s="92"/>
      <c r="F35" s="94"/>
      <c r="G35" s="89"/>
      <c r="H35" s="51"/>
      <c r="I35" s="85"/>
      <c r="J35" s="89"/>
      <c r="K35" s="89"/>
      <c r="L35" s="89"/>
      <c r="M35" s="89"/>
      <c r="N35" s="89"/>
      <c r="O35" s="89"/>
      <c r="P35" s="3"/>
      <c r="Q35" s="97"/>
      <c r="R35" s="97"/>
      <c r="S35" s="90"/>
      <c r="T35" s="90"/>
      <c r="U35" s="37"/>
      <c r="W35" s="92"/>
      <c r="X35" s="88"/>
      <c r="Y35" s="88"/>
    </row>
    <row r="37" spans="1:25" s="29" customFormat="1" x14ac:dyDescent="0.25">
      <c r="A37" s="91"/>
      <c r="B37" s="137"/>
      <c r="C37" s="39"/>
      <c r="D37" s="39" t="s">
        <v>304</v>
      </c>
      <c r="E37" s="92">
        <v>150</v>
      </c>
      <c r="F37" s="89"/>
      <c r="G37" s="89"/>
      <c r="H37" s="94"/>
      <c r="I37" s="85"/>
      <c r="J37" s="89"/>
      <c r="K37" s="89"/>
      <c r="L37" s="89"/>
      <c r="M37" s="89"/>
      <c r="N37" s="89"/>
      <c r="O37" s="89"/>
      <c r="P37" s="3"/>
      <c r="Q37" s="97"/>
      <c r="R37" s="15"/>
      <c r="S37" s="90"/>
      <c r="T37" s="90"/>
      <c r="U37" s="89"/>
      <c r="W37" s="92"/>
      <c r="X37" s="88"/>
      <c r="Y37" s="88"/>
    </row>
    <row r="38" spans="1:25" s="29" customFormat="1" x14ac:dyDescent="0.25">
      <c r="A38" s="91"/>
      <c r="B38" s="143" t="s">
        <v>186</v>
      </c>
      <c r="C38" s="143"/>
      <c r="D38" s="143"/>
      <c r="E38" s="92">
        <f>SUM(N3:N36)</f>
        <v>108</v>
      </c>
      <c r="F38" s="89"/>
      <c r="G38" s="89"/>
      <c r="H38" s="94"/>
      <c r="I38" s="85"/>
      <c r="J38" s="89"/>
      <c r="K38" s="89"/>
      <c r="L38" s="89"/>
      <c r="M38" s="89"/>
      <c r="N38" s="89"/>
      <c r="O38" s="89"/>
      <c r="P38" s="3"/>
      <c r="Q38" s="97"/>
      <c r="R38" s="15"/>
      <c r="S38" s="90"/>
      <c r="T38" s="90"/>
      <c r="U38" s="89"/>
      <c r="W38" s="92"/>
      <c r="X38" s="88"/>
      <c r="Y38" s="88"/>
    </row>
    <row r="39" spans="1:25" s="29" customFormat="1" x14ac:dyDescent="0.25">
      <c r="A39" s="91"/>
      <c r="B39" s="143" t="s">
        <v>711</v>
      </c>
      <c r="C39" s="143"/>
      <c r="D39" s="143"/>
      <c r="E39" s="92">
        <f>SUM(O3:O36)</f>
        <v>0</v>
      </c>
      <c r="F39" s="94"/>
      <c r="G39" s="89"/>
      <c r="H39" s="94"/>
      <c r="I39" s="85"/>
      <c r="J39" s="89"/>
      <c r="K39" s="89"/>
      <c r="L39" s="89"/>
      <c r="M39" s="89"/>
      <c r="N39" s="89"/>
      <c r="O39" s="89"/>
      <c r="P39" s="3"/>
      <c r="Q39" s="97"/>
      <c r="R39" s="15"/>
      <c r="S39" s="90"/>
      <c r="T39" s="90"/>
      <c r="U39" s="89"/>
      <c r="W39" s="92"/>
      <c r="X39" s="88"/>
      <c r="Y39" s="88"/>
    </row>
    <row r="40" spans="1:25" s="29" customFormat="1" x14ac:dyDescent="0.25">
      <c r="A40" s="91"/>
      <c r="B40" s="143" t="s">
        <v>188</v>
      </c>
      <c r="C40" s="143"/>
      <c r="D40" s="143"/>
      <c r="E40" s="92">
        <f>COUNT(A3:A43)-4</f>
        <v>10</v>
      </c>
      <c r="F40" s="94"/>
      <c r="G40" s="89"/>
      <c r="H40" s="94"/>
      <c r="I40" s="85"/>
      <c r="J40" s="89"/>
      <c r="K40" s="89"/>
      <c r="L40" s="89"/>
      <c r="M40" s="89"/>
      <c r="N40" s="89"/>
      <c r="O40" s="89"/>
      <c r="P40" s="3"/>
      <c r="Q40" s="97"/>
      <c r="R40" s="15"/>
      <c r="S40" s="90"/>
      <c r="T40" s="90"/>
      <c r="U40" s="89"/>
      <c r="W40" s="92"/>
      <c r="X40" s="88"/>
      <c r="Y40" s="88"/>
    </row>
    <row r="41" spans="1:25" s="29" customFormat="1" x14ac:dyDescent="0.25">
      <c r="A41" s="91"/>
      <c r="B41" s="143" t="s">
        <v>189</v>
      </c>
      <c r="C41" s="143"/>
      <c r="D41" s="143"/>
      <c r="E41" s="92">
        <f>SUM(K2:K36)</f>
        <v>15</v>
      </c>
      <c r="F41" s="94"/>
      <c r="G41" s="89"/>
      <c r="H41" s="94"/>
      <c r="I41" s="85"/>
      <c r="J41" s="89"/>
      <c r="K41" s="89"/>
      <c r="L41" s="89"/>
      <c r="M41" s="89"/>
      <c r="N41" s="89"/>
      <c r="O41" s="89"/>
      <c r="P41" s="3"/>
      <c r="Q41" s="97"/>
      <c r="R41" s="15"/>
      <c r="S41" s="90"/>
      <c r="T41" s="90"/>
      <c r="U41" s="89"/>
      <c r="W41" s="92"/>
      <c r="X41" s="88"/>
      <c r="Y41" s="88"/>
    </row>
    <row r="42" spans="1:25" s="29" customFormat="1" ht="30" x14ac:dyDescent="0.25">
      <c r="A42" s="91"/>
      <c r="B42" s="138"/>
      <c r="C42" s="138"/>
      <c r="D42" s="138" t="s">
        <v>712</v>
      </c>
      <c r="E42" s="92">
        <f>SUM(N3:N29)</f>
        <v>108</v>
      </c>
      <c r="F42" s="94"/>
      <c r="G42" s="89"/>
      <c r="H42" s="94"/>
      <c r="I42" s="85"/>
      <c r="J42" s="89"/>
      <c r="K42" s="89"/>
      <c r="L42" s="89"/>
      <c r="M42" s="89"/>
      <c r="N42" s="89"/>
      <c r="O42" s="89"/>
      <c r="P42" s="3"/>
      <c r="Q42" s="97"/>
      <c r="R42" s="15"/>
      <c r="S42" s="90"/>
      <c r="T42" s="90"/>
      <c r="U42" s="89"/>
      <c r="W42" s="92"/>
      <c r="X42" s="88"/>
      <c r="Y42" s="88"/>
    </row>
    <row r="43" spans="1:25" s="29" customFormat="1" x14ac:dyDescent="0.25">
      <c r="A43" s="91"/>
      <c r="B43" s="137"/>
      <c r="C43" s="39"/>
      <c r="D43" s="39" t="s">
        <v>438</v>
      </c>
      <c r="E43" s="57">
        <f>SUM(S3:S36)*1.09</f>
        <v>10.438810100000001</v>
      </c>
      <c r="F43" s="94"/>
      <c r="G43" s="89"/>
      <c r="H43" s="94"/>
      <c r="I43" s="85"/>
      <c r="J43" s="89"/>
      <c r="K43" s="89"/>
      <c r="L43" s="89"/>
      <c r="M43" s="89"/>
      <c r="N43" s="89"/>
      <c r="O43" s="89"/>
      <c r="P43" s="3"/>
      <c r="Q43" s="97"/>
      <c r="R43" s="15"/>
      <c r="S43" s="90"/>
      <c r="T43" s="90"/>
      <c r="U43" s="89"/>
      <c r="W43" s="92"/>
      <c r="X43" s="88"/>
      <c r="Y43" s="88"/>
    </row>
    <row r="44" spans="1:25" s="29" customFormat="1" x14ac:dyDescent="0.25">
      <c r="A44" s="91"/>
      <c r="B44" s="35"/>
      <c r="C44" s="92"/>
      <c r="D44" s="39" t="s">
        <v>439</v>
      </c>
      <c r="E44" s="56">
        <f>SUM(T3:T36)*1.09</f>
        <v>1565.8215150000001</v>
      </c>
      <c r="F44" s="94"/>
      <c r="G44" s="89"/>
      <c r="H44" s="94"/>
      <c r="I44" s="85"/>
      <c r="J44" s="89"/>
      <c r="K44" s="89"/>
      <c r="L44" s="89"/>
      <c r="M44" s="89"/>
      <c r="N44" s="89"/>
      <c r="O44" s="89"/>
      <c r="P44" s="3"/>
      <c r="Q44" s="97"/>
      <c r="R44" s="15"/>
      <c r="S44" s="90"/>
      <c r="T44" s="90"/>
      <c r="U44" s="89"/>
      <c r="W44" s="92"/>
      <c r="X44" s="88"/>
      <c r="Y44" s="88"/>
    </row>
    <row r="45" spans="1:25" s="29" customFormat="1" x14ac:dyDescent="0.25">
      <c r="A45" s="91"/>
      <c r="B45" s="35"/>
      <c r="C45" s="92"/>
      <c r="D45" s="92"/>
      <c r="E45" s="70"/>
      <c r="F45" s="94"/>
      <c r="G45" s="89"/>
      <c r="H45" s="94"/>
      <c r="I45" s="85"/>
      <c r="J45" s="89"/>
      <c r="K45" s="89"/>
      <c r="L45" s="89"/>
      <c r="M45" s="89"/>
      <c r="N45" s="89"/>
      <c r="O45" s="89"/>
      <c r="P45" s="3"/>
      <c r="Q45" s="97"/>
      <c r="R45" s="15"/>
      <c r="S45" s="90"/>
      <c r="T45" s="90"/>
      <c r="U45" s="89"/>
      <c r="W45" s="92"/>
      <c r="X45" s="88"/>
      <c r="Y45" s="88"/>
    </row>
    <row r="46" spans="1:25" s="29" customFormat="1" x14ac:dyDescent="0.25">
      <c r="A46" s="91"/>
      <c r="B46" s="35"/>
      <c r="C46" s="92"/>
      <c r="D46" s="92" t="s">
        <v>550</v>
      </c>
      <c r="E46" s="92">
        <v>40.32</v>
      </c>
      <c r="F46" s="94"/>
      <c r="G46" s="89"/>
      <c r="H46" s="94"/>
      <c r="I46" s="85"/>
      <c r="J46" s="89"/>
      <c r="K46" s="89"/>
      <c r="L46" s="89"/>
      <c r="M46" s="89"/>
      <c r="N46" s="89"/>
      <c r="O46" s="89"/>
      <c r="P46" s="3"/>
      <c r="Q46" s="97"/>
      <c r="R46" s="15"/>
      <c r="S46" s="90"/>
      <c r="T46" s="90"/>
      <c r="U46" s="89"/>
      <c r="W46" s="92"/>
      <c r="X46" s="88"/>
      <c r="Y46" s="88"/>
    </row>
  </sheetData>
  <autoFilter ref="A2:W29" xr:uid="{00000000-0009-0000-0000-000002000000}">
    <sortState xmlns:xlrd2="http://schemas.microsoft.com/office/spreadsheetml/2017/richdata2" ref="A3:W29">
      <sortCondition ref="B2:B29"/>
    </sortState>
  </autoFilter>
  <mergeCells count="5">
    <mergeCell ref="A1:W1"/>
    <mergeCell ref="B38:D38"/>
    <mergeCell ref="B39:D39"/>
    <mergeCell ref="B40:D40"/>
    <mergeCell ref="B41:D41"/>
  </mergeCells>
  <printOptions horizontalCentered="1" gridLines="1"/>
  <pageMargins left="0.25" right="0.25" top="0.75" bottom="0.75" header="0.3" footer="0.3"/>
  <pageSetup orientation="landscape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2F05-8143-4235-BE40-07120F2C852B}">
  <dimension ref="A1:AC46"/>
  <sheetViews>
    <sheetView zoomScaleNormal="100" zoomScaleSheetLayoutView="100" workbookViewId="0">
      <pane ySplit="2" topLeftCell="A9" activePane="bottomLeft" state="frozen"/>
      <selection activeCell="G1" sqref="G1"/>
      <selection pane="bottomLeft" activeCell="H8" sqref="H8"/>
    </sheetView>
  </sheetViews>
  <sheetFormatPr defaultRowHeight="15" x14ac:dyDescent="0.25"/>
  <cols>
    <col min="1" max="1" width="4.85546875" style="91" customWidth="1"/>
    <col min="2" max="3" width="4.28515625" style="91" hidden="1" customWidth="1"/>
    <col min="4" max="4" width="4.7109375" style="91" hidden="1" customWidth="1"/>
    <col min="5" max="5" width="15" style="35" bestFit="1" customWidth="1"/>
    <col min="6" max="6" width="19" style="92" customWidth="1"/>
    <col min="7" max="7" width="21.140625" style="92" customWidth="1"/>
    <col min="8" max="8" width="20" style="92" customWidth="1"/>
    <col min="9" max="9" width="24.7109375" style="94" customWidth="1"/>
    <col min="10" max="10" width="24.85546875" style="94" hidden="1" customWidth="1"/>
    <col min="11" max="11" width="5.42578125" style="89" hidden="1" customWidth="1"/>
    <col min="12" max="12" width="13.85546875" style="94" bestFit="1" customWidth="1"/>
    <col min="13" max="13" width="10" style="85" hidden="1" customWidth="1"/>
    <col min="14" max="14" width="6.42578125" style="89" hidden="1" customWidth="1"/>
    <col min="15" max="15" width="6.42578125" style="89" customWidth="1"/>
    <col min="16" max="19" width="5.42578125" style="89" hidden="1" customWidth="1"/>
    <col min="20" max="20" width="10.42578125" style="3" hidden="1" customWidth="1"/>
    <col min="21" max="21" width="6.85546875" style="97" hidden="1" customWidth="1"/>
    <col min="22" max="22" width="7.5703125" style="15" customWidth="1"/>
    <col min="23" max="23" width="9.5703125" style="90" hidden="1" customWidth="1"/>
    <col min="24" max="24" width="10.42578125" style="90" hidden="1" customWidth="1"/>
    <col min="25" max="25" width="13" style="89" hidden="1" customWidth="1"/>
    <col min="26" max="26" width="12.85546875" style="29" hidden="1" customWidth="1"/>
    <col min="27" max="27" width="33.85546875" style="92" hidden="1" customWidth="1"/>
    <col min="28" max="16384" width="9.140625" style="88"/>
  </cols>
  <sheetData>
    <row r="1" spans="1:27" ht="18.75" x14ac:dyDescent="0.25">
      <c r="A1" s="144" t="s">
        <v>605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</row>
    <row r="2" spans="1:27" s="93" customFormat="1" ht="30" x14ac:dyDescent="0.25">
      <c r="A2" s="93" t="s">
        <v>0</v>
      </c>
      <c r="B2" s="93" t="s">
        <v>600</v>
      </c>
      <c r="C2" s="93" t="s">
        <v>569</v>
      </c>
      <c r="D2" s="93" t="s">
        <v>324</v>
      </c>
      <c r="E2" s="18" t="s">
        <v>1</v>
      </c>
      <c r="F2" s="18" t="s">
        <v>2</v>
      </c>
      <c r="G2" s="18" t="s">
        <v>3</v>
      </c>
      <c r="H2" s="53" t="s">
        <v>4</v>
      </c>
      <c r="I2" s="98" t="s">
        <v>5</v>
      </c>
      <c r="J2" s="98" t="s">
        <v>100</v>
      </c>
      <c r="K2" s="93" t="s">
        <v>6</v>
      </c>
      <c r="L2" s="98" t="s">
        <v>7</v>
      </c>
      <c r="M2" s="86" t="s">
        <v>8</v>
      </c>
      <c r="N2" s="93" t="s">
        <v>9</v>
      </c>
      <c r="O2" s="93" t="s">
        <v>89</v>
      </c>
      <c r="P2" s="93" t="s">
        <v>10</v>
      </c>
      <c r="Q2" s="93" t="s">
        <v>163</v>
      </c>
      <c r="R2" s="93" t="s">
        <v>162</v>
      </c>
      <c r="S2" s="93" t="s">
        <v>161</v>
      </c>
      <c r="T2" s="6" t="s">
        <v>11</v>
      </c>
      <c r="U2" s="116" t="s">
        <v>642</v>
      </c>
      <c r="V2" s="13" t="s">
        <v>12</v>
      </c>
      <c r="W2" s="17" t="s">
        <v>13</v>
      </c>
      <c r="X2" s="17" t="s">
        <v>152</v>
      </c>
      <c r="Y2" s="93" t="s">
        <v>14</v>
      </c>
      <c r="Z2" s="80" t="s">
        <v>16</v>
      </c>
      <c r="AA2" s="93" t="s">
        <v>17</v>
      </c>
    </row>
    <row r="3" spans="1:27" x14ac:dyDescent="0.25">
      <c r="A3" s="91">
        <v>1</v>
      </c>
      <c r="B3" s="91" t="s">
        <v>23</v>
      </c>
      <c r="C3" s="91" t="s">
        <v>23</v>
      </c>
      <c r="D3" s="91" t="s">
        <v>23</v>
      </c>
      <c r="E3" s="35" t="s">
        <v>277</v>
      </c>
      <c r="F3" s="92" t="s">
        <v>278</v>
      </c>
      <c r="H3" s="92" t="s">
        <v>288</v>
      </c>
      <c r="I3" s="89" t="s">
        <v>616</v>
      </c>
      <c r="J3" s="89"/>
      <c r="K3" s="89" t="s">
        <v>18</v>
      </c>
      <c r="L3" s="51" t="s">
        <v>612</v>
      </c>
      <c r="M3" s="85">
        <v>0.436</v>
      </c>
      <c r="N3" s="89">
        <v>100</v>
      </c>
      <c r="O3" s="89">
        <v>1</v>
      </c>
      <c r="P3" s="89">
        <v>2</v>
      </c>
      <c r="Q3" s="89">
        <v>0</v>
      </c>
      <c r="R3" s="89">
        <f t="shared" ref="R3:R30" si="0">P3*$O3</f>
        <v>2</v>
      </c>
      <c r="S3" s="89">
        <f t="shared" ref="S3:S30" si="1">Q3*$O3</f>
        <v>0</v>
      </c>
      <c r="T3" s="3" t="s">
        <v>19</v>
      </c>
      <c r="U3" s="97">
        <f t="shared" ref="U3:U30" si="2">O3*1.1*$H$38</f>
        <v>88</v>
      </c>
      <c r="V3" s="97">
        <v>100</v>
      </c>
      <c r="W3" s="90">
        <f t="shared" ref="W3:W21" si="3">V3*M3/$H$38</f>
        <v>0.54500000000000004</v>
      </c>
      <c r="X3" s="90">
        <f t="shared" ref="X3:X30" si="4">W3*$H$38</f>
        <v>43.6</v>
      </c>
      <c r="Y3" s="37"/>
    </row>
    <row r="4" spans="1:27" x14ac:dyDescent="0.25">
      <c r="A4" s="91">
        <v>2</v>
      </c>
      <c r="B4" s="91" t="s">
        <v>23</v>
      </c>
      <c r="C4" s="91" t="s">
        <v>23</v>
      </c>
      <c r="D4" s="91" t="s">
        <v>23</v>
      </c>
      <c r="E4" s="35" t="s">
        <v>122</v>
      </c>
      <c r="F4" s="23" t="s">
        <v>27</v>
      </c>
      <c r="G4" s="23" t="s">
        <v>619</v>
      </c>
      <c r="H4" s="19" t="s">
        <v>364</v>
      </c>
      <c r="I4" s="102" t="s">
        <v>615</v>
      </c>
      <c r="J4" s="102"/>
      <c r="K4" s="89" t="s">
        <v>18</v>
      </c>
      <c r="L4" s="51" t="s">
        <v>22</v>
      </c>
      <c r="M4" s="85">
        <v>1.85</v>
      </c>
      <c r="N4" s="89">
        <v>100</v>
      </c>
      <c r="O4" s="89">
        <v>1</v>
      </c>
      <c r="P4" s="89">
        <v>2</v>
      </c>
      <c r="Q4" s="89">
        <v>0</v>
      </c>
      <c r="R4" s="89">
        <f t="shared" si="0"/>
        <v>2</v>
      </c>
      <c r="S4" s="89">
        <f t="shared" si="1"/>
        <v>0</v>
      </c>
      <c r="T4" s="3" t="s">
        <v>19</v>
      </c>
      <c r="U4" s="97">
        <f t="shared" si="2"/>
        <v>88</v>
      </c>
      <c r="V4" s="97">
        <v>100</v>
      </c>
      <c r="W4" s="90">
        <f t="shared" si="3"/>
        <v>2.3125</v>
      </c>
      <c r="X4" s="90">
        <f t="shared" si="4"/>
        <v>185</v>
      </c>
      <c r="Y4" s="37"/>
    </row>
    <row r="5" spans="1:27" x14ac:dyDescent="0.25">
      <c r="A5" s="91">
        <v>3</v>
      </c>
      <c r="B5" s="91" t="s">
        <v>23</v>
      </c>
      <c r="C5" s="91" t="s">
        <v>23</v>
      </c>
      <c r="D5" s="91" t="s">
        <v>23</v>
      </c>
      <c r="E5" s="35" t="s">
        <v>623</v>
      </c>
      <c r="F5" s="92" t="s">
        <v>427</v>
      </c>
      <c r="G5" s="92" t="s">
        <v>624</v>
      </c>
      <c r="H5" s="92" t="s">
        <v>157</v>
      </c>
      <c r="I5" s="94" t="s">
        <v>676</v>
      </c>
      <c r="K5" s="89" t="s">
        <v>18</v>
      </c>
      <c r="L5" s="51" t="s">
        <v>22</v>
      </c>
      <c r="M5" s="85">
        <v>0.21299999999999999</v>
      </c>
      <c r="N5" s="89">
        <v>250</v>
      </c>
      <c r="O5" s="89">
        <v>3</v>
      </c>
      <c r="P5" s="89">
        <v>4</v>
      </c>
      <c r="Q5" s="89">
        <v>0</v>
      </c>
      <c r="R5" s="89">
        <f t="shared" si="0"/>
        <v>12</v>
      </c>
      <c r="S5" s="89">
        <f t="shared" si="1"/>
        <v>0</v>
      </c>
      <c r="T5" s="3">
        <v>0.1</v>
      </c>
      <c r="U5" s="97">
        <f t="shared" si="2"/>
        <v>264</v>
      </c>
      <c r="V5" s="97">
        <v>300</v>
      </c>
      <c r="W5" s="90">
        <f t="shared" si="3"/>
        <v>0.79874999999999996</v>
      </c>
      <c r="X5" s="90">
        <f t="shared" si="4"/>
        <v>63.9</v>
      </c>
      <c r="Y5" s="37"/>
    </row>
    <row r="6" spans="1:27" x14ac:dyDescent="0.25">
      <c r="A6" s="91">
        <v>4</v>
      </c>
      <c r="B6" s="91" t="s">
        <v>23</v>
      </c>
      <c r="C6" s="91" t="s">
        <v>23</v>
      </c>
      <c r="D6" s="91" t="s">
        <v>23</v>
      </c>
      <c r="E6" s="36" t="s">
        <v>598</v>
      </c>
      <c r="G6" s="92" t="s">
        <v>627</v>
      </c>
      <c r="H6" s="92" t="s">
        <v>644</v>
      </c>
      <c r="I6" s="94" t="s">
        <v>645</v>
      </c>
      <c r="K6" s="89" t="s">
        <v>23</v>
      </c>
      <c r="L6" s="51" t="s">
        <v>35</v>
      </c>
      <c r="M6" s="85">
        <v>0.20499999999999999</v>
      </c>
      <c r="N6" s="89">
        <v>100</v>
      </c>
      <c r="O6" s="89">
        <v>1</v>
      </c>
      <c r="P6" s="89">
        <v>2</v>
      </c>
      <c r="Q6" s="89">
        <v>0</v>
      </c>
      <c r="R6" s="89">
        <f t="shared" si="0"/>
        <v>2</v>
      </c>
      <c r="S6" s="89">
        <f t="shared" si="1"/>
        <v>0</v>
      </c>
      <c r="T6" s="3" t="s">
        <v>19</v>
      </c>
      <c r="U6" s="97">
        <f t="shared" si="2"/>
        <v>88</v>
      </c>
      <c r="V6" s="97">
        <v>100</v>
      </c>
      <c r="W6" s="90">
        <f t="shared" si="3"/>
        <v>0.25624999999999998</v>
      </c>
      <c r="X6" s="90">
        <f t="shared" si="4"/>
        <v>20.5</v>
      </c>
      <c r="Y6" s="37"/>
    </row>
    <row r="7" spans="1:27" x14ac:dyDescent="0.25">
      <c r="A7" s="91">
        <v>5</v>
      </c>
      <c r="B7" s="91" t="s">
        <v>23</v>
      </c>
      <c r="C7" s="91" t="s">
        <v>23</v>
      </c>
      <c r="D7" s="91" t="s">
        <v>23</v>
      </c>
      <c r="E7" s="35" t="s">
        <v>632</v>
      </c>
      <c r="F7" s="92" t="s">
        <v>633</v>
      </c>
      <c r="G7" s="92" t="s">
        <v>634</v>
      </c>
      <c r="H7" s="92" t="s">
        <v>466</v>
      </c>
      <c r="I7" s="94" t="s">
        <v>648</v>
      </c>
      <c r="K7" s="89" t="s">
        <v>23</v>
      </c>
      <c r="L7" s="51" t="s">
        <v>35</v>
      </c>
      <c r="M7" s="85">
        <v>0.03</v>
      </c>
      <c r="N7" s="89">
        <v>100</v>
      </c>
      <c r="O7" s="89">
        <v>2</v>
      </c>
      <c r="P7" s="89">
        <v>2</v>
      </c>
      <c r="Q7" s="89">
        <v>0</v>
      </c>
      <c r="R7" s="89">
        <f t="shared" si="0"/>
        <v>4</v>
      </c>
      <c r="S7" s="89">
        <f t="shared" si="1"/>
        <v>0</v>
      </c>
      <c r="T7" s="3" t="s">
        <v>19</v>
      </c>
      <c r="U7" s="97">
        <f t="shared" si="2"/>
        <v>176</v>
      </c>
      <c r="V7" s="97">
        <v>200</v>
      </c>
      <c r="W7" s="90">
        <f t="shared" si="3"/>
        <v>7.4999999999999997E-2</v>
      </c>
      <c r="X7" s="90">
        <f t="shared" si="4"/>
        <v>6</v>
      </c>
      <c r="Y7" s="37"/>
    </row>
    <row r="8" spans="1:27" ht="45" x14ac:dyDescent="0.25">
      <c r="A8" s="91">
        <v>6</v>
      </c>
      <c r="B8" s="91" t="s">
        <v>23</v>
      </c>
      <c r="C8" s="91" t="s">
        <v>23</v>
      </c>
      <c r="D8" s="91" t="s">
        <v>23</v>
      </c>
      <c r="E8" s="35" t="s">
        <v>631</v>
      </c>
      <c r="F8" s="92" t="s">
        <v>251</v>
      </c>
      <c r="G8" s="92" t="s">
        <v>628</v>
      </c>
      <c r="H8" s="92" t="s">
        <v>644</v>
      </c>
      <c r="I8" s="94" t="s">
        <v>646</v>
      </c>
      <c r="K8" s="89" t="s">
        <v>23</v>
      </c>
      <c r="L8" s="51" t="s">
        <v>35</v>
      </c>
      <c r="M8" s="85">
        <v>1.4E-2</v>
      </c>
      <c r="N8" s="89">
        <v>500</v>
      </c>
      <c r="O8" s="89">
        <v>10</v>
      </c>
      <c r="P8" s="89">
        <v>2</v>
      </c>
      <c r="Q8" s="89">
        <v>0</v>
      </c>
      <c r="R8" s="89">
        <f t="shared" si="0"/>
        <v>20</v>
      </c>
      <c r="S8" s="89">
        <f t="shared" si="1"/>
        <v>0</v>
      </c>
      <c r="T8" s="3" t="s">
        <v>19</v>
      </c>
      <c r="U8" s="97">
        <f t="shared" si="2"/>
        <v>880</v>
      </c>
      <c r="V8" s="97">
        <v>900</v>
      </c>
      <c r="W8" s="90">
        <f t="shared" si="3"/>
        <v>0.1575</v>
      </c>
      <c r="X8" s="90">
        <f t="shared" si="4"/>
        <v>12.6</v>
      </c>
      <c r="Y8" s="37"/>
    </row>
    <row r="9" spans="1:27" x14ac:dyDescent="0.25">
      <c r="A9" s="91">
        <v>7</v>
      </c>
      <c r="B9" s="91" t="s">
        <v>23</v>
      </c>
      <c r="C9" s="91" t="s">
        <v>23</v>
      </c>
      <c r="D9" s="91" t="s">
        <v>23</v>
      </c>
      <c r="E9" s="35" t="s">
        <v>630</v>
      </c>
      <c r="F9" s="92" t="s">
        <v>251</v>
      </c>
      <c r="G9" s="92" t="s">
        <v>629</v>
      </c>
      <c r="H9" s="92" t="s">
        <v>466</v>
      </c>
      <c r="I9" s="94" t="s">
        <v>647</v>
      </c>
      <c r="K9" s="89" t="s">
        <v>23</v>
      </c>
      <c r="L9" s="51" t="s">
        <v>35</v>
      </c>
      <c r="M9" s="85">
        <v>4.5999999999999999E-2</v>
      </c>
      <c r="N9" s="89">
        <v>100</v>
      </c>
      <c r="O9" s="89">
        <v>3</v>
      </c>
      <c r="P9" s="89">
        <v>2</v>
      </c>
      <c r="Q9" s="89">
        <v>0</v>
      </c>
      <c r="R9" s="89">
        <f t="shared" si="0"/>
        <v>6</v>
      </c>
      <c r="S9" s="89">
        <f t="shared" si="1"/>
        <v>0</v>
      </c>
      <c r="T9" s="3" t="s">
        <v>19</v>
      </c>
      <c r="U9" s="97">
        <f t="shared" si="2"/>
        <v>264</v>
      </c>
      <c r="V9" s="97">
        <v>300</v>
      </c>
      <c r="W9" s="90">
        <f t="shared" si="3"/>
        <v>0.17249999999999999</v>
      </c>
      <c r="X9" s="90">
        <f t="shared" si="4"/>
        <v>13.799999999999999</v>
      </c>
      <c r="Y9" s="37"/>
    </row>
    <row r="10" spans="1:27" x14ac:dyDescent="0.25">
      <c r="A10" s="91">
        <v>8</v>
      </c>
      <c r="B10" s="104"/>
      <c r="C10" s="104"/>
      <c r="D10" s="104"/>
      <c r="E10" s="114" t="s">
        <v>636</v>
      </c>
      <c r="F10" s="105" t="s">
        <v>175</v>
      </c>
      <c r="G10" s="105" t="s">
        <v>175</v>
      </c>
      <c r="H10" s="105" t="s">
        <v>175</v>
      </c>
      <c r="I10" s="106" t="s">
        <v>175</v>
      </c>
      <c r="J10" s="106"/>
      <c r="K10" s="107" t="s">
        <v>18</v>
      </c>
      <c r="L10" s="106" t="s">
        <v>35</v>
      </c>
      <c r="M10" s="109">
        <v>0</v>
      </c>
      <c r="N10" s="107">
        <v>0</v>
      </c>
      <c r="O10" s="107">
        <v>0</v>
      </c>
      <c r="P10" s="107">
        <v>2</v>
      </c>
      <c r="Q10" s="107">
        <v>0</v>
      </c>
      <c r="R10" s="107">
        <f t="shared" si="0"/>
        <v>0</v>
      </c>
      <c r="S10" s="107">
        <f t="shared" si="1"/>
        <v>0</v>
      </c>
      <c r="T10" s="110" t="s">
        <v>19</v>
      </c>
      <c r="U10" s="97">
        <f t="shared" si="2"/>
        <v>0</v>
      </c>
      <c r="V10" s="97">
        <f>O10*1.1*$H$38</f>
        <v>0</v>
      </c>
      <c r="W10" s="111">
        <f t="shared" si="3"/>
        <v>0</v>
      </c>
      <c r="X10" s="111">
        <f t="shared" si="4"/>
        <v>0</v>
      </c>
      <c r="Y10" s="107"/>
      <c r="Z10" s="113"/>
      <c r="AA10" s="105"/>
    </row>
    <row r="11" spans="1:27" ht="180" x14ac:dyDescent="0.25">
      <c r="A11" s="91">
        <v>9</v>
      </c>
      <c r="B11" s="91" t="s">
        <v>23</v>
      </c>
      <c r="C11" s="91" t="s">
        <v>23</v>
      </c>
      <c r="D11" s="91" t="s">
        <v>23</v>
      </c>
      <c r="E11" s="35" t="s">
        <v>620</v>
      </c>
      <c r="F11" s="92" t="s">
        <v>553</v>
      </c>
      <c r="H11" s="92" t="s">
        <v>621</v>
      </c>
      <c r="I11" s="94" t="s">
        <v>622</v>
      </c>
      <c r="K11" s="89" t="s">
        <v>18</v>
      </c>
      <c r="L11" s="51" t="s">
        <v>22</v>
      </c>
      <c r="M11" s="85">
        <v>8.9870000000000005E-2</v>
      </c>
      <c r="N11" s="89">
        <v>10000</v>
      </c>
      <c r="O11" s="89">
        <v>105</v>
      </c>
      <c r="P11" s="89">
        <v>6</v>
      </c>
      <c r="Q11" s="89">
        <v>0</v>
      </c>
      <c r="R11" s="89">
        <f t="shared" si="0"/>
        <v>630</v>
      </c>
      <c r="S11" s="89">
        <f t="shared" si="1"/>
        <v>0</v>
      </c>
      <c r="T11" s="3" t="s">
        <v>19</v>
      </c>
      <c r="U11" s="97">
        <f t="shared" si="2"/>
        <v>9240.0000000000018</v>
      </c>
      <c r="V11" s="97">
        <v>10000</v>
      </c>
      <c r="W11" s="90">
        <f t="shared" si="3"/>
        <v>11.233750000000001</v>
      </c>
      <c r="X11" s="90">
        <f t="shared" si="4"/>
        <v>898.7</v>
      </c>
      <c r="Y11" s="37"/>
    </row>
    <row r="12" spans="1:27" x14ac:dyDescent="0.25">
      <c r="A12" s="91">
        <v>10</v>
      </c>
      <c r="B12" s="91" t="s">
        <v>23</v>
      </c>
      <c r="C12" s="91" t="s">
        <v>23</v>
      </c>
      <c r="D12" s="91" t="s">
        <v>23</v>
      </c>
      <c r="E12" s="36" t="s">
        <v>199</v>
      </c>
      <c r="F12" s="92" t="s">
        <v>603</v>
      </c>
      <c r="H12" s="92" t="s">
        <v>33</v>
      </c>
      <c r="I12" s="94" t="s">
        <v>611</v>
      </c>
      <c r="K12" s="89" t="s">
        <v>18</v>
      </c>
      <c r="L12" s="51" t="s">
        <v>35</v>
      </c>
      <c r="M12" s="85">
        <v>0.13800000000000001</v>
      </c>
      <c r="N12" s="89">
        <v>100</v>
      </c>
      <c r="O12" s="89">
        <v>1</v>
      </c>
      <c r="P12" s="89">
        <v>2</v>
      </c>
      <c r="Q12" s="89">
        <v>0</v>
      </c>
      <c r="R12" s="89">
        <f t="shared" si="0"/>
        <v>2</v>
      </c>
      <c r="S12" s="89">
        <f t="shared" si="1"/>
        <v>0</v>
      </c>
      <c r="T12" s="3" t="s">
        <v>19</v>
      </c>
      <c r="U12" s="97">
        <f t="shared" si="2"/>
        <v>88</v>
      </c>
      <c r="V12" s="97">
        <v>100</v>
      </c>
      <c r="W12" s="90">
        <f t="shared" si="3"/>
        <v>0.17250000000000001</v>
      </c>
      <c r="X12" s="90">
        <f t="shared" si="4"/>
        <v>13.8</v>
      </c>
      <c r="Y12" s="37"/>
    </row>
    <row r="13" spans="1:27" x14ac:dyDescent="0.25">
      <c r="A13" s="91">
        <v>11</v>
      </c>
      <c r="B13" s="91" t="s">
        <v>23</v>
      </c>
      <c r="C13" s="91" t="s">
        <v>23</v>
      </c>
      <c r="D13" s="91" t="s">
        <v>23</v>
      </c>
      <c r="E13" s="35" t="s">
        <v>223</v>
      </c>
      <c r="F13" s="92" t="s">
        <v>604</v>
      </c>
      <c r="H13" s="92" t="s">
        <v>62</v>
      </c>
      <c r="I13" s="94" t="s">
        <v>249</v>
      </c>
      <c r="K13" s="89" t="s">
        <v>18</v>
      </c>
      <c r="L13" s="94" t="s">
        <v>221</v>
      </c>
      <c r="M13" s="85">
        <v>4.2000000000000003E-2</v>
      </c>
      <c r="N13" s="89">
        <v>100</v>
      </c>
      <c r="O13" s="89">
        <v>1</v>
      </c>
      <c r="P13" s="89">
        <v>2</v>
      </c>
      <c r="Q13" s="89">
        <v>0</v>
      </c>
      <c r="R13" s="89">
        <f t="shared" si="0"/>
        <v>2</v>
      </c>
      <c r="S13" s="89">
        <f t="shared" si="1"/>
        <v>0</v>
      </c>
      <c r="T13" s="3" t="s">
        <v>19</v>
      </c>
      <c r="U13" s="97">
        <f t="shared" si="2"/>
        <v>88</v>
      </c>
      <c r="V13" s="97">
        <v>100</v>
      </c>
      <c r="W13" s="90">
        <f t="shared" si="3"/>
        <v>5.2500000000000005E-2</v>
      </c>
      <c r="X13" s="90">
        <f t="shared" si="4"/>
        <v>4.2</v>
      </c>
    </row>
    <row r="14" spans="1:27" x14ac:dyDescent="0.25">
      <c r="A14" s="91">
        <v>12</v>
      </c>
      <c r="B14" s="104"/>
      <c r="C14" s="104"/>
      <c r="D14" s="104"/>
      <c r="E14" s="114" t="s">
        <v>232</v>
      </c>
      <c r="F14" s="105" t="s">
        <v>175</v>
      </c>
      <c r="G14" s="105" t="s">
        <v>175</v>
      </c>
      <c r="H14" s="105" t="s">
        <v>175</v>
      </c>
      <c r="I14" s="106" t="s">
        <v>175</v>
      </c>
      <c r="J14" s="106"/>
      <c r="K14" s="107" t="s">
        <v>18</v>
      </c>
      <c r="L14" s="108" t="s">
        <v>641</v>
      </c>
      <c r="M14" s="109">
        <v>0</v>
      </c>
      <c r="N14" s="107">
        <v>0</v>
      </c>
      <c r="O14" s="107">
        <v>0</v>
      </c>
      <c r="P14" s="107">
        <v>4</v>
      </c>
      <c r="Q14" s="107">
        <v>0</v>
      </c>
      <c r="R14" s="107">
        <f t="shared" si="0"/>
        <v>0</v>
      </c>
      <c r="S14" s="107">
        <f t="shared" si="1"/>
        <v>0</v>
      </c>
      <c r="T14" s="110" t="s">
        <v>19</v>
      </c>
      <c r="U14" s="97">
        <f t="shared" si="2"/>
        <v>0</v>
      </c>
      <c r="V14" s="97">
        <f>O14*1.1*$H$38</f>
        <v>0</v>
      </c>
      <c r="W14" s="111">
        <f t="shared" si="3"/>
        <v>0</v>
      </c>
      <c r="X14" s="111">
        <f t="shared" si="4"/>
        <v>0</v>
      </c>
      <c r="Y14" s="112"/>
      <c r="Z14" s="113"/>
      <c r="AA14" s="105"/>
    </row>
    <row r="15" spans="1:27" x14ac:dyDescent="0.25">
      <c r="A15" s="91">
        <v>13</v>
      </c>
      <c r="B15" s="104"/>
      <c r="C15" s="104"/>
      <c r="D15" s="104"/>
      <c r="E15" s="114" t="s">
        <v>394</v>
      </c>
      <c r="F15" s="105" t="s">
        <v>175</v>
      </c>
      <c r="G15" s="105" t="s">
        <v>175</v>
      </c>
      <c r="H15" s="105" t="s">
        <v>175</v>
      </c>
      <c r="I15" s="106" t="s">
        <v>175</v>
      </c>
      <c r="J15" s="106"/>
      <c r="K15" s="107" t="s">
        <v>18</v>
      </c>
      <c r="L15" s="108" t="s">
        <v>641</v>
      </c>
      <c r="M15" s="109">
        <v>0</v>
      </c>
      <c r="N15" s="107">
        <v>0</v>
      </c>
      <c r="O15" s="107">
        <v>0</v>
      </c>
      <c r="P15" s="107">
        <v>5</v>
      </c>
      <c r="Q15" s="107">
        <v>0</v>
      </c>
      <c r="R15" s="107">
        <f t="shared" si="0"/>
        <v>0</v>
      </c>
      <c r="S15" s="107">
        <f t="shared" si="1"/>
        <v>0</v>
      </c>
      <c r="T15" s="110" t="s">
        <v>19</v>
      </c>
      <c r="U15" s="97">
        <f t="shared" si="2"/>
        <v>0</v>
      </c>
      <c r="V15" s="97">
        <f>O15*1.1*$H$38</f>
        <v>0</v>
      </c>
      <c r="W15" s="111">
        <f t="shared" si="3"/>
        <v>0</v>
      </c>
      <c r="X15" s="111">
        <f t="shared" si="4"/>
        <v>0</v>
      </c>
      <c r="Y15" s="107"/>
      <c r="Z15" s="113"/>
      <c r="AA15" s="105"/>
    </row>
    <row r="16" spans="1:27" x14ac:dyDescent="0.25">
      <c r="A16" s="91">
        <v>14</v>
      </c>
      <c r="B16" s="91" t="s">
        <v>23</v>
      </c>
      <c r="C16" s="91" t="s">
        <v>23</v>
      </c>
      <c r="D16" s="91" t="s">
        <v>23</v>
      </c>
      <c r="E16" s="35" t="s">
        <v>514</v>
      </c>
      <c r="F16" s="92" t="s">
        <v>96</v>
      </c>
      <c r="H16" s="92" t="s">
        <v>291</v>
      </c>
      <c r="I16" s="94" t="s">
        <v>613</v>
      </c>
      <c r="K16" s="89" t="s">
        <v>18</v>
      </c>
      <c r="L16" s="51" t="s">
        <v>35</v>
      </c>
      <c r="M16" s="85">
        <v>0.32700000000000001</v>
      </c>
      <c r="N16" s="89">
        <v>50</v>
      </c>
      <c r="O16" s="89">
        <v>1</v>
      </c>
      <c r="P16" s="89">
        <v>2</v>
      </c>
      <c r="Q16" s="89">
        <v>0</v>
      </c>
      <c r="R16" s="89">
        <f t="shared" si="0"/>
        <v>2</v>
      </c>
      <c r="S16" s="89">
        <f t="shared" si="1"/>
        <v>0</v>
      </c>
      <c r="T16" s="3" t="s">
        <v>19</v>
      </c>
      <c r="U16" s="97">
        <f t="shared" si="2"/>
        <v>88</v>
      </c>
      <c r="V16" s="97">
        <v>100</v>
      </c>
      <c r="W16" s="90">
        <f t="shared" si="3"/>
        <v>0.40875000000000006</v>
      </c>
      <c r="X16" s="90">
        <f t="shared" si="4"/>
        <v>32.700000000000003</v>
      </c>
    </row>
    <row r="17" spans="1:29" x14ac:dyDescent="0.25">
      <c r="A17" s="91">
        <v>15</v>
      </c>
      <c r="B17" s="91" t="s">
        <v>23</v>
      </c>
      <c r="C17" s="91" t="s">
        <v>23</v>
      </c>
      <c r="D17" s="91" t="s">
        <v>23</v>
      </c>
      <c r="E17" s="35" t="s">
        <v>238</v>
      </c>
      <c r="F17" s="92" t="s">
        <v>639</v>
      </c>
      <c r="G17" s="92" t="s">
        <v>640</v>
      </c>
      <c r="H17" s="92" t="s">
        <v>62</v>
      </c>
      <c r="I17" s="94" t="s">
        <v>643</v>
      </c>
      <c r="L17" s="51" t="s">
        <v>534</v>
      </c>
      <c r="M17" s="85">
        <v>9.5000000000000001E-2</v>
      </c>
      <c r="N17" s="89">
        <v>100</v>
      </c>
      <c r="O17" s="89">
        <v>1</v>
      </c>
      <c r="P17" s="89">
        <v>2</v>
      </c>
      <c r="Q17" s="89">
        <v>0</v>
      </c>
      <c r="R17" s="89">
        <f t="shared" si="0"/>
        <v>2</v>
      </c>
      <c r="S17" s="89">
        <f t="shared" si="1"/>
        <v>0</v>
      </c>
      <c r="T17" s="3" t="s">
        <v>19</v>
      </c>
      <c r="U17" s="97">
        <f t="shared" si="2"/>
        <v>88</v>
      </c>
      <c r="V17" s="97">
        <v>100</v>
      </c>
      <c r="W17" s="90">
        <f t="shared" si="3"/>
        <v>0.11874999999999999</v>
      </c>
      <c r="X17" s="90">
        <f t="shared" si="4"/>
        <v>9.5</v>
      </c>
      <c r="Y17" s="37"/>
    </row>
    <row r="18" spans="1:29" x14ac:dyDescent="0.25">
      <c r="A18" s="91">
        <v>16</v>
      </c>
      <c r="B18" s="91" t="s">
        <v>23</v>
      </c>
      <c r="C18" s="91" t="s">
        <v>23</v>
      </c>
      <c r="D18" s="91" t="s">
        <v>23</v>
      </c>
      <c r="E18" s="35" t="s">
        <v>635</v>
      </c>
      <c r="F18" s="92" t="s">
        <v>637</v>
      </c>
      <c r="G18" s="92" t="s">
        <v>638</v>
      </c>
      <c r="H18" s="92" t="s">
        <v>305</v>
      </c>
      <c r="I18" s="94" t="s">
        <v>649</v>
      </c>
      <c r="K18" s="89" t="s">
        <v>23</v>
      </c>
      <c r="L18" s="51" t="s">
        <v>35</v>
      </c>
      <c r="M18" s="85">
        <v>6.0000000000000001E-3</v>
      </c>
      <c r="N18" s="89">
        <v>100</v>
      </c>
      <c r="O18" s="89">
        <v>1</v>
      </c>
      <c r="P18" s="89">
        <v>2</v>
      </c>
      <c r="Q18" s="89">
        <v>0</v>
      </c>
      <c r="R18" s="89">
        <f t="shared" si="0"/>
        <v>2</v>
      </c>
      <c r="S18" s="89">
        <f t="shared" si="1"/>
        <v>0</v>
      </c>
      <c r="T18" s="3" t="s">
        <v>19</v>
      </c>
      <c r="U18" s="97">
        <f t="shared" si="2"/>
        <v>88</v>
      </c>
      <c r="V18" s="97">
        <v>100</v>
      </c>
      <c r="W18" s="90">
        <f t="shared" si="3"/>
        <v>7.4999999999999997E-3</v>
      </c>
      <c r="X18" s="90">
        <f t="shared" si="4"/>
        <v>0.6</v>
      </c>
      <c r="Y18" s="37"/>
    </row>
    <row r="19" spans="1:29" x14ac:dyDescent="0.25">
      <c r="A19" s="91">
        <v>17</v>
      </c>
      <c r="B19" s="91" t="s">
        <v>23</v>
      </c>
      <c r="C19" s="91" t="s">
        <v>23</v>
      </c>
      <c r="D19" s="91" t="s">
        <v>23</v>
      </c>
      <c r="E19" s="35" t="s">
        <v>323</v>
      </c>
      <c r="F19" s="92" t="s">
        <v>654</v>
      </c>
      <c r="G19" s="92" t="s">
        <v>650</v>
      </c>
      <c r="H19" s="92" t="s">
        <v>69</v>
      </c>
      <c r="I19" s="94" t="s">
        <v>653</v>
      </c>
      <c r="K19" s="89" t="s">
        <v>23</v>
      </c>
      <c r="L19" s="94" t="s">
        <v>35</v>
      </c>
      <c r="M19" s="85">
        <v>6.0000000000000001E-3</v>
      </c>
      <c r="N19" s="89">
        <v>100</v>
      </c>
      <c r="O19" s="89">
        <v>2</v>
      </c>
      <c r="P19" s="89">
        <v>2</v>
      </c>
      <c r="Q19" s="89">
        <v>0</v>
      </c>
      <c r="R19" s="89">
        <f t="shared" si="0"/>
        <v>4</v>
      </c>
      <c r="S19" s="89">
        <f t="shared" si="1"/>
        <v>0</v>
      </c>
      <c r="T19" s="3" t="s">
        <v>19</v>
      </c>
      <c r="U19" s="97">
        <f t="shared" si="2"/>
        <v>176</v>
      </c>
      <c r="V19" s="97">
        <v>200</v>
      </c>
      <c r="W19" s="90">
        <f t="shared" si="3"/>
        <v>1.4999999999999999E-2</v>
      </c>
      <c r="X19" s="90">
        <f t="shared" si="4"/>
        <v>1.2</v>
      </c>
      <c r="Y19" s="37"/>
    </row>
    <row r="20" spans="1:29" x14ac:dyDescent="0.25">
      <c r="A20" s="91">
        <v>18</v>
      </c>
      <c r="B20" s="91" t="s">
        <v>23</v>
      </c>
      <c r="C20" s="91" t="s">
        <v>23</v>
      </c>
      <c r="D20" s="91" t="s">
        <v>23</v>
      </c>
      <c r="E20" s="35" t="s">
        <v>421</v>
      </c>
      <c r="F20" s="92" t="s">
        <v>652</v>
      </c>
      <c r="G20" s="92" t="s">
        <v>651</v>
      </c>
      <c r="H20" s="92" t="s">
        <v>62</v>
      </c>
      <c r="I20" s="94" t="s">
        <v>560</v>
      </c>
      <c r="K20" s="89" t="s">
        <v>23</v>
      </c>
      <c r="L20" s="94" t="s">
        <v>35</v>
      </c>
      <c r="M20" s="85">
        <v>6.0000000000000001E-3</v>
      </c>
      <c r="N20" s="89">
        <v>100</v>
      </c>
      <c r="O20" s="89">
        <v>1</v>
      </c>
      <c r="P20" s="89">
        <v>2</v>
      </c>
      <c r="Q20" s="89">
        <v>0</v>
      </c>
      <c r="R20" s="89">
        <f t="shared" si="0"/>
        <v>2</v>
      </c>
      <c r="S20" s="89">
        <f t="shared" si="1"/>
        <v>0</v>
      </c>
      <c r="T20" s="3" t="s">
        <v>19</v>
      </c>
      <c r="U20" s="97">
        <f t="shared" si="2"/>
        <v>88</v>
      </c>
      <c r="V20" s="97">
        <v>100</v>
      </c>
      <c r="W20" s="90">
        <f t="shared" si="3"/>
        <v>7.4999999999999997E-3</v>
      </c>
      <c r="X20" s="90">
        <f t="shared" si="4"/>
        <v>0.6</v>
      </c>
      <c r="Y20" s="37"/>
    </row>
    <row r="21" spans="1:29" x14ac:dyDescent="0.25">
      <c r="A21" s="91">
        <v>19</v>
      </c>
      <c r="B21" s="91" t="s">
        <v>23</v>
      </c>
      <c r="C21" s="91" t="s">
        <v>23</v>
      </c>
      <c r="D21" s="91" t="s">
        <v>23</v>
      </c>
      <c r="E21" s="35" t="s">
        <v>310</v>
      </c>
      <c r="F21" s="92" t="s">
        <v>497</v>
      </c>
      <c r="H21" s="92" t="s">
        <v>288</v>
      </c>
      <c r="I21" s="99" t="s">
        <v>312</v>
      </c>
      <c r="K21" s="89" t="s">
        <v>18</v>
      </c>
      <c r="L21" s="51" t="s">
        <v>35</v>
      </c>
      <c r="M21" s="85">
        <v>0.29099999999999998</v>
      </c>
      <c r="N21" s="89">
        <v>100</v>
      </c>
      <c r="O21" s="89">
        <v>1</v>
      </c>
      <c r="P21" s="89">
        <v>6</v>
      </c>
      <c r="Q21" s="89">
        <v>0</v>
      </c>
      <c r="R21" s="89">
        <f t="shared" si="0"/>
        <v>6</v>
      </c>
      <c r="S21" s="89">
        <f t="shared" si="1"/>
        <v>0</v>
      </c>
      <c r="T21" s="3" t="s">
        <v>19</v>
      </c>
      <c r="U21" s="97">
        <f t="shared" si="2"/>
        <v>88</v>
      </c>
      <c r="V21" s="97">
        <v>100</v>
      </c>
      <c r="W21" s="90">
        <f t="shared" si="3"/>
        <v>0.36374999999999996</v>
      </c>
      <c r="X21" s="90">
        <f t="shared" si="4"/>
        <v>29.099999999999998</v>
      </c>
    </row>
    <row r="22" spans="1:29" s="120" customFormat="1" x14ac:dyDescent="0.25">
      <c r="A22" s="118">
        <v>20</v>
      </c>
      <c r="B22" s="118" t="s">
        <v>23</v>
      </c>
      <c r="C22" s="118" t="s">
        <v>23</v>
      </c>
      <c r="D22" s="118" t="s">
        <v>23</v>
      </c>
      <c r="E22" s="119" t="s">
        <v>192</v>
      </c>
      <c r="F22" s="120" t="s">
        <v>72</v>
      </c>
      <c r="H22" s="120" t="s">
        <v>193</v>
      </c>
      <c r="I22" s="103" t="s">
        <v>625</v>
      </c>
      <c r="J22" s="103"/>
      <c r="K22" s="121" t="s">
        <v>18</v>
      </c>
      <c r="L22" s="122" t="s">
        <v>609</v>
      </c>
      <c r="M22" s="123">
        <v>5.7</v>
      </c>
      <c r="N22" s="121">
        <v>100</v>
      </c>
      <c r="O22" s="121">
        <v>1</v>
      </c>
      <c r="P22" s="121">
        <v>49</v>
      </c>
      <c r="Q22" s="121">
        <v>0</v>
      </c>
      <c r="R22" s="121">
        <f t="shared" si="0"/>
        <v>49</v>
      </c>
      <c r="S22" s="121">
        <f t="shared" si="1"/>
        <v>0</v>
      </c>
      <c r="T22" s="124" t="s">
        <v>19</v>
      </c>
      <c r="U22" s="125">
        <f t="shared" si="2"/>
        <v>88</v>
      </c>
      <c r="V22" s="125">
        <v>100</v>
      </c>
      <c r="W22" s="126">
        <f>(V22*M22)/$H$38</f>
        <v>7.125</v>
      </c>
      <c r="X22" s="126">
        <f t="shared" si="4"/>
        <v>570</v>
      </c>
      <c r="Y22" s="127"/>
      <c r="Z22" s="128"/>
      <c r="AB22" s="129"/>
      <c r="AC22" s="129"/>
    </row>
    <row r="23" spans="1:29" s="120" customFormat="1" x14ac:dyDescent="0.25">
      <c r="A23" s="118">
        <v>21</v>
      </c>
      <c r="B23" s="118" t="s">
        <v>23</v>
      </c>
      <c r="C23" s="118" t="s">
        <v>23</v>
      </c>
      <c r="D23" s="118" t="s">
        <v>23</v>
      </c>
      <c r="E23" s="130" t="s">
        <v>198</v>
      </c>
      <c r="F23" s="120" t="s">
        <v>601</v>
      </c>
      <c r="G23" s="131"/>
      <c r="H23" s="120" t="s">
        <v>92</v>
      </c>
      <c r="I23" s="103" t="s">
        <v>606</v>
      </c>
      <c r="J23" s="103"/>
      <c r="K23" s="121" t="s">
        <v>18</v>
      </c>
      <c r="L23" s="122" t="s">
        <v>608</v>
      </c>
      <c r="M23" s="123">
        <v>0.65</v>
      </c>
      <c r="N23" s="121">
        <v>100</v>
      </c>
      <c r="O23" s="121">
        <v>1</v>
      </c>
      <c r="P23" s="121">
        <v>8</v>
      </c>
      <c r="Q23" s="121">
        <v>0</v>
      </c>
      <c r="R23" s="121">
        <f t="shared" si="0"/>
        <v>8</v>
      </c>
      <c r="S23" s="121">
        <f t="shared" si="1"/>
        <v>0</v>
      </c>
      <c r="T23" s="124" t="s">
        <v>19</v>
      </c>
      <c r="U23" s="125">
        <f t="shared" si="2"/>
        <v>88</v>
      </c>
      <c r="V23" s="125">
        <v>100</v>
      </c>
      <c r="W23" s="126">
        <f t="shared" ref="W23:W30" si="5">V23*M23/$H$38</f>
        <v>0.8125</v>
      </c>
      <c r="X23" s="126">
        <f t="shared" si="4"/>
        <v>65</v>
      </c>
      <c r="Y23" s="127"/>
      <c r="Z23" s="128"/>
      <c r="AB23" s="129"/>
      <c r="AC23" s="129"/>
    </row>
    <row r="24" spans="1:29" s="120" customFormat="1" x14ac:dyDescent="0.25">
      <c r="A24" s="118">
        <v>22</v>
      </c>
      <c r="B24" s="118" t="s">
        <v>23</v>
      </c>
      <c r="C24" s="118" t="s">
        <v>23</v>
      </c>
      <c r="D24" s="118" t="s">
        <v>23</v>
      </c>
      <c r="E24" s="130" t="s">
        <v>248</v>
      </c>
      <c r="F24" s="120" t="s">
        <v>602</v>
      </c>
      <c r="H24" s="120" t="s">
        <v>406</v>
      </c>
      <c r="I24" s="103" t="s">
        <v>607</v>
      </c>
      <c r="J24" s="103"/>
      <c r="K24" s="121" t="s">
        <v>18</v>
      </c>
      <c r="L24" s="122" t="s">
        <v>22</v>
      </c>
      <c r="M24" s="132">
        <v>3.09</v>
      </c>
      <c r="N24" s="121">
        <v>100</v>
      </c>
      <c r="O24" s="121">
        <v>1</v>
      </c>
      <c r="P24" s="121">
        <v>5</v>
      </c>
      <c r="Q24" s="121">
        <v>0</v>
      </c>
      <c r="R24" s="121">
        <f t="shared" si="0"/>
        <v>5</v>
      </c>
      <c r="S24" s="121">
        <f t="shared" si="1"/>
        <v>0</v>
      </c>
      <c r="T24" s="124" t="s">
        <v>19</v>
      </c>
      <c r="U24" s="125">
        <f t="shared" si="2"/>
        <v>88</v>
      </c>
      <c r="V24" s="125">
        <v>100</v>
      </c>
      <c r="W24" s="126">
        <f t="shared" si="5"/>
        <v>3.8624999999999998</v>
      </c>
      <c r="X24" s="126">
        <f t="shared" si="4"/>
        <v>309</v>
      </c>
      <c r="Y24" s="127"/>
      <c r="Z24" s="128"/>
      <c r="AB24" s="129"/>
      <c r="AC24" s="129"/>
    </row>
    <row r="25" spans="1:29" s="120" customFormat="1" x14ac:dyDescent="0.25">
      <c r="A25" s="118">
        <v>23</v>
      </c>
      <c r="B25" s="118" t="s">
        <v>23</v>
      </c>
      <c r="C25" s="118" t="s">
        <v>23</v>
      </c>
      <c r="D25" s="118" t="s">
        <v>23</v>
      </c>
      <c r="E25" s="130" t="s">
        <v>332</v>
      </c>
      <c r="F25" s="120" t="s">
        <v>80</v>
      </c>
      <c r="H25" s="120" t="s">
        <v>193</v>
      </c>
      <c r="I25" s="103" t="s">
        <v>626</v>
      </c>
      <c r="J25" s="103"/>
      <c r="K25" s="121" t="s">
        <v>18</v>
      </c>
      <c r="L25" s="122" t="s">
        <v>610</v>
      </c>
      <c r="M25" s="123">
        <v>5.085</v>
      </c>
      <c r="N25" s="121">
        <v>100</v>
      </c>
      <c r="O25" s="121">
        <v>1</v>
      </c>
      <c r="P25" s="121">
        <v>77</v>
      </c>
      <c r="Q25" s="121">
        <v>0</v>
      </c>
      <c r="R25" s="121">
        <f t="shared" si="0"/>
        <v>77</v>
      </c>
      <c r="S25" s="121">
        <f t="shared" si="1"/>
        <v>0</v>
      </c>
      <c r="T25" s="124" t="s">
        <v>19</v>
      </c>
      <c r="U25" s="125">
        <f t="shared" si="2"/>
        <v>88</v>
      </c>
      <c r="V25" s="125">
        <v>100</v>
      </c>
      <c r="W25" s="126">
        <f t="shared" si="5"/>
        <v>6.3562500000000002</v>
      </c>
      <c r="X25" s="126">
        <f t="shared" si="4"/>
        <v>508.5</v>
      </c>
      <c r="Y25" s="127"/>
      <c r="Z25" s="128"/>
      <c r="AB25" s="129"/>
      <c r="AC25" s="129"/>
    </row>
    <row r="26" spans="1:29" s="120" customFormat="1" x14ac:dyDescent="0.25">
      <c r="A26" s="118">
        <v>24</v>
      </c>
      <c r="B26" s="118" t="s">
        <v>23</v>
      </c>
      <c r="C26" s="118" t="s">
        <v>23</v>
      </c>
      <c r="D26" s="118" t="s">
        <v>23</v>
      </c>
      <c r="E26" s="130" t="s">
        <v>211</v>
      </c>
      <c r="F26" s="120" t="s">
        <v>476</v>
      </c>
      <c r="H26" s="120" t="s">
        <v>474</v>
      </c>
      <c r="I26" s="103" t="s">
        <v>614</v>
      </c>
      <c r="J26" s="103"/>
      <c r="K26" s="121" t="s">
        <v>18</v>
      </c>
      <c r="L26" s="122" t="s">
        <v>617</v>
      </c>
      <c r="M26" s="123">
        <v>0.496</v>
      </c>
      <c r="N26" s="121">
        <v>100</v>
      </c>
      <c r="O26" s="121">
        <v>1</v>
      </c>
      <c r="P26" s="121">
        <v>8</v>
      </c>
      <c r="Q26" s="121">
        <v>0</v>
      </c>
      <c r="R26" s="121">
        <f t="shared" si="0"/>
        <v>8</v>
      </c>
      <c r="S26" s="121">
        <f t="shared" si="1"/>
        <v>0</v>
      </c>
      <c r="T26" s="124" t="s">
        <v>19</v>
      </c>
      <c r="U26" s="125">
        <f t="shared" si="2"/>
        <v>88</v>
      </c>
      <c r="V26" s="125">
        <v>100</v>
      </c>
      <c r="W26" s="126">
        <f t="shared" si="5"/>
        <v>0.62</v>
      </c>
      <c r="X26" s="126">
        <f t="shared" si="4"/>
        <v>49.6</v>
      </c>
      <c r="Y26" s="127"/>
      <c r="Z26" s="128"/>
      <c r="AB26" s="129"/>
      <c r="AC26" s="129"/>
    </row>
    <row r="27" spans="1:29" s="120" customFormat="1" x14ac:dyDescent="0.25">
      <c r="A27" s="118">
        <v>25</v>
      </c>
      <c r="B27" s="118" t="s">
        <v>23</v>
      </c>
      <c r="C27" s="118" t="s">
        <v>23</v>
      </c>
      <c r="D27" s="118" t="s">
        <v>23</v>
      </c>
      <c r="E27" s="130" t="s">
        <v>365</v>
      </c>
      <c r="F27" s="120" t="s">
        <v>618</v>
      </c>
      <c r="H27" s="120" t="s">
        <v>313</v>
      </c>
      <c r="I27" s="103" t="s">
        <v>316</v>
      </c>
      <c r="J27" s="103"/>
      <c r="K27" s="121" t="s">
        <v>18</v>
      </c>
      <c r="L27" s="103" t="s">
        <v>22</v>
      </c>
      <c r="M27" s="123">
        <v>0.22</v>
      </c>
      <c r="N27" s="121">
        <v>100</v>
      </c>
      <c r="O27" s="121">
        <v>1</v>
      </c>
      <c r="P27" s="121">
        <v>4</v>
      </c>
      <c r="Q27" s="121">
        <v>0</v>
      </c>
      <c r="R27" s="121">
        <f t="shared" si="0"/>
        <v>4</v>
      </c>
      <c r="S27" s="121">
        <f t="shared" si="1"/>
        <v>0</v>
      </c>
      <c r="T27" s="124" t="s">
        <v>19</v>
      </c>
      <c r="U27" s="125">
        <f t="shared" si="2"/>
        <v>88</v>
      </c>
      <c r="V27" s="125">
        <v>100</v>
      </c>
      <c r="W27" s="126">
        <f t="shared" si="5"/>
        <v>0.27500000000000002</v>
      </c>
      <c r="X27" s="126">
        <f t="shared" si="4"/>
        <v>22</v>
      </c>
      <c r="Y27" s="121"/>
      <c r="Z27" s="128"/>
      <c r="AB27" s="129"/>
      <c r="AC27" s="129"/>
    </row>
    <row r="28" spans="1:29" s="92" customFormat="1" x14ac:dyDescent="0.25">
      <c r="A28" s="91"/>
      <c r="B28" s="91"/>
      <c r="C28" s="91"/>
      <c r="D28" s="91"/>
      <c r="E28" s="35"/>
      <c r="G28" s="19"/>
      <c r="I28" s="94"/>
      <c r="J28" s="94"/>
      <c r="K28" s="89"/>
      <c r="L28" s="51"/>
      <c r="M28" s="85"/>
      <c r="N28" s="89"/>
      <c r="O28" s="89"/>
      <c r="P28" s="89"/>
      <c r="Q28" s="89"/>
      <c r="R28" s="89">
        <f t="shared" si="0"/>
        <v>0</v>
      </c>
      <c r="S28" s="89">
        <f t="shared" si="1"/>
        <v>0</v>
      </c>
      <c r="T28" s="3">
        <v>0.1</v>
      </c>
      <c r="U28" s="97">
        <f t="shared" si="2"/>
        <v>0</v>
      </c>
      <c r="V28" s="97">
        <f>O28*1.1*$H$38</f>
        <v>0</v>
      </c>
      <c r="W28" s="90">
        <f t="shared" si="5"/>
        <v>0</v>
      </c>
      <c r="X28" s="90">
        <f t="shared" si="4"/>
        <v>0</v>
      </c>
      <c r="Y28" s="37"/>
      <c r="Z28" s="29"/>
      <c r="AB28" s="88"/>
      <c r="AC28" s="88"/>
    </row>
    <row r="29" spans="1:29" s="92" customFormat="1" x14ac:dyDescent="0.25">
      <c r="A29" s="91"/>
      <c r="B29" s="91"/>
      <c r="C29" s="91"/>
      <c r="D29" s="91"/>
      <c r="E29" s="35"/>
      <c r="I29" s="94"/>
      <c r="J29" s="94"/>
      <c r="K29" s="89"/>
      <c r="L29" s="51"/>
      <c r="M29" s="85"/>
      <c r="N29" s="89"/>
      <c r="O29" s="89"/>
      <c r="P29" s="89"/>
      <c r="Q29" s="89"/>
      <c r="R29" s="89">
        <f t="shared" si="0"/>
        <v>0</v>
      </c>
      <c r="S29" s="89">
        <f t="shared" si="1"/>
        <v>0</v>
      </c>
      <c r="T29" s="3">
        <v>0.1</v>
      </c>
      <c r="U29" s="97">
        <f t="shared" si="2"/>
        <v>0</v>
      </c>
      <c r="V29" s="97">
        <f>O29*1.1*$H$38</f>
        <v>0</v>
      </c>
      <c r="W29" s="90">
        <f t="shared" si="5"/>
        <v>0</v>
      </c>
      <c r="X29" s="90">
        <f t="shared" si="4"/>
        <v>0</v>
      </c>
      <c r="Y29" s="37"/>
      <c r="Z29" s="29"/>
      <c r="AB29" s="88"/>
      <c r="AC29" s="88"/>
    </row>
    <row r="30" spans="1:29" s="92" customFormat="1" x14ac:dyDescent="0.25">
      <c r="A30" s="91"/>
      <c r="B30" s="91"/>
      <c r="C30" s="91"/>
      <c r="D30" s="91"/>
      <c r="E30" s="35"/>
      <c r="H30" s="19"/>
      <c r="I30" s="95"/>
      <c r="J30" s="95"/>
      <c r="K30" s="89"/>
      <c r="L30" s="51"/>
      <c r="M30" s="85"/>
      <c r="N30" s="89"/>
      <c r="O30" s="89"/>
      <c r="P30" s="89"/>
      <c r="Q30" s="89"/>
      <c r="R30" s="89">
        <f t="shared" si="0"/>
        <v>0</v>
      </c>
      <c r="S30" s="89">
        <f t="shared" si="1"/>
        <v>0</v>
      </c>
      <c r="T30" s="3">
        <v>0.1</v>
      </c>
      <c r="U30" s="97">
        <f t="shared" si="2"/>
        <v>0</v>
      </c>
      <c r="V30" s="97">
        <f>O30*1.1*$H$38</f>
        <v>0</v>
      </c>
      <c r="W30" s="90">
        <f t="shared" si="5"/>
        <v>0</v>
      </c>
      <c r="X30" s="90">
        <f t="shared" si="4"/>
        <v>0</v>
      </c>
      <c r="Y30" s="37"/>
      <c r="Z30" s="29"/>
      <c r="AB30" s="88"/>
      <c r="AC30" s="88"/>
    </row>
    <row r="31" spans="1:29" s="92" customFormat="1" x14ac:dyDescent="0.25">
      <c r="A31" s="91"/>
      <c r="B31" s="91"/>
      <c r="C31" s="91"/>
      <c r="D31" s="91"/>
      <c r="E31" s="35"/>
      <c r="I31" s="99"/>
      <c r="J31" s="99"/>
      <c r="K31" s="89"/>
      <c r="L31" s="94"/>
      <c r="M31" s="85"/>
      <c r="N31" s="89"/>
      <c r="O31" s="89"/>
      <c r="P31" s="89"/>
      <c r="Q31" s="89"/>
      <c r="R31" s="89"/>
      <c r="S31" s="89"/>
      <c r="T31" s="3"/>
      <c r="U31" s="97"/>
      <c r="V31" s="97"/>
      <c r="W31" s="90"/>
      <c r="X31" s="90"/>
      <c r="Y31" s="37"/>
      <c r="Z31" s="29"/>
      <c r="AB31" s="88"/>
      <c r="AC31" s="88"/>
    </row>
    <row r="32" spans="1:29" x14ac:dyDescent="0.25">
      <c r="L32" s="51"/>
      <c r="M32" s="87"/>
      <c r="V32" s="97"/>
      <c r="Y32" s="37"/>
    </row>
    <row r="33" spans="5:25" x14ac:dyDescent="0.25">
      <c r="F33" s="23"/>
      <c r="G33" s="23"/>
      <c r="I33" s="96"/>
      <c r="J33" s="96"/>
      <c r="L33" s="51"/>
      <c r="V33" s="97"/>
      <c r="Y33" s="37"/>
    </row>
    <row r="34" spans="5:25" x14ac:dyDescent="0.25">
      <c r="G34" s="12"/>
      <c r="L34" s="51"/>
      <c r="V34" s="97"/>
      <c r="Y34" s="37"/>
    </row>
    <row r="35" spans="5:25" x14ac:dyDescent="0.25">
      <c r="I35" s="95"/>
      <c r="J35" s="95"/>
      <c r="V35" s="97"/>
      <c r="Y35" s="37"/>
    </row>
    <row r="36" spans="5:25" x14ac:dyDescent="0.25">
      <c r="L36" s="51"/>
      <c r="V36" s="97"/>
      <c r="Y36" s="37"/>
    </row>
    <row r="38" spans="5:25" x14ac:dyDescent="0.25">
      <c r="E38" s="115"/>
      <c r="F38" s="39"/>
      <c r="G38" s="39" t="s">
        <v>304</v>
      </c>
      <c r="H38" s="92">
        <v>80</v>
      </c>
      <c r="I38" s="89"/>
      <c r="J38" s="89"/>
    </row>
    <row r="39" spans="5:25" x14ac:dyDescent="0.25">
      <c r="E39" s="143" t="s">
        <v>186</v>
      </c>
      <c r="F39" s="143"/>
      <c r="G39" s="143"/>
      <c r="H39" s="92">
        <f>SUM(R3:R37)</f>
        <v>851</v>
      </c>
      <c r="I39" s="89"/>
      <c r="J39" s="89"/>
    </row>
    <row r="40" spans="5:25" x14ac:dyDescent="0.25">
      <c r="E40" s="143" t="s">
        <v>187</v>
      </c>
      <c r="F40" s="143"/>
      <c r="G40" s="143"/>
      <c r="H40" s="92">
        <f>SUM(S3:S37)</f>
        <v>0</v>
      </c>
    </row>
    <row r="41" spans="5:25" x14ac:dyDescent="0.25">
      <c r="E41" s="143" t="s">
        <v>188</v>
      </c>
      <c r="F41" s="143"/>
      <c r="G41" s="143"/>
      <c r="H41" s="92">
        <f>COUNT(A3:A43)-3</f>
        <v>22</v>
      </c>
    </row>
    <row r="42" spans="5:25" x14ac:dyDescent="0.25">
      <c r="E42" s="143" t="s">
        <v>189</v>
      </c>
      <c r="F42" s="143"/>
      <c r="G42" s="143"/>
      <c r="H42" s="92">
        <f>SUM(O2:O37)</f>
        <v>141</v>
      </c>
    </row>
    <row r="43" spans="5:25" x14ac:dyDescent="0.25">
      <c r="E43" s="115"/>
      <c r="F43" s="39"/>
      <c r="G43" s="39" t="s">
        <v>438</v>
      </c>
      <c r="H43" s="57">
        <f>SUM(W3:W37)*1.09</f>
        <v>38.966137500000002</v>
      </c>
    </row>
    <row r="44" spans="5:25" x14ac:dyDescent="0.25">
      <c r="G44" s="39" t="s">
        <v>439</v>
      </c>
      <c r="H44" s="56">
        <f>SUM(X3:X37)*1.09</f>
        <v>3117.2910000000002</v>
      </c>
    </row>
    <row r="45" spans="5:25" x14ac:dyDescent="0.25">
      <c r="H45" s="70"/>
    </row>
    <row r="46" spans="5:25" x14ac:dyDescent="0.25">
      <c r="G46" s="92" t="s">
        <v>550</v>
      </c>
      <c r="H46" s="92">
        <v>40.32</v>
      </c>
    </row>
  </sheetData>
  <autoFilter ref="A2:AA30" xr:uid="{00000000-0009-0000-0000-000002000000}">
    <sortState xmlns:xlrd2="http://schemas.microsoft.com/office/spreadsheetml/2017/richdata2" ref="A3:AA30">
      <sortCondition ref="E2:E30"/>
    </sortState>
  </autoFilter>
  <mergeCells count="5">
    <mergeCell ref="A1:AA1"/>
    <mergeCell ref="E39:G39"/>
    <mergeCell ref="E40:G40"/>
    <mergeCell ref="E41:G41"/>
    <mergeCell ref="E42:G42"/>
  </mergeCells>
  <conditionalFormatting sqref="B1:D1048576">
    <cfRule type="containsText" dxfId="1" priority="1" operator="containsText" text="N">
      <formula>NOT(ISERROR(SEARCH("N",B1)))</formula>
    </cfRule>
    <cfRule type="containsText" dxfId="0" priority="2" operator="containsText" text="Y">
      <formula>NOT(ISERROR(SEARCH("Y",B1)))</formula>
    </cfRule>
  </conditionalFormatting>
  <printOptions horizontalCentered="1" gridLines="1"/>
  <pageMargins left="0.25" right="0.25" top="0.75" bottom="0.75" header="0.3" footer="0.3"/>
  <pageSetup orientation="landscape" verticalDpi="598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F1B6-4F53-4E97-A192-AE43AD0CD154}">
  <dimension ref="A1:L27"/>
  <sheetViews>
    <sheetView topLeftCell="A4" workbookViewId="0">
      <selection activeCell="J36" sqref="J36"/>
    </sheetView>
  </sheetViews>
  <sheetFormatPr defaultRowHeight="15" x14ac:dyDescent="0.25"/>
  <cols>
    <col min="1" max="1" width="17.85546875" bestFit="1" customWidth="1"/>
    <col min="2" max="2" width="11" style="52" bestFit="1" customWidth="1"/>
    <col min="3" max="3" width="11" style="52" customWidth="1"/>
    <col min="4" max="4" width="11.28515625" style="52" bestFit="1" customWidth="1"/>
    <col min="5" max="5" width="8" bestFit="1" customWidth="1"/>
    <col min="6" max="6" width="10.5703125" style="88" bestFit="1" customWidth="1"/>
    <col min="7" max="7" width="9.42578125" bestFit="1" customWidth="1"/>
    <col min="8" max="8" width="8.5703125" bestFit="1" customWidth="1"/>
    <col min="9" max="10" width="8.5703125" style="133" customWidth="1"/>
    <col min="11" max="11" width="8" style="133" bestFit="1" customWidth="1"/>
    <col min="12" max="12" width="19.7109375" bestFit="1" customWidth="1"/>
  </cols>
  <sheetData>
    <row r="1" spans="1:12" x14ac:dyDescent="0.25">
      <c r="A1" t="s">
        <v>663</v>
      </c>
      <c r="B1" s="52" t="s">
        <v>662</v>
      </c>
      <c r="D1" s="52" t="s">
        <v>655</v>
      </c>
    </row>
    <row r="2" spans="1:12" x14ac:dyDescent="0.25">
      <c r="A2" t="s">
        <v>656</v>
      </c>
      <c r="B2" s="52">
        <v>207</v>
      </c>
      <c r="C2" s="52">
        <f t="shared" ref="C2:C7" si="0">B2/80</f>
        <v>2.5874999999999999</v>
      </c>
    </row>
    <row r="3" spans="1:12" x14ac:dyDescent="0.25">
      <c r="A3" t="s">
        <v>657</v>
      </c>
      <c r="B3" s="52">
        <v>439</v>
      </c>
      <c r="C3" s="52">
        <f t="shared" si="0"/>
        <v>5.4874999999999998</v>
      </c>
    </row>
    <row r="4" spans="1:12" x14ac:dyDescent="0.25">
      <c r="A4" t="s">
        <v>658</v>
      </c>
      <c r="B4" s="52">
        <v>462</v>
      </c>
      <c r="C4" s="52">
        <f t="shared" si="0"/>
        <v>5.7750000000000004</v>
      </c>
    </row>
    <row r="5" spans="1:12" x14ac:dyDescent="0.25">
      <c r="A5" s="88" t="s">
        <v>659</v>
      </c>
      <c r="B5" s="52">
        <v>187</v>
      </c>
      <c r="C5" s="52">
        <f t="shared" si="0"/>
        <v>2.3374999999999999</v>
      </c>
    </row>
    <row r="6" spans="1:12" x14ac:dyDescent="0.25">
      <c r="A6" s="88" t="s">
        <v>660</v>
      </c>
      <c r="B6" s="52">
        <v>416</v>
      </c>
      <c r="C6" s="52">
        <f t="shared" si="0"/>
        <v>5.2</v>
      </c>
    </row>
    <row r="7" spans="1:12" x14ac:dyDescent="0.25">
      <c r="A7" s="88" t="s">
        <v>661</v>
      </c>
      <c r="B7" s="52">
        <v>439</v>
      </c>
      <c r="C7" s="52">
        <f t="shared" si="0"/>
        <v>5.4874999999999998</v>
      </c>
    </row>
    <row r="9" spans="1:12" x14ac:dyDescent="0.25">
      <c r="A9" s="84" t="s">
        <v>664</v>
      </c>
      <c r="B9" s="83" t="s">
        <v>411</v>
      </c>
      <c r="C9" s="83" t="s">
        <v>673</v>
      </c>
      <c r="D9" s="83" t="s">
        <v>667</v>
      </c>
      <c r="E9" s="83" t="s">
        <v>673</v>
      </c>
      <c r="F9" s="83" t="s">
        <v>674</v>
      </c>
      <c r="G9" s="83" t="s">
        <v>668</v>
      </c>
      <c r="H9" s="134" t="s">
        <v>669</v>
      </c>
      <c r="I9" s="135" t="s">
        <v>670</v>
      </c>
      <c r="J9" s="135" t="s">
        <v>671</v>
      </c>
      <c r="K9" s="136" t="s">
        <v>416</v>
      </c>
      <c r="L9" s="84" t="s">
        <v>543</v>
      </c>
    </row>
    <row r="10" spans="1:12" x14ac:dyDescent="0.25">
      <c r="A10" t="s">
        <v>420</v>
      </c>
      <c r="C10" s="52">
        <f>B10/80</f>
        <v>0</v>
      </c>
      <c r="E10" s="117">
        <f>D10/80</f>
        <v>0</v>
      </c>
      <c r="F10" s="117">
        <f>G10*80</f>
        <v>0</v>
      </c>
      <c r="G10" s="117">
        <f>(D10+B10)/80</f>
        <v>0</v>
      </c>
      <c r="J10" s="133">
        <f t="shared" ref="J10:J12" si="1">H10+I10</f>
        <v>0</v>
      </c>
      <c r="K10" s="133" t="s">
        <v>25</v>
      </c>
    </row>
    <row r="11" spans="1:12" x14ac:dyDescent="0.25">
      <c r="A11" t="s">
        <v>665</v>
      </c>
      <c r="B11" s="52">
        <f>(44.83*80)</f>
        <v>3586.3999999999996</v>
      </c>
      <c r="C11" s="52">
        <f>B11/80</f>
        <v>44.83</v>
      </c>
      <c r="D11" s="52">
        <f>30.81*80+350+200</f>
        <v>3014.7999999999997</v>
      </c>
      <c r="E11" s="117">
        <f>D11/80</f>
        <v>37.684999999999995</v>
      </c>
      <c r="F11" s="117">
        <f>G11*80</f>
        <v>6601.1999999999989</v>
      </c>
      <c r="G11" s="117">
        <f>(D11+B11)/80</f>
        <v>82.514999999999986</v>
      </c>
      <c r="H11">
        <v>15</v>
      </c>
      <c r="I11" s="133">
        <v>10</v>
      </c>
      <c r="J11" s="133">
        <f t="shared" si="1"/>
        <v>25</v>
      </c>
      <c r="K11" s="133" t="s">
        <v>25</v>
      </c>
    </row>
    <row r="12" spans="1:12" x14ac:dyDescent="0.25">
      <c r="A12" t="s">
        <v>666</v>
      </c>
      <c r="B12" s="52">
        <v>5386.4</v>
      </c>
      <c r="C12" s="52">
        <f t="shared" ref="C12:C27" si="2">B12/80</f>
        <v>67.33</v>
      </c>
      <c r="D12" s="52">
        <v>3788.98</v>
      </c>
      <c r="E12" s="117">
        <f t="shared" ref="E12:E27" si="3">D12/80</f>
        <v>47.362250000000003</v>
      </c>
      <c r="F12" s="117">
        <v>9175.3799999999992</v>
      </c>
      <c r="G12" s="117">
        <f>F12/80</f>
        <v>114.69224999999999</v>
      </c>
      <c r="H12">
        <v>10</v>
      </c>
      <c r="I12" s="133">
        <v>10</v>
      </c>
      <c r="J12" s="133">
        <f t="shared" si="1"/>
        <v>20</v>
      </c>
      <c r="K12" s="133" t="s">
        <v>25</v>
      </c>
    </row>
    <row r="13" spans="1:12" x14ac:dyDescent="0.25">
      <c r="A13" t="s">
        <v>418</v>
      </c>
      <c r="B13" s="52">
        <v>3757.86</v>
      </c>
      <c r="C13" s="52">
        <f t="shared" si="2"/>
        <v>46.97325</v>
      </c>
      <c r="D13" s="52">
        <v>1548.88</v>
      </c>
      <c r="E13" s="117">
        <f t="shared" si="3"/>
        <v>19.361000000000001</v>
      </c>
      <c r="F13" s="117">
        <f t="shared" ref="F13:F27" si="4">G13*80</f>
        <v>5306.74</v>
      </c>
      <c r="G13" s="117">
        <f>(D13+B13)/80</f>
        <v>66.334249999999997</v>
      </c>
      <c r="H13">
        <v>10</v>
      </c>
      <c r="I13" s="133">
        <v>10</v>
      </c>
      <c r="J13" s="133">
        <f>H13+I13</f>
        <v>20</v>
      </c>
      <c r="K13" s="133" t="s">
        <v>25</v>
      </c>
    </row>
    <row r="14" spans="1:12" x14ac:dyDescent="0.25">
      <c r="A14" t="s">
        <v>672</v>
      </c>
      <c r="C14" s="52">
        <f t="shared" si="2"/>
        <v>0</v>
      </c>
      <c r="E14" s="117">
        <f t="shared" si="3"/>
        <v>0</v>
      </c>
      <c r="F14" s="117">
        <v>3650</v>
      </c>
      <c r="G14" s="117">
        <f>F14/80</f>
        <v>45.625</v>
      </c>
    </row>
    <row r="15" spans="1:12" x14ac:dyDescent="0.25">
      <c r="A15" t="s">
        <v>542</v>
      </c>
      <c r="B15" s="52">
        <f>567*1.1</f>
        <v>623.70000000000005</v>
      </c>
      <c r="C15" s="52">
        <f t="shared" si="2"/>
        <v>7.7962500000000006</v>
      </c>
      <c r="D15" s="52">
        <v>462</v>
      </c>
      <c r="E15" s="117">
        <f t="shared" si="3"/>
        <v>5.7750000000000004</v>
      </c>
      <c r="F15" s="117">
        <f t="shared" si="4"/>
        <v>1085.7</v>
      </c>
      <c r="G15" s="117">
        <f t="shared" ref="G15:G27" si="5">(D15+B15)/80</f>
        <v>13.571250000000001</v>
      </c>
      <c r="K15" s="133" t="s">
        <v>185</v>
      </c>
    </row>
    <row r="16" spans="1:12" x14ac:dyDescent="0.25">
      <c r="A16" t="s">
        <v>675</v>
      </c>
      <c r="B16" s="52">
        <v>3000</v>
      </c>
      <c r="C16" s="52">
        <f t="shared" si="2"/>
        <v>37.5</v>
      </c>
      <c r="D16" s="52">
        <v>500</v>
      </c>
      <c r="E16" s="117">
        <f t="shared" si="3"/>
        <v>6.25</v>
      </c>
      <c r="F16" s="117">
        <f t="shared" si="4"/>
        <v>3500</v>
      </c>
      <c r="G16" s="117">
        <f t="shared" si="5"/>
        <v>43.75</v>
      </c>
    </row>
    <row r="17" spans="3:12" x14ac:dyDescent="0.25">
      <c r="C17" s="52">
        <f t="shared" si="2"/>
        <v>0</v>
      </c>
      <c r="E17" s="117">
        <f t="shared" si="3"/>
        <v>0</v>
      </c>
      <c r="F17" s="117">
        <f t="shared" si="4"/>
        <v>0</v>
      </c>
      <c r="G17" s="117">
        <f t="shared" si="5"/>
        <v>0</v>
      </c>
    </row>
    <row r="18" spans="3:12" x14ac:dyDescent="0.25">
      <c r="C18" s="52">
        <f t="shared" si="2"/>
        <v>0</v>
      </c>
      <c r="E18" s="117">
        <f t="shared" si="3"/>
        <v>0</v>
      </c>
      <c r="F18" s="117">
        <f t="shared" si="4"/>
        <v>0</v>
      </c>
      <c r="G18" s="117">
        <f t="shared" si="5"/>
        <v>0</v>
      </c>
    </row>
    <row r="19" spans="3:12" x14ac:dyDescent="0.25">
      <c r="C19" s="52">
        <f t="shared" si="2"/>
        <v>0</v>
      </c>
      <c r="E19" s="117">
        <f t="shared" si="3"/>
        <v>0</v>
      </c>
      <c r="F19" s="117">
        <f t="shared" si="4"/>
        <v>0</v>
      </c>
      <c r="G19" s="117">
        <f t="shared" si="5"/>
        <v>0</v>
      </c>
    </row>
    <row r="20" spans="3:12" x14ac:dyDescent="0.25">
      <c r="C20" s="52">
        <f t="shared" si="2"/>
        <v>0</v>
      </c>
      <c r="E20" s="117">
        <f t="shared" si="3"/>
        <v>0</v>
      </c>
      <c r="F20" s="117">
        <f t="shared" si="4"/>
        <v>0</v>
      </c>
      <c r="G20" s="117">
        <f t="shared" si="5"/>
        <v>0</v>
      </c>
    </row>
    <row r="21" spans="3:12" x14ac:dyDescent="0.25">
      <c r="C21" s="52">
        <f t="shared" si="2"/>
        <v>0</v>
      </c>
      <c r="E21" s="117">
        <f t="shared" si="3"/>
        <v>0</v>
      </c>
      <c r="F21" s="117">
        <f t="shared" si="4"/>
        <v>0</v>
      </c>
      <c r="G21" s="117">
        <f t="shared" si="5"/>
        <v>0</v>
      </c>
    </row>
    <row r="22" spans="3:12" x14ac:dyDescent="0.25">
      <c r="C22" s="52">
        <f t="shared" si="2"/>
        <v>0</v>
      </c>
      <c r="E22" s="117">
        <f t="shared" si="3"/>
        <v>0</v>
      </c>
      <c r="F22" s="117">
        <f t="shared" si="4"/>
        <v>0</v>
      </c>
      <c r="G22" s="117">
        <f t="shared" si="5"/>
        <v>0</v>
      </c>
    </row>
    <row r="23" spans="3:12" x14ac:dyDescent="0.25">
      <c r="C23" s="52">
        <f t="shared" si="2"/>
        <v>0</v>
      </c>
      <c r="E23" s="117">
        <f t="shared" si="3"/>
        <v>0</v>
      </c>
      <c r="F23" s="117">
        <f t="shared" si="4"/>
        <v>0</v>
      </c>
      <c r="G23" s="117">
        <f t="shared" si="5"/>
        <v>0</v>
      </c>
    </row>
    <row r="24" spans="3:12" x14ac:dyDescent="0.25">
      <c r="C24" s="52">
        <f t="shared" si="2"/>
        <v>0</v>
      </c>
      <c r="E24" s="117">
        <f t="shared" si="3"/>
        <v>0</v>
      </c>
      <c r="F24" s="117">
        <f t="shared" si="4"/>
        <v>0</v>
      </c>
      <c r="G24" s="117">
        <f t="shared" si="5"/>
        <v>0</v>
      </c>
    </row>
    <row r="25" spans="3:12" x14ac:dyDescent="0.25">
      <c r="C25" s="52">
        <f t="shared" si="2"/>
        <v>0</v>
      </c>
      <c r="E25" s="117">
        <f t="shared" si="3"/>
        <v>0</v>
      </c>
      <c r="F25" s="117">
        <f t="shared" si="4"/>
        <v>0</v>
      </c>
      <c r="G25" s="117">
        <f t="shared" si="5"/>
        <v>0</v>
      </c>
    </row>
    <row r="26" spans="3:12" x14ac:dyDescent="0.25">
      <c r="C26" s="52">
        <f t="shared" si="2"/>
        <v>0</v>
      </c>
      <c r="E26" s="117">
        <f t="shared" si="3"/>
        <v>0</v>
      </c>
      <c r="F26" s="117">
        <f t="shared" si="4"/>
        <v>0</v>
      </c>
      <c r="G26" s="117">
        <f t="shared" si="5"/>
        <v>0</v>
      </c>
      <c r="L26" s="117">
        <f>F12-F11</f>
        <v>2574.1800000000003</v>
      </c>
    </row>
    <row r="27" spans="3:12" x14ac:dyDescent="0.25">
      <c r="C27" s="52">
        <f t="shared" si="2"/>
        <v>0</v>
      </c>
      <c r="E27" s="117">
        <f t="shared" si="3"/>
        <v>0</v>
      </c>
      <c r="F27" s="117">
        <f t="shared" si="4"/>
        <v>0</v>
      </c>
      <c r="G27" s="117">
        <f t="shared" si="5"/>
        <v>0</v>
      </c>
      <c r="L27">
        <f>L26/F11</f>
        <v>0.3899563715688058</v>
      </c>
    </row>
  </sheetData>
  <conditionalFormatting sqref="G11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6"/>
  <sheetViews>
    <sheetView zoomScaleNormal="100" zoomScaleSheetLayoutView="100" workbookViewId="0">
      <pane ySplit="2" topLeftCell="A3" activePane="bottomLeft" state="frozen"/>
      <selection activeCell="G1" sqref="G1"/>
      <selection pane="bottomLeft" activeCell="G37" sqref="G37:H37"/>
    </sheetView>
  </sheetViews>
  <sheetFormatPr defaultRowHeight="15" x14ac:dyDescent="0.25"/>
  <cols>
    <col min="1" max="1" width="4.85546875" style="4" customWidth="1"/>
    <col min="2" max="2" width="4.28515625" style="4" hidden="1" customWidth="1"/>
    <col min="3" max="3" width="4.7109375" style="91" hidden="1" customWidth="1"/>
    <col min="4" max="4" width="15" style="35" bestFit="1" customWidth="1"/>
    <col min="5" max="5" width="19" style="5" customWidth="1"/>
    <col min="6" max="6" width="21.140625" style="5" customWidth="1"/>
    <col min="7" max="7" width="20" style="5" customWidth="1"/>
    <col min="8" max="8" width="24.7109375" style="8" customWidth="1"/>
    <col min="9" max="9" width="24.85546875" style="94" hidden="1" customWidth="1"/>
    <col min="10" max="10" width="5.42578125" style="1" customWidth="1"/>
    <col min="11" max="11" width="14.7109375" style="8" bestFit="1" customWidth="1"/>
    <col min="12" max="12" width="9.5703125" style="85" customWidth="1"/>
    <col min="13" max="14" width="6.42578125" style="1" customWidth="1"/>
    <col min="15" max="18" width="5.42578125" style="1" hidden="1" customWidth="1"/>
    <col min="19" max="19" width="10.42578125" style="3" customWidth="1"/>
    <col min="20" max="20" width="7.5703125" style="15" customWidth="1"/>
    <col min="21" max="21" width="9.5703125" style="2" customWidth="1"/>
    <col min="22" max="22" width="10.42578125" style="2" customWidth="1"/>
    <col min="23" max="23" width="5.7109375" style="82" customWidth="1"/>
    <col min="24" max="24" width="13" style="1" customWidth="1"/>
    <col min="25" max="25" width="12.85546875" style="29" customWidth="1"/>
    <col min="26" max="26" width="33.85546875" style="5" customWidth="1"/>
  </cols>
  <sheetData>
    <row r="1" spans="1:26" ht="18.75" x14ac:dyDescent="0.25">
      <c r="A1" s="144" t="s">
        <v>599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</row>
    <row r="2" spans="1:26" s="7" customFormat="1" ht="30" x14ac:dyDescent="0.25">
      <c r="A2" s="7" t="s">
        <v>0</v>
      </c>
      <c r="B2" s="7" t="s">
        <v>324</v>
      </c>
      <c r="C2" s="93" t="s">
        <v>569</v>
      </c>
      <c r="D2" s="18" t="s">
        <v>1</v>
      </c>
      <c r="E2" s="18" t="s">
        <v>2</v>
      </c>
      <c r="F2" s="18" t="s">
        <v>3</v>
      </c>
      <c r="G2" s="53" t="s">
        <v>4</v>
      </c>
      <c r="H2" s="16" t="s">
        <v>5</v>
      </c>
      <c r="I2" s="98" t="s">
        <v>100</v>
      </c>
      <c r="J2" s="7" t="s">
        <v>6</v>
      </c>
      <c r="K2" s="16" t="s">
        <v>7</v>
      </c>
      <c r="L2" s="86" t="s">
        <v>8</v>
      </c>
      <c r="M2" s="7" t="s">
        <v>9</v>
      </c>
      <c r="N2" s="7" t="s">
        <v>89</v>
      </c>
      <c r="O2" s="7" t="s">
        <v>10</v>
      </c>
      <c r="P2" s="7" t="s">
        <v>163</v>
      </c>
      <c r="Q2" s="7" t="s">
        <v>162</v>
      </c>
      <c r="R2" s="7" t="s">
        <v>161</v>
      </c>
      <c r="S2" s="6" t="s">
        <v>11</v>
      </c>
      <c r="T2" s="13" t="s">
        <v>12</v>
      </c>
      <c r="U2" s="17" t="s">
        <v>13</v>
      </c>
      <c r="V2" s="17" t="s">
        <v>152</v>
      </c>
      <c r="W2" s="81" t="s">
        <v>499</v>
      </c>
      <c r="X2" s="7" t="s">
        <v>14</v>
      </c>
      <c r="Y2" s="80" t="s">
        <v>16</v>
      </c>
      <c r="Z2" s="7" t="s">
        <v>17</v>
      </c>
    </row>
    <row r="3" spans="1:26" x14ac:dyDescent="0.25">
      <c r="A3" s="4">
        <v>1</v>
      </c>
      <c r="C3" s="91" t="s">
        <v>23</v>
      </c>
      <c r="D3" s="36" t="s">
        <v>277</v>
      </c>
      <c r="E3" s="5" t="s">
        <v>278</v>
      </c>
      <c r="F3" s="5" t="s">
        <v>330</v>
      </c>
      <c r="G3" s="5" t="s">
        <v>288</v>
      </c>
      <c r="H3" s="8" t="s">
        <v>329</v>
      </c>
      <c r="J3" s="1" t="s">
        <v>18</v>
      </c>
      <c r="K3" s="51" t="s">
        <v>299</v>
      </c>
      <c r="L3" s="87">
        <v>0.40200000000000002</v>
      </c>
      <c r="M3" s="1">
        <v>500</v>
      </c>
      <c r="N3" s="1">
        <v>1</v>
      </c>
      <c r="O3" s="1">
        <v>2</v>
      </c>
      <c r="P3" s="1">
        <v>0</v>
      </c>
      <c r="Q3" s="1">
        <f>O3*$N3</f>
        <v>2</v>
      </c>
      <c r="R3" s="1">
        <f>P3*$N3</f>
        <v>0</v>
      </c>
      <c r="S3" s="3">
        <v>0.05</v>
      </c>
      <c r="T3" s="14">
        <f t="shared" ref="T3:T8" si="0">(1+S3)*N3*$G$39</f>
        <v>682.5</v>
      </c>
      <c r="U3" s="2">
        <f t="shared" ref="U3:U37" si="1">N3*L3*(1+S3)</f>
        <v>0.42210000000000003</v>
      </c>
      <c r="V3" s="2">
        <f t="shared" ref="V3:V37" si="2">T3*L3</f>
        <v>274.36500000000001</v>
      </c>
      <c r="W3" s="82">
        <f t="shared" ref="W3:W37" si="3">IF(1.05*N3*L3*$G$39+7 &lt; V3, 1, 0)</f>
        <v>0</v>
      </c>
      <c r="X3" s="37"/>
      <c r="Z3" s="5" t="s">
        <v>498</v>
      </c>
    </row>
    <row r="4" spans="1:26" x14ac:dyDescent="0.25">
      <c r="A4" s="4">
        <v>2</v>
      </c>
      <c r="C4" s="91" t="s">
        <v>570</v>
      </c>
      <c r="D4" s="35" t="s">
        <v>122</v>
      </c>
      <c r="E4" s="5" t="s">
        <v>27</v>
      </c>
      <c r="F4" s="55" t="s">
        <v>521</v>
      </c>
      <c r="G4" s="5" t="s">
        <v>522</v>
      </c>
      <c r="H4" s="8" t="s">
        <v>30</v>
      </c>
      <c r="J4" s="1" t="s">
        <v>23</v>
      </c>
      <c r="K4" s="51" t="s">
        <v>31</v>
      </c>
      <c r="L4" s="85">
        <v>0.625</v>
      </c>
      <c r="M4" s="1">
        <v>500</v>
      </c>
      <c r="N4" s="1">
        <v>1</v>
      </c>
      <c r="O4" s="1">
        <v>0</v>
      </c>
      <c r="P4" s="1">
        <v>2</v>
      </c>
      <c r="Q4" s="1">
        <f t="shared" ref="Q4:Q37" si="4">O4*N4</f>
        <v>0</v>
      </c>
      <c r="R4" s="1">
        <f t="shared" ref="R4:R13" si="5">P4*$N4</f>
        <v>2</v>
      </c>
      <c r="S4" s="3">
        <v>0.1</v>
      </c>
      <c r="T4" s="14">
        <f t="shared" si="0"/>
        <v>715.00000000000011</v>
      </c>
      <c r="U4" s="2">
        <f t="shared" si="1"/>
        <v>0.6875</v>
      </c>
      <c r="V4" s="2">
        <f t="shared" si="2"/>
        <v>446.87500000000006</v>
      </c>
      <c r="W4" s="101">
        <f t="shared" si="3"/>
        <v>1</v>
      </c>
      <c r="X4" s="37"/>
    </row>
    <row r="5" spans="1:26" x14ac:dyDescent="0.25">
      <c r="A5" s="91">
        <v>3</v>
      </c>
      <c r="D5" s="35" t="s">
        <v>512</v>
      </c>
      <c r="E5" s="5" t="s">
        <v>484</v>
      </c>
      <c r="F5" s="5" t="s">
        <v>511</v>
      </c>
      <c r="G5" s="5" t="s">
        <v>523</v>
      </c>
      <c r="H5" s="8" t="s">
        <v>524</v>
      </c>
      <c r="J5" s="1" t="s">
        <v>23</v>
      </c>
      <c r="K5" s="51" t="s">
        <v>485</v>
      </c>
      <c r="L5" s="85">
        <v>7.4999999999999997E-2</v>
      </c>
      <c r="M5" s="1">
        <v>2000</v>
      </c>
      <c r="N5" s="1">
        <v>4</v>
      </c>
      <c r="O5" s="1">
        <v>2</v>
      </c>
      <c r="P5" s="1">
        <v>0</v>
      </c>
      <c r="Q5" s="1">
        <f t="shared" si="4"/>
        <v>8</v>
      </c>
      <c r="R5" s="1">
        <f t="shared" si="5"/>
        <v>0</v>
      </c>
      <c r="S5" s="3">
        <v>0.1</v>
      </c>
      <c r="T5" s="14">
        <f t="shared" si="0"/>
        <v>2860.0000000000005</v>
      </c>
      <c r="U5" s="2">
        <f t="shared" si="1"/>
        <v>0.33</v>
      </c>
      <c r="V5" s="2">
        <f t="shared" si="2"/>
        <v>214.50000000000003</v>
      </c>
      <c r="W5" s="101">
        <f t="shared" si="3"/>
        <v>1</v>
      </c>
      <c r="X5" s="37"/>
      <c r="Y5" s="29">
        <v>43501</v>
      </c>
    </row>
    <row r="6" spans="1:26" ht="60" x14ac:dyDescent="0.25">
      <c r="A6" s="91">
        <v>4</v>
      </c>
      <c r="D6" s="35" t="s">
        <v>575</v>
      </c>
      <c r="E6" s="5" t="s">
        <v>506</v>
      </c>
      <c r="F6" s="5" t="s">
        <v>587</v>
      </c>
      <c r="G6" s="5" t="s">
        <v>466</v>
      </c>
      <c r="H6" s="8" t="s">
        <v>525</v>
      </c>
      <c r="I6" s="94" t="s">
        <v>580</v>
      </c>
      <c r="J6" s="1" t="s">
        <v>23</v>
      </c>
      <c r="K6" s="51" t="s">
        <v>35</v>
      </c>
      <c r="L6" s="85">
        <v>5.0200000000000002E-3</v>
      </c>
      <c r="M6" s="1">
        <v>4000</v>
      </c>
      <c r="N6" s="1">
        <v>10</v>
      </c>
      <c r="O6" s="1">
        <v>2</v>
      </c>
      <c r="P6" s="1">
        <v>0</v>
      </c>
      <c r="Q6" s="1">
        <f t="shared" si="4"/>
        <v>20</v>
      </c>
      <c r="R6" s="1">
        <f t="shared" si="5"/>
        <v>0</v>
      </c>
      <c r="S6" s="3">
        <v>0.1</v>
      </c>
      <c r="T6" s="14">
        <f t="shared" si="0"/>
        <v>7150</v>
      </c>
      <c r="U6" s="2">
        <f t="shared" si="1"/>
        <v>5.5220000000000005E-2</v>
      </c>
      <c r="V6" s="2">
        <f t="shared" si="2"/>
        <v>35.893000000000001</v>
      </c>
      <c r="W6" s="101">
        <f t="shared" si="3"/>
        <v>0</v>
      </c>
      <c r="X6" s="37"/>
    </row>
    <row r="7" spans="1:26" x14ac:dyDescent="0.25">
      <c r="A7" s="91">
        <v>5</v>
      </c>
      <c r="D7" s="35" t="s">
        <v>507</v>
      </c>
      <c r="E7" s="5" t="s">
        <v>506</v>
      </c>
      <c r="F7" s="5" t="s">
        <v>253</v>
      </c>
      <c r="G7" s="92" t="s">
        <v>584</v>
      </c>
      <c r="H7" s="94" t="s">
        <v>585</v>
      </c>
      <c r="J7" s="1" t="s">
        <v>23</v>
      </c>
      <c r="K7" s="51" t="s">
        <v>127</v>
      </c>
      <c r="L7" s="85">
        <v>5.64E-3</v>
      </c>
      <c r="M7" s="1">
        <v>1000</v>
      </c>
      <c r="N7" s="1">
        <v>2</v>
      </c>
      <c r="O7" s="1">
        <v>2</v>
      </c>
      <c r="P7" s="1">
        <v>0</v>
      </c>
      <c r="Q7" s="1">
        <f t="shared" si="4"/>
        <v>4</v>
      </c>
      <c r="R7" s="1">
        <f t="shared" si="5"/>
        <v>0</v>
      </c>
      <c r="S7" s="3">
        <v>0.1</v>
      </c>
      <c r="T7" s="14">
        <f t="shared" si="0"/>
        <v>1430.0000000000002</v>
      </c>
      <c r="U7" s="2">
        <f t="shared" si="1"/>
        <v>1.2408000000000001E-2</v>
      </c>
      <c r="V7" s="2">
        <f t="shared" si="2"/>
        <v>8.0652000000000008</v>
      </c>
      <c r="W7" s="101">
        <f t="shared" si="3"/>
        <v>0</v>
      </c>
      <c r="X7" s="37"/>
    </row>
    <row r="8" spans="1:26" ht="60" x14ac:dyDescent="0.25">
      <c r="A8" s="91">
        <v>6</v>
      </c>
      <c r="D8" s="35" t="s">
        <v>576</v>
      </c>
      <c r="E8" s="5" t="s">
        <v>509</v>
      </c>
      <c r="F8" s="5" t="s">
        <v>510</v>
      </c>
      <c r="G8" s="5" t="s">
        <v>466</v>
      </c>
      <c r="H8" s="1" t="s">
        <v>527</v>
      </c>
      <c r="I8" s="89" t="s">
        <v>583</v>
      </c>
      <c r="J8" s="1" t="s">
        <v>526</v>
      </c>
      <c r="K8" s="51" t="s">
        <v>35</v>
      </c>
      <c r="L8" s="85">
        <v>6.0699999999999999E-3</v>
      </c>
      <c r="M8" s="1">
        <v>4000</v>
      </c>
      <c r="N8" s="1">
        <v>11</v>
      </c>
      <c r="O8" s="1">
        <v>2</v>
      </c>
      <c r="P8" s="1">
        <v>0</v>
      </c>
      <c r="Q8" s="1">
        <f t="shared" si="4"/>
        <v>22</v>
      </c>
      <c r="R8" s="1">
        <f t="shared" si="5"/>
        <v>0</v>
      </c>
      <c r="S8" s="3">
        <v>0.1</v>
      </c>
      <c r="T8" s="14">
        <f t="shared" si="0"/>
        <v>7865.0000000000009</v>
      </c>
      <c r="U8" s="2">
        <f t="shared" si="1"/>
        <v>7.3446999999999998E-2</v>
      </c>
      <c r="V8" s="2">
        <f t="shared" si="2"/>
        <v>47.740550000000006</v>
      </c>
      <c r="W8" s="101">
        <f t="shared" si="3"/>
        <v>0</v>
      </c>
      <c r="X8" s="37"/>
    </row>
    <row r="9" spans="1:26" x14ac:dyDescent="0.25">
      <c r="A9" s="91">
        <v>7</v>
      </c>
      <c r="D9" s="35" t="s">
        <v>347</v>
      </c>
      <c r="E9" s="5" t="s">
        <v>554</v>
      </c>
      <c r="G9" s="5" t="s">
        <v>571</v>
      </c>
      <c r="H9" s="8" t="s">
        <v>573</v>
      </c>
      <c r="J9" s="1" t="s">
        <v>23</v>
      </c>
      <c r="K9" s="94" t="s">
        <v>22</v>
      </c>
      <c r="L9" s="85">
        <v>0.06</v>
      </c>
      <c r="M9" s="1">
        <v>12000</v>
      </c>
      <c r="N9" s="1">
        <v>18</v>
      </c>
      <c r="O9" s="1">
        <v>4</v>
      </c>
      <c r="P9" s="1">
        <v>0</v>
      </c>
      <c r="Q9" s="1">
        <f t="shared" si="4"/>
        <v>72</v>
      </c>
      <c r="R9" s="1">
        <f t="shared" si="5"/>
        <v>0</v>
      </c>
      <c r="S9" s="3">
        <v>0.1</v>
      </c>
      <c r="T9" s="14">
        <v>12000</v>
      </c>
      <c r="U9" s="2">
        <f t="shared" si="1"/>
        <v>1.1880000000000002</v>
      </c>
      <c r="V9" s="2">
        <f t="shared" si="2"/>
        <v>720</v>
      </c>
      <c r="W9" s="101">
        <f t="shared" si="3"/>
        <v>0</v>
      </c>
      <c r="X9" s="89"/>
    </row>
    <row r="10" spans="1:26" ht="30" x14ac:dyDescent="0.25">
      <c r="A10" s="91">
        <v>8</v>
      </c>
      <c r="D10" s="36" t="s">
        <v>513</v>
      </c>
      <c r="E10" s="92" t="s">
        <v>531</v>
      </c>
      <c r="F10" s="92"/>
      <c r="G10" s="92" t="s">
        <v>528</v>
      </c>
      <c r="H10" s="94" t="s">
        <v>529</v>
      </c>
      <c r="J10" s="1" t="s">
        <v>23</v>
      </c>
      <c r="K10" s="51" t="s">
        <v>530</v>
      </c>
      <c r="L10" s="85">
        <v>6.3920000000000005E-2</v>
      </c>
      <c r="M10" s="1">
        <v>2000</v>
      </c>
      <c r="N10" s="1">
        <v>3</v>
      </c>
      <c r="O10" s="1">
        <v>2</v>
      </c>
      <c r="P10" s="1">
        <v>0</v>
      </c>
      <c r="Q10" s="1">
        <f t="shared" si="4"/>
        <v>6</v>
      </c>
      <c r="R10" s="1">
        <f t="shared" si="5"/>
        <v>0</v>
      </c>
      <c r="S10" s="3">
        <v>0.1</v>
      </c>
      <c r="T10" s="14">
        <f>(1+S10)*N10*$G$39</f>
        <v>2145</v>
      </c>
      <c r="U10" s="2">
        <f t="shared" si="1"/>
        <v>0.21093600000000004</v>
      </c>
      <c r="V10" s="2">
        <f t="shared" si="2"/>
        <v>137.10840000000002</v>
      </c>
      <c r="W10" s="101">
        <f t="shared" si="3"/>
        <v>0</v>
      </c>
      <c r="X10" s="37"/>
    </row>
    <row r="11" spans="1:26" x14ac:dyDescent="0.25">
      <c r="A11" s="91">
        <v>9</v>
      </c>
      <c r="B11" s="91"/>
      <c r="D11" s="35" t="s">
        <v>597</v>
      </c>
      <c r="E11" s="5" t="s">
        <v>553</v>
      </c>
      <c r="G11" s="5" t="s">
        <v>571</v>
      </c>
      <c r="H11" s="8" t="s">
        <v>572</v>
      </c>
      <c r="J11" s="1" t="s">
        <v>23</v>
      </c>
      <c r="K11" s="94" t="s">
        <v>22</v>
      </c>
      <c r="L11" s="85">
        <v>0.03</v>
      </c>
      <c r="M11" s="1">
        <v>2000</v>
      </c>
      <c r="N11" s="1">
        <v>10</v>
      </c>
      <c r="O11" s="1">
        <v>4</v>
      </c>
      <c r="P11" s="1">
        <v>0</v>
      </c>
      <c r="Q11" s="1">
        <f t="shared" si="4"/>
        <v>40</v>
      </c>
      <c r="R11" s="1">
        <f t="shared" si="5"/>
        <v>0</v>
      </c>
      <c r="S11" s="3">
        <v>0.1</v>
      </c>
      <c r="T11" s="14">
        <v>8000</v>
      </c>
      <c r="U11" s="2">
        <f t="shared" si="1"/>
        <v>0.33</v>
      </c>
      <c r="V11" s="2">
        <f t="shared" si="2"/>
        <v>240</v>
      </c>
      <c r="W11" s="101">
        <f t="shared" si="3"/>
        <v>1</v>
      </c>
      <c r="X11" s="89"/>
    </row>
    <row r="12" spans="1:26" x14ac:dyDescent="0.25">
      <c r="A12" s="91">
        <v>10</v>
      </c>
      <c r="D12" s="35" t="s">
        <v>558</v>
      </c>
      <c r="E12" s="5" t="s">
        <v>559</v>
      </c>
      <c r="G12" s="5" t="s">
        <v>528</v>
      </c>
      <c r="H12" s="8" t="s">
        <v>567</v>
      </c>
      <c r="J12" s="1" t="s">
        <v>18</v>
      </c>
      <c r="K12" s="51" t="s">
        <v>568</v>
      </c>
      <c r="L12" s="85">
        <v>0.10476000000000001</v>
      </c>
      <c r="M12" s="1">
        <v>500</v>
      </c>
      <c r="N12" s="1">
        <v>1</v>
      </c>
      <c r="O12" s="1">
        <v>2</v>
      </c>
      <c r="P12" s="1">
        <v>0</v>
      </c>
      <c r="Q12" s="1">
        <f t="shared" si="4"/>
        <v>2</v>
      </c>
      <c r="R12" s="1">
        <f t="shared" si="5"/>
        <v>0</v>
      </c>
      <c r="S12" s="3">
        <v>0.1</v>
      </c>
      <c r="T12" s="14">
        <f>(1+S12)*N12*$G$39</f>
        <v>715.00000000000011</v>
      </c>
      <c r="U12" s="2">
        <f t="shared" si="1"/>
        <v>0.11523600000000002</v>
      </c>
      <c r="V12" s="2">
        <f t="shared" si="2"/>
        <v>74.903400000000019</v>
      </c>
      <c r="W12" s="101">
        <f t="shared" si="3"/>
        <v>0</v>
      </c>
      <c r="X12" s="89"/>
    </row>
    <row r="13" spans="1:26" x14ac:dyDescent="0.25">
      <c r="A13" s="91">
        <v>11</v>
      </c>
      <c r="D13" s="35" t="s">
        <v>589</v>
      </c>
      <c r="E13" s="5" t="s">
        <v>590</v>
      </c>
      <c r="F13" s="5" t="s">
        <v>591</v>
      </c>
      <c r="G13" s="5" t="s">
        <v>406</v>
      </c>
      <c r="H13" s="8" t="s">
        <v>592</v>
      </c>
      <c r="I13" s="94" t="s">
        <v>593</v>
      </c>
      <c r="J13" s="1" t="s">
        <v>23</v>
      </c>
      <c r="K13" s="94" t="s">
        <v>94</v>
      </c>
      <c r="L13" s="85">
        <v>0.06</v>
      </c>
      <c r="M13" s="1">
        <v>1000</v>
      </c>
      <c r="N13" s="1">
        <v>3</v>
      </c>
      <c r="O13" s="1">
        <v>3</v>
      </c>
      <c r="P13" s="1">
        <v>0</v>
      </c>
      <c r="Q13" s="1">
        <f t="shared" si="4"/>
        <v>9</v>
      </c>
      <c r="R13" s="1">
        <f t="shared" si="5"/>
        <v>0</v>
      </c>
      <c r="S13" s="3">
        <v>0.1</v>
      </c>
      <c r="T13" s="97">
        <f>(1+S13)*N13*$G$39</f>
        <v>2145</v>
      </c>
      <c r="U13" s="2">
        <f t="shared" si="1"/>
        <v>0.19800000000000001</v>
      </c>
      <c r="V13" s="90">
        <f t="shared" si="2"/>
        <v>128.69999999999999</v>
      </c>
      <c r="W13" s="101">
        <f t="shared" si="3"/>
        <v>0</v>
      </c>
      <c r="X13" s="89"/>
    </row>
    <row r="14" spans="1:26" x14ac:dyDescent="0.25">
      <c r="A14" s="91">
        <v>12</v>
      </c>
      <c r="C14" s="91" t="s">
        <v>23</v>
      </c>
      <c r="D14" s="35" t="s">
        <v>577</v>
      </c>
      <c r="E14" s="23" t="s">
        <v>516</v>
      </c>
      <c r="F14" s="23"/>
      <c r="G14" s="19" t="s">
        <v>57</v>
      </c>
      <c r="H14" s="102" t="s">
        <v>58</v>
      </c>
      <c r="I14" s="102"/>
      <c r="J14" s="1" t="s">
        <v>23</v>
      </c>
      <c r="K14" s="51" t="s">
        <v>532</v>
      </c>
      <c r="L14" s="85">
        <v>0.19997699999999999</v>
      </c>
      <c r="M14" s="1">
        <v>1000</v>
      </c>
      <c r="N14" s="1">
        <v>1</v>
      </c>
      <c r="O14" s="1">
        <v>2</v>
      </c>
      <c r="P14" s="1">
        <v>0</v>
      </c>
      <c r="Q14" s="1">
        <f t="shared" si="4"/>
        <v>2</v>
      </c>
      <c r="R14" s="1">
        <f t="shared" ref="R14:R37" si="6">P14*$N14</f>
        <v>0</v>
      </c>
      <c r="S14" s="3">
        <v>0.1</v>
      </c>
      <c r="T14" s="14">
        <f>(1+S14)*N14*$G$39</f>
        <v>715.00000000000011</v>
      </c>
      <c r="U14" s="2">
        <f t="shared" si="1"/>
        <v>0.2199747</v>
      </c>
      <c r="V14" s="2">
        <f t="shared" si="2"/>
        <v>142.98355500000002</v>
      </c>
      <c r="W14" s="101">
        <f t="shared" si="3"/>
        <v>0</v>
      </c>
      <c r="X14" s="37"/>
    </row>
    <row r="15" spans="1:26" x14ac:dyDescent="0.25">
      <c r="A15" s="91">
        <v>13</v>
      </c>
      <c r="B15" s="89"/>
      <c r="C15" s="91" t="s">
        <v>23</v>
      </c>
      <c r="D15" s="35" t="s">
        <v>492</v>
      </c>
      <c r="E15" s="5" t="s">
        <v>493</v>
      </c>
      <c r="F15" s="5" t="s">
        <v>494</v>
      </c>
      <c r="G15" s="5" t="s">
        <v>496</v>
      </c>
      <c r="H15" s="8" t="s">
        <v>495</v>
      </c>
      <c r="J15" s="1" t="s">
        <v>18</v>
      </c>
      <c r="K15" s="51" t="s">
        <v>19</v>
      </c>
      <c r="L15" s="85">
        <v>6.65</v>
      </c>
      <c r="M15" s="1">
        <v>700</v>
      </c>
      <c r="N15" s="1">
        <v>1</v>
      </c>
      <c r="O15" s="1">
        <v>0</v>
      </c>
      <c r="P15" s="1">
        <v>0</v>
      </c>
      <c r="Q15" s="1">
        <f t="shared" si="4"/>
        <v>0</v>
      </c>
      <c r="R15" s="1">
        <f t="shared" si="6"/>
        <v>0</v>
      </c>
      <c r="S15" s="3">
        <v>0.1</v>
      </c>
      <c r="T15" s="14">
        <v>700</v>
      </c>
      <c r="U15" s="2">
        <f t="shared" si="1"/>
        <v>7.3150000000000013</v>
      </c>
      <c r="V15" s="2">
        <f t="shared" si="2"/>
        <v>4655</v>
      </c>
      <c r="W15" s="101">
        <f t="shared" si="3"/>
        <v>1</v>
      </c>
      <c r="X15" s="37"/>
    </row>
    <row r="16" spans="1:26" x14ac:dyDescent="0.25">
      <c r="A16" s="91">
        <v>14</v>
      </c>
      <c r="D16" s="35" t="s">
        <v>199</v>
      </c>
      <c r="F16" s="5" t="s">
        <v>581</v>
      </c>
      <c r="G16" s="5" t="s">
        <v>33</v>
      </c>
      <c r="H16" s="8" t="s">
        <v>201</v>
      </c>
      <c r="J16" s="1" t="s">
        <v>23</v>
      </c>
      <c r="K16" s="51" t="s">
        <v>35</v>
      </c>
      <c r="L16" s="85">
        <v>7.7600000000000002E-2</v>
      </c>
      <c r="M16" s="1">
        <v>500</v>
      </c>
      <c r="N16" s="1">
        <v>1</v>
      </c>
      <c r="O16" s="1">
        <v>2</v>
      </c>
      <c r="P16" s="1">
        <v>0</v>
      </c>
      <c r="Q16" s="1">
        <f t="shared" si="4"/>
        <v>2</v>
      </c>
      <c r="R16" s="1">
        <f t="shared" si="6"/>
        <v>0</v>
      </c>
      <c r="S16" s="3">
        <v>0.1</v>
      </c>
      <c r="T16" s="14">
        <f t="shared" ref="T16:T37" si="7">(1+S16)*N16*$G$39</f>
        <v>715.00000000000011</v>
      </c>
      <c r="U16" s="2">
        <f t="shared" si="1"/>
        <v>8.5360000000000005E-2</v>
      </c>
      <c r="V16" s="2">
        <f t="shared" si="2"/>
        <v>55.484000000000009</v>
      </c>
      <c r="W16" s="101">
        <f t="shared" si="3"/>
        <v>0</v>
      </c>
      <c r="X16" s="37"/>
    </row>
    <row r="17" spans="1:25" x14ac:dyDescent="0.25">
      <c r="A17" s="91">
        <v>15</v>
      </c>
      <c r="D17" s="36" t="s">
        <v>505</v>
      </c>
      <c r="E17" s="5" t="s">
        <v>515</v>
      </c>
      <c r="G17" s="5" t="s">
        <v>19</v>
      </c>
      <c r="H17" s="8" t="s">
        <v>19</v>
      </c>
      <c r="J17" s="1" t="s">
        <v>18</v>
      </c>
      <c r="K17" s="51" t="s">
        <v>31</v>
      </c>
      <c r="L17" s="85">
        <v>4</v>
      </c>
      <c r="M17" s="1">
        <v>700</v>
      </c>
      <c r="N17" s="1">
        <v>1</v>
      </c>
      <c r="O17" s="1">
        <v>0</v>
      </c>
      <c r="P17" s="1">
        <v>0</v>
      </c>
      <c r="Q17" s="1">
        <f t="shared" si="4"/>
        <v>0</v>
      </c>
      <c r="R17" s="1">
        <f t="shared" si="6"/>
        <v>0</v>
      </c>
      <c r="S17" s="3">
        <v>0.1</v>
      </c>
      <c r="T17" s="14">
        <f t="shared" si="7"/>
        <v>715.00000000000011</v>
      </c>
      <c r="U17" s="2">
        <f t="shared" si="1"/>
        <v>4.4000000000000004</v>
      </c>
      <c r="V17" s="2">
        <f t="shared" si="2"/>
        <v>2860.0000000000005</v>
      </c>
      <c r="W17" s="101">
        <f t="shared" si="3"/>
        <v>1</v>
      </c>
      <c r="X17" s="37"/>
    </row>
    <row r="18" spans="1:25" x14ac:dyDescent="0.25">
      <c r="A18" s="91">
        <v>16</v>
      </c>
      <c r="D18" s="35" t="s">
        <v>223</v>
      </c>
      <c r="E18" s="5" t="s">
        <v>486</v>
      </c>
      <c r="F18" s="5" t="s">
        <v>327</v>
      </c>
      <c r="G18" s="5" t="s">
        <v>62</v>
      </c>
      <c r="H18" s="8" t="s">
        <v>249</v>
      </c>
      <c r="J18" s="1" t="s">
        <v>23</v>
      </c>
      <c r="K18" s="51" t="s">
        <v>221</v>
      </c>
      <c r="L18" s="85">
        <v>3.9E-2</v>
      </c>
      <c r="M18" s="1">
        <v>500</v>
      </c>
      <c r="N18" s="1">
        <v>1</v>
      </c>
      <c r="O18" s="1">
        <v>2</v>
      </c>
      <c r="P18" s="1">
        <v>0</v>
      </c>
      <c r="Q18" s="1">
        <f t="shared" si="4"/>
        <v>2</v>
      </c>
      <c r="R18" s="1">
        <f t="shared" si="6"/>
        <v>0</v>
      </c>
      <c r="S18" s="3">
        <v>0.1</v>
      </c>
      <c r="T18" s="14">
        <f t="shared" si="7"/>
        <v>715.00000000000011</v>
      </c>
      <c r="U18" s="2">
        <f t="shared" si="1"/>
        <v>4.2900000000000001E-2</v>
      </c>
      <c r="V18" s="2">
        <f t="shared" si="2"/>
        <v>27.885000000000005</v>
      </c>
      <c r="W18" s="101">
        <f t="shared" si="3"/>
        <v>0</v>
      </c>
      <c r="X18" s="37"/>
      <c r="Y18" s="29">
        <v>43501</v>
      </c>
    </row>
    <row r="19" spans="1:25" x14ac:dyDescent="0.25">
      <c r="A19" s="91">
        <v>17</v>
      </c>
      <c r="D19" s="35" t="s">
        <v>535</v>
      </c>
      <c r="E19" s="5" t="s">
        <v>517</v>
      </c>
      <c r="F19" s="5" t="s">
        <v>582</v>
      </c>
      <c r="G19" s="5" t="s">
        <v>62</v>
      </c>
      <c r="H19" s="8" t="s">
        <v>533</v>
      </c>
      <c r="J19" s="1" t="s">
        <v>23</v>
      </c>
      <c r="K19" s="51" t="s">
        <v>534</v>
      </c>
      <c r="L19" s="85">
        <v>7.2450000000000001E-2</v>
      </c>
      <c r="M19" s="1">
        <v>1000</v>
      </c>
      <c r="N19" s="1">
        <v>2</v>
      </c>
      <c r="O19" s="1">
        <v>2</v>
      </c>
      <c r="P19" s="1">
        <v>0</v>
      </c>
      <c r="Q19" s="1">
        <f t="shared" si="4"/>
        <v>4</v>
      </c>
      <c r="R19" s="1">
        <f t="shared" si="6"/>
        <v>0</v>
      </c>
      <c r="S19" s="3">
        <v>0.1</v>
      </c>
      <c r="T19" s="14">
        <f t="shared" si="7"/>
        <v>1430.0000000000002</v>
      </c>
      <c r="U19" s="2">
        <f t="shared" si="1"/>
        <v>0.15939</v>
      </c>
      <c r="V19" s="2">
        <f t="shared" si="2"/>
        <v>103.60350000000001</v>
      </c>
      <c r="W19" s="101">
        <f t="shared" si="3"/>
        <v>0</v>
      </c>
      <c r="X19" s="37"/>
    </row>
    <row r="20" spans="1:25" x14ac:dyDescent="0.25">
      <c r="A20" s="91">
        <v>18</v>
      </c>
      <c r="D20" s="35" t="s">
        <v>595</v>
      </c>
      <c r="E20" s="5" t="s">
        <v>482</v>
      </c>
      <c r="F20" s="5" t="s">
        <v>112</v>
      </c>
      <c r="G20" s="5" t="s">
        <v>175</v>
      </c>
      <c r="H20" s="8" t="s">
        <v>175</v>
      </c>
      <c r="J20" s="1" t="s">
        <v>23</v>
      </c>
      <c r="K20" s="51" t="s">
        <v>596</v>
      </c>
      <c r="L20" s="85">
        <v>0</v>
      </c>
      <c r="M20" s="1">
        <v>0</v>
      </c>
      <c r="N20" s="1">
        <v>0</v>
      </c>
      <c r="O20" s="1">
        <v>0</v>
      </c>
      <c r="P20" s="1">
        <v>0</v>
      </c>
      <c r="Q20" s="1">
        <f t="shared" si="4"/>
        <v>0</v>
      </c>
      <c r="R20" s="1">
        <f t="shared" si="6"/>
        <v>0</v>
      </c>
      <c r="S20" s="3">
        <v>0.1</v>
      </c>
      <c r="T20" s="14">
        <f t="shared" si="7"/>
        <v>0</v>
      </c>
      <c r="U20" s="2">
        <f t="shared" si="1"/>
        <v>0</v>
      </c>
      <c r="V20" s="2">
        <f t="shared" si="2"/>
        <v>0</v>
      </c>
      <c r="W20" s="101">
        <f t="shared" si="3"/>
        <v>0</v>
      </c>
      <c r="X20" s="37"/>
      <c r="Y20" s="29">
        <v>43501</v>
      </c>
    </row>
    <row r="21" spans="1:25" x14ac:dyDescent="0.25">
      <c r="A21" s="91">
        <v>19</v>
      </c>
      <c r="D21" s="35" t="s">
        <v>232</v>
      </c>
      <c r="E21" s="5" t="s">
        <v>520</v>
      </c>
      <c r="F21" s="5" t="s">
        <v>539</v>
      </c>
      <c r="G21" s="5" t="s">
        <v>537</v>
      </c>
      <c r="H21" s="94" t="s">
        <v>536</v>
      </c>
      <c r="J21" s="1" t="s">
        <v>23</v>
      </c>
      <c r="K21" s="51" t="s">
        <v>538</v>
      </c>
      <c r="L21" s="85">
        <v>0.21299999999999999</v>
      </c>
      <c r="M21" s="1">
        <v>500</v>
      </c>
      <c r="N21" s="1">
        <v>1</v>
      </c>
      <c r="O21" s="1">
        <v>2</v>
      </c>
      <c r="P21" s="1">
        <v>0</v>
      </c>
      <c r="Q21" s="1">
        <f t="shared" si="4"/>
        <v>2</v>
      </c>
      <c r="R21" s="1">
        <f t="shared" si="6"/>
        <v>0</v>
      </c>
      <c r="S21" s="3">
        <v>0.1</v>
      </c>
      <c r="T21" s="14">
        <f t="shared" si="7"/>
        <v>715.00000000000011</v>
      </c>
      <c r="U21" s="2">
        <f t="shared" si="1"/>
        <v>0.23430000000000001</v>
      </c>
      <c r="V21" s="2">
        <f t="shared" si="2"/>
        <v>152.29500000000002</v>
      </c>
      <c r="W21" s="101">
        <f t="shared" si="3"/>
        <v>0</v>
      </c>
      <c r="X21" s="37"/>
    </row>
    <row r="22" spans="1:25" x14ac:dyDescent="0.25">
      <c r="A22" s="91">
        <v>20</v>
      </c>
      <c r="C22" s="91" t="s">
        <v>23</v>
      </c>
      <c r="D22" s="35" t="s">
        <v>394</v>
      </c>
      <c r="E22" s="5" t="s">
        <v>555</v>
      </c>
      <c r="F22" s="92" t="s">
        <v>556</v>
      </c>
      <c r="G22" s="5" t="s">
        <v>51</v>
      </c>
      <c r="H22" s="8" t="s">
        <v>557</v>
      </c>
      <c r="J22" s="1" t="s">
        <v>18</v>
      </c>
      <c r="K22" s="94" t="s">
        <v>22</v>
      </c>
      <c r="L22" s="85">
        <v>0.52</v>
      </c>
      <c r="M22" s="1">
        <v>2000</v>
      </c>
      <c r="N22" s="1">
        <v>1</v>
      </c>
      <c r="O22" s="1">
        <v>6</v>
      </c>
      <c r="P22" s="1">
        <v>0</v>
      </c>
      <c r="Q22" s="1">
        <f t="shared" si="4"/>
        <v>6</v>
      </c>
      <c r="R22" s="1">
        <f t="shared" si="6"/>
        <v>0</v>
      </c>
      <c r="S22" s="3">
        <v>0.1</v>
      </c>
      <c r="T22" s="14">
        <f t="shared" si="7"/>
        <v>715.00000000000011</v>
      </c>
      <c r="U22" s="2">
        <f t="shared" si="1"/>
        <v>0.57200000000000006</v>
      </c>
      <c r="V22" s="2">
        <f t="shared" si="2"/>
        <v>371.80000000000007</v>
      </c>
      <c r="W22" s="101">
        <f t="shared" si="3"/>
        <v>1</v>
      </c>
      <c r="X22" s="89"/>
    </row>
    <row r="23" spans="1:25" x14ac:dyDescent="0.25">
      <c r="A23" s="91">
        <v>21</v>
      </c>
      <c r="D23" s="35" t="s">
        <v>514</v>
      </c>
      <c r="F23" s="5" t="s">
        <v>518</v>
      </c>
      <c r="G23" s="5" t="s">
        <v>406</v>
      </c>
      <c r="H23" s="8" t="s">
        <v>540</v>
      </c>
      <c r="J23" s="1" t="s">
        <v>23</v>
      </c>
      <c r="K23" s="94" t="s">
        <v>541</v>
      </c>
      <c r="L23" s="85">
        <v>0.18</v>
      </c>
      <c r="M23" s="1">
        <v>500</v>
      </c>
      <c r="N23" s="1">
        <v>1</v>
      </c>
      <c r="O23" s="1">
        <v>3</v>
      </c>
      <c r="P23" s="1">
        <v>0</v>
      </c>
      <c r="Q23" s="1">
        <f t="shared" si="4"/>
        <v>3</v>
      </c>
      <c r="R23" s="1">
        <f t="shared" si="6"/>
        <v>0</v>
      </c>
      <c r="S23" s="3">
        <v>0.1</v>
      </c>
      <c r="T23" s="14">
        <f t="shared" si="7"/>
        <v>715.00000000000011</v>
      </c>
      <c r="U23" s="2">
        <f t="shared" si="1"/>
        <v>0.19800000000000001</v>
      </c>
      <c r="V23" s="2">
        <f t="shared" si="2"/>
        <v>128.70000000000002</v>
      </c>
      <c r="W23" s="101">
        <f t="shared" si="3"/>
        <v>0</v>
      </c>
      <c r="X23" s="37"/>
    </row>
    <row r="24" spans="1:25" x14ac:dyDescent="0.25">
      <c r="A24" s="91">
        <v>22</v>
      </c>
      <c r="C24" s="91" t="s">
        <v>23</v>
      </c>
      <c r="D24" s="35" t="s">
        <v>237</v>
      </c>
      <c r="E24" s="5" t="s">
        <v>96</v>
      </c>
      <c r="F24" s="5" t="s">
        <v>273</v>
      </c>
      <c r="G24" s="92" t="s">
        <v>170</v>
      </c>
      <c r="H24" s="94" t="s">
        <v>169</v>
      </c>
      <c r="J24" s="1" t="s">
        <v>23</v>
      </c>
      <c r="K24" s="51" t="s">
        <v>22</v>
      </c>
      <c r="L24" s="85">
        <v>0.27300000000000002</v>
      </c>
      <c r="M24" s="1">
        <v>100</v>
      </c>
      <c r="N24" s="1">
        <v>1</v>
      </c>
      <c r="O24" s="1">
        <v>2</v>
      </c>
      <c r="P24" s="1">
        <v>0</v>
      </c>
      <c r="Q24" s="1">
        <f t="shared" si="4"/>
        <v>2</v>
      </c>
      <c r="R24" s="1">
        <f t="shared" si="6"/>
        <v>0</v>
      </c>
      <c r="S24" s="3">
        <v>0.1</v>
      </c>
      <c r="T24" s="14">
        <f t="shared" si="7"/>
        <v>715.00000000000011</v>
      </c>
      <c r="U24" s="2">
        <f t="shared" si="1"/>
        <v>0.30030000000000007</v>
      </c>
      <c r="V24" s="2">
        <f t="shared" si="2"/>
        <v>195.19500000000005</v>
      </c>
      <c r="W24" s="101">
        <f t="shared" si="3"/>
        <v>1</v>
      </c>
      <c r="X24" s="37"/>
    </row>
    <row r="25" spans="1:25" x14ac:dyDescent="0.25">
      <c r="A25" s="91">
        <v>23</v>
      </c>
      <c r="D25" s="35" t="s">
        <v>238</v>
      </c>
      <c r="E25" s="5" t="s">
        <v>487</v>
      </c>
      <c r="F25" s="5" t="s">
        <v>168</v>
      </c>
      <c r="G25" s="5" t="s">
        <v>62</v>
      </c>
      <c r="H25" s="94" t="s">
        <v>560</v>
      </c>
      <c r="J25" s="1" t="s">
        <v>23</v>
      </c>
      <c r="K25" s="51" t="s">
        <v>35</v>
      </c>
      <c r="L25" s="85">
        <v>3.7399999999999998E-3</v>
      </c>
      <c r="M25" s="1">
        <v>700</v>
      </c>
      <c r="N25" s="1">
        <v>1</v>
      </c>
      <c r="O25" s="1">
        <v>2</v>
      </c>
      <c r="P25" s="1">
        <v>0</v>
      </c>
      <c r="Q25" s="1">
        <f t="shared" si="4"/>
        <v>2</v>
      </c>
      <c r="R25" s="1">
        <f t="shared" si="6"/>
        <v>0</v>
      </c>
      <c r="S25" s="3">
        <v>0.1</v>
      </c>
      <c r="T25" s="14">
        <f t="shared" si="7"/>
        <v>715.00000000000011</v>
      </c>
      <c r="U25" s="2">
        <f t="shared" si="1"/>
        <v>4.1140000000000005E-3</v>
      </c>
      <c r="V25" s="2">
        <f t="shared" si="2"/>
        <v>2.6741000000000001</v>
      </c>
      <c r="W25" s="101">
        <f t="shared" si="3"/>
        <v>0</v>
      </c>
      <c r="X25" s="37"/>
    </row>
    <row r="26" spans="1:25" x14ac:dyDescent="0.25">
      <c r="A26" s="91">
        <v>24</v>
      </c>
      <c r="D26" s="35" t="s">
        <v>390</v>
      </c>
      <c r="E26" s="5" t="s">
        <v>566</v>
      </c>
      <c r="F26" s="5" t="s">
        <v>519</v>
      </c>
      <c r="G26" s="5" t="s">
        <v>62</v>
      </c>
      <c r="H26" s="8" t="s">
        <v>565</v>
      </c>
      <c r="J26" s="1" t="s">
        <v>23</v>
      </c>
      <c r="K26" s="51" t="s">
        <v>35</v>
      </c>
      <c r="L26" s="85">
        <v>6.1000000000000004E-3</v>
      </c>
      <c r="M26" s="1">
        <v>700</v>
      </c>
      <c r="N26" s="1">
        <v>1</v>
      </c>
      <c r="O26" s="1">
        <v>2</v>
      </c>
      <c r="P26" s="1">
        <v>0</v>
      </c>
      <c r="Q26" s="1">
        <f t="shared" si="4"/>
        <v>2</v>
      </c>
      <c r="R26" s="1">
        <f t="shared" si="6"/>
        <v>0</v>
      </c>
      <c r="S26" s="3">
        <v>0.1</v>
      </c>
      <c r="T26" s="14">
        <f t="shared" si="7"/>
        <v>715.00000000000011</v>
      </c>
      <c r="U26" s="2">
        <f t="shared" si="1"/>
        <v>6.7100000000000007E-3</v>
      </c>
      <c r="V26" s="2">
        <f t="shared" si="2"/>
        <v>4.3615000000000013</v>
      </c>
      <c r="W26" s="101">
        <f t="shared" si="3"/>
        <v>0</v>
      </c>
      <c r="X26" s="37"/>
    </row>
    <row r="27" spans="1:25" x14ac:dyDescent="0.25">
      <c r="A27" s="91">
        <v>25</v>
      </c>
      <c r="D27" s="35" t="s">
        <v>594</v>
      </c>
      <c r="E27" s="92" t="s">
        <v>566</v>
      </c>
      <c r="F27" s="92" t="s">
        <v>579</v>
      </c>
      <c r="G27" s="5" t="s">
        <v>452</v>
      </c>
      <c r="H27" s="103" t="s">
        <v>586</v>
      </c>
      <c r="J27" s="1" t="s">
        <v>23</v>
      </c>
      <c r="K27" s="51" t="s">
        <v>35</v>
      </c>
      <c r="L27" s="85">
        <v>6.0000000000000001E-3</v>
      </c>
      <c r="M27" s="1">
        <v>700</v>
      </c>
      <c r="N27" s="1">
        <v>2</v>
      </c>
      <c r="O27" s="1">
        <v>2</v>
      </c>
      <c r="P27" s="1">
        <v>0</v>
      </c>
      <c r="Q27" s="1">
        <f t="shared" si="4"/>
        <v>4</v>
      </c>
      <c r="R27" s="1">
        <f t="shared" si="6"/>
        <v>0</v>
      </c>
      <c r="S27" s="3">
        <v>0.1</v>
      </c>
      <c r="T27" s="14">
        <f t="shared" si="7"/>
        <v>1430.0000000000002</v>
      </c>
      <c r="U27" s="2">
        <f t="shared" si="1"/>
        <v>1.3200000000000002E-2</v>
      </c>
      <c r="V27" s="2">
        <f t="shared" si="2"/>
        <v>8.5800000000000018</v>
      </c>
      <c r="W27" s="101">
        <f t="shared" si="3"/>
        <v>0</v>
      </c>
      <c r="X27" s="89"/>
    </row>
    <row r="28" spans="1:25" x14ac:dyDescent="0.25">
      <c r="A28" s="91">
        <v>26</v>
      </c>
      <c r="D28" s="35" t="s">
        <v>508</v>
      </c>
      <c r="E28" s="5" t="s">
        <v>502</v>
      </c>
      <c r="F28" s="92" t="s">
        <v>561</v>
      </c>
      <c r="G28" s="5" t="s">
        <v>62</v>
      </c>
      <c r="H28" s="100" t="s">
        <v>562</v>
      </c>
      <c r="I28" s="100"/>
      <c r="J28" s="1" t="s">
        <v>23</v>
      </c>
      <c r="K28" s="51" t="s">
        <v>35</v>
      </c>
      <c r="L28" s="85">
        <v>6.1000000000000004E-3</v>
      </c>
      <c r="M28" s="1">
        <v>700</v>
      </c>
      <c r="N28" s="1">
        <v>2</v>
      </c>
      <c r="O28" s="1">
        <v>2</v>
      </c>
      <c r="P28" s="1">
        <v>0</v>
      </c>
      <c r="Q28" s="1">
        <f t="shared" si="4"/>
        <v>4</v>
      </c>
      <c r="R28" s="1">
        <f t="shared" si="6"/>
        <v>0</v>
      </c>
      <c r="S28" s="3">
        <v>0.1</v>
      </c>
      <c r="T28" s="14">
        <f t="shared" si="7"/>
        <v>1430.0000000000002</v>
      </c>
      <c r="U28" s="2">
        <f t="shared" si="1"/>
        <v>1.3420000000000001E-2</v>
      </c>
      <c r="V28" s="2">
        <f t="shared" si="2"/>
        <v>8.7230000000000025</v>
      </c>
      <c r="W28" s="101">
        <f t="shared" si="3"/>
        <v>0</v>
      </c>
      <c r="X28" s="37"/>
    </row>
    <row r="29" spans="1:25" x14ac:dyDescent="0.25">
      <c r="A29" s="91">
        <v>27</v>
      </c>
      <c r="D29" s="35" t="s">
        <v>241</v>
      </c>
      <c r="E29" s="5" t="s">
        <v>500</v>
      </c>
      <c r="F29" s="19" t="s">
        <v>501</v>
      </c>
      <c r="G29" s="5" t="s">
        <v>62</v>
      </c>
      <c r="H29" s="94" t="s">
        <v>563</v>
      </c>
      <c r="J29" s="1" t="s">
        <v>23</v>
      </c>
      <c r="K29" s="51" t="s">
        <v>35</v>
      </c>
      <c r="L29" s="85">
        <v>4.9800000000000001E-3</v>
      </c>
      <c r="M29" s="1">
        <v>700</v>
      </c>
      <c r="N29" s="1">
        <v>1</v>
      </c>
      <c r="O29" s="1">
        <v>2</v>
      </c>
      <c r="P29" s="1">
        <v>0</v>
      </c>
      <c r="Q29" s="1">
        <f t="shared" si="4"/>
        <v>2</v>
      </c>
      <c r="R29" s="1">
        <f t="shared" si="6"/>
        <v>0</v>
      </c>
      <c r="S29" s="3">
        <v>0.1</v>
      </c>
      <c r="T29" s="14">
        <f t="shared" si="7"/>
        <v>715.00000000000011</v>
      </c>
      <c r="U29" s="2">
        <f t="shared" si="1"/>
        <v>5.4780000000000002E-3</v>
      </c>
      <c r="V29" s="2">
        <f t="shared" si="2"/>
        <v>3.5607000000000006</v>
      </c>
      <c r="W29" s="101">
        <f t="shared" si="3"/>
        <v>0</v>
      </c>
      <c r="X29" s="37"/>
    </row>
    <row r="30" spans="1:25" x14ac:dyDescent="0.25">
      <c r="A30" s="91">
        <v>28</v>
      </c>
      <c r="D30" s="35" t="s">
        <v>268</v>
      </c>
      <c r="E30" s="5" t="s">
        <v>488</v>
      </c>
      <c r="F30" s="5" t="s">
        <v>71</v>
      </c>
      <c r="G30" s="5" t="s">
        <v>69</v>
      </c>
      <c r="H30" s="8" t="s">
        <v>321</v>
      </c>
      <c r="J30" s="1" t="s">
        <v>23</v>
      </c>
      <c r="K30" s="51" t="s">
        <v>35</v>
      </c>
      <c r="L30" s="85">
        <v>6.0000000000000001E-3</v>
      </c>
      <c r="M30" s="1">
        <v>100</v>
      </c>
      <c r="N30" s="1">
        <v>1</v>
      </c>
      <c r="O30" s="1">
        <v>2</v>
      </c>
      <c r="P30" s="1">
        <v>0</v>
      </c>
      <c r="Q30" s="1">
        <f t="shared" si="4"/>
        <v>2</v>
      </c>
      <c r="R30" s="1">
        <f t="shared" si="6"/>
        <v>0</v>
      </c>
      <c r="S30" s="3">
        <v>0.1</v>
      </c>
      <c r="T30" s="14">
        <f t="shared" si="7"/>
        <v>715.00000000000011</v>
      </c>
      <c r="U30" s="2">
        <f t="shared" si="1"/>
        <v>6.6000000000000008E-3</v>
      </c>
      <c r="V30" s="2">
        <f t="shared" si="2"/>
        <v>4.2900000000000009</v>
      </c>
      <c r="W30" s="101">
        <f t="shared" si="3"/>
        <v>0</v>
      </c>
      <c r="X30" s="37"/>
      <c r="Y30" s="29">
        <v>43501</v>
      </c>
    </row>
    <row r="31" spans="1:25" x14ac:dyDescent="0.25">
      <c r="A31" s="91">
        <v>29</v>
      </c>
      <c r="D31" s="35" t="s">
        <v>421</v>
      </c>
      <c r="E31" s="5" t="s">
        <v>503</v>
      </c>
      <c r="F31" s="5" t="s">
        <v>504</v>
      </c>
      <c r="G31" s="19" t="s">
        <v>62</v>
      </c>
      <c r="H31" s="95" t="s">
        <v>564</v>
      </c>
      <c r="I31" s="95"/>
      <c r="J31" s="1" t="s">
        <v>23</v>
      </c>
      <c r="K31" s="51" t="s">
        <v>35</v>
      </c>
      <c r="L31" s="85">
        <v>6.1000000000000004E-3</v>
      </c>
      <c r="M31" s="1">
        <v>700</v>
      </c>
      <c r="N31" s="1">
        <v>1</v>
      </c>
      <c r="O31" s="1">
        <v>2</v>
      </c>
      <c r="P31" s="1">
        <v>0</v>
      </c>
      <c r="Q31" s="1">
        <f t="shared" si="4"/>
        <v>2</v>
      </c>
      <c r="R31" s="1">
        <f t="shared" si="6"/>
        <v>0</v>
      </c>
      <c r="S31" s="3">
        <v>0.1</v>
      </c>
      <c r="T31" s="14">
        <f t="shared" si="7"/>
        <v>715.00000000000011</v>
      </c>
      <c r="U31" s="2">
        <f t="shared" si="1"/>
        <v>6.7100000000000007E-3</v>
      </c>
      <c r="V31" s="2">
        <f t="shared" si="2"/>
        <v>4.3615000000000013</v>
      </c>
      <c r="W31" s="101">
        <f t="shared" si="3"/>
        <v>0</v>
      </c>
      <c r="X31" s="37"/>
    </row>
    <row r="32" spans="1:25" x14ac:dyDescent="0.25">
      <c r="A32" s="91">
        <v>30</v>
      </c>
      <c r="C32" s="91" t="s">
        <v>23</v>
      </c>
      <c r="D32" s="35" t="s">
        <v>310</v>
      </c>
      <c r="E32" s="5" t="s">
        <v>497</v>
      </c>
      <c r="F32" s="5" t="s">
        <v>19</v>
      </c>
      <c r="G32" s="5" t="s">
        <v>288</v>
      </c>
      <c r="H32" s="99" t="s">
        <v>312</v>
      </c>
      <c r="I32" s="99"/>
      <c r="J32" s="1" t="s">
        <v>18</v>
      </c>
      <c r="K32" s="8" t="s">
        <v>491</v>
      </c>
      <c r="L32" s="85">
        <v>0.34200000000000003</v>
      </c>
      <c r="M32" s="1">
        <v>500</v>
      </c>
      <c r="N32" s="1">
        <v>1</v>
      </c>
      <c r="O32" s="1">
        <v>6</v>
      </c>
      <c r="P32" s="1">
        <v>0</v>
      </c>
      <c r="Q32" s="1">
        <f t="shared" si="4"/>
        <v>6</v>
      </c>
      <c r="R32" s="1">
        <f t="shared" si="6"/>
        <v>0</v>
      </c>
      <c r="S32" s="3">
        <v>0.1</v>
      </c>
      <c r="T32" s="97">
        <f t="shared" si="7"/>
        <v>715.00000000000011</v>
      </c>
      <c r="U32" s="2">
        <f t="shared" si="1"/>
        <v>0.37620000000000003</v>
      </c>
      <c r="V32" s="2">
        <f t="shared" si="2"/>
        <v>244.53000000000006</v>
      </c>
      <c r="W32" s="101">
        <f t="shared" si="3"/>
        <v>1</v>
      </c>
      <c r="X32" s="37"/>
      <c r="Y32" s="29">
        <v>43501</v>
      </c>
    </row>
    <row r="33" spans="1:26" x14ac:dyDescent="0.25">
      <c r="A33" s="91">
        <v>31</v>
      </c>
      <c r="C33" s="91" t="s">
        <v>23</v>
      </c>
      <c r="D33" s="35" t="s">
        <v>192</v>
      </c>
      <c r="E33" s="5" t="s">
        <v>478</v>
      </c>
      <c r="F33" s="5" t="s">
        <v>19</v>
      </c>
      <c r="G33" s="5" t="s">
        <v>193</v>
      </c>
      <c r="H33" s="8" t="s">
        <v>479</v>
      </c>
      <c r="J33" s="1" t="s">
        <v>18</v>
      </c>
      <c r="K33" s="51" t="s">
        <v>480</v>
      </c>
      <c r="L33" s="87">
        <v>2.78</v>
      </c>
      <c r="M33" s="1">
        <v>700</v>
      </c>
      <c r="N33" s="1">
        <v>1</v>
      </c>
      <c r="O33" s="1">
        <v>48</v>
      </c>
      <c r="P33" s="1">
        <v>0</v>
      </c>
      <c r="Q33" s="1">
        <f t="shared" si="4"/>
        <v>48</v>
      </c>
      <c r="R33" s="1">
        <f t="shared" si="6"/>
        <v>0</v>
      </c>
      <c r="S33" s="3">
        <v>0.05</v>
      </c>
      <c r="T33" s="97">
        <f t="shared" si="7"/>
        <v>682.5</v>
      </c>
      <c r="U33" s="2">
        <f t="shared" si="1"/>
        <v>2.919</v>
      </c>
      <c r="V33" s="2">
        <f t="shared" si="2"/>
        <v>1897.35</v>
      </c>
      <c r="W33" s="101">
        <f t="shared" si="3"/>
        <v>0</v>
      </c>
      <c r="X33" s="37"/>
      <c r="Y33" s="29">
        <v>43501</v>
      </c>
    </row>
    <row r="34" spans="1:26" x14ac:dyDescent="0.25">
      <c r="A34" s="91">
        <v>32</v>
      </c>
      <c r="C34" s="91" t="s">
        <v>23</v>
      </c>
      <c r="D34" s="35" t="s">
        <v>332</v>
      </c>
      <c r="E34" s="23" t="s">
        <v>80</v>
      </c>
      <c r="F34" s="23" t="s">
        <v>19</v>
      </c>
      <c r="G34" s="5" t="s">
        <v>345</v>
      </c>
      <c r="H34" s="96" t="s">
        <v>481</v>
      </c>
      <c r="I34" s="96"/>
      <c r="J34" s="1" t="s">
        <v>18</v>
      </c>
      <c r="K34" s="51" t="s">
        <v>353</v>
      </c>
      <c r="L34" s="85">
        <v>2</v>
      </c>
      <c r="M34" s="1">
        <v>500</v>
      </c>
      <c r="N34" s="1">
        <v>1</v>
      </c>
      <c r="O34" s="1">
        <v>24</v>
      </c>
      <c r="P34" s="1">
        <v>0</v>
      </c>
      <c r="Q34" s="89">
        <f t="shared" si="4"/>
        <v>24</v>
      </c>
      <c r="R34" s="89">
        <f t="shared" si="6"/>
        <v>0</v>
      </c>
      <c r="S34" s="3">
        <v>0.1</v>
      </c>
      <c r="T34" s="97">
        <f t="shared" si="7"/>
        <v>715.00000000000011</v>
      </c>
      <c r="U34" s="90">
        <f t="shared" si="1"/>
        <v>2.2000000000000002</v>
      </c>
      <c r="V34" s="90">
        <f t="shared" si="2"/>
        <v>1430.0000000000002</v>
      </c>
      <c r="W34" s="101">
        <f t="shared" si="3"/>
        <v>1</v>
      </c>
      <c r="X34" s="37"/>
      <c r="Y34" s="29">
        <v>43501</v>
      </c>
    </row>
    <row r="35" spans="1:26" x14ac:dyDescent="0.25">
      <c r="A35" s="91">
        <v>33</v>
      </c>
      <c r="C35" s="91" t="s">
        <v>23</v>
      </c>
      <c r="D35" s="35" t="s">
        <v>211</v>
      </c>
      <c r="E35" s="5" t="s">
        <v>476</v>
      </c>
      <c r="F35" s="12" t="s">
        <v>475</v>
      </c>
      <c r="G35" s="92" t="s">
        <v>474</v>
      </c>
      <c r="H35" s="94" t="s">
        <v>473</v>
      </c>
      <c r="J35" s="1" t="s">
        <v>23</v>
      </c>
      <c r="K35" s="51" t="s">
        <v>477</v>
      </c>
      <c r="L35" s="85">
        <v>0.46500000000000002</v>
      </c>
      <c r="M35" s="1">
        <v>500</v>
      </c>
      <c r="N35" s="1">
        <v>1</v>
      </c>
      <c r="O35" s="1">
        <v>8</v>
      </c>
      <c r="P35" s="1">
        <v>0</v>
      </c>
      <c r="Q35" s="89">
        <f t="shared" si="4"/>
        <v>8</v>
      </c>
      <c r="R35" s="89">
        <f t="shared" si="6"/>
        <v>0</v>
      </c>
      <c r="S35" s="3">
        <v>0.1</v>
      </c>
      <c r="T35" s="97">
        <f t="shared" si="7"/>
        <v>715.00000000000011</v>
      </c>
      <c r="U35" s="90">
        <f t="shared" si="1"/>
        <v>0.51150000000000007</v>
      </c>
      <c r="V35" s="90">
        <f t="shared" si="2"/>
        <v>332.47500000000008</v>
      </c>
      <c r="W35" s="101">
        <f t="shared" si="3"/>
        <v>1</v>
      </c>
      <c r="X35" s="37"/>
      <c r="Y35" s="29">
        <v>43501</v>
      </c>
    </row>
    <row r="36" spans="1:26" x14ac:dyDescent="0.25">
      <c r="A36" s="91">
        <v>34</v>
      </c>
      <c r="C36" s="91" t="s">
        <v>23</v>
      </c>
      <c r="D36" s="35" t="s">
        <v>218</v>
      </c>
      <c r="E36" s="5" t="s">
        <v>84</v>
      </c>
      <c r="F36" s="5" t="s">
        <v>483</v>
      </c>
      <c r="G36" s="5" t="s">
        <v>86</v>
      </c>
      <c r="H36" s="95" t="s">
        <v>219</v>
      </c>
      <c r="I36" s="95"/>
      <c r="J36" s="1" t="s">
        <v>18</v>
      </c>
      <c r="K36" s="8" t="s">
        <v>88</v>
      </c>
      <c r="L36" s="85">
        <v>0.53</v>
      </c>
      <c r="M36" s="1">
        <v>500</v>
      </c>
      <c r="N36" s="1">
        <v>1</v>
      </c>
      <c r="O36" s="1">
        <v>6</v>
      </c>
      <c r="P36" s="1">
        <v>0</v>
      </c>
      <c r="Q36" s="1">
        <f t="shared" si="4"/>
        <v>6</v>
      </c>
      <c r="R36" s="1">
        <f t="shared" si="6"/>
        <v>0</v>
      </c>
      <c r="S36" s="3">
        <v>0.1</v>
      </c>
      <c r="T36" s="97">
        <f t="shared" si="7"/>
        <v>715.00000000000011</v>
      </c>
      <c r="U36" s="2">
        <f t="shared" si="1"/>
        <v>0.58300000000000007</v>
      </c>
      <c r="V36" s="2">
        <f t="shared" si="2"/>
        <v>378.9500000000001</v>
      </c>
      <c r="W36" s="101">
        <f t="shared" si="3"/>
        <v>1</v>
      </c>
      <c r="X36" s="37"/>
      <c r="Y36" s="29">
        <v>43501</v>
      </c>
    </row>
    <row r="37" spans="1:26" s="88" customFormat="1" x14ac:dyDescent="0.25">
      <c r="A37" s="91">
        <v>35</v>
      </c>
      <c r="B37" s="91"/>
      <c r="C37" s="91" t="s">
        <v>23</v>
      </c>
      <c r="D37" s="35" t="s">
        <v>259</v>
      </c>
      <c r="E37" s="92" t="s">
        <v>489</v>
      </c>
      <c r="F37" s="92" t="s">
        <v>490</v>
      </c>
      <c r="G37" s="92" t="s">
        <v>313</v>
      </c>
      <c r="H37" s="94" t="s">
        <v>316</v>
      </c>
      <c r="I37" s="94"/>
      <c r="J37" s="89" t="s">
        <v>18</v>
      </c>
      <c r="K37" s="51" t="s">
        <v>22</v>
      </c>
      <c r="L37" s="85">
        <v>0.193</v>
      </c>
      <c r="M37" s="89">
        <v>500</v>
      </c>
      <c r="N37" s="89">
        <v>1</v>
      </c>
      <c r="O37" s="89">
        <v>4</v>
      </c>
      <c r="P37" s="89">
        <v>0</v>
      </c>
      <c r="Q37" s="89">
        <f t="shared" si="4"/>
        <v>4</v>
      </c>
      <c r="R37" s="89">
        <f t="shared" si="6"/>
        <v>0</v>
      </c>
      <c r="S37" s="3">
        <v>0.1</v>
      </c>
      <c r="T37" s="97">
        <f t="shared" si="7"/>
        <v>715.00000000000011</v>
      </c>
      <c r="U37" s="90">
        <f t="shared" si="1"/>
        <v>0.21230000000000002</v>
      </c>
      <c r="V37" s="90">
        <f t="shared" si="2"/>
        <v>137.99500000000003</v>
      </c>
      <c r="W37" s="101">
        <f t="shared" si="3"/>
        <v>0</v>
      </c>
      <c r="X37" s="37"/>
      <c r="Y37" s="29">
        <v>43501</v>
      </c>
      <c r="Z37" s="92"/>
    </row>
    <row r="39" spans="1:26" x14ac:dyDescent="0.25">
      <c r="D39" s="34"/>
      <c r="E39" s="39"/>
      <c r="F39" s="39" t="s">
        <v>304</v>
      </c>
      <c r="G39" s="5">
        <v>650</v>
      </c>
      <c r="H39" s="1"/>
      <c r="I39" s="89"/>
    </row>
    <row r="40" spans="1:26" x14ac:dyDescent="0.25">
      <c r="D40" s="143" t="s">
        <v>186</v>
      </c>
      <c r="E40" s="143"/>
      <c r="F40" s="143"/>
      <c r="G40" s="5">
        <f>SUM(Q3:Q38)</f>
        <v>322</v>
      </c>
      <c r="H40" s="1"/>
      <c r="I40" s="89"/>
    </row>
    <row r="41" spans="1:26" x14ac:dyDescent="0.25">
      <c r="D41" s="143" t="s">
        <v>187</v>
      </c>
      <c r="E41" s="143"/>
      <c r="F41" s="143"/>
      <c r="G41" s="5">
        <f>SUM(R3:R38)</f>
        <v>2</v>
      </c>
    </row>
    <row r="42" spans="1:26" x14ac:dyDescent="0.25">
      <c r="D42" s="143" t="s">
        <v>188</v>
      </c>
      <c r="E42" s="143"/>
      <c r="F42" s="143"/>
      <c r="G42" s="5">
        <f>COUNT(A3:A44)</f>
        <v>35</v>
      </c>
    </row>
    <row r="43" spans="1:26" x14ac:dyDescent="0.25">
      <c r="D43" s="143" t="s">
        <v>189</v>
      </c>
      <c r="E43" s="143"/>
      <c r="F43" s="143"/>
      <c r="G43" s="5">
        <f>SUM(N2:N38)</f>
        <v>90</v>
      </c>
    </row>
    <row r="44" spans="1:26" x14ac:dyDescent="0.25">
      <c r="D44" s="34"/>
      <c r="E44" s="39"/>
      <c r="F44" s="39" t="s">
        <v>438</v>
      </c>
      <c r="G44" s="57">
        <f>SUM(U3:U38)</f>
        <v>24.008303700000006</v>
      </c>
    </row>
    <row r="45" spans="1:26" x14ac:dyDescent="0.25">
      <c r="F45" s="39" t="s">
        <v>439</v>
      </c>
      <c r="G45" s="56">
        <f>SUM(V3:V38)</f>
        <v>15478.947405000006</v>
      </c>
    </row>
    <row r="46" spans="1:26" x14ac:dyDescent="0.25">
      <c r="G46" s="70"/>
    </row>
  </sheetData>
  <autoFilter ref="A2:Z31" xr:uid="{00000000-0009-0000-0000-000002000000}">
    <sortState xmlns:xlrd2="http://schemas.microsoft.com/office/spreadsheetml/2017/richdata2" ref="A3:AA38">
      <sortCondition ref="D2:D31"/>
    </sortState>
  </autoFilter>
  <mergeCells count="5">
    <mergeCell ref="A1:Z1"/>
    <mergeCell ref="D40:F40"/>
    <mergeCell ref="D41:F41"/>
    <mergeCell ref="D42:F42"/>
    <mergeCell ref="D43:F43"/>
  </mergeCells>
  <conditionalFormatting sqref="W1:W1048576">
    <cfRule type="colorScale" priority="1">
      <colorScale>
        <cfvo type="min"/>
        <cfvo type="max"/>
        <color rgb="FFFCFCFF"/>
        <color rgb="FF63BE7B"/>
      </colorScale>
    </cfRule>
  </conditionalFormatting>
  <printOptions horizontalCentered="1" gridLines="1"/>
  <pageMargins left="0.25" right="0.25" top="0.75" bottom="0.75" header="0.3" footer="0.3"/>
  <pageSetup paperSize="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8"/>
  <sheetViews>
    <sheetView zoomScaleNormal="100" zoomScaleSheetLayoutView="115" workbookViewId="0">
      <pane ySplit="2" topLeftCell="A6" activePane="bottomLeft" state="frozen"/>
      <selection activeCell="G1" sqref="G1"/>
      <selection pane="bottomLeft" activeCell="E29" sqref="E24:E29"/>
    </sheetView>
  </sheetViews>
  <sheetFormatPr defaultRowHeight="15" x14ac:dyDescent="0.25"/>
  <cols>
    <col min="1" max="2" width="4.85546875" style="4" customWidth="1"/>
    <col min="3" max="3" width="15" style="35" bestFit="1" customWidth="1"/>
    <col min="4" max="4" width="19" style="5" customWidth="1"/>
    <col min="5" max="5" width="21.140625" style="5" customWidth="1"/>
    <col min="6" max="6" width="20" style="5" customWidth="1"/>
    <col min="7" max="7" width="24.85546875" style="8" bestFit="1" customWidth="1"/>
    <col min="8" max="8" width="5.42578125" style="1" customWidth="1"/>
    <col min="9" max="9" width="11.140625" style="1" customWidth="1"/>
    <col min="10" max="10" width="8" style="2" customWidth="1"/>
    <col min="11" max="11" width="6.42578125" style="1" customWidth="1"/>
    <col min="12" max="15" width="5.42578125" style="1" customWidth="1"/>
    <col min="16" max="16" width="5.5703125" style="1" customWidth="1"/>
    <col min="17" max="17" width="10.42578125" style="3" customWidth="1"/>
    <col min="18" max="18" width="7.5703125" style="15" customWidth="1"/>
    <col min="19" max="19" width="9.5703125" style="2" customWidth="1"/>
    <col min="20" max="20" width="10.42578125" style="2" customWidth="1"/>
    <col min="21" max="21" width="13" style="1" customWidth="1"/>
    <col min="22" max="22" width="10.5703125" style="1" customWidth="1"/>
    <col min="23" max="23" width="12.85546875" style="1" customWidth="1"/>
    <col min="24" max="24" width="33.85546875" style="5" customWidth="1"/>
    <col min="25" max="25" width="9.140625" style="21" customWidth="1"/>
  </cols>
  <sheetData>
    <row r="1" spans="1:25" ht="18.75" x14ac:dyDescent="0.25">
      <c r="A1" s="144" t="s">
        <v>462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</row>
    <row r="2" spans="1:25" s="7" customFormat="1" ht="30" x14ac:dyDescent="0.25">
      <c r="A2" s="7" t="s">
        <v>0</v>
      </c>
      <c r="B2" s="7" t="s">
        <v>324</v>
      </c>
      <c r="C2" s="18" t="s">
        <v>1</v>
      </c>
      <c r="D2" s="18" t="s">
        <v>2</v>
      </c>
      <c r="E2" s="18" t="s">
        <v>3</v>
      </c>
      <c r="F2" s="53" t="s">
        <v>4</v>
      </c>
      <c r="G2" s="16" t="s">
        <v>5</v>
      </c>
      <c r="H2" s="7" t="s">
        <v>6</v>
      </c>
      <c r="I2" s="7" t="s">
        <v>7</v>
      </c>
      <c r="J2" s="17" t="s">
        <v>8</v>
      </c>
      <c r="K2" s="7" t="s">
        <v>9</v>
      </c>
      <c r="L2" s="7" t="s">
        <v>10</v>
      </c>
      <c r="M2" s="7" t="s">
        <v>163</v>
      </c>
      <c r="N2" s="7" t="s">
        <v>162</v>
      </c>
      <c r="O2" s="7" t="s">
        <v>161</v>
      </c>
      <c r="P2" s="7" t="s">
        <v>89</v>
      </c>
      <c r="Q2" s="6" t="s">
        <v>11</v>
      </c>
      <c r="R2" s="13" t="s">
        <v>12</v>
      </c>
      <c r="S2" s="17" t="s">
        <v>13</v>
      </c>
      <c r="T2" s="17" t="s">
        <v>152</v>
      </c>
      <c r="U2" s="7" t="s">
        <v>14</v>
      </c>
      <c r="V2" s="7" t="s">
        <v>15</v>
      </c>
      <c r="W2" s="7" t="s">
        <v>16</v>
      </c>
      <c r="X2" s="7" t="s">
        <v>17</v>
      </c>
      <c r="Y2" s="18" t="s">
        <v>98</v>
      </c>
    </row>
    <row r="3" spans="1:25" x14ac:dyDescent="0.25">
      <c r="A3" s="4">
        <v>1</v>
      </c>
      <c r="B3" s="4" t="s">
        <v>464</v>
      </c>
      <c r="C3" s="35" t="s">
        <v>469</v>
      </c>
      <c r="D3" s="5" t="s">
        <v>359</v>
      </c>
      <c r="E3" s="12" t="s">
        <v>360</v>
      </c>
      <c r="F3" s="5" t="s">
        <v>364</v>
      </c>
      <c r="G3" s="8" t="s">
        <v>405</v>
      </c>
      <c r="H3" s="1" t="s">
        <v>23</v>
      </c>
      <c r="I3" s="11" t="s">
        <v>31</v>
      </c>
      <c r="J3" s="2">
        <v>0.66174999999999995</v>
      </c>
      <c r="K3" s="1">
        <v>1000</v>
      </c>
      <c r="L3" s="1">
        <v>0</v>
      </c>
      <c r="M3" s="1">
        <v>2</v>
      </c>
      <c r="N3" s="1">
        <f t="shared" ref="N3:N39" si="0">L3*$P3</f>
        <v>0</v>
      </c>
      <c r="O3" s="1">
        <f t="shared" ref="O3:O39" si="1">M3*$P3</f>
        <v>4</v>
      </c>
      <c r="P3" s="1">
        <v>2</v>
      </c>
      <c r="Q3" s="3">
        <v>0.05</v>
      </c>
      <c r="R3" s="14">
        <v>1000</v>
      </c>
      <c r="S3" s="2">
        <f t="shared" ref="S3:S39" si="2">P3*J3*(1+Q3)</f>
        <v>1.389675</v>
      </c>
      <c r="T3" s="2">
        <f t="shared" ref="T3:T15" si="3">R3*J3</f>
        <v>661.75</v>
      </c>
      <c r="U3" s="1" t="s">
        <v>401</v>
      </c>
      <c r="W3" s="10"/>
      <c r="Y3" s="22"/>
    </row>
    <row r="4" spans="1:25" x14ac:dyDescent="0.25">
      <c r="A4" s="4">
        <v>2</v>
      </c>
      <c r="B4" s="4" t="s">
        <v>464</v>
      </c>
      <c r="C4" s="35" t="s">
        <v>381</v>
      </c>
      <c r="D4" s="5" t="s">
        <v>382</v>
      </c>
      <c r="E4" s="5" t="s">
        <v>271</v>
      </c>
      <c r="F4" s="5" t="s">
        <v>466</v>
      </c>
      <c r="G4" s="8" t="s">
        <v>468</v>
      </c>
      <c r="H4" s="1" t="s">
        <v>23</v>
      </c>
      <c r="I4" s="11" t="s">
        <v>35</v>
      </c>
      <c r="J4" s="25">
        <v>8.7999999999999995E-2</v>
      </c>
      <c r="K4" s="1">
        <v>1000</v>
      </c>
      <c r="L4" s="1">
        <v>2</v>
      </c>
      <c r="N4" s="1">
        <f t="shared" si="0"/>
        <v>8</v>
      </c>
      <c r="O4" s="1">
        <f t="shared" si="1"/>
        <v>0</v>
      </c>
      <c r="P4" s="1">
        <v>4</v>
      </c>
      <c r="Q4" s="26">
        <v>0.1</v>
      </c>
      <c r="R4" s="14">
        <v>2000</v>
      </c>
      <c r="S4" s="2">
        <f t="shared" si="2"/>
        <v>0.38719999999999999</v>
      </c>
      <c r="T4" s="2">
        <f t="shared" si="3"/>
        <v>176</v>
      </c>
      <c r="U4" s="1" t="s">
        <v>401</v>
      </c>
      <c r="W4" s="10"/>
    </row>
    <row r="5" spans="1:25" ht="30" x14ac:dyDescent="0.25">
      <c r="A5" s="4">
        <v>3</v>
      </c>
      <c r="B5" s="4" t="s">
        <v>464</v>
      </c>
      <c r="C5" s="35" t="s">
        <v>400</v>
      </c>
      <c r="D5" s="23" t="s">
        <v>251</v>
      </c>
      <c r="E5" s="23" t="s">
        <v>380</v>
      </c>
      <c r="F5" s="5" t="s">
        <v>466</v>
      </c>
      <c r="G5" s="11" t="s">
        <v>470</v>
      </c>
      <c r="H5" s="1" t="s">
        <v>23</v>
      </c>
      <c r="I5" s="11" t="s">
        <v>35</v>
      </c>
      <c r="J5" s="2">
        <v>2.5000000000000001E-2</v>
      </c>
      <c r="K5" s="1">
        <f>P5*$F$41*(1+Q5)</f>
        <v>1980.0000000000002</v>
      </c>
      <c r="L5" s="1">
        <v>2</v>
      </c>
      <c r="N5" s="1">
        <f t="shared" si="0"/>
        <v>8</v>
      </c>
      <c r="O5" s="1">
        <f t="shared" si="1"/>
        <v>0</v>
      </c>
      <c r="P5" s="1">
        <v>4</v>
      </c>
      <c r="Q5" s="3">
        <v>0.1</v>
      </c>
      <c r="R5" s="14">
        <v>2000</v>
      </c>
      <c r="S5" s="2">
        <f t="shared" si="2"/>
        <v>0.11000000000000001</v>
      </c>
      <c r="T5" s="2">
        <f t="shared" si="3"/>
        <v>50</v>
      </c>
      <c r="U5" s="1" t="s">
        <v>401</v>
      </c>
      <c r="W5" s="10"/>
    </row>
    <row r="6" spans="1:25" x14ac:dyDescent="0.25">
      <c r="A6" s="4">
        <v>4</v>
      </c>
      <c r="B6" s="4" t="s">
        <v>464</v>
      </c>
      <c r="C6" s="35" t="s">
        <v>369</v>
      </c>
      <c r="D6" s="5" t="s">
        <v>370</v>
      </c>
      <c r="E6" s="5" t="s">
        <v>368</v>
      </c>
      <c r="F6" s="5" t="s">
        <v>460</v>
      </c>
      <c r="G6" s="8" t="s">
        <v>461</v>
      </c>
      <c r="H6" s="1" t="s">
        <v>23</v>
      </c>
      <c r="I6" s="11" t="s">
        <v>35</v>
      </c>
      <c r="J6" s="2">
        <v>0.14399999999999999</v>
      </c>
      <c r="K6" s="1">
        <v>1000</v>
      </c>
      <c r="L6" s="1">
        <v>2</v>
      </c>
      <c r="N6" s="1">
        <f t="shared" si="0"/>
        <v>4</v>
      </c>
      <c r="O6" s="1">
        <f t="shared" si="1"/>
        <v>0</v>
      </c>
      <c r="P6" s="1">
        <v>2</v>
      </c>
      <c r="Q6" s="3">
        <v>0.1</v>
      </c>
      <c r="R6" s="14">
        <v>1000</v>
      </c>
      <c r="S6" s="2">
        <f t="shared" si="2"/>
        <v>0.31680000000000003</v>
      </c>
      <c r="T6" s="2">
        <f t="shared" si="3"/>
        <v>144</v>
      </c>
      <c r="U6" s="1" t="s">
        <v>20</v>
      </c>
    </row>
    <row r="7" spans="1:25" x14ac:dyDescent="0.25">
      <c r="A7" s="4">
        <v>5</v>
      </c>
      <c r="B7" s="4" t="s">
        <v>464</v>
      </c>
      <c r="C7" s="35" t="s">
        <v>377</v>
      </c>
      <c r="D7" s="5" t="s">
        <v>36</v>
      </c>
      <c r="E7" s="5" t="s">
        <v>402</v>
      </c>
      <c r="F7" s="5" t="s">
        <v>406</v>
      </c>
      <c r="G7" s="51" t="s">
        <v>463</v>
      </c>
      <c r="H7" s="1" t="s">
        <v>23</v>
      </c>
      <c r="I7" s="11" t="s">
        <v>35</v>
      </c>
      <c r="J7" s="2">
        <v>8.0000000000000002E-3</v>
      </c>
      <c r="K7" s="1">
        <v>1000</v>
      </c>
      <c r="L7" s="1">
        <v>2</v>
      </c>
      <c r="N7" s="1">
        <f t="shared" si="0"/>
        <v>4</v>
      </c>
      <c r="O7" s="1">
        <f t="shared" si="1"/>
        <v>0</v>
      </c>
      <c r="P7" s="1">
        <v>2</v>
      </c>
      <c r="Q7" s="3">
        <v>0.1</v>
      </c>
      <c r="R7" s="14">
        <v>1000</v>
      </c>
      <c r="S7" s="2">
        <f t="shared" si="2"/>
        <v>1.7600000000000001E-2</v>
      </c>
      <c r="T7" s="2">
        <f t="shared" si="3"/>
        <v>8</v>
      </c>
      <c r="U7" s="1" t="s">
        <v>20</v>
      </c>
    </row>
    <row r="8" spans="1:25" x14ac:dyDescent="0.25">
      <c r="A8" s="4">
        <v>6</v>
      </c>
      <c r="B8" s="4" t="s">
        <v>464</v>
      </c>
      <c r="C8" s="35" t="s">
        <v>373</v>
      </c>
      <c r="D8" s="5" t="s">
        <v>251</v>
      </c>
      <c r="E8" s="5" t="s">
        <v>374</v>
      </c>
      <c r="F8" s="5" t="s">
        <v>33</v>
      </c>
      <c r="G8" s="8" t="s">
        <v>296</v>
      </c>
      <c r="H8" s="1" t="s">
        <v>23</v>
      </c>
      <c r="I8" s="11" t="s">
        <v>35</v>
      </c>
      <c r="J8" s="2">
        <v>3.1E-2</v>
      </c>
      <c r="K8" s="1">
        <v>1000</v>
      </c>
      <c r="L8" s="1">
        <v>2</v>
      </c>
      <c r="N8" s="1">
        <f t="shared" si="0"/>
        <v>2</v>
      </c>
      <c r="O8" s="1">
        <f t="shared" si="1"/>
        <v>0</v>
      </c>
      <c r="P8" s="1">
        <v>1</v>
      </c>
      <c r="R8" s="14">
        <v>500</v>
      </c>
      <c r="S8" s="2">
        <f t="shared" si="2"/>
        <v>3.1E-2</v>
      </c>
      <c r="T8" s="2">
        <f t="shared" si="3"/>
        <v>15.5</v>
      </c>
      <c r="U8" s="1" t="s">
        <v>401</v>
      </c>
    </row>
    <row r="9" spans="1:25" ht="60" x14ac:dyDescent="0.25">
      <c r="A9" s="4">
        <v>7</v>
      </c>
      <c r="B9" s="4" t="s">
        <v>464</v>
      </c>
      <c r="C9" s="35" t="s">
        <v>432</v>
      </c>
      <c r="D9" s="5" t="s">
        <v>251</v>
      </c>
      <c r="E9" s="5" t="s">
        <v>393</v>
      </c>
      <c r="F9" s="5" t="s">
        <v>466</v>
      </c>
      <c r="G9" s="8" t="s">
        <v>467</v>
      </c>
      <c r="H9" s="1" t="s">
        <v>23</v>
      </c>
      <c r="I9" s="11" t="s">
        <v>35</v>
      </c>
      <c r="J9" s="2">
        <v>1.2E-2</v>
      </c>
      <c r="K9" s="1">
        <v>4000</v>
      </c>
      <c r="L9" s="1">
        <v>2</v>
      </c>
      <c r="N9" s="1">
        <f t="shared" si="0"/>
        <v>22</v>
      </c>
      <c r="O9" s="1">
        <f t="shared" si="1"/>
        <v>0</v>
      </c>
      <c r="P9" s="1">
        <v>11</v>
      </c>
      <c r="Q9" s="3">
        <v>0.1</v>
      </c>
      <c r="R9" s="14">
        <v>5500</v>
      </c>
      <c r="S9" s="2">
        <f t="shared" si="2"/>
        <v>0.14520000000000002</v>
      </c>
      <c r="T9" s="2">
        <f t="shared" si="3"/>
        <v>66</v>
      </c>
      <c r="U9" s="1" t="s">
        <v>401</v>
      </c>
      <c r="W9" s="10"/>
      <c r="Y9" s="22"/>
    </row>
    <row r="10" spans="1:25" x14ac:dyDescent="0.25">
      <c r="A10" s="4">
        <v>8</v>
      </c>
      <c r="B10" s="4" t="s">
        <v>23</v>
      </c>
      <c r="C10" s="35" t="s">
        <v>347</v>
      </c>
      <c r="D10" s="5" t="s">
        <v>349</v>
      </c>
      <c r="E10" s="5" t="s">
        <v>350</v>
      </c>
      <c r="F10" s="5" t="s">
        <v>317</v>
      </c>
      <c r="G10" s="8" t="s">
        <v>403</v>
      </c>
      <c r="H10" s="1" t="s">
        <v>18</v>
      </c>
      <c r="I10" s="11">
        <v>1204</v>
      </c>
      <c r="J10" s="2">
        <v>4.8000000000000001E-2</v>
      </c>
      <c r="K10" s="1">
        <v>12000</v>
      </c>
      <c r="L10" s="1">
        <v>4</v>
      </c>
      <c r="N10" s="1">
        <f t="shared" si="0"/>
        <v>72</v>
      </c>
      <c r="O10" s="1">
        <f t="shared" si="1"/>
        <v>0</v>
      </c>
      <c r="P10" s="1">
        <v>18</v>
      </c>
      <c r="Q10" s="3">
        <f>K10/(P10*F42)-1</f>
        <v>0.68350168350168361</v>
      </c>
      <c r="R10" s="14">
        <f>P10*$F$41*(1+Q10)</f>
        <v>13636.363636363638</v>
      </c>
      <c r="S10" s="2">
        <f t="shared" si="2"/>
        <v>1.4545454545454546</v>
      </c>
      <c r="T10" s="2">
        <f t="shared" si="3"/>
        <v>654.54545454545462</v>
      </c>
      <c r="U10" s="1" t="s">
        <v>465</v>
      </c>
    </row>
    <row r="11" spans="1:25" x14ac:dyDescent="0.25">
      <c r="A11" s="4">
        <v>9</v>
      </c>
      <c r="B11" s="4" t="s">
        <v>23</v>
      </c>
      <c r="C11" s="35" t="s">
        <v>348</v>
      </c>
      <c r="D11" s="5" t="s">
        <v>309</v>
      </c>
      <c r="E11" s="5" t="s">
        <v>431</v>
      </c>
      <c r="F11" s="5" t="s">
        <v>317</v>
      </c>
      <c r="G11" s="8" t="s">
        <v>404</v>
      </c>
      <c r="H11" s="1" t="s">
        <v>18</v>
      </c>
      <c r="I11" s="11" t="s">
        <v>308</v>
      </c>
      <c r="J11" s="2">
        <v>3.2000000000000001E-2</v>
      </c>
      <c r="K11" s="1">
        <v>4000</v>
      </c>
      <c r="L11" s="1">
        <v>4</v>
      </c>
      <c r="N11" s="1">
        <f t="shared" si="0"/>
        <v>24</v>
      </c>
      <c r="O11" s="1">
        <f t="shared" si="1"/>
        <v>0</v>
      </c>
      <c r="P11" s="1">
        <v>6</v>
      </c>
      <c r="Q11" s="3">
        <f>K11/(P11*F41)-1</f>
        <v>0.4814814814814814</v>
      </c>
      <c r="R11" s="14">
        <f>P11*$F$41*(1+Q11)</f>
        <v>4000</v>
      </c>
      <c r="S11" s="2">
        <f t="shared" si="2"/>
        <v>0.28444444444444444</v>
      </c>
      <c r="T11" s="2">
        <f t="shared" si="3"/>
        <v>128</v>
      </c>
      <c r="U11" s="1" t="s">
        <v>465</v>
      </c>
      <c r="W11" s="10"/>
    </row>
    <row r="12" spans="1:25" x14ac:dyDescent="0.25">
      <c r="A12" s="71">
        <v>10</v>
      </c>
      <c r="B12" s="71" t="s">
        <v>18</v>
      </c>
      <c r="C12" s="72" t="s">
        <v>472</v>
      </c>
      <c r="D12" s="73" t="s">
        <v>378</v>
      </c>
      <c r="E12" s="73" t="s">
        <v>379</v>
      </c>
      <c r="F12" s="73" t="s">
        <v>57</v>
      </c>
      <c r="G12" s="74" t="s">
        <v>58</v>
      </c>
      <c r="H12" s="75" t="s">
        <v>23</v>
      </c>
      <c r="I12" s="76" t="s">
        <v>59</v>
      </c>
      <c r="J12" s="77">
        <v>0.19900000000000001</v>
      </c>
      <c r="K12" s="75">
        <v>100</v>
      </c>
      <c r="L12" s="75">
        <v>6</v>
      </c>
      <c r="M12" s="75"/>
      <c r="N12" s="75">
        <f t="shared" si="0"/>
        <v>0</v>
      </c>
      <c r="O12" s="75">
        <f t="shared" si="1"/>
        <v>0</v>
      </c>
      <c r="P12" s="75"/>
      <c r="Q12" s="78">
        <v>0.1</v>
      </c>
      <c r="R12" s="79">
        <f>P12*$F$41*(1+Q12)</f>
        <v>0</v>
      </c>
      <c r="S12" s="2">
        <f t="shared" si="2"/>
        <v>0</v>
      </c>
      <c r="T12" s="2">
        <f t="shared" si="3"/>
        <v>0</v>
      </c>
      <c r="U12" s="1" t="s">
        <v>175</v>
      </c>
      <c r="W12" s="10"/>
    </row>
    <row r="13" spans="1:25" x14ac:dyDescent="0.25">
      <c r="A13" s="4">
        <v>11</v>
      </c>
      <c r="B13" s="4">
        <v>0</v>
      </c>
      <c r="C13" s="35" t="s">
        <v>175</v>
      </c>
      <c r="D13" s="5" t="s">
        <v>429</v>
      </c>
      <c r="E13" s="55" t="s">
        <v>437</v>
      </c>
      <c r="H13" s="1" t="s">
        <v>23</v>
      </c>
      <c r="I13" s="11" t="s">
        <v>19</v>
      </c>
      <c r="J13" s="2">
        <v>0.05</v>
      </c>
      <c r="K13" s="1">
        <f>450*4</f>
        <v>1800</v>
      </c>
      <c r="N13" s="1">
        <f t="shared" si="0"/>
        <v>0</v>
      </c>
      <c r="O13" s="1">
        <f t="shared" si="1"/>
        <v>0</v>
      </c>
      <c r="P13" s="1">
        <v>4</v>
      </c>
      <c r="Q13" s="3">
        <v>0.1</v>
      </c>
      <c r="R13" s="15">
        <v>0</v>
      </c>
      <c r="S13" s="2">
        <f t="shared" si="2"/>
        <v>0.22000000000000003</v>
      </c>
      <c r="T13" s="2">
        <f t="shared" si="3"/>
        <v>0</v>
      </c>
      <c r="U13" s="1" t="s">
        <v>19</v>
      </c>
    </row>
    <row r="14" spans="1:25" x14ac:dyDescent="0.25">
      <c r="A14" s="4">
        <v>12</v>
      </c>
      <c r="B14" s="4">
        <v>0</v>
      </c>
      <c r="C14" s="35" t="s">
        <v>175</v>
      </c>
      <c r="D14" s="5" t="s">
        <v>435</v>
      </c>
      <c r="E14" s="5" t="s">
        <v>436</v>
      </c>
      <c r="H14" s="1" t="s">
        <v>23</v>
      </c>
      <c r="I14" s="1" t="s">
        <v>19</v>
      </c>
      <c r="J14" s="2">
        <v>2.5</v>
      </c>
      <c r="K14" s="1">
        <v>450</v>
      </c>
      <c r="N14" s="1">
        <f t="shared" si="0"/>
        <v>0</v>
      </c>
      <c r="O14" s="1">
        <f t="shared" si="1"/>
        <v>0</v>
      </c>
      <c r="P14" s="1">
        <v>1</v>
      </c>
      <c r="Q14" s="3">
        <v>0.1</v>
      </c>
      <c r="R14" s="15">
        <v>0</v>
      </c>
      <c r="S14" s="2">
        <f t="shared" si="2"/>
        <v>2.75</v>
      </c>
      <c r="T14" s="2">
        <f t="shared" si="3"/>
        <v>0</v>
      </c>
      <c r="U14" s="1" t="s">
        <v>19</v>
      </c>
    </row>
    <row r="15" spans="1:25" x14ac:dyDescent="0.25">
      <c r="A15" s="4">
        <v>13</v>
      </c>
      <c r="B15" s="4">
        <v>0</v>
      </c>
      <c r="C15" s="35" t="s">
        <v>175</v>
      </c>
      <c r="D15" s="5" t="s">
        <v>425</v>
      </c>
      <c r="E15" s="5" t="s">
        <v>19</v>
      </c>
      <c r="F15" s="5" t="s">
        <v>430</v>
      </c>
      <c r="G15" s="8" t="s">
        <v>175</v>
      </c>
      <c r="H15" s="1" t="s">
        <v>18</v>
      </c>
      <c r="I15" s="11" t="s">
        <v>19</v>
      </c>
      <c r="J15" s="2">
        <v>1.9</v>
      </c>
      <c r="K15" s="1">
        <v>20</v>
      </c>
      <c r="N15" s="1">
        <f t="shared" si="0"/>
        <v>0</v>
      </c>
      <c r="O15" s="1">
        <f t="shared" si="1"/>
        <v>0</v>
      </c>
      <c r="P15" s="1">
        <v>1</v>
      </c>
      <c r="Q15" s="3">
        <v>0.1</v>
      </c>
      <c r="R15" s="14">
        <v>0</v>
      </c>
      <c r="S15" s="2">
        <f t="shared" si="2"/>
        <v>2.09</v>
      </c>
      <c r="T15" s="2">
        <f t="shared" si="3"/>
        <v>0</v>
      </c>
      <c r="U15" s="1" t="s">
        <v>19</v>
      </c>
    </row>
    <row r="16" spans="1:25" x14ac:dyDescent="0.25">
      <c r="A16" s="4">
        <v>14</v>
      </c>
      <c r="B16" s="4" t="s">
        <v>23</v>
      </c>
      <c r="C16" s="35" t="s">
        <v>341</v>
      </c>
      <c r="D16" s="5" t="s">
        <v>338</v>
      </c>
      <c r="E16" s="5" t="s">
        <v>343</v>
      </c>
      <c r="F16" s="5" t="s">
        <v>339</v>
      </c>
      <c r="G16" s="8" t="s">
        <v>340</v>
      </c>
      <c r="H16" s="1" t="s">
        <v>18</v>
      </c>
      <c r="I16" s="11" t="s">
        <v>31</v>
      </c>
      <c r="J16" s="2">
        <v>0.18</v>
      </c>
      <c r="K16" s="1">
        <v>624</v>
      </c>
      <c r="M16" s="1">
        <v>14</v>
      </c>
      <c r="N16" s="1">
        <f t="shared" si="0"/>
        <v>0</v>
      </c>
      <c r="O16" s="1">
        <f t="shared" si="1"/>
        <v>28</v>
      </c>
      <c r="P16" s="1">
        <v>2</v>
      </c>
      <c r="Q16" s="3">
        <v>0.2</v>
      </c>
      <c r="R16" s="14">
        <f>P16*$F$41*(1+Q16)</f>
        <v>1080</v>
      </c>
      <c r="S16" s="2">
        <f t="shared" si="2"/>
        <v>0.432</v>
      </c>
      <c r="T16" s="2">
        <v>208</v>
      </c>
      <c r="U16" s="1" t="s">
        <v>465</v>
      </c>
      <c r="V16" s="1" t="s">
        <v>25</v>
      </c>
      <c r="W16" s="10"/>
      <c r="Y16" s="22"/>
    </row>
    <row r="17" spans="1:25" x14ac:dyDescent="0.25">
      <c r="A17" s="4">
        <v>15</v>
      </c>
      <c r="B17" s="4" t="s">
        <v>23</v>
      </c>
      <c r="C17" s="35" t="s">
        <v>426</v>
      </c>
      <c r="D17" s="5" t="s">
        <v>362</v>
      </c>
      <c r="E17" s="5" t="s">
        <v>363</v>
      </c>
      <c r="F17" s="5" t="s">
        <v>364</v>
      </c>
      <c r="G17" s="1">
        <v>4881</v>
      </c>
      <c r="H17" s="1" t="s">
        <v>23</v>
      </c>
      <c r="I17" s="1" t="s">
        <v>22</v>
      </c>
      <c r="J17" s="2">
        <v>0.25779999999999997</v>
      </c>
      <c r="K17" s="1">
        <v>500</v>
      </c>
      <c r="L17" s="1">
        <v>1</v>
      </c>
      <c r="M17" s="1">
        <v>0</v>
      </c>
      <c r="N17" s="1">
        <f t="shared" si="0"/>
        <v>4</v>
      </c>
      <c r="O17" s="1">
        <f t="shared" si="1"/>
        <v>0</v>
      </c>
      <c r="P17" s="1">
        <v>4</v>
      </c>
      <c r="Q17" s="3">
        <v>0.1</v>
      </c>
      <c r="R17" s="14">
        <v>2000</v>
      </c>
      <c r="S17" s="2">
        <f t="shared" si="2"/>
        <v>1.13432</v>
      </c>
      <c r="T17" s="2">
        <f t="shared" ref="T17:T39" si="4">R17*J17</f>
        <v>515.59999999999991</v>
      </c>
      <c r="U17" s="1" t="s">
        <v>20</v>
      </c>
    </row>
    <row r="18" spans="1:25" x14ac:dyDescent="0.25">
      <c r="A18" s="4">
        <v>16</v>
      </c>
      <c r="C18" s="36" t="s">
        <v>386</v>
      </c>
      <c r="D18" s="5" t="s">
        <v>387</v>
      </c>
      <c r="E18" s="5" t="s">
        <v>327</v>
      </c>
      <c r="F18" s="5" t="s">
        <v>62</v>
      </c>
      <c r="G18" s="8" t="s">
        <v>249</v>
      </c>
      <c r="H18" s="1" t="s">
        <v>23</v>
      </c>
      <c r="I18" s="11" t="s">
        <v>221</v>
      </c>
      <c r="J18" s="25">
        <v>3.6999999999999998E-2</v>
      </c>
      <c r="K18" s="1">
        <v>500</v>
      </c>
      <c r="L18" s="1">
        <v>2</v>
      </c>
      <c r="N18" s="1">
        <f t="shared" si="0"/>
        <v>4</v>
      </c>
      <c r="O18" s="1">
        <f t="shared" si="1"/>
        <v>0</v>
      </c>
      <c r="P18" s="1">
        <v>2</v>
      </c>
      <c r="Q18" s="3">
        <v>0.1</v>
      </c>
      <c r="R18" s="14">
        <v>1000</v>
      </c>
      <c r="S18" s="2">
        <f t="shared" si="2"/>
        <v>8.14E-2</v>
      </c>
      <c r="T18" s="2">
        <f t="shared" si="4"/>
        <v>37</v>
      </c>
      <c r="U18" s="1" t="s">
        <v>20</v>
      </c>
      <c r="W18" s="10"/>
    </row>
    <row r="19" spans="1:25" s="67" customFormat="1" x14ac:dyDescent="0.25">
      <c r="A19" s="4">
        <v>17</v>
      </c>
      <c r="B19" s="58">
        <v>0</v>
      </c>
      <c r="C19" s="59" t="s">
        <v>300</v>
      </c>
      <c r="D19" s="60" t="s">
        <v>399</v>
      </c>
      <c r="E19" s="60" t="s">
        <v>175</v>
      </c>
      <c r="F19" s="60" t="s">
        <v>175</v>
      </c>
      <c r="G19" s="61" t="s">
        <v>175</v>
      </c>
      <c r="H19" s="62" t="s">
        <v>23</v>
      </c>
      <c r="I19" s="62">
        <v>2.54</v>
      </c>
      <c r="J19" s="63">
        <v>0</v>
      </c>
      <c r="K19" s="62">
        <v>0</v>
      </c>
      <c r="L19" s="62"/>
      <c r="M19" s="62"/>
      <c r="N19" s="62">
        <f t="shared" si="0"/>
        <v>0</v>
      </c>
      <c r="O19" s="62">
        <f t="shared" si="1"/>
        <v>0</v>
      </c>
      <c r="P19" s="62">
        <v>0</v>
      </c>
      <c r="Q19" s="64">
        <v>0</v>
      </c>
      <c r="R19" s="65">
        <f>P19*$F$41*(1+Q19)</f>
        <v>0</v>
      </c>
      <c r="S19" s="2">
        <f t="shared" si="2"/>
        <v>0</v>
      </c>
      <c r="T19" s="63">
        <f t="shared" si="4"/>
        <v>0</v>
      </c>
      <c r="U19" s="62"/>
      <c r="V19" s="62"/>
      <c r="W19" s="62"/>
      <c r="X19" s="60"/>
      <c r="Y19" s="66"/>
    </row>
    <row r="20" spans="1:25" s="67" customFormat="1" x14ac:dyDescent="0.25">
      <c r="A20" s="4">
        <v>18</v>
      </c>
      <c r="B20" s="58">
        <v>0</v>
      </c>
      <c r="C20" s="59" t="s">
        <v>232</v>
      </c>
      <c r="D20" s="60" t="s">
        <v>396</v>
      </c>
      <c r="E20" s="60" t="s">
        <v>447</v>
      </c>
      <c r="F20" s="68" t="s">
        <v>175</v>
      </c>
      <c r="G20" s="61" t="s">
        <v>175</v>
      </c>
      <c r="H20" s="62" t="s">
        <v>23</v>
      </c>
      <c r="I20" s="69" t="s">
        <v>424</v>
      </c>
      <c r="J20" s="63">
        <v>0</v>
      </c>
      <c r="K20" s="62">
        <v>0</v>
      </c>
      <c r="L20" s="62"/>
      <c r="M20" s="62"/>
      <c r="N20" s="62">
        <f t="shared" si="0"/>
        <v>0</v>
      </c>
      <c r="O20" s="62">
        <f t="shared" si="1"/>
        <v>0</v>
      </c>
      <c r="P20" s="62">
        <v>0</v>
      </c>
      <c r="Q20" s="64">
        <v>0</v>
      </c>
      <c r="R20" s="65">
        <f>P20*$F$41*(1+Q20)</f>
        <v>0</v>
      </c>
      <c r="S20" s="2">
        <f t="shared" si="2"/>
        <v>0</v>
      </c>
      <c r="T20" s="63">
        <f t="shared" si="4"/>
        <v>0</v>
      </c>
      <c r="U20" s="62"/>
      <c r="V20" s="62"/>
      <c r="W20" s="62"/>
      <c r="X20" s="60"/>
      <c r="Y20" s="66"/>
    </row>
    <row r="21" spans="1:25" s="67" customFormat="1" x14ac:dyDescent="0.25">
      <c r="A21" s="4">
        <v>19</v>
      </c>
      <c r="B21" s="58">
        <v>0</v>
      </c>
      <c r="C21" s="59" t="s">
        <v>394</v>
      </c>
      <c r="D21" s="60" t="s">
        <v>397</v>
      </c>
      <c r="E21" s="60" t="s">
        <v>447</v>
      </c>
      <c r="F21" s="68" t="s">
        <v>175</v>
      </c>
      <c r="G21" s="61" t="s">
        <v>175</v>
      </c>
      <c r="H21" s="62" t="s">
        <v>23</v>
      </c>
      <c r="I21" s="69" t="s">
        <v>424</v>
      </c>
      <c r="J21" s="63">
        <v>0</v>
      </c>
      <c r="K21" s="62">
        <v>0</v>
      </c>
      <c r="L21" s="62"/>
      <c r="M21" s="62"/>
      <c r="N21" s="62">
        <f t="shared" si="0"/>
        <v>0</v>
      </c>
      <c r="O21" s="62">
        <f t="shared" si="1"/>
        <v>0</v>
      </c>
      <c r="P21" s="62">
        <v>0</v>
      </c>
      <c r="Q21" s="64">
        <v>0</v>
      </c>
      <c r="R21" s="65">
        <f>P21*$F$41*(1+Q21)</f>
        <v>0</v>
      </c>
      <c r="S21" s="2">
        <f t="shared" si="2"/>
        <v>0</v>
      </c>
      <c r="T21" s="63">
        <f t="shared" si="4"/>
        <v>0</v>
      </c>
      <c r="U21" s="62"/>
      <c r="V21" s="62"/>
      <c r="W21" s="62"/>
      <c r="X21" s="60"/>
      <c r="Y21" s="66"/>
    </row>
    <row r="22" spans="1:25" s="67" customFormat="1" x14ac:dyDescent="0.25">
      <c r="A22" s="4">
        <v>20</v>
      </c>
      <c r="B22" s="58">
        <v>0</v>
      </c>
      <c r="C22" s="59" t="s">
        <v>395</v>
      </c>
      <c r="D22" s="60" t="s">
        <v>398</v>
      </c>
      <c r="E22" s="60" t="s">
        <v>448</v>
      </c>
      <c r="F22" s="68" t="s">
        <v>175</v>
      </c>
      <c r="G22" s="61" t="s">
        <v>175</v>
      </c>
      <c r="H22" s="62" t="s">
        <v>23</v>
      </c>
      <c r="I22" s="69" t="s">
        <v>424</v>
      </c>
      <c r="J22" s="63">
        <v>0</v>
      </c>
      <c r="K22" s="62">
        <v>0</v>
      </c>
      <c r="L22" s="62"/>
      <c r="M22" s="62"/>
      <c r="N22" s="62">
        <f t="shared" si="0"/>
        <v>0</v>
      </c>
      <c r="O22" s="62">
        <f t="shared" si="1"/>
        <v>0</v>
      </c>
      <c r="P22" s="62">
        <v>0</v>
      </c>
      <c r="Q22" s="64">
        <v>0</v>
      </c>
      <c r="R22" s="65">
        <f>P22*$F$41*(1+Q22)</f>
        <v>0</v>
      </c>
      <c r="S22" s="2">
        <f t="shared" si="2"/>
        <v>0</v>
      </c>
      <c r="T22" s="63">
        <f t="shared" si="4"/>
        <v>0</v>
      </c>
      <c r="U22" s="62"/>
      <c r="V22" s="62"/>
      <c r="W22" s="62"/>
      <c r="X22" s="60"/>
      <c r="Y22" s="66"/>
    </row>
    <row r="23" spans="1:25" s="67" customFormat="1" x14ac:dyDescent="0.25">
      <c r="A23" s="4">
        <v>21</v>
      </c>
      <c r="B23" s="58">
        <v>0</v>
      </c>
      <c r="C23" s="59" t="s">
        <v>235</v>
      </c>
      <c r="D23" s="60" t="s">
        <v>445</v>
      </c>
      <c r="E23" s="60" t="s">
        <v>446</v>
      </c>
      <c r="F23" s="68" t="s">
        <v>175</v>
      </c>
      <c r="G23" s="61" t="s">
        <v>175</v>
      </c>
      <c r="H23" s="62" t="s">
        <v>23</v>
      </c>
      <c r="I23" s="69" t="s">
        <v>449</v>
      </c>
      <c r="J23" s="63">
        <v>0</v>
      </c>
      <c r="K23" s="62">
        <v>0</v>
      </c>
      <c r="L23" s="62"/>
      <c r="M23" s="62"/>
      <c r="N23" s="62">
        <f t="shared" si="0"/>
        <v>0</v>
      </c>
      <c r="O23" s="62">
        <f t="shared" si="1"/>
        <v>0</v>
      </c>
      <c r="P23" s="62">
        <v>1</v>
      </c>
      <c r="Q23" s="64">
        <v>0</v>
      </c>
      <c r="R23" s="65">
        <v>0</v>
      </c>
      <c r="S23" s="2">
        <f t="shared" si="2"/>
        <v>0</v>
      </c>
      <c r="T23" s="63">
        <f t="shared" si="4"/>
        <v>0</v>
      </c>
      <c r="U23" s="62"/>
      <c r="V23" s="62"/>
      <c r="W23" s="62"/>
      <c r="X23" s="60"/>
      <c r="Y23" s="66"/>
    </row>
    <row r="24" spans="1:25" x14ac:dyDescent="0.25">
      <c r="A24" s="4">
        <v>22</v>
      </c>
      <c r="B24" s="1" t="s">
        <v>23</v>
      </c>
      <c r="C24" s="35" t="s">
        <v>376</v>
      </c>
      <c r="D24" s="5" t="s">
        <v>272</v>
      </c>
      <c r="E24" s="5" t="s">
        <v>375</v>
      </c>
      <c r="F24" s="5" t="s">
        <v>62</v>
      </c>
      <c r="G24" s="8" t="s">
        <v>408</v>
      </c>
      <c r="H24" s="1" t="s">
        <v>23</v>
      </c>
      <c r="I24" s="11" t="s">
        <v>35</v>
      </c>
      <c r="J24" s="2">
        <v>4.0000000000000001E-3</v>
      </c>
      <c r="K24" s="1">
        <v>500</v>
      </c>
      <c r="L24" s="1">
        <v>2</v>
      </c>
      <c r="N24" s="1">
        <f t="shared" si="0"/>
        <v>4</v>
      </c>
      <c r="O24" s="1">
        <f t="shared" si="1"/>
        <v>0</v>
      </c>
      <c r="P24" s="1">
        <v>2</v>
      </c>
      <c r="Q24" s="3">
        <v>0.1</v>
      </c>
      <c r="R24" s="14">
        <v>1000</v>
      </c>
      <c r="S24" s="2">
        <f t="shared" si="2"/>
        <v>8.8000000000000005E-3</v>
      </c>
      <c r="T24" s="2">
        <f t="shared" si="4"/>
        <v>4</v>
      </c>
      <c r="U24" s="1" t="s">
        <v>20</v>
      </c>
      <c r="W24" s="10"/>
    </row>
    <row r="25" spans="1:25" x14ac:dyDescent="0.25">
      <c r="A25" s="4">
        <v>23</v>
      </c>
      <c r="C25" s="35" t="s">
        <v>390</v>
      </c>
      <c r="D25" s="5" t="s">
        <v>391</v>
      </c>
      <c r="E25" s="5" t="s">
        <v>392</v>
      </c>
      <c r="F25" s="5" t="s">
        <v>406</v>
      </c>
      <c r="G25" s="8" t="s">
        <v>407</v>
      </c>
      <c r="H25" s="1" t="s">
        <v>23</v>
      </c>
      <c r="I25" s="11" t="s">
        <v>221</v>
      </c>
      <c r="J25" s="2">
        <v>2.8000000000000001E-2</v>
      </c>
      <c r="K25" s="1">
        <v>100</v>
      </c>
      <c r="L25" s="1">
        <v>2</v>
      </c>
      <c r="N25" s="1">
        <f t="shared" si="0"/>
        <v>2</v>
      </c>
      <c r="O25" s="1">
        <f t="shared" si="1"/>
        <v>0</v>
      </c>
      <c r="P25" s="1">
        <v>1</v>
      </c>
      <c r="Q25" s="3">
        <v>0.1</v>
      </c>
      <c r="R25" s="14">
        <v>500</v>
      </c>
      <c r="S25" s="2">
        <f t="shared" si="2"/>
        <v>3.0800000000000004E-2</v>
      </c>
      <c r="T25" s="2">
        <f t="shared" si="4"/>
        <v>14</v>
      </c>
      <c r="U25" s="1" t="s">
        <v>401</v>
      </c>
    </row>
    <row r="26" spans="1:25" x14ac:dyDescent="0.25">
      <c r="A26" s="4">
        <v>24</v>
      </c>
      <c r="C26" s="35" t="s">
        <v>383</v>
      </c>
      <c r="D26" s="5" t="s">
        <v>384</v>
      </c>
      <c r="E26" s="19" t="s">
        <v>385</v>
      </c>
      <c r="F26" s="5" t="s">
        <v>69</v>
      </c>
      <c r="G26" s="8" t="s">
        <v>409</v>
      </c>
      <c r="H26" s="1" t="s">
        <v>23</v>
      </c>
      <c r="I26" s="11" t="s">
        <v>35</v>
      </c>
      <c r="J26" s="2">
        <v>3.0000000000000001E-3</v>
      </c>
      <c r="K26" s="1">
        <v>100</v>
      </c>
      <c r="L26" s="1">
        <v>2</v>
      </c>
      <c r="N26" s="1">
        <f t="shared" si="0"/>
        <v>8</v>
      </c>
      <c r="O26" s="1">
        <f t="shared" si="1"/>
        <v>0</v>
      </c>
      <c r="P26" s="1">
        <v>4</v>
      </c>
      <c r="Q26" s="3">
        <v>0.1</v>
      </c>
      <c r="R26" s="14">
        <v>2000</v>
      </c>
      <c r="S26" s="2">
        <f t="shared" si="2"/>
        <v>1.3200000000000002E-2</v>
      </c>
      <c r="T26" s="2">
        <f t="shared" si="4"/>
        <v>6</v>
      </c>
      <c r="U26" s="1" t="s">
        <v>20</v>
      </c>
      <c r="W26" s="10"/>
      <c r="Y26" s="20"/>
    </row>
    <row r="27" spans="1:25" x14ac:dyDescent="0.25">
      <c r="A27" s="4">
        <v>25</v>
      </c>
      <c r="C27" s="35" t="s">
        <v>421</v>
      </c>
      <c r="D27" s="5" t="s">
        <v>422</v>
      </c>
      <c r="E27" s="5" t="s">
        <v>450</v>
      </c>
      <c r="F27" s="5" t="s">
        <v>452</v>
      </c>
      <c r="G27" s="28" t="s">
        <v>453</v>
      </c>
      <c r="H27" s="1" t="s">
        <v>23</v>
      </c>
      <c r="I27" s="11" t="s">
        <v>35</v>
      </c>
      <c r="J27" s="2">
        <v>2.5999999999999999E-2</v>
      </c>
      <c r="K27" s="1">
        <v>100</v>
      </c>
      <c r="L27" s="1">
        <v>2</v>
      </c>
      <c r="N27" s="1">
        <f t="shared" si="0"/>
        <v>2</v>
      </c>
      <c r="O27" s="1">
        <f t="shared" si="1"/>
        <v>0</v>
      </c>
      <c r="P27" s="1">
        <v>1</v>
      </c>
      <c r="Q27" s="3">
        <v>0.1</v>
      </c>
      <c r="R27" s="14">
        <v>500</v>
      </c>
      <c r="S27" s="2">
        <f t="shared" si="2"/>
        <v>2.86E-2</v>
      </c>
      <c r="T27" s="2">
        <f t="shared" si="4"/>
        <v>13</v>
      </c>
      <c r="U27" s="1" t="s">
        <v>20</v>
      </c>
    </row>
    <row r="28" spans="1:25" x14ac:dyDescent="0.25">
      <c r="A28" s="4">
        <v>26</v>
      </c>
      <c r="C28" s="35" t="s">
        <v>442</v>
      </c>
      <c r="D28" s="5" t="s">
        <v>443</v>
      </c>
      <c r="E28" s="5" t="s">
        <v>444</v>
      </c>
      <c r="F28" s="19" t="s">
        <v>454</v>
      </c>
      <c r="G28" s="9" t="s">
        <v>455</v>
      </c>
      <c r="H28" s="1" t="s">
        <v>23</v>
      </c>
      <c r="I28" s="11" t="s">
        <v>35</v>
      </c>
      <c r="J28" s="2">
        <v>5.0000000000000001E-3</v>
      </c>
      <c r="K28" s="1">
        <v>100</v>
      </c>
      <c r="N28" s="1">
        <f t="shared" si="0"/>
        <v>0</v>
      </c>
      <c r="O28" s="1">
        <f t="shared" si="1"/>
        <v>0</v>
      </c>
      <c r="P28" s="1">
        <v>2</v>
      </c>
      <c r="Q28" s="3">
        <v>0.1</v>
      </c>
      <c r="R28" s="14">
        <v>500</v>
      </c>
      <c r="S28" s="2">
        <f t="shared" si="2"/>
        <v>1.1000000000000001E-2</v>
      </c>
      <c r="T28" s="2">
        <f t="shared" si="4"/>
        <v>2.5</v>
      </c>
      <c r="U28" s="1" t="s">
        <v>20</v>
      </c>
    </row>
    <row r="29" spans="1:25" x14ac:dyDescent="0.25">
      <c r="A29" s="4">
        <v>27</v>
      </c>
      <c r="C29" s="36" t="s">
        <v>244</v>
      </c>
      <c r="D29" s="5" t="s">
        <v>388</v>
      </c>
      <c r="E29" s="5" t="s">
        <v>389</v>
      </c>
      <c r="F29" s="5" t="s">
        <v>69</v>
      </c>
      <c r="G29" s="8" t="s">
        <v>471</v>
      </c>
      <c r="H29" s="1" t="s">
        <v>23</v>
      </c>
      <c r="I29" s="11" t="s">
        <v>221</v>
      </c>
      <c r="J29" s="2">
        <v>6.7000000000000004E-2</v>
      </c>
      <c r="K29" s="1">
        <v>100</v>
      </c>
      <c r="L29" s="1">
        <v>2</v>
      </c>
      <c r="N29" s="1">
        <f t="shared" si="0"/>
        <v>2</v>
      </c>
      <c r="O29" s="1">
        <f t="shared" si="1"/>
        <v>0</v>
      </c>
      <c r="P29" s="1">
        <v>1</v>
      </c>
      <c r="Q29" s="3">
        <v>0.1</v>
      </c>
      <c r="R29" s="14">
        <v>500</v>
      </c>
      <c r="S29" s="2">
        <f t="shared" si="2"/>
        <v>7.3700000000000015E-2</v>
      </c>
      <c r="T29" s="2">
        <f t="shared" si="4"/>
        <v>33.5</v>
      </c>
      <c r="U29" s="1" t="s">
        <v>20</v>
      </c>
      <c r="W29" s="10"/>
    </row>
    <row r="30" spans="1:25" x14ac:dyDescent="0.25">
      <c r="A30" s="4">
        <v>28</v>
      </c>
      <c r="C30" s="35" t="s">
        <v>245</v>
      </c>
      <c r="D30" s="5" t="s">
        <v>354</v>
      </c>
      <c r="E30" s="5" t="s">
        <v>355</v>
      </c>
      <c r="F30" s="5" t="s">
        <v>356</v>
      </c>
      <c r="G30" s="8" t="s">
        <v>357</v>
      </c>
      <c r="H30" s="1" t="s">
        <v>23</v>
      </c>
      <c r="I30" s="11" t="s">
        <v>358</v>
      </c>
      <c r="J30" s="2">
        <v>0.18778</v>
      </c>
      <c r="K30" s="1">
        <v>500</v>
      </c>
      <c r="M30" s="1">
        <v>5</v>
      </c>
      <c r="N30" s="1">
        <f t="shared" si="0"/>
        <v>0</v>
      </c>
      <c r="O30" s="1">
        <f t="shared" si="1"/>
        <v>5</v>
      </c>
      <c r="P30" s="1">
        <v>1</v>
      </c>
      <c r="Q30" s="3">
        <v>0.1</v>
      </c>
      <c r="R30" s="14">
        <v>500</v>
      </c>
      <c r="S30" s="2">
        <f t="shared" si="2"/>
        <v>0.20655800000000002</v>
      </c>
      <c r="T30" s="2">
        <f t="shared" si="4"/>
        <v>93.89</v>
      </c>
      <c r="U30" s="1" t="s">
        <v>20</v>
      </c>
      <c r="W30" s="10"/>
      <c r="Y30" s="22"/>
    </row>
    <row r="31" spans="1:25" x14ac:dyDescent="0.25">
      <c r="A31" s="4">
        <v>29</v>
      </c>
      <c r="C31" s="35" t="s">
        <v>361</v>
      </c>
      <c r="D31" s="5" t="s">
        <v>427</v>
      </c>
      <c r="E31" s="5" t="s">
        <v>456</v>
      </c>
      <c r="F31" s="5" t="s">
        <v>457</v>
      </c>
      <c r="G31" s="8" t="s">
        <v>458</v>
      </c>
      <c r="H31" s="1" t="s">
        <v>18</v>
      </c>
      <c r="I31" s="11" t="s">
        <v>459</v>
      </c>
      <c r="J31" s="2">
        <v>0.16500000000000001</v>
      </c>
      <c r="K31" s="1">
        <v>1000</v>
      </c>
      <c r="L31" s="1">
        <v>4</v>
      </c>
      <c r="N31" s="1">
        <f t="shared" si="0"/>
        <v>16</v>
      </c>
      <c r="O31" s="1">
        <f t="shared" si="1"/>
        <v>0</v>
      </c>
      <c r="P31" s="1">
        <v>4</v>
      </c>
      <c r="Q31" s="3">
        <v>0.1</v>
      </c>
      <c r="R31" s="14">
        <v>2000</v>
      </c>
      <c r="S31" s="2">
        <f t="shared" si="2"/>
        <v>0.72600000000000009</v>
      </c>
      <c r="T31" s="2">
        <f t="shared" si="4"/>
        <v>330</v>
      </c>
      <c r="U31" s="1" t="s">
        <v>401</v>
      </c>
    </row>
    <row r="32" spans="1:25" x14ac:dyDescent="0.25">
      <c r="A32" s="4">
        <v>30</v>
      </c>
      <c r="C32" s="35" t="s">
        <v>192</v>
      </c>
      <c r="D32" s="5" t="s">
        <v>335</v>
      </c>
      <c r="F32" s="5" t="s">
        <v>193</v>
      </c>
      <c r="G32" s="8" t="s">
        <v>410</v>
      </c>
      <c r="H32" s="1" t="s">
        <v>18</v>
      </c>
      <c r="I32" s="1" t="s">
        <v>352</v>
      </c>
      <c r="J32" s="2">
        <v>2.4300000000000002</v>
      </c>
      <c r="K32" s="1">
        <v>500</v>
      </c>
      <c r="L32" s="1">
        <v>64</v>
      </c>
      <c r="N32" s="1">
        <f t="shared" si="0"/>
        <v>64</v>
      </c>
      <c r="O32" s="1">
        <f t="shared" si="1"/>
        <v>0</v>
      </c>
      <c r="P32" s="1">
        <v>1</v>
      </c>
      <c r="Q32" s="3">
        <v>0.1</v>
      </c>
      <c r="R32" s="14">
        <v>475</v>
      </c>
      <c r="S32" s="2">
        <f t="shared" si="2"/>
        <v>2.6730000000000005</v>
      </c>
      <c r="T32" s="2">
        <f t="shared" si="4"/>
        <v>1154.25</v>
      </c>
      <c r="U32" s="1" t="s">
        <v>193</v>
      </c>
      <c r="Y32" s="22"/>
    </row>
    <row r="33" spans="1:25" x14ac:dyDescent="0.25">
      <c r="A33" s="4">
        <v>31</v>
      </c>
      <c r="C33" s="35" t="s">
        <v>198</v>
      </c>
      <c r="D33" s="5" t="s">
        <v>334</v>
      </c>
      <c r="F33" s="5" t="s">
        <v>193</v>
      </c>
      <c r="G33" s="1" t="s">
        <v>346</v>
      </c>
      <c r="H33" s="1" t="s">
        <v>18</v>
      </c>
      <c r="I33" s="1" t="s">
        <v>351</v>
      </c>
      <c r="J33" s="2">
        <v>0.88</v>
      </c>
      <c r="K33" s="1">
        <v>500</v>
      </c>
      <c r="L33" s="1">
        <v>48</v>
      </c>
      <c r="N33" s="1">
        <f t="shared" si="0"/>
        <v>48</v>
      </c>
      <c r="O33" s="1">
        <f t="shared" si="1"/>
        <v>0</v>
      </c>
      <c r="P33" s="1">
        <v>1</v>
      </c>
      <c r="Q33" s="3">
        <v>0.1</v>
      </c>
      <c r="R33" s="14">
        <v>475</v>
      </c>
      <c r="S33" s="2">
        <f t="shared" si="2"/>
        <v>0.96800000000000008</v>
      </c>
      <c r="T33" s="2">
        <f t="shared" si="4"/>
        <v>418</v>
      </c>
      <c r="U33" s="1" t="s">
        <v>193</v>
      </c>
    </row>
    <row r="34" spans="1:25" x14ac:dyDescent="0.25">
      <c r="A34" s="4">
        <v>32</v>
      </c>
      <c r="B34" s="4" t="s">
        <v>23</v>
      </c>
      <c r="C34" s="36" t="s">
        <v>248</v>
      </c>
      <c r="D34" s="5" t="s">
        <v>337</v>
      </c>
      <c r="F34" s="5" t="s">
        <v>78</v>
      </c>
      <c r="G34" s="8" t="s">
        <v>149</v>
      </c>
      <c r="H34" s="1" t="s">
        <v>18</v>
      </c>
      <c r="I34" s="11" t="s">
        <v>22</v>
      </c>
      <c r="J34" s="2">
        <v>0.7</v>
      </c>
      <c r="K34" s="1">
        <v>500</v>
      </c>
      <c r="L34" s="1">
        <v>12</v>
      </c>
      <c r="N34" s="1">
        <f t="shared" si="0"/>
        <v>12</v>
      </c>
      <c r="O34" s="1">
        <f t="shared" si="1"/>
        <v>0</v>
      </c>
      <c r="P34" s="1">
        <v>1</v>
      </c>
      <c r="Q34" s="3">
        <v>0.1</v>
      </c>
      <c r="R34" s="14">
        <v>500</v>
      </c>
      <c r="S34" s="2">
        <f t="shared" si="2"/>
        <v>0.77</v>
      </c>
      <c r="T34" s="2">
        <f t="shared" si="4"/>
        <v>350</v>
      </c>
      <c r="U34" s="1" t="s">
        <v>465</v>
      </c>
      <c r="W34" s="10"/>
      <c r="Y34" s="22"/>
    </row>
    <row r="35" spans="1:25" x14ac:dyDescent="0.25">
      <c r="A35" s="4">
        <v>33</v>
      </c>
      <c r="C35" s="35" t="s">
        <v>332</v>
      </c>
      <c r="D35" s="5" t="s">
        <v>80</v>
      </c>
      <c r="F35" s="5" t="s">
        <v>345</v>
      </c>
      <c r="G35" s="8" t="s">
        <v>423</v>
      </c>
      <c r="H35" s="1" t="s">
        <v>18</v>
      </c>
      <c r="I35" s="11" t="s">
        <v>353</v>
      </c>
      <c r="J35" s="2">
        <v>1.9</v>
      </c>
      <c r="K35" s="1">
        <v>500</v>
      </c>
      <c r="L35" s="1">
        <v>48</v>
      </c>
      <c r="N35" s="1">
        <f t="shared" si="0"/>
        <v>48</v>
      </c>
      <c r="O35" s="1">
        <f t="shared" si="1"/>
        <v>0</v>
      </c>
      <c r="P35" s="1">
        <v>1</v>
      </c>
      <c r="Q35" s="3">
        <v>0.1</v>
      </c>
      <c r="R35" s="14">
        <v>500</v>
      </c>
      <c r="S35" s="2">
        <f t="shared" si="2"/>
        <v>2.09</v>
      </c>
      <c r="T35" s="2">
        <f t="shared" si="4"/>
        <v>950</v>
      </c>
      <c r="U35" s="1" t="s">
        <v>465</v>
      </c>
      <c r="W35" s="10"/>
      <c r="Y35" s="22"/>
    </row>
    <row r="36" spans="1:25" x14ac:dyDescent="0.25">
      <c r="A36" s="4">
        <v>34</v>
      </c>
      <c r="C36" s="35" t="s">
        <v>211</v>
      </c>
      <c r="D36" s="5" t="s">
        <v>336</v>
      </c>
      <c r="E36" s="5" t="s">
        <v>213</v>
      </c>
      <c r="F36" s="5" t="s">
        <v>214</v>
      </c>
      <c r="G36" s="8" t="s">
        <v>451</v>
      </c>
      <c r="H36" s="1" t="s">
        <v>18</v>
      </c>
      <c r="I36" s="1" t="s">
        <v>216</v>
      </c>
      <c r="J36" s="2">
        <v>1.9</v>
      </c>
      <c r="K36" s="1">
        <v>100</v>
      </c>
      <c r="L36" s="1">
        <v>8</v>
      </c>
      <c r="N36" s="1">
        <f t="shared" si="0"/>
        <v>8</v>
      </c>
      <c r="O36" s="1">
        <f t="shared" si="1"/>
        <v>0</v>
      </c>
      <c r="P36" s="1">
        <v>1</v>
      </c>
      <c r="Q36" s="3">
        <v>0.05</v>
      </c>
      <c r="R36" s="14">
        <v>480</v>
      </c>
      <c r="S36" s="2">
        <f t="shared" si="2"/>
        <v>1.9949999999999999</v>
      </c>
      <c r="T36" s="2">
        <f t="shared" si="4"/>
        <v>912</v>
      </c>
      <c r="U36" s="1" t="s">
        <v>20</v>
      </c>
      <c r="W36" s="10"/>
    </row>
    <row r="37" spans="1:25" x14ac:dyDescent="0.25">
      <c r="A37" s="4">
        <v>35</v>
      </c>
      <c r="C37" s="35" t="s">
        <v>333</v>
      </c>
      <c r="D37" s="23" t="s">
        <v>342</v>
      </c>
      <c r="E37" s="23" t="s">
        <v>208</v>
      </c>
      <c r="F37" s="5" t="s">
        <v>209</v>
      </c>
      <c r="G37" s="1" t="s">
        <v>210</v>
      </c>
      <c r="H37" s="1" t="s">
        <v>18</v>
      </c>
      <c r="I37" s="11" t="s">
        <v>250</v>
      </c>
      <c r="J37" s="2">
        <v>0.18128</v>
      </c>
      <c r="K37" s="1">
        <v>500</v>
      </c>
      <c r="L37" s="1">
        <v>14</v>
      </c>
      <c r="N37" s="1">
        <f t="shared" si="0"/>
        <v>14</v>
      </c>
      <c r="O37" s="1">
        <f t="shared" si="1"/>
        <v>0</v>
      </c>
      <c r="P37" s="1">
        <v>1</v>
      </c>
      <c r="Q37" s="3">
        <v>0.1</v>
      </c>
      <c r="R37" s="14">
        <v>500</v>
      </c>
      <c r="S37" s="2">
        <f t="shared" si="2"/>
        <v>0.199408</v>
      </c>
      <c r="T37" s="2">
        <f t="shared" si="4"/>
        <v>90.64</v>
      </c>
      <c r="U37" s="1" t="s">
        <v>20</v>
      </c>
      <c r="W37" s="10"/>
      <c r="Y37" s="22"/>
    </row>
    <row r="38" spans="1:25" x14ac:dyDescent="0.25">
      <c r="A38" s="4">
        <v>36</v>
      </c>
      <c r="C38" s="35" t="s">
        <v>344</v>
      </c>
      <c r="D38" s="5" t="s">
        <v>85</v>
      </c>
      <c r="E38" s="5" t="s">
        <v>85</v>
      </c>
      <c r="F38" s="5" t="s">
        <v>86</v>
      </c>
      <c r="G38" s="9" t="s">
        <v>87</v>
      </c>
      <c r="H38" s="1" t="s">
        <v>18</v>
      </c>
      <c r="I38" s="1" t="s">
        <v>88</v>
      </c>
      <c r="J38" s="2">
        <v>0.40200000000000002</v>
      </c>
      <c r="K38" s="1">
        <v>100</v>
      </c>
      <c r="L38" s="1">
        <v>6</v>
      </c>
      <c r="N38" s="1">
        <f t="shared" si="0"/>
        <v>12</v>
      </c>
      <c r="O38" s="1">
        <f t="shared" si="1"/>
        <v>0</v>
      </c>
      <c r="P38" s="1">
        <v>2</v>
      </c>
      <c r="Q38" s="3">
        <v>0.1</v>
      </c>
      <c r="R38" s="14">
        <v>1000</v>
      </c>
      <c r="S38" s="2">
        <f t="shared" si="2"/>
        <v>0.88440000000000007</v>
      </c>
      <c r="T38" s="2">
        <f t="shared" si="4"/>
        <v>402</v>
      </c>
      <c r="U38" s="1" t="s">
        <v>20</v>
      </c>
      <c r="W38" s="29"/>
    </row>
    <row r="39" spans="1:25" x14ac:dyDescent="0.25">
      <c r="A39" s="4">
        <v>37</v>
      </c>
      <c r="C39" s="35" t="s">
        <v>365</v>
      </c>
      <c r="D39" s="5" t="s">
        <v>366</v>
      </c>
      <c r="E39" s="5" t="s">
        <v>367</v>
      </c>
      <c r="F39" s="5" t="s">
        <v>371</v>
      </c>
      <c r="G39" s="8" t="s">
        <v>372</v>
      </c>
      <c r="H39" s="1" t="s">
        <v>23</v>
      </c>
      <c r="I39" s="1" t="s">
        <v>428</v>
      </c>
      <c r="J39" s="2">
        <v>0.39710000000000001</v>
      </c>
      <c r="K39" s="1">
        <v>500</v>
      </c>
      <c r="L39" s="1">
        <v>4</v>
      </c>
      <c r="N39" s="1">
        <f t="shared" si="0"/>
        <v>4</v>
      </c>
      <c r="O39" s="1">
        <f t="shared" si="1"/>
        <v>0</v>
      </c>
      <c r="P39" s="1">
        <v>1</v>
      </c>
      <c r="Q39" s="3">
        <v>0.1</v>
      </c>
      <c r="R39" s="14">
        <v>500</v>
      </c>
      <c r="S39" s="2">
        <f t="shared" si="2"/>
        <v>0.43681000000000003</v>
      </c>
      <c r="T39" s="2">
        <f t="shared" si="4"/>
        <v>198.55</v>
      </c>
      <c r="U39" s="1" t="s">
        <v>20</v>
      </c>
      <c r="W39" s="10"/>
      <c r="Y39" s="22"/>
    </row>
    <row r="41" spans="1:25" x14ac:dyDescent="0.25">
      <c r="C41" s="34"/>
      <c r="D41" s="39"/>
      <c r="E41" s="39" t="s">
        <v>304</v>
      </c>
      <c r="F41" s="5">
        <v>450</v>
      </c>
      <c r="G41" s="1"/>
    </row>
    <row r="42" spans="1:25" x14ac:dyDescent="0.25">
      <c r="C42" s="143" t="s">
        <v>186</v>
      </c>
      <c r="D42" s="143"/>
      <c r="E42" s="143"/>
      <c r="F42" s="5">
        <f>SUM(N3:N40)</f>
        <v>396</v>
      </c>
      <c r="G42" s="1"/>
    </row>
    <row r="43" spans="1:25" x14ac:dyDescent="0.25">
      <c r="C43" s="143" t="s">
        <v>187</v>
      </c>
      <c r="D43" s="143"/>
      <c r="E43" s="143"/>
      <c r="F43" s="5">
        <f>SUM(O3:O40)</f>
        <v>37</v>
      </c>
    </row>
    <row r="44" spans="1:25" x14ac:dyDescent="0.25">
      <c r="C44" s="143" t="s">
        <v>188</v>
      </c>
      <c r="D44" s="143"/>
      <c r="E44" s="143"/>
      <c r="F44" s="5">
        <f>COUNT(A3:A39)-8</f>
        <v>29</v>
      </c>
    </row>
    <row r="45" spans="1:25" x14ac:dyDescent="0.25">
      <c r="C45" s="143" t="s">
        <v>189</v>
      </c>
      <c r="D45" s="143"/>
      <c r="E45" s="143"/>
      <c r="F45" s="5">
        <f>SUM(P3:P40)</f>
        <v>90</v>
      </c>
    </row>
    <row r="46" spans="1:25" x14ac:dyDescent="0.25">
      <c r="C46" s="34"/>
      <c r="D46" s="39"/>
      <c r="E46" s="39" t="s">
        <v>438</v>
      </c>
      <c r="F46" s="57">
        <f>SUM(S3:S39)</f>
        <v>21.959460898989899</v>
      </c>
    </row>
    <row r="47" spans="1:25" x14ac:dyDescent="0.25">
      <c r="E47" s="39" t="s">
        <v>439</v>
      </c>
      <c r="F47" s="56">
        <f>SUM(T3:T39)</f>
        <v>7636.7254545454543</v>
      </c>
    </row>
    <row r="48" spans="1:25" x14ac:dyDescent="0.25">
      <c r="F48" s="70"/>
    </row>
  </sheetData>
  <autoFilter ref="A2:Y39" xr:uid="{00000000-0009-0000-0000-000004000000}">
    <sortState xmlns:xlrd2="http://schemas.microsoft.com/office/spreadsheetml/2017/richdata2" ref="A3:Y39">
      <sortCondition ref="C2:C39"/>
    </sortState>
  </autoFilter>
  <mergeCells count="5">
    <mergeCell ref="A1:Y1"/>
    <mergeCell ref="C42:E42"/>
    <mergeCell ref="C43:E43"/>
    <mergeCell ref="C44:E44"/>
    <mergeCell ref="C45:E45"/>
  </mergeCells>
  <conditionalFormatting sqref="T3:T3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gridLines="1"/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41"/>
  <sheetViews>
    <sheetView zoomScaleNormal="100" zoomScaleSheetLayoutView="115" workbookViewId="0">
      <pane ySplit="2" topLeftCell="A6" activePane="bottomLeft" state="frozen"/>
      <selection pane="bottomLeft" activeCell="D20" sqref="D20:E25"/>
    </sheetView>
  </sheetViews>
  <sheetFormatPr defaultRowHeight="15" x14ac:dyDescent="0.25"/>
  <cols>
    <col min="1" max="2" width="4.85546875" style="4" customWidth="1"/>
    <col min="3" max="3" width="15" style="35" bestFit="1" customWidth="1"/>
    <col min="4" max="4" width="19" style="5" customWidth="1"/>
    <col min="5" max="5" width="21.140625" style="5" customWidth="1"/>
    <col min="6" max="6" width="20" style="5" customWidth="1"/>
    <col min="7" max="7" width="24.85546875" style="8" bestFit="1" customWidth="1"/>
    <col min="8" max="8" width="28.42578125" style="8" customWidth="1"/>
    <col min="9" max="9" width="5.42578125" style="1" customWidth="1"/>
    <col min="10" max="10" width="11.140625" style="1" customWidth="1"/>
    <col min="11" max="11" width="8" style="2" customWidth="1"/>
    <col min="12" max="12" width="6.42578125" style="1" customWidth="1"/>
    <col min="13" max="16" width="5.42578125" style="1" customWidth="1"/>
    <col min="17" max="17" width="5.5703125" style="1" customWidth="1"/>
    <col min="18" max="18" width="10.42578125" style="3" customWidth="1"/>
    <col min="19" max="19" width="7.5703125" style="15" customWidth="1"/>
    <col min="20" max="20" width="9.5703125" style="1" customWidth="1"/>
    <col min="21" max="21" width="10.42578125" style="1" customWidth="1"/>
    <col min="22" max="23" width="10.5703125" style="1" customWidth="1"/>
    <col min="24" max="24" width="12.85546875" style="1" customWidth="1"/>
    <col min="25" max="25" width="33.85546875" style="5" customWidth="1"/>
    <col min="26" max="26" width="9.140625" style="21" customWidth="1"/>
  </cols>
  <sheetData>
    <row r="1" spans="1:26" ht="18.75" x14ac:dyDescent="0.25">
      <c r="A1" s="144" t="s">
        <v>331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</row>
    <row r="2" spans="1:26" s="7" customFormat="1" ht="30" x14ac:dyDescent="0.25">
      <c r="A2" s="7" t="s">
        <v>0</v>
      </c>
      <c r="B2" s="7" t="s">
        <v>324</v>
      </c>
      <c r="C2" s="18" t="s">
        <v>1</v>
      </c>
      <c r="D2" s="18" t="s">
        <v>2</v>
      </c>
      <c r="E2" s="18" t="s">
        <v>3</v>
      </c>
      <c r="F2" s="18" t="s">
        <v>4</v>
      </c>
      <c r="G2" s="16" t="s">
        <v>5</v>
      </c>
      <c r="H2" s="16" t="s">
        <v>100</v>
      </c>
      <c r="I2" s="7" t="s">
        <v>6</v>
      </c>
      <c r="J2" s="7" t="s">
        <v>7</v>
      </c>
      <c r="K2" s="17" t="s">
        <v>8</v>
      </c>
      <c r="L2" s="7" t="s">
        <v>9</v>
      </c>
      <c r="M2" s="7" t="s">
        <v>10</v>
      </c>
      <c r="N2" s="7" t="s">
        <v>163</v>
      </c>
      <c r="O2" s="7" t="s">
        <v>162</v>
      </c>
      <c r="P2" s="7" t="s">
        <v>161</v>
      </c>
      <c r="Q2" s="7" t="s">
        <v>89</v>
      </c>
      <c r="R2" s="6" t="s">
        <v>11</v>
      </c>
      <c r="S2" s="13" t="s">
        <v>12</v>
      </c>
      <c r="T2" s="7" t="s">
        <v>13</v>
      </c>
      <c r="U2" s="7" t="s">
        <v>152</v>
      </c>
      <c r="V2" s="7" t="s">
        <v>14</v>
      </c>
      <c r="W2" s="7" t="s">
        <v>15</v>
      </c>
      <c r="X2" s="7" t="s">
        <v>16</v>
      </c>
      <c r="Y2" s="7" t="s">
        <v>17</v>
      </c>
      <c r="Z2" s="18" t="s">
        <v>98</v>
      </c>
    </row>
    <row r="3" spans="1:26" x14ac:dyDescent="0.25">
      <c r="A3" s="4">
        <v>1</v>
      </c>
      <c r="B3" s="4" t="s">
        <v>23</v>
      </c>
      <c r="C3" s="35" t="s">
        <v>277</v>
      </c>
      <c r="D3" s="5" t="s">
        <v>278</v>
      </c>
      <c r="E3" s="5" t="s">
        <v>279</v>
      </c>
      <c r="F3" s="5" t="s">
        <v>288</v>
      </c>
      <c r="G3" s="8" t="s">
        <v>329</v>
      </c>
      <c r="I3" s="1" t="s">
        <v>18</v>
      </c>
      <c r="J3" s="1" t="s">
        <v>328</v>
      </c>
      <c r="K3" s="2">
        <v>0.436</v>
      </c>
      <c r="L3" s="1">
        <v>100</v>
      </c>
      <c r="M3" s="1">
        <v>2</v>
      </c>
      <c r="N3" s="1">
        <v>0</v>
      </c>
      <c r="O3" s="1">
        <f t="shared" ref="O3:O31" si="0">M3*Q3</f>
        <v>2</v>
      </c>
      <c r="P3" s="1">
        <f t="shared" ref="P3:P32" si="1">N3*Q3</f>
        <v>0</v>
      </c>
      <c r="Q3" s="1">
        <v>1</v>
      </c>
      <c r="R3" s="3">
        <v>0.1</v>
      </c>
      <c r="S3" s="14">
        <v>315</v>
      </c>
      <c r="T3" s="2">
        <f t="shared" ref="T3:T31" si="2">S3*K3/$F$36</f>
        <v>0.48189473684210526</v>
      </c>
      <c r="U3" s="37">
        <f t="shared" ref="U3:U31" si="3">T3*$F$36</f>
        <v>137.34</v>
      </c>
      <c r="Z3" s="22" t="s">
        <v>289</v>
      </c>
    </row>
    <row r="4" spans="1:26" x14ac:dyDescent="0.25">
      <c r="A4" s="4">
        <v>2</v>
      </c>
      <c r="B4" s="4" t="s">
        <v>23</v>
      </c>
      <c r="C4" s="35" t="s">
        <v>275</v>
      </c>
      <c r="D4" s="5" t="s">
        <v>276</v>
      </c>
      <c r="E4" s="5" t="s">
        <v>19</v>
      </c>
      <c r="F4" s="5" t="s">
        <v>319</v>
      </c>
      <c r="G4" s="8" t="s">
        <v>320</v>
      </c>
      <c r="I4" s="1" t="s">
        <v>18</v>
      </c>
      <c r="J4" s="1" t="s">
        <v>19</v>
      </c>
      <c r="L4" s="1">
        <v>2000</v>
      </c>
      <c r="M4" s="1">
        <v>5</v>
      </c>
      <c r="N4" s="1">
        <v>2</v>
      </c>
      <c r="O4" s="1">
        <f t="shared" si="0"/>
        <v>5</v>
      </c>
      <c r="P4" s="1">
        <f t="shared" si="1"/>
        <v>2</v>
      </c>
      <c r="Q4" s="1">
        <v>1</v>
      </c>
      <c r="R4" s="3">
        <v>0.15</v>
      </c>
      <c r="S4" s="14">
        <v>315</v>
      </c>
      <c r="T4" s="2">
        <f t="shared" si="2"/>
        <v>0</v>
      </c>
      <c r="U4" s="37">
        <v>170</v>
      </c>
    </row>
    <row r="5" spans="1:26" x14ac:dyDescent="0.25">
      <c r="A5" s="4">
        <v>3</v>
      </c>
      <c r="B5" s="4" t="s">
        <v>23</v>
      </c>
      <c r="C5" s="36" t="s">
        <v>122</v>
      </c>
      <c r="D5" s="5" t="s">
        <v>27</v>
      </c>
      <c r="E5" s="5" t="s">
        <v>28</v>
      </c>
      <c r="F5" s="5" t="s">
        <v>29</v>
      </c>
      <c r="G5" s="8" t="s">
        <v>30</v>
      </c>
      <c r="I5" s="1" t="s">
        <v>23</v>
      </c>
      <c r="J5" s="11" t="s">
        <v>31</v>
      </c>
      <c r="K5" s="2">
        <v>0.75</v>
      </c>
      <c r="L5" s="1">
        <v>100</v>
      </c>
      <c r="M5" s="1">
        <v>0</v>
      </c>
      <c r="N5" s="1">
        <v>2</v>
      </c>
      <c r="O5" s="1">
        <f t="shared" si="0"/>
        <v>0</v>
      </c>
      <c r="P5" s="1">
        <f t="shared" si="1"/>
        <v>2</v>
      </c>
      <c r="Q5" s="1">
        <v>1</v>
      </c>
      <c r="R5" s="3">
        <v>0.1</v>
      </c>
      <c r="S5" s="14">
        <v>315</v>
      </c>
      <c r="T5" s="2">
        <f t="shared" si="2"/>
        <v>0.82894736842105265</v>
      </c>
      <c r="U5" s="37">
        <f t="shared" si="3"/>
        <v>236.25</v>
      </c>
      <c r="V5" s="1" t="s">
        <v>20</v>
      </c>
      <c r="X5" s="10"/>
      <c r="Z5" s="22" t="s">
        <v>307</v>
      </c>
    </row>
    <row r="6" spans="1:26" x14ac:dyDescent="0.25">
      <c r="A6" s="4">
        <v>4</v>
      </c>
      <c r="B6" s="4" t="s">
        <v>23</v>
      </c>
      <c r="C6" s="35" t="s">
        <v>225</v>
      </c>
      <c r="D6" s="5" t="s">
        <v>270</v>
      </c>
      <c r="E6" s="5" t="s">
        <v>271</v>
      </c>
      <c r="F6" s="5" t="s">
        <v>33</v>
      </c>
      <c r="G6" s="8" t="s">
        <v>290</v>
      </c>
      <c r="I6" s="1" t="s">
        <v>23</v>
      </c>
      <c r="J6" s="11" t="s">
        <v>35</v>
      </c>
      <c r="K6" s="2">
        <v>8.4000000000000005E-2</v>
      </c>
      <c r="L6" s="1">
        <v>100</v>
      </c>
      <c r="M6" s="1">
        <v>2</v>
      </c>
      <c r="N6" s="1">
        <v>0</v>
      </c>
      <c r="O6" s="1">
        <f t="shared" si="0"/>
        <v>4</v>
      </c>
      <c r="P6" s="1">
        <f t="shared" si="1"/>
        <v>0</v>
      </c>
      <c r="Q6" s="1">
        <v>2</v>
      </c>
      <c r="R6" s="3">
        <v>0.1</v>
      </c>
      <c r="S6" s="14">
        <f>Q6*$F$36*(1+R6)</f>
        <v>627</v>
      </c>
      <c r="T6" s="2">
        <f t="shared" si="2"/>
        <v>0.18480000000000002</v>
      </c>
      <c r="U6" s="37">
        <f t="shared" si="3"/>
        <v>52.668000000000006</v>
      </c>
      <c r="X6" s="10"/>
      <c r="Z6" s="22"/>
    </row>
    <row r="7" spans="1:26" x14ac:dyDescent="0.25">
      <c r="A7" s="4">
        <v>5</v>
      </c>
      <c r="B7" s="4" t="s">
        <v>23</v>
      </c>
      <c r="C7" s="35" t="s">
        <v>261</v>
      </c>
      <c r="D7" s="5" t="s">
        <v>251</v>
      </c>
      <c r="E7" s="5" t="s">
        <v>262</v>
      </c>
      <c r="F7" s="5" t="s">
        <v>69</v>
      </c>
      <c r="G7" s="8" t="s">
        <v>325</v>
      </c>
      <c r="I7" s="1" t="s">
        <v>23</v>
      </c>
      <c r="J7" s="11" t="s">
        <v>35</v>
      </c>
      <c r="K7" s="2">
        <v>1.9E-2</v>
      </c>
      <c r="L7" s="1">
        <v>100</v>
      </c>
      <c r="M7" s="1">
        <v>2</v>
      </c>
      <c r="N7" s="1">
        <v>0</v>
      </c>
      <c r="O7" s="1">
        <f t="shared" si="0"/>
        <v>2</v>
      </c>
      <c r="P7" s="1">
        <f t="shared" si="1"/>
        <v>0</v>
      </c>
      <c r="Q7" s="1">
        <v>1</v>
      </c>
      <c r="R7" s="3">
        <v>0.1</v>
      </c>
      <c r="S7" s="14">
        <v>315</v>
      </c>
      <c r="T7" s="2">
        <f t="shared" si="2"/>
        <v>2.0999999999999998E-2</v>
      </c>
      <c r="U7" s="37">
        <f t="shared" si="3"/>
        <v>5.9849999999999994</v>
      </c>
      <c r="X7" s="10"/>
    </row>
    <row r="8" spans="1:26" x14ac:dyDescent="0.25">
      <c r="A8" s="4">
        <v>6</v>
      </c>
      <c r="B8" s="4" t="s">
        <v>23</v>
      </c>
      <c r="C8" s="35" t="s">
        <v>294</v>
      </c>
      <c r="D8" s="5" t="s">
        <v>251</v>
      </c>
      <c r="E8" s="5" t="s">
        <v>252</v>
      </c>
      <c r="F8" s="5" t="s">
        <v>291</v>
      </c>
      <c r="G8" s="8" t="s">
        <v>292</v>
      </c>
      <c r="I8" s="1" t="s">
        <v>23</v>
      </c>
      <c r="J8" s="11" t="s">
        <v>127</v>
      </c>
      <c r="K8" s="2">
        <v>8.0000000000000002E-3</v>
      </c>
      <c r="L8" s="1">
        <v>1000</v>
      </c>
      <c r="M8" s="1">
        <v>2</v>
      </c>
      <c r="N8" s="1">
        <v>0</v>
      </c>
      <c r="O8" s="1">
        <f t="shared" si="0"/>
        <v>14</v>
      </c>
      <c r="P8" s="1">
        <f t="shared" si="1"/>
        <v>0</v>
      </c>
      <c r="Q8" s="1">
        <v>7</v>
      </c>
      <c r="R8" s="3">
        <v>0.05</v>
      </c>
      <c r="S8" s="14">
        <v>2400</v>
      </c>
      <c r="T8" s="2">
        <f t="shared" si="2"/>
        <v>6.7368421052631577E-2</v>
      </c>
      <c r="U8" s="37">
        <f t="shared" si="3"/>
        <v>19.2</v>
      </c>
      <c r="X8" s="10"/>
      <c r="Z8" s="22"/>
    </row>
    <row r="9" spans="1:26" ht="60" x14ac:dyDescent="0.25">
      <c r="A9" s="4">
        <v>7</v>
      </c>
      <c r="B9" s="4" t="s">
        <v>23</v>
      </c>
      <c r="C9" s="35" t="s">
        <v>295</v>
      </c>
      <c r="D9" s="5" t="s">
        <v>251</v>
      </c>
      <c r="E9" s="5" t="s">
        <v>252</v>
      </c>
      <c r="F9" s="5" t="s">
        <v>69</v>
      </c>
      <c r="G9" s="8" t="s">
        <v>293</v>
      </c>
      <c r="I9" s="1" t="s">
        <v>23</v>
      </c>
      <c r="J9" s="11" t="s">
        <v>35</v>
      </c>
      <c r="K9" s="2">
        <v>4.0000000000000001E-3</v>
      </c>
      <c r="L9" s="1">
        <v>100</v>
      </c>
      <c r="M9" s="1">
        <v>2</v>
      </c>
      <c r="N9" s="1">
        <v>0</v>
      </c>
      <c r="O9" s="1">
        <f t="shared" si="0"/>
        <v>24</v>
      </c>
      <c r="P9" s="1">
        <f t="shared" si="1"/>
        <v>0</v>
      </c>
      <c r="Q9" s="1">
        <v>12</v>
      </c>
      <c r="R9" s="3">
        <v>0.1</v>
      </c>
      <c r="S9" s="14">
        <v>3750</v>
      </c>
      <c r="T9" s="2">
        <f t="shared" si="2"/>
        <v>5.2631578947368418E-2</v>
      </c>
      <c r="U9" s="37">
        <f t="shared" si="3"/>
        <v>15</v>
      </c>
      <c r="X9" s="10"/>
      <c r="Z9" s="22"/>
    </row>
    <row r="10" spans="1:26" x14ac:dyDescent="0.25">
      <c r="A10" s="4">
        <v>8</v>
      </c>
      <c r="B10" s="4" t="s">
        <v>23</v>
      </c>
      <c r="C10" s="35" t="s">
        <v>255</v>
      </c>
      <c r="D10" s="5" t="s">
        <v>254</v>
      </c>
      <c r="E10" s="5" t="s">
        <v>253</v>
      </c>
      <c r="F10" s="5" t="s">
        <v>33</v>
      </c>
      <c r="G10" s="8" t="s">
        <v>296</v>
      </c>
      <c r="I10" s="1" t="s">
        <v>23</v>
      </c>
      <c r="J10" s="11" t="s">
        <v>35</v>
      </c>
      <c r="K10" s="2">
        <v>4.1000000000000002E-2</v>
      </c>
      <c r="L10" s="1">
        <v>100</v>
      </c>
      <c r="M10" s="1">
        <v>2</v>
      </c>
      <c r="N10" s="1">
        <v>0</v>
      </c>
      <c r="O10" s="1">
        <f t="shared" si="0"/>
        <v>4</v>
      </c>
      <c r="P10" s="1">
        <f t="shared" si="1"/>
        <v>0</v>
      </c>
      <c r="Q10" s="1">
        <v>2</v>
      </c>
      <c r="R10" s="3">
        <v>0.1</v>
      </c>
      <c r="S10" s="14">
        <v>630</v>
      </c>
      <c r="T10" s="2">
        <f t="shared" si="2"/>
        <v>9.0631578947368424E-2</v>
      </c>
      <c r="U10" s="37">
        <f t="shared" si="3"/>
        <v>25.830000000000002</v>
      </c>
      <c r="X10" s="29"/>
    </row>
    <row r="11" spans="1:26" ht="30" x14ac:dyDescent="0.25">
      <c r="A11" s="4">
        <v>9</v>
      </c>
      <c r="B11" s="4" t="s">
        <v>23</v>
      </c>
      <c r="C11" s="35" t="s">
        <v>287</v>
      </c>
      <c r="D11" s="5" t="s">
        <v>309</v>
      </c>
      <c r="E11" s="5" t="s">
        <v>19</v>
      </c>
      <c r="F11" s="5" t="s">
        <v>317</v>
      </c>
      <c r="G11" s="8" t="s">
        <v>318</v>
      </c>
      <c r="I11" s="1" t="s">
        <v>18</v>
      </c>
      <c r="J11" s="11" t="s">
        <v>308</v>
      </c>
      <c r="K11" s="2">
        <v>3.2000000000000001E-2</v>
      </c>
      <c r="L11" s="1">
        <v>20000</v>
      </c>
      <c r="M11" s="1">
        <v>4</v>
      </c>
      <c r="N11" s="1">
        <v>0</v>
      </c>
      <c r="O11" s="1">
        <f t="shared" si="0"/>
        <v>292</v>
      </c>
      <c r="P11" s="1">
        <f t="shared" si="1"/>
        <v>0</v>
      </c>
      <c r="Q11" s="1">
        <v>73</v>
      </c>
      <c r="R11" s="3">
        <f>1-(Q11*$F$36)/S11</f>
        <v>0.25696428571428576</v>
      </c>
      <c r="S11" s="14">
        <v>28000</v>
      </c>
      <c r="T11" s="2">
        <f t="shared" si="2"/>
        <v>3.143859649122807</v>
      </c>
      <c r="U11" s="37">
        <f t="shared" si="3"/>
        <v>896</v>
      </c>
    </row>
    <row r="12" spans="1:26" x14ac:dyDescent="0.25">
      <c r="A12" s="4">
        <v>10</v>
      </c>
      <c r="B12" s="4" t="s">
        <v>23</v>
      </c>
      <c r="C12" s="35" t="s">
        <v>266</v>
      </c>
      <c r="D12" s="5" t="s">
        <v>55</v>
      </c>
      <c r="E12" s="5" t="s">
        <v>267</v>
      </c>
      <c r="F12" s="5" t="s">
        <v>57</v>
      </c>
      <c r="G12" s="8" t="s">
        <v>58</v>
      </c>
      <c r="I12" s="1" t="s">
        <v>23</v>
      </c>
      <c r="J12" s="1" t="s">
        <v>59</v>
      </c>
      <c r="K12" s="2">
        <v>0.19800000000000001</v>
      </c>
      <c r="L12" s="1">
        <v>100</v>
      </c>
      <c r="M12" s="1">
        <v>6</v>
      </c>
      <c r="N12" s="1">
        <v>0</v>
      </c>
      <c r="O12" s="1">
        <f t="shared" si="0"/>
        <v>12</v>
      </c>
      <c r="P12" s="1">
        <f t="shared" si="1"/>
        <v>0</v>
      </c>
      <c r="Q12" s="1">
        <v>2</v>
      </c>
      <c r="R12" s="3">
        <v>0.1</v>
      </c>
      <c r="S12" s="14">
        <f t="shared" ref="S12:S17" si="4">Q12*$F$36*(1+R12)</f>
        <v>627</v>
      </c>
      <c r="T12" s="2">
        <f t="shared" si="2"/>
        <v>0.43559999999999999</v>
      </c>
      <c r="U12" s="37">
        <f t="shared" si="3"/>
        <v>124.146</v>
      </c>
      <c r="X12" s="10"/>
    </row>
    <row r="13" spans="1:26" x14ac:dyDescent="0.25">
      <c r="A13" s="4">
        <v>11</v>
      </c>
      <c r="B13" s="4" t="s">
        <v>23</v>
      </c>
      <c r="C13" s="35" t="s">
        <v>199</v>
      </c>
      <c r="D13" s="5" t="s">
        <v>202</v>
      </c>
      <c r="E13" s="5" t="s">
        <v>200</v>
      </c>
      <c r="F13" s="5" t="s">
        <v>33</v>
      </c>
      <c r="G13" s="8" t="s">
        <v>201</v>
      </c>
      <c r="I13" s="1" t="s">
        <v>23</v>
      </c>
      <c r="J13" s="11" t="s">
        <v>35</v>
      </c>
      <c r="K13" s="2">
        <v>8.6099999999999996E-2</v>
      </c>
      <c r="L13" s="1">
        <v>250</v>
      </c>
      <c r="M13" s="1">
        <v>2</v>
      </c>
      <c r="N13" s="1">
        <v>0</v>
      </c>
      <c r="O13" s="1">
        <f t="shared" si="0"/>
        <v>2</v>
      </c>
      <c r="P13" s="1">
        <f t="shared" si="1"/>
        <v>0</v>
      </c>
      <c r="Q13" s="1">
        <v>1</v>
      </c>
      <c r="R13" s="3">
        <v>0.1</v>
      </c>
      <c r="S13" s="14">
        <v>315</v>
      </c>
      <c r="T13" s="2">
        <f t="shared" si="2"/>
        <v>9.5163157894736838E-2</v>
      </c>
      <c r="U13" s="37">
        <f t="shared" si="3"/>
        <v>27.121499999999997</v>
      </c>
      <c r="X13" s="10"/>
      <c r="Z13" s="22" t="s">
        <v>222</v>
      </c>
    </row>
    <row r="14" spans="1:26" x14ac:dyDescent="0.25">
      <c r="A14" s="4">
        <v>12</v>
      </c>
      <c r="B14" s="4" t="s">
        <v>23</v>
      </c>
      <c r="C14" s="35" t="s">
        <v>223</v>
      </c>
      <c r="D14" s="5" t="s">
        <v>224</v>
      </c>
      <c r="E14" s="12" t="s">
        <v>327</v>
      </c>
      <c r="F14" s="5" t="s">
        <v>62</v>
      </c>
      <c r="G14" s="8" t="s">
        <v>249</v>
      </c>
      <c r="I14" s="1" t="s">
        <v>23</v>
      </c>
      <c r="J14" s="11" t="s">
        <v>221</v>
      </c>
      <c r="K14" s="2">
        <v>5.5E-2</v>
      </c>
      <c r="L14" s="1">
        <v>100</v>
      </c>
      <c r="M14" s="1">
        <v>2</v>
      </c>
      <c r="N14" s="1">
        <v>0</v>
      </c>
      <c r="O14" s="1">
        <f t="shared" si="0"/>
        <v>2</v>
      </c>
      <c r="P14" s="1">
        <f t="shared" si="1"/>
        <v>0</v>
      </c>
      <c r="Q14" s="1">
        <v>1</v>
      </c>
      <c r="R14" s="3">
        <v>0.1</v>
      </c>
      <c r="S14" s="14">
        <v>315</v>
      </c>
      <c r="T14" s="2">
        <f t="shared" si="2"/>
        <v>6.0789473684210525E-2</v>
      </c>
      <c r="U14" s="37">
        <f t="shared" si="3"/>
        <v>17.324999999999999</v>
      </c>
      <c r="X14" s="10"/>
      <c r="Z14" s="22"/>
    </row>
    <row r="15" spans="1:26" x14ac:dyDescent="0.25">
      <c r="A15" s="4">
        <v>13</v>
      </c>
      <c r="B15" s="4" t="s">
        <v>23</v>
      </c>
      <c r="C15" s="35" t="s">
        <v>203</v>
      </c>
      <c r="D15" s="5" t="s">
        <v>204</v>
      </c>
      <c r="E15" s="5" t="s">
        <v>205</v>
      </c>
      <c r="F15" s="5" t="s">
        <v>62</v>
      </c>
      <c r="G15" s="8" t="s">
        <v>220</v>
      </c>
      <c r="I15" s="1" t="s">
        <v>23</v>
      </c>
      <c r="J15" s="11" t="s">
        <v>221</v>
      </c>
      <c r="K15" s="2">
        <v>6.0999999999999999E-2</v>
      </c>
      <c r="L15" s="1">
        <v>100</v>
      </c>
      <c r="M15" s="1">
        <v>2</v>
      </c>
      <c r="N15" s="1">
        <v>0</v>
      </c>
      <c r="O15" s="1">
        <f t="shared" si="0"/>
        <v>2</v>
      </c>
      <c r="P15" s="1">
        <f t="shared" si="1"/>
        <v>0</v>
      </c>
      <c r="Q15" s="1">
        <v>1</v>
      </c>
      <c r="R15" s="3">
        <v>0.1</v>
      </c>
      <c r="S15" s="14">
        <v>315</v>
      </c>
      <c r="T15" s="2">
        <f t="shared" si="2"/>
        <v>6.7421052631578951E-2</v>
      </c>
      <c r="U15" s="37">
        <f t="shared" si="3"/>
        <v>19.215</v>
      </c>
      <c r="X15" s="10"/>
    </row>
    <row r="16" spans="1:26" x14ac:dyDescent="0.25">
      <c r="A16" s="4">
        <v>14</v>
      </c>
      <c r="B16" s="4" t="s">
        <v>23</v>
      </c>
      <c r="C16" s="35" t="s">
        <v>300</v>
      </c>
      <c r="D16" s="5" t="s">
        <v>175</v>
      </c>
      <c r="E16" s="5" t="s">
        <v>175</v>
      </c>
      <c r="F16" s="5" t="s">
        <v>175</v>
      </c>
      <c r="G16" s="1" t="s">
        <v>175</v>
      </c>
      <c r="I16" s="1" t="s">
        <v>23</v>
      </c>
      <c r="J16" s="1" t="s">
        <v>19</v>
      </c>
      <c r="K16" s="2">
        <v>0</v>
      </c>
      <c r="L16" s="1">
        <v>0</v>
      </c>
      <c r="M16" s="1">
        <v>0</v>
      </c>
      <c r="N16" s="1">
        <v>0</v>
      </c>
      <c r="O16" s="1">
        <f t="shared" si="0"/>
        <v>0</v>
      </c>
      <c r="P16" s="1">
        <f t="shared" si="1"/>
        <v>0</v>
      </c>
      <c r="Q16" s="1">
        <v>0</v>
      </c>
      <c r="R16" s="3">
        <v>0</v>
      </c>
      <c r="S16" s="14">
        <f t="shared" si="4"/>
        <v>0</v>
      </c>
      <c r="T16" s="2">
        <f t="shared" si="2"/>
        <v>0</v>
      </c>
      <c r="U16" s="37">
        <f t="shared" si="3"/>
        <v>0</v>
      </c>
    </row>
    <row r="17" spans="1:26" x14ac:dyDescent="0.25">
      <c r="A17" s="4">
        <v>15</v>
      </c>
      <c r="B17" s="4" t="s">
        <v>23</v>
      </c>
      <c r="C17" s="35" t="s">
        <v>263</v>
      </c>
      <c r="D17" s="5" t="s">
        <v>264</v>
      </c>
      <c r="E17" s="5" t="s">
        <v>265</v>
      </c>
      <c r="F17" s="5" t="s">
        <v>297</v>
      </c>
      <c r="G17" s="8" t="s">
        <v>298</v>
      </c>
      <c r="I17" s="1" t="s">
        <v>18</v>
      </c>
      <c r="J17" s="1" t="s">
        <v>299</v>
      </c>
      <c r="K17" s="2">
        <v>0.24</v>
      </c>
      <c r="L17" s="1">
        <v>1000</v>
      </c>
      <c r="M17" s="1">
        <v>6</v>
      </c>
      <c r="N17" s="1">
        <v>0</v>
      </c>
      <c r="O17" s="1">
        <f t="shared" si="0"/>
        <v>24</v>
      </c>
      <c r="P17" s="1">
        <f t="shared" si="1"/>
        <v>0</v>
      </c>
      <c r="Q17" s="1">
        <v>4</v>
      </c>
      <c r="R17" s="3">
        <v>0.1</v>
      </c>
      <c r="S17" s="14">
        <f t="shared" si="4"/>
        <v>1254</v>
      </c>
      <c r="T17" s="2">
        <f t="shared" si="2"/>
        <v>1.0559999999999998</v>
      </c>
      <c r="U17" s="37">
        <f t="shared" si="3"/>
        <v>300.95999999999992</v>
      </c>
      <c r="X17" s="10"/>
      <c r="Z17" s="22"/>
    </row>
    <row r="18" spans="1:26" x14ac:dyDescent="0.25">
      <c r="A18" s="4">
        <v>16</v>
      </c>
      <c r="B18" s="4" t="s">
        <v>23</v>
      </c>
      <c r="C18" s="35" t="s">
        <v>237</v>
      </c>
      <c r="D18" s="5" t="s">
        <v>96</v>
      </c>
      <c r="E18" s="5" t="s">
        <v>273</v>
      </c>
      <c r="F18" s="5" t="s">
        <v>170</v>
      </c>
      <c r="G18" s="8" t="s">
        <v>169</v>
      </c>
      <c r="I18" s="1" t="s">
        <v>18</v>
      </c>
      <c r="J18" s="1" t="s">
        <v>19</v>
      </c>
      <c r="K18" s="2">
        <v>0.23599999999999999</v>
      </c>
      <c r="L18" s="1">
        <v>100</v>
      </c>
      <c r="M18" s="1">
        <v>2</v>
      </c>
      <c r="N18" s="1">
        <v>0</v>
      </c>
      <c r="O18" s="1">
        <f t="shared" si="0"/>
        <v>2</v>
      </c>
      <c r="P18" s="1">
        <f t="shared" si="1"/>
        <v>0</v>
      </c>
      <c r="Q18" s="1">
        <v>1</v>
      </c>
      <c r="R18" s="3">
        <v>0.1</v>
      </c>
      <c r="S18" s="14">
        <v>315</v>
      </c>
      <c r="T18" s="2">
        <f t="shared" si="2"/>
        <v>0.26084210526315788</v>
      </c>
      <c r="U18" s="37">
        <f t="shared" si="3"/>
        <v>74.339999999999989</v>
      </c>
    </row>
    <row r="19" spans="1:26" x14ac:dyDescent="0.25">
      <c r="A19" s="4">
        <v>17</v>
      </c>
      <c r="B19" s="4" t="s">
        <v>23</v>
      </c>
      <c r="C19" s="35" t="s">
        <v>284</v>
      </c>
      <c r="D19" s="5" t="s">
        <v>280</v>
      </c>
      <c r="E19" s="5" t="s">
        <v>133</v>
      </c>
      <c r="F19" s="5" t="s">
        <v>134</v>
      </c>
      <c r="G19" s="8" t="s">
        <v>136</v>
      </c>
      <c r="J19" s="1" t="s">
        <v>59</v>
      </c>
      <c r="K19" s="2">
        <v>7.0999999999999994E-2</v>
      </c>
      <c r="L19" s="1">
        <v>3000</v>
      </c>
      <c r="M19" s="1">
        <v>6</v>
      </c>
      <c r="N19" s="1">
        <v>0</v>
      </c>
      <c r="O19" s="1">
        <f t="shared" si="0"/>
        <v>48</v>
      </c>
      <c r="P19" s="1">
        <f t="shared" si="1"/>
        <v>0</v>
      </c>
      <c r="Q19" s="1">
        <v>8</v>
      </c>
      <c r="R19" s="3">
        <f>S19/(Q19*$F$36)-1</f>
        <v>9.6491228070175517E-2</v>
      </c>
      <c r="S19" s="14">
        <v>2500</v>
      </c>
      <c r="T19" s="2">
        <f t="shared" si="2"/>
        <v>0.62280701754385959</v>
      </c>
      <c r="U19" s="37">
        <f t="shared" si="3"/>
        <v>177.49999999999997</v>
      </c>
    </row>
    <row r="20" spans="1:26" x14ac:dyDescent="0.25">
      <c r="A20" s="4">
        <v>18</v>
      </c>
      <c r="B20" s="4" t="s">
        <v>23</v>
      </c>
      <c r="C20" s="35" t="s">
        <v>256</v>
      </c>
      <c r="D20" s="5" t="s">
        <v>257</v>
      </c>
      <c r="E20" s="5" t="s">
        <v>258</v>
      </c>
      <c r="F20" s="5" t="s">
        <v>141</v>
      </c>
      <c r="G20" s="8" t="s">
        <v>301</v>
      </c>
      <c r="I20" s="1" t="s">
        <v>23</v>
      </c>
      <c r="J20" s="11" t="s">
        <v>127</v>
      </c>
      <c r="K20" s="2">
        <v>5.0000000000000001E-3</v>
      </c>
      <c r="L20" s="1">
        <v>100</v>
      </c>
      <c r="M20" s="1">
        <v>2</v>
      </c>
      <c r="N20" s="1">
        <v>0</v>
      </c>
      <c r="O20" s="1">
        <f t="shared" si="0"/>
        <v>4</v>
      </c>
      <c r="P20" s="1">
        <f t="shared" si="1"/>
        <v>0</v>
      </c>
      <c r="Q20" s="1">
        <v>2</v>
      </c>
      <c r="R20" s="3">
        <v>0.1</v>
      </c>
      <c r="S20" s="14">
        <v>630</v>
      </c>
      <c r="T20" s="2">
        <f t="shared" si="2"/>
        <v>1.1052631578947368E-2</v>
      </c>
      <c r="U20" s="37">
        <f t="shared" si="3"/>
        <v>3.15</v>
      </c>
      <c r="X20" s="10"/>
      <c r="Z20" s="22"/>
    </row>
    <row r="21" spans="1:26" x14ac:dyDescent="0.25">
      <c r="A21" s="4">
        <v>19</v>
      </c>
      <c r="C21" s="35" t="s">
        <v>238</v>
      </c>
      <c r="D21" s="5" t="s">
        <v>272</v>
      </c>
      <c r="E21" s="5" t="s">
        <v>168</v>
      </c>
      <c r="F21" s="5" t="s">
        <v>69</v>
      </c>
      <c r="G21" s="9" t="s">
        <v>303</v>
      </c>
      <c r="H21" s="9"/>
      <c r="I21" s="1" t="s">
        <v>23</v>
      </c>
      <c r="J21" s="11" t="s">
        <v>35</v>
      </c>
      <c r="K21" s="2">
        <v>3.0000000000000001E-3</v>
      </c>
      <c r="L21" s="1">
        <v>100</v>
      </c>
      <c r="M21" s="1">
        <v>2</v>
      </c>
      <c r="N21" s="1">
        <v>0</v>
      </c>
      <c r="O21" s="1">
        <f t="shared" si="0"/>
        <v>2</v>
      </c>
      <c r="P21" s="1">
        <f t="shared" si="1"/>
        <v>0</v>
      </c>
      <c r="Q21" s="1">
        <v>1</v>
      </c>
      <c r="R21" s="3">
        <v>0.1</v>
      </c>
      <c r="S21" s="14">
        <v>315</v>
      </c>
      <c r="T21" s="2">
        <f t="shared" si="2"/>
        <v>3.3157894736842108E-3</v>
      </c>
      <c r="U21" s="37">
        <f t="shared" si="3"/>
        <v>0.94500000000000006</v>
      </c>
      <c r="X21" s="10"/>
    </row>
    <row r="22" spans="1:26" ht="30" x14ac:dyDescent="0.25">
      <c r="A22" s="4">
        <v>20</v>
      </c>
      <c r="B22" s="48" t="s">
        <v>23</v>
      </c>
      <c r="C22" s="35" t="s">
        <v>283</v>
      </c>
      <c r="D22" s="5" t="s">
        <v>281</v>
      </c>
      <c r="E22" s="5" t="s">
        <v>282</v>
      </c>
      <c r="F22" s="5" t="s">
        <v>69</v>
      </c>
      <c r="G22" s="8" t="s">
        <v>326</v>
      </c>
      <c r="I22" s="1" t="s">
        <v>23</v>
      </c>
      <c r="J22" s="11" t="s">
        <v>127</v>
      </c>
      <c r="K22" s="2">
        <v>1E-3</v>
      </c>
      <c r="L22" s="1">
        <v>2500</v>
      </c>
      <c r="M22" s="1">
        <v>2</v>
      </c>
      <c r="N22" s="1">
        <v>0</v>
      </c>
      <c r="O22" s="1">
        <f t="shared" si="0"/>
        <v>30</v>
      </c>
      <c r="P22" s="1">
        <f t="shared" si="1"/>
        <v>0</v>
      </c>
      <c r="Q22" s="1">
        <v>15</v>
      </c>
      <c r="R22" s="3">
        <v>0.05</v>
      </c>
      <c r="S22" s="14">
        <v>4500</v>
      </c>
      <c r="T22" s="2">
        <f t="shared" si="2"/>
        <v>1.5789473684210527E-2</v>
      </c>
      <c r="U22" s="37">
        <f t="shared" si="3"/>
        <v>4.5</v>
      </c>
    </row>
    <row r="23" spans="1:26" x14ac:dyDescent="0.25">
      <c r="A23" s="40">
        <v>21</v>
      </c>
      <c r="B23" s="40" t="s">
        <v>18</v>
      </c>
      <c r="C23" s="41" t="s">
        <v>241</v>
      </c>
      <c r="D23" s="42" t="s">
        <v>285</v>
      </c>
      <c r="E23" s="42" t="s">
        <v>286</v>
      </c>
      <c r="F23" s="42" t="s">
        <v>305</v>
      </c>
      <c r="G23" s="49" t="s">
        <v>306</v>
      </c>
      <c r="H23" s="49"/>
      <c r="I23" s="43" t="s">
        <v>23</v>
      </c>
      <c r="J23" s="50" t="s">
        <v>35</v>
      </c>
      <c r="K23" s="44">
        <v>7.0000000000000001E-3</v>
      </c>
      <c r="L23" s="43">
        <v>100</v>
      </c>
      <c r="M23" s="43">
        <v>2</v>
      </c>
      <c r="N23" s="43">
        <v>0</v>
      </c>
      <c r="O23" s="43">
        <f t="shared" si="0"/>
        <v>0</v>
      </c>
      <c r="P23" s="43">
        <f t="shared" si="1"/>
        <v>0</v>
      </c>
      <c r="Q23" s="43">
        <v>0</v>
      </c>
      <c r="R23" s="45">
        <v>0.1</v>
      </c>
      <c r="S23" s="46">
        <f>Q23*$F$36*(1+R23)</f>
        <v>0</v>
      </c>
      <c r="T23" s="44">
        <f t="shared" si="2"/>
        <v>0</v>
      </c>
      <c r="U23" s="47">
        <f t="shared" si="3"/>
        <v>0</v>
      </c>
    </row>
    <row r="24" spans="1:26" x14ac:dyDescent="0.25">
      <c r="A24" s="4">
        <v>22</v>
      </c>
      <c r="B24" s="4" t="s">
        <v>23</v>
      </c>
      <c r="C24" s="35" t="s">
        <v>268</v>
      </c>
      <c r="D24" s="5" t="s">
        <v>269</v>
      </c>
      <c r="E24" s="5" t="s">
        <v>71</v>
      </c>
      <c r="F24" s="5" t="s">
        <v>69</v>
      </c>
      <c r="G24" s="8" t="s">
        <v>321</v>
      </c>
      <c r="I24" s="1" t="s">
        <v>23</v>
      </c>
      <c r="J24" s="11" t="s">
        <v>35</v>
      </c>
      <c r="K24" s="2">
        <v>3.0000000000000001E-3</v>
      </c>
      <c r="L24" s="1">
        <v>100</v>
      </c>
      <c r="M24" s="1">
        <v>2</v>
      </c>
      <c r="N24" s="1">
        <v>0</v>
      </c>
      <c r="O24" s="1">
        <f t="shared" si="0"/>
        <v>2</v>
      </c>
      <c r="P24" s="1">
        <f t="shared" si="1"/>
        <v>0</v>
      </c>
      <c r="Q24" s="1">
        <v>1</v>
      </c>
      <c r="R24" s="3">
        <v>0.1</v>
      </c>
      <c r="S24" s="14">
        <v>315</v>
      </c>
      <c r="T24" s="2">
        <f t="shared" si="2"/>
        <v>3.3157894736842108E-3</v>
      </c>
      <c r="U24" s="37">
        <f t="shared" si="3"/>
        <v>0.94500000000000006</v>
      </c>
      <c r="X24" s="10"/>
    </row>
    <row r="25" spans="1:26" x14ac:dyDescent="0.25">
      <c r="A25" s="4">
        <v>23</v>
      </c>
      <c r="B25" s="4" t="s">
        <v>23</v>
      </c>
      <c r="C25" s="35" t="s">
        <v>323</v>
      </c>
      <c r="D25" s="5" t="s">
        <v>274</v>
      </c>
      <c r="E25" s="5" t="s">
        <v>322</v>
      </c>
      <c r="F25" s="5" t="s">
        <v>69</v>
      </c>
      <c r="G25" s="8" t="s">
        <v>314</v>
      </c>
      <c r="I25" s="1" t="s">
        <v>23</v>
      </c>
      <c r="J25" s="11" t="s">
        <v>35</v>
      </c>
      <c r="K25" s="2">
        <v>3.0000000000000001E-3</v>
      </c>
      <c r="L25" s="1">
        <v>100</v>
      </c>
      <c r="M25" s="1">
        <v>2</v>
      </c>
      <c r="N25" s="1">
        <v>0</v>
      </c>
      <c r="O25" s="1">
        <f t="shared" si="0"/>
        <v>4</v>
      </c>
      <c r="P25" s="1">
        <f t="shared" si="1"/>
        <v>0</v>
      </c>
      <c r="Q25" s="1">
        <v>2</v>
      </c>
      <c r="R25" s="3">
        <v>0.1</v>
      </c>
      <c r="S25" s="14">
        <v>630</v>
      </c>
      <c r="T25" s="2">
        <f t="shared" si="2"/>
        <v>6.6315789473684215E-3</v>
      </c>
      <c r="U25" s="37">
        <f t="shared" si="3"/>
        <v>1.8900000000000001</v>
      </c>
    </row>
    <row r="26" spans="1:26" x14ac:dyDescent="0.25">
      <c r="A26" s="4">
        <v>24</v>
      </c>
      <c r="B26" s="4" t="s">
        <v>23</v>
      </c>
      <c r="C26" s="35" t="s">
        <v>192</v>
      </c>
      <c r="D26" s="5" t="s">
        <v>72</v>
      </c>
      <c r="E26" s="5" t="s">
        <v>195</v>
      </c>
      <c r="F26" s="5" t="s">
        <v>193</v>
      </c>
      <c r="G26" s="8" t="s">
        <v>194</v>
      </c>
      <c r="I26" s="1" t="s">
        <v>18</v>
      </c>
      <c r="J26" s="11" t="s">
        <v>196</v>
      </c>
      <c r="K26" s="2">
        <v>3.26</v>
      </c>
      <c r="L26" s="1">
        <v>350</v>
      </c>
      <c r="M26" s="1">
        <v>48</v>
      </c>
      <c r="N26" s="1">
        <v>0</v>
      </c>
      <c r="O26" s="1">
        <f t="shared" si="0"/>
        <v>48</v>
      </c>
      <c r="P26" s="1">
        <f t="shared" si="1"/>
        <v>0</v>
      </c>
      <c r="Q26" s="1">
        <v>1</v>
      </c>
      <c r="R26" s="3">
        <v>0.05</v>
      </c>
      <c r="S26" s="14">
        <v>315</v>
      </c>
      <c r="T26" s="2">
        <f t="shared" si="2"/>
        <v>3.6031578947368414</v>
      </c>
      <c r="U26" s="37">
        <f t="shared" si="3"/>
        <v>1026.8999999999999</v>
      </c>
      <c r="X26" s="10"/>
      <c r="Z26" s="22"/>
    </row>
    <row r="27" spans="1:26" x14ac:dyDescent="0.25">
      <c r="A27" s="4">
        <v>25</v>
      </c>
      <c r="B27" s="4" t="s">
        <v>23</v>
      </c>
      <c r="C27" s="35" t="s">
        <v>198</v>
      </c>
      <c r="D27" s="5" t="s">
        <v>197</v>
      </c>
      <c r="E27" s="5" t="s">
        <v>19</v>
      </c>
      <c r="F27" s="5" t="s">
        <v>193</v>
      </c>
      <c r="G27" s="8" t="s">
        <v>315</v>
      </c>
      <c r="I27" s="1" t="s">
        <v>18</v>
      </c>
      <c r="J27" s="11"/>
      <c r="K27" s="2">
        <v>1.66</v>
      </c>
      <c r="L27" s="1">
        <v>700</v>
      </c>
      <c r="M27" s="1">
        <v>24</v>
      </c>
      <c r="N27" s="1">
        <v>0</v>
      </c>
      <c r="O27" s="1">
        <f t="shared" si="0"/>
        <v>24</v>
      </c>
      <c r="P27" s="1">
        <f t="shared" si="1"/>
        <v>0</v>
      </c>
      <c r="Q27" s="1">
        <v>1</v>
      </c>
      <c r="R27" s="3">
        <v>0.05</v>
      </c>
      <c r="S27" s="14">
        <v>315</v>
      </c>
      <c r="T27" s="2">
        <f t="shared" si="2"/>
        <v>1.834736842105263</v>
      </c>
      <c r="U27" s="37">
        <f t="shared" si="3"/>
        <v>522.9</v>
      </c>
      <c r="X27" s="10"/>
    </row>
    <row r="28" spans="1:26" x14ac:dyDescent="0.25">
      <c r="A28" s="4">
        <v>26</v>
      </c>
      <c r="B28" s="4" t="s">
        <v>23</v>
      </c>
      <c r="C28" s="35" t="s">
        <v>207</v>
      </c>
      <c r="D28" s="23" t="s">
        <v>206</v>
      </c>
      <c r="E28" s="23" t="s">
        <v>208</v>
      </c>
      <c r="F28" s="5" t="s">
        <v>209</v>
      </c>
      <c r="G28" s="1" t="s">
        <v>210</v>
      </c>
      <c r="I28" s="1" t="s">
        <v>18</v>
      </c>
      <c r="J28" s="11" t="s">
        <v>250</v>
      </c>
      <c r="K28" s="2">
        <v>0.18128</v>
      </c>
      <c r="L28" s="1">
        <v>500</v>
      </c>
      <c r="M28" s="1">
        <v>14</v>
      </c>
      <c r="N28" s="1">
        <v>0</v>
      </c>
      <c r="O28" s="1">
        <f t="shared" si="0"/>
        <v>28</v>
      </c>
      <c r="P28" s="1">
        <f t="shared" si="1"/>
        <v>0</v>
      </c>
      <c r="Q28" s="1">
        <v>2</v>
      </c>
      <c r="R28" s="3">
        <v>0.1</v>
      </c>
      <c r="S28" s="14">
        <v>630</v>
      </c>
      <c r="T28" s="2">
        <f t="shared" si="2"/>
        <v>0.40072421052631579</v>
      </c>
      <c r="U28" s="37">
        <f t="shared" si="3"/>
        <v>114.2064</v>
      </c>
      <c r="X28" s="10"/>
    </row>
    <row r="29" spans="1:26" x14ac:dyDescent="0.25">
      <c r="A29" s="4">
        <v>27</v>
      </c>
      <c r="B29" s="4" t="s">
        <v>23</v>
      </c>
      <c r="C29" s="35" t="s">
        <v>211</v>
      </c>
      <c r="D29" s="5" t="s">
        <v>212</v>
      </c>
      <c r="E29" s="5" t="s">
        <v>213</v>
      </c>
      <c r="F29" s="5" t="s">
        <v>214</v>
      </c>
      <c r="G29" s="8" t="s">
        <v>215</v>
      </c>
      <c r="I29" s="1" t="s">
        <v>18</v>
      </c>
      <c r="J29" s="1" t="s">
        <v>216</v>
      </c>
      <c r="K29" s="2">
        <v>0.36</v>
      </c>
      <c r="L29" s="1">
        <v>100</v>
      </c>
      <c r="M29" s="1">
        <v>8</v>
      </c>
      <c r="N29" s="1">
        <v>0</v>
      </c>
      <c r="O29" s="1">
        <f t="shared" si="0"/>
        <v>8</v>
      </c>
      <c r="P29" s="1">
        <f t="shared" si="1"/>
        <v>0</v>
      </c>
      <c r="Q29" s="1">
        <v>1</v>
      </c>
      <c r="R29" s="3">
        <v>0.05</v>
      </c>
      <c r="S29" s="14">
        <v>315</v>
      </c>
      <c r="T29" s="2">
        <f t="shared" si="2"/>
        <v>0.39789473684210525</v>
      </c>
      <c r="U29" s="37">
        <f t="shared" si="3"/>
        <v>113.39999999999999</v>
      </c>
      <c r="Z29" s="22" t="s">
        <v>217</v>
      </c>
    </row>
    <row r="30" spans="1:26" x14ac:dyDescent="0.25">
      <c r="A30" s="4">
        <v>28</v>
      </c>
      <c r="B30" s="4" t="s">
        <v>23</v>
      </c>
      <c r="C30" s="35" t="s">
        <v>218</v>
      </c>
      <c r="D30" s="5" t="s">
        <v>84</v>
      </c>
      <c r="E30" s="5" t="s">
        <v>85</v>
      </c>
      <c r="F30" s="5" t="s">
        <v>86</v>
      </c>
      <c r="G30" s="9" t="s">
        <v>219</v>
      </c>
      <c r="H30" s="9"/>
      <c r="I30" s="1" t="s">
        <v>18</v>
      </c>
      <c r="J30" s="1" t="s">
        <v>88</v>
      </c>
      <c r="K30" s="25">
        <v>0.56899999999999995</v>
      </c>
      <c r="L30" s="1">
        <v>250</v>
      </c>
      <c r="M30" s="1">
        <v>6</v>
      </c>
      <c r="N30" s="1">
        <v>0</v>
      </c>
      <c r="O30" s="1">
        <f t="shared" si="0"/>
        <v>6</v>
      </c>
      <c r="P30" s="1">
        <f t="shared" si="1"/>
        <v>0</v>
      </c>
      <c r="Q30" s="1">
        <v>1</v>
      </c>
      <c r="R30" s="26">
        <v>0.1</v>
      </c>
      <c r="S30" s="14">
        <v>315</v>
      </c>
      <c r="T30" s="2">
        <f t="shared" si="2"/>
        <v>0.62889473684210517</v>
      </c>
      <c r="U30" s="37">
        <f t="shared" si="3"/>
        <v>179.23499999999999</v>
      </c>
      <c r="X30" s="10"/>
    </row>
    <row r="31" spans="1:26" x14ac:dyDescent="0.25">
      <c r="A31" s="4">
        <v>29</v>
      </c>
      <c r="B31" s="4" t="s">
        <v>23</v>
      </c>
      <c r="C31" s="35" t="s">
        <v>259</v>
      </c>
      <c r="D31" s="5" t="s">
        <v>260</v>
      </c>
      <c r="E31" s="19" t="s">
        <v>330</v>
      </c>
      <c r="F31" s="5" t="s">
        <v>313</v>
      </c>
      <c r="G31" s="8" t="s">
        <v>316</v>
      </c>
      <c r="I31" s="1" t="s">
        <v>18</v>
      </c>
      <c r="J31" s="11"/>
      <c r="N31" s="1">
        <v>0</v>
      </c>
      <c r="O31" s="1">
        <f t="shared" si="0"/>
        <v>0</v>
      </c>
      <c r="P31" s="1">
        <f t="shared" si="1"/>
        <v>0</v>
      </c>
      <c r="Q31" s="1">
        <v>1</v>
      </c>
      <c r="R31" s="3">
        <v>0.1</v>
      </c>
      <c r="S31" s="14">
        <v>315</v>
      </c>
      <c r="T31" s="2">
        <f t="shared" si="2"/>
        <v>0</v>
      </c>
      <c r="U31" s="37">
        <f t="shared" si="3"/>
        <v>0</v>
      </c>
      <c r="X31" s="10"/>
      <c r="Z31" s="20"/>
    </row>
    <row r="32" spans="1:26" x14ac:dyDescent="0.25">
      <c r="A32" s="4">
        <v>30</v>
      </c>
      <c r="B32" s="4" t="s">
        <v>23</v>
      </c>
      <c r="C32" s="36" t="s">
        <v>310</v>
      </c>
      <c r="D32" s="5" t="s">
        <v>311</v>
      </c>
      <c r="E32" s="5" t="s">
        <v>19</v>
      </c>
      <c r="F32" s="23" t="s">
        <v>288</v>
      </c>
      <c r="G32" s="24" t="s">
        <v>312</v>
      </c>
      <c r="H32" s="24"/>
      <c r="I32" s="1" t="s">
        <v>18</v>
      </c>
      <c r="J32" s="11" t="s">
        <v>35</v>
      </c>
      <c r="K32" s="25">
        <v>0.29699999999999999</v>
      </c>
      <c r="L32" s="1">
        <v>100</v>
      </c>
      <c r="M32" s="1">
        <v>6</v>
      </c>
      <c r="N32" s="1">
        <v>0</v>
      </c>
      <c r="P32" s="1">
        <f t="shared" si="1"/>
        <v>0</v>
      </c>
      <c r="Q32" s="1">
        <v>1</v>
      </c>
      <c r="R32" s="26"/>
      <c r="S32" s="14">
        <v>315</v>
      </c>
      <c r="T32" s="2"/>
      <c r="U32" s="37"/>
      <c r="X32" s="10"/>
    </row>
    <row r="33" spans="3:24" x14ac:dyDescent="0.25">
      <c r="C33" s="36"/>
      <c r="S33" s="14"/>
      <c r="T33" s="2"/>
      <c r="U33" s="37"/>
      <c r="X33" s="10"/>
    </row>
    <row r="36" spans="3:24" x14ac:dyDescent="0.25">
      <c r="C36" s="34"/>
      <c r="D36" s="39"/>
      <c r="E36" s="39" t="s">
        <v>304</v>
      </c>
      <c r="F36" s="23">
        <v>285</v>
      </c>
      <c r="G36" s="1"/>
    </row>
    <row r="37" spans="3:24" x14ac:dyDescent="0.25">
      <c r="C37" s="143" t="s">
        <v>186</v>
      </c>
      <c r="D37" s="143"/>
      <c r="E37" s="143"/>
      <c r="F37" s="23">
        <f>SUM(O3:O35)</f>
        <v>595</v>
      </c>
      <c r="G37" s="1">
        <f>E46-0.3*E46</f>
        <v>0</v>
      </c>
    </row>
    <row r="38" spans="3:24" x14ac:dyDescent="0.25">
      <c r="C38" s="143" t="s">
        <v>187</v>
      </c>
      <c r="D38" s="143"/>
      <c r="E38" s="143"/>
      <c r="F38" s="23">
        <f>SUM(P3:P35)</f>
        <v>4</v>
      </c>
    </row>
    <row r="39" spans="3:24" x14ac:dyDescent="0.25">
      <c r="C39" s="143" t="s">
        <v>188</v>
      </c>
      <c r="D39" s="143"/>
      <c r="E39" s="143"/>
      <c r="F39" s="23">
        <f>COUNT(A3:A31)</f>
        <v>29</v>
      </c>
    </row>
    <row r="40" spans="3:24" x14ac:dyDescent="0.25">
      <c r="C40" s="143" t="s">
        <v>189</v>
      </c>
      <c r="D40" s="143"/>
      <c r="E40" s="143"/>
      <c r="F40" s="23">
        <f>SUM(Q3:Q35)</f>
        <v>147</v>
      </c>
    </row>
    <row r="41" spans="3:24" hidden="1" x14ac:dyDescent="0.25">
      <c r="C41" s="34"/>
      <c r="D41" s="39"/>
      <c r="E41" s="39" t="s">
        <v>302</v>
      </c>
      <c r="F41" s="38">
        <f>SUM(T3:T33)</f>
        <v>14.375269824561402</v>
      </c>
    </row>
  </sheetData>
  <autoFilter ref="C2:Z31" xr:uid="{00000000-0009-0000-0000-000006000000}">
    <sortState xmlns:xlrd2="http://schemas.microsoft.com/office/spreadsheetml/2017/richdata2" ref="C3:Z34">
      <sortCondition ref="C2:C32"/>
    </sortState>
  </autoFilter>
  <mergeCells count="5">
    <mergeCell ref="A1:Z1"/>
    <mergeCell ref="C37:E37"/>
    <mergeCell ref="C38:E38"/>
    <mergeCell ref="C39:E39"/>
    <mergeCell ref="C40:E40"/>
  </mergeCells>
  <conditionalFormatting sqref="U3:U3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Z29" r:id="rId1" xr:uid="{00000000-0004-0000-0600-000000000000}"/>
    <hyperlink ref="Z13" r:id="rId2" xr:uid="{00000000-0004-0000-0600-000001000000}"/>
    <hyperlink ref="Z3" r:id="rId3" xr:uid="{00000000-0004-0000-0600-000002000000}"/>
    <hyperlink ref="Z5" r:id="rId4" xr:uid="{00000000-0004-0000-0600-000003000000}"/>
  </hyperlinks>
  <printOptions horizontalCentered="1" headings="1"/>
  <pageMargins left="0.25" right="0.25" top="0.75" bottom="0.75" header="0.3" footer="0.3"/>
  <pageSetup orientation="landscape" r:id="rId5"/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39"/>
  <sheetViews>
    <sheetView zoomScaleNormal="100" workbookViewId="0">
      <pane ySplit="2" topLeftCell="A3" activePane="bottomLeft" state="frozen"/>
      <selection pane="bottomLeft" activeCell="S2" sqref="S1:S1048576"/>
    </sheetView>
  </sheetViews>
  <sheetFormatPr defaultRowHeight="15" x14ac:dyDescent="0.25"/>
  <cols>
    <col min="1" max="1" width="4.85546875" style="4" bestFit="1" customWidth="1"/>
    <col min="2" max="2" width="18" style="12" customWidth="1"/>
    <col min="3" max="3" width="19" style="5" customWidth="1"/>
    <col min="4" max="4" width="21.140625" style="5" bestFit="1" customWidth="1"/>
    <col min="5" max="5" width="20" style="5" bestFit="1" customWidth="1"/>
    <col min="6" max="6" width="22.28515625" style="8" bestFit="1" customWidth="1"/>
    <col min="7" max="7" width="28.42578125" style="8" customWidth="1"/>
    <col min="8" max="8" width="5.42578125" style="1" customWidth="1"/>
    <col min="9" max="9" width="11.140625" style="1" bestFit="1" customWidth="1"/>
    <col min="10" max="10" width="8" style="2" customWidth="1"/>
    <col min="11" max="11" width="6.42578125" style="1" customWidth="1"/>
    <col min="12" max="15" width="5.42578125" style="1" customWidth="1"/>
    <col min="16" max="16" width="5.5703125" style="1" customWidth="1"/>
    <col min="17" max="17" width="6" style="3" customWidth="1"/>
    <col min="18" max="18" width="7.5703125" style="15" customWidth="1"/>
    <col min="19" max="19" width="9.85546875" style="1" customWidth="1"/>
    <col min="20" max="20" width="10.42578125" style="1" customWidth="1"/>
    <col min="21" max="22" width="10.5703125" style="1" customWidth="1"/>
    <col min="23" max="23" width="12.85546875" style="1" customWidth="1"/>
    <col min="24" max="24" width="33.85546875" style="5" customWidth="1"/>
    <col min="25" max="25" width="9.140625" style="21" customWidth="1"/>
  </cols>
  <sheetData>
    <row r="1" spans="1:25" ht="18.75" x14ac:dyDescent="0.25">
      <c r="A1" s="144" t="s">
        <v>191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</row>
    <row r="2" spans="1:25" s="7" customFormat="1" ht="30" x14ac:dyDescent="0.25">
      <c r="A2" s="7" t="s">
        <v>0</v>
      </c>
      <c r="B2" s="7" t="s">
        <v>1</v>
      </c>
      <c r="C2" s="18" t="s">
        <v>2</v>
      </c>
      <c r="D2" s="18" t="s">
        <v>3</v>
      </c>
      <c r="E2" s="18" t="s">
        <v>4</v>
      </c>
      <c r="F2" s="16" t="s">
        <v>5</v>
      </c>
      <c r="G2" s="16" t="s">
        <v>100</v>
      </c>
      <c r="H2" s="7" t="s">
        <v>6</v>
      </c>
      <c r="I2" s="7" t="s">
        <v>7</v>
      </c>
      <c r="J2" s="17" t="s">
        <v>8</v>
      </c>
      <c r="K2" s="7" t="s">
        <v>9</v>
      </c>
      <c r="L2" s="7" t="s">
        <v>10</v>
      </c>
      <c r="M2" s="7" t="s">
        <v>163</v>
      </c>
      <c r="N2" s="7" t="s">
        <v>162</v>
      </c>
      <c r="O2" s="7" t="s">
        <v>161</v>
      </c>
      <c r="P2" s="7" t="s">
        <v>89</v>
      </c>
      <c r="Q2" s="6" t="s">
        <v>11</v>
      </c>
      <c r="R2" s="13" t="s">
        <v>12</v>
      </c>
      <c r="S2" s="7" t="s">
        <v>13</v>
      </c>
      <c r="T2" s="7" t="s">
        <v>152</v>
      </c>
      <c r="U2" s="7" t="s">
        <v>14</v>
      </c>
      <c r="V2" s="7" t="s">
        <v>15</v>
      </c>
      <c r="W2" s="7" t="s">
        <v>16</v>
      </c>
      <c r="X2" s="7" t="s">
        <v>17</v>
      </c>
      <c r="Y2" s="18" t="s">
        <v>98</v>
      </c>
    </row>
    <row r="3" spans="1:25" x14ac:dyDescent="0.25">
      <c r="A3" s="4">
        <v>1</v>
      </c>
      <c r="B3" t="s">
        <v>122</v>
      </c>
      <c r="C3" s="5" t="s">
        <v>27</v>
      </c>
      <c r="D3" s="5" t="s">
        <v>28</v>
      </c>
      <c r="E3" s="5" t="s">
        <v>29</v>
      </c>
      <c r="F3" s="8" t="s">
        <v>30</v>
      </c>
      <c r="H3" s="1" t="s">
        <v>23</v>
      </c>
      <c r="I3" s="11" t="s">
        <v>31</v>
      </c>
      <c r="J3" s="2">
        <v>0.68</v>
      </c>
      <c r="K3" s="1">
        <v>100</v>
      </c>
      <c r="M3" s="1">
        <v>2</v>
      </c>
      <c r="N3" s="1">
        <f t="shared" ref="N3:N33" si="0">P3*L3</f>
        <v>0</v>
      </c>
      <c r="O3" s="1">
        <f t="shared" ref="O3:O33" si="1">P3*M3</f>
        <v>2</v>
      </c>
      <c r="P3" s="1">
        <v>1</v>
      </c>
      <c r="Q3" s="3">
        <v>0.1</v>
      </c>
      <c r="R3" s="14">
        <f t="shared" ref="R3:R29" si="2">P3*250*(1+Q3)</f>
        <v>275</v>
      </c>
      <c r="S3" s="2">
        <f t="shared" ref="S3:S33" si="3">J3*P3*(1+Q3)</f>
        <v>0.74800000000000011</v>
      </c>
      <c r="T3" s="2">
        <f t="shared" ref="T3:T33" si="4">S3*215</f>
        <v>160.82000000000002</v>
      </c>
      <c r="U3" s="30" t="s">
        <v>20</v>
      </c>
      <c r="V3" s="30" t="s">
        <v>183</v>
      </c>
      <c r="W3" s="10"/>
    </row>
    <row r="4" spans="1:25" x14ac:dyDescent="0.25">
      <c r="A4" s="4">
        <f>A3+1</f>
        <v>2</v>
      </c>
      <c r="B4" s="12" t="s">
        <v>225</v>
      </c>
      <c r="C4" s="5" t="s">
        <v>123</v>
      </c>
      <c r="D4" s="5" t="s">
        <v>124</v>
      </c>
      <c r="E4" s="5" t="s">
        <v>33</v>
      </c>
      <c r="F4" s="8" t="s">
        <v>145</v>
      </c>
      <c r="H4" s="1" t="s">
        <v>23</v>
      </c>
      <c r="I4" s="11" t="s">
        <v>35</v>
      </c>
      <c r="J4" s="2">
        <v>2.5000000000000001E-2</v>
      </c>
      <c r="K4" s="1">
        <v>100</v>
      </c>
      <c r="L4" s="1">
        <v>2</v>
      </c>
      <c r="N4" s="1">
        <f t="shared" si="0"/>
        <v>4</v>
      </c>
      <c r="O4" s="1">
        <f t="shared" si="1"/>
        <v>0</v>
      </c>
      <c r="P4" s="1">
        <v>2</v>
      </c>
      <c r="Q4" s="3">
        <v>0.1</v>
      </c>
      <c r="R4" s="14">
        <f t="shared" si="2"/>
        <v>550</v>
      </c>
      <c r="S4" s="2">
        <f t="shared" si="3"/>
        <v>5.5000000000000007E-2</v>
      </c>
      <c r="T4" s="2">
        <f t="shared" si="4"/>
        <v>11.825000000000001</v>
      </c>
      <c r="U4" s="30" t="s">
        <v>20</v>
      </c>
      <c r="V4" s="30" t="s">
        <v>183</v>
      </c>
      <c r="W4" s="10">
        <v>42500</v>
      </c>
      <c r="Y4" s="22" t="s">
        <v>146</v>
      </c>
    </row>
    <row r="5" spans="1:25" x14ac:dyDescent="0.25">
      <c r="A5" s="4">
        <f t="shared" ref="A5:A33" si="5">A4+1</f>
        <v>3</v>
      </c>
      <c r="B5" s="12" t="s">
        <v>226</v>
      </c>
      <c r="C5" s="5" t="s">
        <v>36</v>
      </c>
      <c r="D5" s="5" t="s">
        <v>37</v>
      </c>
      <c r="E5" s="5" t="s">
        <v>33</v>
      </c>
      <c r="F5" s="8" t="s">
        <v>38</v>
      </c>
      <c r="H5" s="1" t="s">
        <v>23</v>
      </c>
      <c r="I5" s="11" t="s">
        <v>35</v>
      </c>
      <c r="J5" s="2">
        <v>1.2E-2</v>
      </c>
      <c r="K5" s="1">
        <v>100</v>
      </c>
      <c r="L5" s="1">
        <v>2</v>
      </c>
      <c r="N5" s="1">
        <f t="shared" si="0"/>
        <v>2</v>
      </c>
      <c r="O5" s="1">
        <f t="shared" si="1"/>
        <v>0</v>
      </c>
      <c r="P5" s="1">
        <v>1</v>
      </c>
      <c r="Q5" s="3">
        <v>0.1</v>
      </c>
      <c r="R5" s="14">
        <f t="shared" si="2"/>
        <v>275</v>
      </c>
      <c r="S5" s="2">
        <f t="shared" si="3"/>
        <v>1.3200000000000002E-2</v>
      </c>
      <c r="T5" s="2">
        <f t="shared" si="4"/>
        <v>2.8380000000000005</v>
      </c>
      <c r="U5" s="30" t="s">
        <v>20</v>
      </c>
      <c r="V5" s="30" t="s">
        <v>183</v>
      </c>
      <c r="W5" s="10"/>
    </row>
    <row r="6" spans="1:25" x14ac:dyDescent="0.25">
      <c r="A6" s="4">
        <f t="shared" si="5"/>
        <v>4</v>
      </c>
      <c r="B6" s="12" t="s">
        <v>227</v>
      </c>
      <c r="C6" s="5" t="s">
        <v>39</v>
      </c>
      <c r="D6" s="5" t="s">
        <v>40</v>
      </c>
      <c r="E6" s="5" t="s">
        <v>41</v>
      </c>
      <c r="F6" s="8" t="s">
        <v>42</v>
      </c>
      <c r="H6" s="1" t="s">
        <v>23</v>
      </c>
      <c r="I6" s="11" t="s">
        <v>35</v>
      </c>
      <c r="J6" s="2">
        <v>8.0000000000000002E-3</v>
      </c>
      <c r="K6" s="1">
        <v>500</v>
      </c>
      <c r="L6" s="1">
        <v>2</v>
      </c>
      <c r="N6" s="1">
        <f t="shared" si="0"/>
        <v>8</v>
      </c>
      <c r="O6" s="1">
        <f t="shared" si="1"/>
        <v>0</v>
      </c>
      <c r="P6" s="1">
        <v>4</v>
      </c>
      <c r="Q6" s="3">
        <v>0.1</v>
      </c>
      <c r="R6" s="14">
        <f t="shared" si="2"/>
        <v>1100</v>
      </c>
      <c r="S6" s="2">
        <f t="shared" si="3"/>
        <v>3.5200000000000002E-2</v>
      </c>
      <c r="T6" s="2">
        <f t="shared" si="4"/>
        <v>7.5680000000000005</v>
      </c>
      <c r="U6" s="30" t="s">
        <v>20</v>
      </c>
      <c r="V6" s="30" t="s">
        <v>183</v>
      </c>
      <c r="W6" s="10"/>
    </row>
    <row r="7" spans="1:25" x14ac:dyDescent="0.25">
      <c r="A7" s="4">
        <f t="shared" si="5"/>
        <v>5</v>
      </c>
      <c r="B7" s="12" t="s">
        <v>228</v>
      </c>
      <c r="C7" s="5" t="s">
        <v>132</v>
      </c>
      <c r="D7" s="5" t="s">
        <v>32</v>
      </c>
      <c r="E7" s="5" t="s">
        <v>33</v>
      </c>
      <c r="F7" s="8" t="s">
        <v>34</v>
      </c>
      <c r="H7" s="1" t="s">
        <v>23</v>
      </c>
      <c r="I7" s="11" t="s">
        <v>35</v>
      </c>
      <c r="J7" s="2">
        <v>2.1999999999999999E-2</v>
      </c>
      <c r="K7" s="1">
        <v>100</v>
      </c>
      <c r="L7" s="1">
        <v>2</v>
      </c>
      <c r="N7" s="1">
        <f t="shared" si="0"/>
        <v>6</v>
      </c>
      <c r="O7" s="1">
        <f t="shared" si="1"/>
        <v>0</v>
      </c>
      <c r="P7" s="1">
        <v>3</v>
      </c>
      <c r="Q7" s="3">
        <v>0.1</v>
      </c>
      <c r="R7" s="14">
        <f t="shared" si="2"/>
        <v>825.00000000000011</v>
      </c>
      <c r="S7" s="2">
        <f t="shared" si="3"/>
        <v>7.2600000000000012E-2</v>
      </c>
      <c r="T7" s="2">
        <f t="shared" si="4"/>
        <v>15.609000000000002</v>
      </c>
      <c r="U7" s="30" t="s">
        <v>20</v>
      </c>
      <c r="V7" s="30" t="s">
        <v>183</v>
      </c>
      <c r="W7" s="10"/>
    </row>
    <row r="8" spans="1:25" hidden="1" x14ac:dyDescent="0.25">
      <c r="A8" s="4">
        <f t="shared" si="5"/>
        <v>6</v>
      </c>
      <c r="B8"/>
      <c r="C8" s="5" t="s">
        <v>43</v>
      </c>
      <c r="D8" s="5" t="s">
        <v>44</v>
      </c>
      <c r="E8" s="23" t="s">
        <v>45</v>
      </c>
      <c r="F8" s="24" t="s">
        <v>46</v>
      </c>
      <c r="G8" s="24"/>
      <c r="H8" s="1" t="s">
        <v>23</v>
      </c>
      <c r="I8" s="1" t="s">
        <v>19</v>
      </c>
      <c r="J8" s="25">
        <v>40.98</v>
      </c>
      <c r="K8" s="1">
        <v>1</v>
      </c>
      <c r="L8" s="1">
        <v>0</v>
      </c>
      <c r="N8" s="1">
        <f t="shared" si="0"/>
        <v>0</v>
      </c>
      <c r="O8" s="1">
        <f t="shared" si="1"/>
        <v>0</v>
      </c>
      <c r="Q8" s="26">
        <v>0</v>
      </c>
      <c r="R8" s="14">
        <f t="shared" si="2"/>
        <v>0</v>
      </c>
      <c r="S8" s="2">
        <f t="shared" si="3"/>
        <v>0</v>
      </c>
      <c r="T8" s="2">
        <f t="shared" si="4"/>
        <v>0</v>
      </c>
      <c r="U8" s="1" t="s">
        <v>47</v>
      </c>
      <c r="V8" s="1" t="s">
        <v>47</v>
      </c>
      <c r="W8" s="10"/>
      <c r="X8" s="5" t="s">
        <v>48</v>
      </c>
    </row>
    <row r="9" spans="1:25" hidden="1" x14ac:dyDescent="0.25">
      <c r="A9" s="4">
        <f t="shared" si="5"/>
        <v>7</v>
      </c>
      <c r="B9"/>
      <c r="C9" s="5" t="s">
        <v>49</v>
      </c>
      <c r="D9" s="5" t="s">
        <v>50</v>
      </c>
      <c r="E9" s="5" t="s">
        <v>51</v>
      </c>
      <c r="F9" s="8" t="s">
        <v>52</v>
      </c>
      <c r="H9" s="1" t="s">
        <v>23</v>
      </c>
      <c r="I9" s="1" t="s">
        <v>19</v>
      </c>
      <c r="J9" s="2">
        <v>0.56999999999999995</v>
      </c>
      <c r="K9" s="1">
        <v>100</v>
      </c>
      <c r="L9" s="1">
        <v>0</v>
      </c>
      <c r="N9" s="1">
        <f t="shared" si="0"/>
        <v>0</v>
      </c>
      <c r="O9" s="1">
        <f t="shared" si="1"/>
        <v>0</v>
      </c>
      <c r="Q9" s="3">
        <v>0.2</v>
      </c>
      <c r="R9" s="14">
        <f t="shared" si="2"/>
        <v>0</v>
      </c>
      <c r="S9" s="2">
        <f t="shared" si="3"/>
        <v>0</v>
      </c>
      <c r="T9" s="2">
        <f t="shared" si="4"/>
        <v>0</v>
      </c>
      <c r="W9" s="10"/>
      <c r="X9" s="5" t="s">
        <v>48</v>
      </c>
    </row>
    <row r="10" spans="1:25" ht="45" x14ac:dyDescent="0.25">
      <c r="A10" s="4">
        <f t="shared" si="5"/>
        <v>8</v>
      </c>
      <c r="B10" s="12" t="s">
        <v>229</v>
      </c>
      <c r="C10" s="5" t="s">
        <v>53</v>
      </c>
      <c r="D10" s="5" t="s">
        <v>54</v>
      </c>
      <c r="E10" s="5" t="s">
        <v>150</v>
      </c>
      <c r="F10" s="8" t="s">
        <v>151</v>
      </c>
      <c r="H10" s="1" t="s">
        <v>18</v>
      </c>
      <c r="I10" s="11" t="s">
        <v>35</v>
      </c>
      <c r="J10" s="2">
        <v>0.05</v>
      </c>
      <c r="K10" s="1">
        <v>100</v>
      </c>
      <c r="L10" s="1">
        <v>2</v>
      </c>
      <c r="N10" s="1">
        <f t="shared" si="0"/>
        <v>120</v>
      </c>
      <c r="O10" s="1">
        <f t="shared" si="1"/>
        <v>0</v>
      </c>
      <c r="P10" s="1">
        <v>60</v>
      </c>
      <c r="Q10" s="3">
        <v>0.05</v>
      </c>
      <c r="R10" s="14">
        <f t="shared" si="2"/>
        <v>15750</v>
      </c>
      <c r="S10" s="2">
        <f t="shared" si="3"/>
        <v>3.1500000000000004</v>
      </c>
      <c r="T10" s="2">
        <f t="shared" si="4"/>
        <v>677.25000000000011</v>
      </c>
      <c r="U10" s="33" t="s">
        <v>140</v>
      </c>
      <c r="V10" s="33" t="s">
        <v>25</v>
      </c>
      <c r="W10" s="10"/>
    </row>
    <row r="11" spans="1:25" ht="30" x14ac:dyDescent="0.25">
      <c r="A11" s="4">
        <f t="shared" si="5"/>
        <v>9</v>
      </c>
      <c r="B11" s="12" t="s">
        <v>230</v>
      </c>
      <c r="C11" s="5" t="s">
        <v>128</v>
      </c>
      <c r="D11" s="5" t="s">
        <v>138</v>
      </c>
      <c r="E11" s="5" t="s">
        <v>190</v>
      </c>
      <c r="F11" s="8" t="s">
        <v>137</v>
      </c>
      <c r="H11" s="1" t="s">
        <v>18</v>
      </c>
      <c r="I11" s="1" t="s">
        <v>139</v>
      </c>
      <c r="J11" s="2">
        <f>0.03*4000/3000</f>
        <v>0.04</v>
      </c>
      <c r="N11" s="1">
        <f t="shared" si="0"/>
        <v>0</v>
      </c>
      <c r="O11" s="1">
        <f t="shared" si="1"/>
        <v>0</v>
      </c>
      <c r="P11" s="1">
        <v>8</v>
      </c>
      <c r="Q11" s="3">
        <v>0</v>
      </c>
      <c r="R11" s="14">
        <v>4000</v>
      </c>
      <c r="S11" s="2">
        <f t="shared" si="3"/>
        <v>0.32</v>
      </c>
      <c r="T11" s="2">
        <f t="shared" si="4"/>
        <v>68.8</v>
      </c>
      <c r="U11" s="33" t="s">
        <v>140</v>
      </c>
      <c r="V11" s="33" t="s">
        <v>25</v>
      </c>
      <c r="Y11" s="22" t="s">
        <v>144</v>
      </c>
    </row>
    <row r="12" spans="1:25" x14ac:dyDescent="0.25">
      <c r="A12" s="4">
        <f t="shared" si="5"/>
        <v>10</v>
      </c>
      <c r="B12" s="12" t="s">
        <v>231</v>
      </c>
      <c r="C12" s="5" t="s">
        <v>55</v>
      </c>
      <c r="D12" s="5" t="s">
        <v>56</v>
      </c>
      <c r="E12" s="5" t="s">
        <v>57</v>
      </c>
      <c r="F12" s="8" t="s">
        <v>58</v>
      </c>
      <c r="H12" s="1" t="s">
        <v>23</v>
      </c>
      <c r="I12" s="1" t="s">
        <v>59</v>
      </c>
      <c r="J12" s="25">
        <v>0.19</v>
      </c>
      <c r="K12" s="1">
        <v>100</v>
      </c>
      <c r="L12" s="1">
        <v>6</v>
      </c>
      <c r="N12" s="1">
        <f t="shared" si="0"/>
        <v>6</v>
      </c>
      <c r="O12" s="1">
        <f t="shared" si="1"/>
        <v>0</v>
      </c>
      <c r="P12" s="1">
        <v>1</v>
      </c>
      <c r="Q12" s="26">
        <v>0.1</v>
      </c>
      <c r="R12" s="14">
        <f t="shared" si="2"/>
        <v>275</v>
      </c>
      <c r="S12" s="2">
        <f t="shared" si="3"/>
        <v>0.20900000000000002</v>
      </c>
      <c r="T12" s="2">
        <f t="shared" si="4"/>
        <v>44.935000000000002</v>
      </c>
      <c r="U12" s="30" t="s">
        <v>20</v>
      </c>
      <c r="V12" s="30" t="s">
        <v>183</v>
      </c>
      <c r="W12" s="10"/>
    </row>
    <row r="13" spans="1:25" x14ac:dyDescent="0.25">
      <c r="A13" s="4">
        <f t="shared" si="5"/>
        <v>11</v>
      </c>
      <c r="B13" t="s">
        <v>223</v>
      </c>
      <c r="C13" s="5" t="s">
        <v>60</v>
      </c>
      <c r="D13" s="5" t="s">
        <v>61</v>
      </c>
      <c r="E13" s="5" t="s">
        <v>62</v>
      </c>
      <c r="F13" s="8" t="s">
        <v>63</v>
      </c>
      <c r="H13" s="1" t="s">
        <v>23</v>
      </c>
      <c r="I13" s="11" t="s">
        <v>160</v>
      </c>
      <c r="J13" s="2">
        <v>0.13500000000000001</v>
      </c>
      <c r="K13" s="1">
        <v>100</v>
      </c>
      <c r="L13" s="1">
        <v>2</v>
      </c>
      <c r="N13" s="1">
        <f t="shared" si="0"/>
        <v>2</v>
      </c>
      <c r="O13" s="1">
        <f t="shared" si="1"/>
        <v>0</v>
      </c>
      <c r="P13" s="1">
        <v>1</v>
      </c>
      <c r="Q13" s="3">
        <v>0.1</v>
      </c>
      <c r="R13" s="14">
        <f t="shared" si="2"/>
        <v>275</v>
      </c>
      <c r="S13" s="2">
        <f t="shared" si="3"/>
        <v>0.14850000000000002</v>
      </c>
      <c r="T13" s="2">
        <f t="shared" si="4"/>
        <v>31.927500000000006</v>
      </c>
      <c r="U13" s="30" t="s">
        <v>20</v>
      </c>
      <c r="V13" s="30" t="s">
        <v>183</v>
      </c>
      <c r="W13" s="10"/>
    </row>
    <row r="14" spans="1:25" x14ac:dyDescent="0.25">
      <c r="A14" s="4">
        <f t="shared" si="5"/>
        <v>12</v>
      </c>
      <c r="B14" s="12" t="s">
        <v>232</v>
      </c>
      <c r="C14" s="5" t="s">
        <v>108</v>
      </c>
      <c r="D14" s="5" t="s">
        <v>109</v>
      </c>
      <c r="E14" s="5" t="s">
        <v>110</v>
      </c>
      <c r="F14" s="8" t="s">
        <v>111</v>
      </c>
      <c r="H14" s="1" t="s">
        <v>23</v>
      </c>
      <c r="I14" s="1" t="s">
        <v>112</v>
      </c>
      <c r="J14" s="2">
        <v>0.19500000000000001</v>
      </c>
      <c r="K14" s="1">
        <v>100</v>
      </c>
      <c r="N14" s="1">
        <f t="shared" si="0"/>
        <v>0</v>
      </c>
      <c r="O14" s="1">
        <f t="shared" si="1"/>
        <v>0</v>
      </c>
      <c r="P14" s="1">
        <v>0</v>
      </c>
      <c r="Q14" s="3">
        <v>0.1</v>
      </c>
      <c r="R14" s="14">
        <f t="shared" si="2"/>
        <v>0</v>
      </c>
      <c r="S14" s="2">
        <f t="shared" si="3"/>
        <v>0</v>
      </c>
      <c r="T14" s="2">
        <f t="shared" si="4"/>
        <v>0</v>
      </c>
      <c r="U14" s="1" t="s">
        <v>175</v>
      </c>
      <c r="V14" s="1" t="s">
        <v>175</v>
      </c>
      <c r="W14" s="10">
        <v>42498</v>
      </c>
      <c r="Y14" s="22" t="s">
        <v>113</v>
      </c>
    </row>
    <row r="15" spans="1:25" x14ac:dyDescent="0.25">
      <c r="A15" s="4">
        <f t="shared" si="5"/>
        <v>13</v>
      </c>
      <c r="B15" s="12" t="s">
        <v>233</v>
      </c>
      <c r="C15" s="5" t="s">
        <v>103</v>
      </c>
      <c r="D15" s="5" t="s">
        <v>104</v>
      </c>
      <c r="E15" s="5" t="s">
        <v>101</v>
      </c>
      <c r="F15" s="8" t="s">
        <v>105</v>
      </c>
      <c r="H15" s="1" t="s">
        <v>23</v>
      </c>
      <c r="I15" s="1" t="s">
        <v>99</v>
      </c>
      <c r="J15" s="2">
        <v>0.36670000000000003</v>
      </c>
      <c r="K15" s="1">
        <v>250</v>
      </c>
      <c r="M15" s="1">
        <v>4</v>
      </c>
      <c r="N15" s="1">
        <f t="shared" si="0"/>
        <v>0</v>
      </c>
      <c r="O15" s="1">
        <f t="shared" si="1"/>
        <v>8</v>
      </c>
      <c r="P15" s="1">
        <v>2</v>
      </c>
      <c r="Q15" s="3">
        <v>0.1</v>
      </c>
      <c r="R15" s="14">
        <f t="shared" si="2"/>
        <v>550</v>
      </c>
      <c r="S15" s="2">
        <f t="shared" si="3"/>
        <v>0.80674000000000012</v>
      </c>
      <c r="T15" s="2">
        <f t="shared" si="4"/>
        <v>173.44910000000002</v>
      </c>
      <c r="U15" s="31" t="s">
        <v>47</v>
      </c>
      <c r="V15" s="31" t="s">
        <v>184</v>
      </c>
      <c r="W15" s="10">
        <v>42494</v>
      </c>
      <c r="Y15" s="22" t="s">
        <v>106</v>
      </c>
    </row>
    <row r="16" spans="1:25" x14ac:dyDescent="0.25">
      <c r="A16" s="4">
        <f t="shared" si="5"/>
        <v>14</v>
      </c>
      <c r="B16" s="12" t="s">
        <v>234</v>
      </c>
      <c r="C16" s="5" t="s">
        <v>102</v>
      </c>
      <c r="D16" s="12" t="s">
        <v>180</v>
      </c>
      <c r="E16" s="5" t="s">
        <v>110</v>
      </c>
      <c r="F16" s="8" t="s">
        <v>176</v>
      </c>
      <c r="H16" s="1" t="s">
        <v>23</v>
      </c>
      <c r="I16" s="1" t="s">
        <v>112</v>
      </c>
      <c r="J16" s="2">
        <v>0.155</v>
      </c>
      <c r="K16" s="1">
        <v>100</v>
      </c>
      <c r="M16" s="1">
        <v>3</v>
      </c>
      <c r="N16" s="1">
        <f t="shared" si="0"/>
        <v>0</v>
      </c>
      <c r="O16" s="1">
        <f t="shared" si="1"/>
        <v>3</v>
      </c>
      <c r="P16" s="1">
        <v>1</v>
      </c>
      <c r="Q16" s="3">
        <v>0.1</v>
      </c>
      <c r="R16" s="14">
        <f t="shared" si="2"/>
        <v>275</v>
      </c>
      <c r="S16" s="2">
        <f t="shared" si="3"/>
        <v>0.17050000000000001</v>
      </c>
      <c r="T16" s="2">
        <f t="shared" si="4"/>
        <v>36.657500000000006</v>
      </c>
      <c r="U16" s="31" t="s">
        <v>47</v>
      </c>
      <c r="V16" s="31" t="s">
        <v>184</v>
      </c>
      <c r="W16" s="10"/>
      <c r="Y16" s="22" t="s">
        <v>155</v>
      </c>
    </row>
    <row r="17" spans="1:25" ht="30" x14ac:dyDescent="0.25">
      <c r="A17" s="4">
        <f t="shared" si="5"/>
        <v>15</v>
      </c>
      <c r="B17" s="12" t="s">
        <v>235</v>
      </c>
      <c r="C17" s="5" t="s">
        <v>107</v>
      </c>
      <c r="D17" s="12" t="s">
        <v>181</v>
      </c>
      <c r="E17" s="5" t="s">
        <v>101</v>
      </c>
      <c r="F17" s="8" t="s">
        <v>114</v>
      </c>
      <c r="G17" s="8" t="s">
        <v>116</v>
      </c>
      <c r="H17" s="1" t="s">
        <v>23</v>
      </c>
      <c r="I17" s="1" t="s">
        <v>112</v>
      </c>
      <c r="J17" s="2">
        <v>0.628</v>
      </c>
      <c r="K17" s="1">
        <v>100</v>
      </c>
      <c r="M17" s="1">
        <v>3</v>
      </c>
      <c r="N17" s="1">
        <f t="shared" si="0"/>
        <v>0</v>
      </c>
      <c r="O17" s="1">
        <f t="shared" si="1"/>
        <v>3</v>
      </c>
      <c r="P17" s="1">
        <v>1</v>
      </c>
      <c r="Q17" s="3">
        <v>0.1</v>
      </c>
      <c r="R17" s="14">
        <f t="shared" si="2"/>
        <v>275</v>
      </c>
      <c r="S17" s="2">
        <f t="shared" si="3"/>
        <v>0.69080000000000008</v>
      </c>
      <c r="T17" s="2">
        <f t="shared" si="4"/>
        <v>148.52200000000002</v>
      </c>
      <c r="U17" s="31" t="s">
        <v>47</v>
      </c>
      <c r="V17" s="31" t="s">
        <v>184</v>
      </c>
      <c r="W17" s="10"/>
      <c r="Y17" s="22" t="s">
        <v>115</v>
      </c>
    </row>
    <row r="18" spans="1:25" x14ac:dyDescent="0.25">
      <c r="A18" s="4">
        <f t="shared" si="5"/>
        <v>16</v>
      </c>
      <c r="B18" s="12" t="s">
        <v>236</v>
      </c>
      <c r="C18" s="5" t="s">
        <v>129</v>
      </c>
      <c r="D18" s="5" t="s">
        <v>133</v>
      </c>
      <c r="E18" s="5" t="s">
        <v>134</v>
      </c>
      <c r="F18" s="8" t="s">
        <v>136</v>
      </c>
      <c r="H18" s="1" t="s">
        <v>18</v>
      </c>
      <c r="I18" s="1" t="s">
        <v>59</v>
      </c>
      <c r="J18" s="2">
        <v>9.7000000000000003E-2</v>
      </c>
      <c r="K18" s="1">
        <v>100</v>
      </c>
      <c r="L18" s="1">
        <v>6</v>
      </c>
      <c r="M18" s="1">
        <v>0</v>
      </c>
      <c r="N18" s="1">
        <f t="shared" si="0"/>
        <v>18</v>
      </c>
      <c r="O18" s="1">
        <f t="shared" si="1"/>
        <v>0</v>
      </c>
      <c r="P18" s="1">
        <v>3</v>
      </c>
      <c r="Q18" s="3">
        <v>0.1</v>
      </c>
      <c r="R18" s="14">
        <f t="shared" si="2"/>
        <v>825.00000000000011</v>
      </c>
      <c r="S18" s="2">
        <f t="shared" si="3"/>
        <v>0.32010000000000005</v>
      </c>
      <c r="T18" s="2">
        <f t="shared" si="4"/>
        <v>68.821500000000015</v>
      </c>
      <c r="U18" s="30" t="s">
        <v>20</v>
      </c>
      <c r="V18" s="30" t="s">
        <v>183</v>
      </c>
      <c r="W18" s="10">
        <v>42500</v>
      </c>
      <c r="Y18" s="22" t="s">
        <v>135</v>
      </c>
    </row>
    <row r="19" spans="1:25" x14ac:dyDescent="0.25">
      <c r="A19" s="4">
        <f t="shared" si="5"/>
        <v>17</v>
      </c>
      <c r="B19" s="12" t="s">
        <v>237</v>
      </c>
      <c r="C19" s="5" t="s">
        <v>96</v>
      </c>
      <c r="D19" s="5" t="s">
        <v>174</v>
      </c>
      <c r="E19" s="5" t="s">
        <v>170</v>
      </c>
      <c r="F19" s="8" t="s">
        <v>169</v>
      </c>
      <c r="G19" s="28" t="s">
        <v>166</v>
      </c>
      <c r="H19" s="1" t="s">
        <v>18</v>
      </c>
      <c r="I19" s="1" t="s">
        <v>171</v>
      </c>
      <c r="J19" s="2">
        <v>0.23599999999999999</v>
      </c>
      <c r="K19" s="1">
        <v>100</v>
      </c>
      <c r="L19" s="1">
        <v>2</v>
      </c>
      <c r="N19" s="1">
        <f t="shared" si="0"/>
        <v>2</v>
      </c>
      <c r="O19" s="1">
        <f t="shared" si="1"/>
        <v>0</v>
      </c>
      <c r="P19" s="1">
        <v>1</v>
      </c>
      <c r="Q19" s="3">
        <v>0.1</v>
      </c>
      <c r="R19" s="14">
        <f t="shared" si="2"/>
        <v>275</v>
      </c>
      <c r="S19" s="2">
        <f t="shared" si="3"/>
        <v>0.2596</v>
      </c>
      <c r="T19" s="2">
        <f t="shared" si="4"/>
        <v>55.814</v>
      </c>
      <c r="U19" s="30" t="s">
        <v>20</v>
      </c>
      <c r="V19" s="30" t="s">
        <v>183</v>
      </c>
      <c r="W19" s="10">
        <v>42373</v>
      </c>
      <c r="Y19" s="22" t="s">
        <v>97</v>
      </c>
    </row>
    <row r="20" spans="1:25" x14ac:dyDescent="0.25">
      <c r="A20" s="4">
        <f t="shared" si="5"/>
        <v>18</v>
      </c>
      <c r="B20" s="12" t="s">
        <v>238</v>
      </c>
      <c r="C20" s="5" t="s">
        <v>164</v>
      </c>
      <c r="D20" s="5" t="s">
        <v>165</v>
      </c>
      <c r="E20" s="5" t="s">
        <v>157</v>
      </c>
      <c r="F20" s="8" t="s">
        <v>173</v>
      </c>
      <c r="H20" s="1" t="s">
        <v>23</v>
      </c>
      <c r="I20" s="11" t="s">
        <v>35</v>
      </c>
      <c r="J20" s="2">
        <v>8.9999999999999993E-3</v>
      </c>
      <c r="K20" s="1">
        <v>100</v>
      </c>
      <c r="L20" s="1">
        <v>2</v>
      </c>
      <c r="N20" s="1">
        <f t="shared" si="0"/>
        <v>2</v>
      </c>
      <c r="O20" s="1">
        <f t="shared" si="1"/>
        <v>0</v>
      </c>
      <c r="P20" s="1">
        <v>1</v>
      </c>
      <c r="Q20" s="3">
        <v>0.1</v>
      </c>
      <c r="R20" s="14">
        <f t="shared" si="2"/>
        <v>275</v>
      </c>
      <c r="S20" s="2">
        <f t="shared" si="3"/>
        <v>9.9000000000000008E-3</v>
      </c>
      <c r="T20" s="2">
        <f t="shared" si="4"/>
        <v>2.1285000000000003</v>
      </c>
      <c r="U20" s="30" t="s">
        <v>20</v>
      </c>
      <c r="V20" s="30" t="s">
        <v>183</v>
      </c>
      <c r="W20" s="29">
        <v>42535</v>
      </c>
    </row>
    <row r="21" spans="1:25" ht="30" x14ac:dyDescent="0.25">
      <c r="A21" s="4">
        <f t="shared" si="5"/>
        <v>19</v>
      </c>
      <c r="B21" s="12" t="s">
        <v>239</v>
      </c>
      <c r="C21" s="5" t="s">
        <v>125</v>
      </c>
      <c r="D21" s="5" t="s">
        <v>126</v>
      </c>
      <c r="E21" s="5" t="s">
        <v>141</v>
      </c>
      <c r="F21" s="8" t="s">
        <v>142</v>
      </c>
      <c r="H21" s="1" t="s">
        <v>23</v>
      </c>
      <c r="I21" s="11" t="s">
        <v>127</v>
      </c>
      <c r="J21" s="2">
        <v>5.0000000000000001E-3</v>
      </c>
      <c r="K21" s="1">
        <v>100</v>
      </c>
      <c r="L21" s="1">
        <v>2</v>
      </c>
      <c r="N21" s="1">
        <f t="shared" si="0"/>
        <v>12</v>
      </c>
      <c r="O21" s="1">
        <f t="shared" si="1"/>
        <v>0</v>
      </c>
      <c r="P21" s="1">
        <v>6</v>
      </c>
      <c r="Q21" s="3">
        <v>0.1</v>
      </c>
      <c r="R21" s="14">
        <f t="shared" si="2"/>
        <v>1650.0000000000002</v>
      </c>
      <c r="S21" s="2">
        <f t="shared" si="3"/>
        <v>3.3000000000000002E-2</v>
      </c>
      <c r="T21" s="2">
        <f t="shared" si="4"/>
        <v>7.0950000000000006</v>
      </c>
      <c r="U21" s="30" t="s">
        <v>20</v>
      </c>
      <c r="V21" s="30" t="s">
        <v>183</v>
      </c>
      <c r="W21" s="10">
        <v>42500</v>
      </c>
      <c r="Y21" s="22" t="s">
        <v>143</v>
      </c>
    </row>
    <row r="22" spans="1:25" x14ac:dyDescent="0.25">
      <c r="A22" s="4">
        <f t="shared" si="5"/>
        <v>20</v>
      </c>
      <c r="B22" s="12" t="s">
        <v>240</v>
      </c>
      <c r="C22" s="5" t="s">
        <v>167</v>
      </c>
      <c r="D22" s="5" t="s">
        <v>168</v>
      </c>
      <c r="E22" s="5" t="s">
        <v>69</v>
      </c>
      <c r="F22" s="8" t="s">
        <v>172</v>
      </c>
      <c r="H22" s="1" t="s">
        <v>23</v>
      </c>
      <c r="I22" s="11" t="s">
        <v>127</v>
      </c>
      <c r="J22" s="2">
        <v>4.1200000000000004E-3</v>
      </c>
      <c r="K22" s="1">
        <v>2000</v>
      </c>
      <c r="L22" s="1">
        <v>2</v>
      </c>
      <c r="N22" s="1">
        <f t="shared" si="0"/>
        <v>2</v>
      </c>
      <c r="O22" s="1">
        <f t="shared" si="1"/>
        <v>0</v>
      </c>
      <c r="P22" s="1">
        <v>1</v>
      </c>
      <c r="Q22" s="3">
        <v>0.1</v>
      </c>
      <c r="R22" s="14">
        <f t="shared" si="2"/>
        <v>275</v>
      </c>
      <c r="S22" s="2">
        <f t="shared" si="3"/>
        <v>4.5320000000000004E-3</v>
      </c>
      <c r="T22" s="2">
        <f t="shared" si="4"/>
        <v>0.97438000000000013</v>
      </c>
      <c r="U22" s="30" t="s">
        <v>20</v>
      </c>
      <c r="V22" s="30" t="s">
        <v>183</v>
      </c>
    </row>
    <row r="23" spans="1:25" x14ac:dyDescent="0.25">
      <c r="A23" s="4">
        <f t="shared" si="5"/>
        <v>21</v>
      </c>
      <c r="B23" s="12" t="s">
        <v>241</v>
      </c>
      <c r="C23" s="5" t="s">
        <v>131</v>
      </c>
      <c r="D23" s="5" t="s">
        <v>156</v>
      </c>
      <c r="E23" s="5" t="s">
        <v>157</v>
      </c>
      <c r="F23" s="8" t="s">
        <v>158</v>
      </c>
      <c r="H23" s="1" t="s">
        <v>23</v>
      </c>
      <c r="I23" s="11" t="s">
        <v>35</v>
      </c>
      <c r="J23" s="2">
        <v>8.0000000000000002E-3</v>
      </c>
      <c r="K23" s="1">
        <v>100</v>
      </c>
      <c r="L23" s="1">
        <v>2</v>
      </c>
      <c r="M23" s="1">
        <v>0</v>
      </c>
      <c r="N23" s="1">
        <f t="shared" si="0"/>
        <v>2</v>
      </c>
      <c r="O23" s="1">
        <f t="shared" si="1"/>
        <v>0</v>
      </c>
      <c r="P23" s="1">
        <v>1</v>
      </c>
      <c r="Q23" s="3">
        <v>0.1</v>
      </c>
      <c r="R23" s="14">
        <f t="shared" si="2"/>
        <v>275</v>
      </c>
      <c r="S23" s="2">
        <f t="shared" si="3"/>
        <v>8.8000000000000005E-3</v>
      </c>
      <c r="T23" s="2">
        <f t="shared" si="4"/>
        <v>1.8920000000000001</v>
      </c>
      <c r="U23" s="30" t="s">
        <v>20</v>
      </c>
      <c r="V23" s="30" t="s">
        <v>183</v>
      </c>
      <c r="W23" s="10">
        <v>42501</v>
      </c>
      <c r="Y23" s="22" t="s">
        <v>159</v>
      </c>
    </row>
    <row r="24" spans="1:25" x14ac:dyDescent="0.25">
      <c r="A24" s="4">
        <f t="shared" si="5"/>
        <v>22</v>
      </c>
      <c r="B24" s="12" t="s">
        <v>242</v>
      </c>
      <c r="C24" s="5" t="s">
        <v>70</v>
      </c>
      <c r="D24" s="5" t="s">
        <v>71</v>
      </c>
      <c r="E24" s="5" t="s">
        <v>64</v>
      </c>
      <c r="F24" s="8" t="s">
        <v>182</v>
      </c>
      <c r="H24" s="1" t="s">
        <v>23</v>
      </c>
      <c r="I24" s="11" t="s">
        <v>35</v>
      </c>
      <c r="J24" s="2">
        <v>2.8000000000000001E-2</v>
      </c>
      <c r="K24" s="1">
        <v>100</v>
      </c>
      <c r="L24" s="1">
        <v>2</v>
      </c>
      <c r="N24" s="1">
        <f t="shared" si="0"/>
        <v>4</v>
      </c>
      <c r="O24" s="1">
        <f t="shared" si="1"/>
        <v>0</v>
      </c>
      <c r="P24" s="1">
        <v>2</v>
      </c>
      <c r="Q24" s="3">
        <v>0.1</v>
      </c>
      <c r="R24" s="14">
        <f t="shared" si="2"/>
        <v>550</v>
      </c>
      <c r="S24" s="2">
        <f t="shared" si="3"/>
        <v>6.1600000000000009E-2</v>
      </c>
      <c r="T24" s="2">
        <f t="shared" si="4"/>
        <v>13.244000000000002</v>
      </c>
      <c r="U24" s="30" t="s">
        <v>20</v>
      </c>
      <c r="V24" s="30" t="s">
        <v>183</v>
      </c>
      <c r="W24" s="10"/>
    </row>
    <row r="25" spans="1:25" x14ac:dyDescent="0.25">
      <c r="A25" s="4">
        <f t="shared" si="5"/>
        <v>23</v>
      </c>
      <c r="B25" s="12" t="s">
        <v>243</v>
      </c>
      <c r="C25" s="5" t="s">
        <v>130</v>
      </c>
      <c r="D25" s="19" t="s">
        <v>65</v>
      </c>
      <c r="E25" s="5" t="s">
        <v>64</v>
      </c>
      <c r="F25" s="8" t="s">
        <v>66</v>
      </c>
      <c r="H25" s="1" t="s">
        <v>23</v>
      </c>
      <c r="I25" s="11" t="s">
        <v>35</v>
      </c>
      <c r="J25" s="2">
        <v>4.0000000000000001E-3</v>
      </c>
      <c r="K25" s="1">
        <v>100</v>
      </c>
      <c r="L25" s="1">
        <v>2</v>
      </c>
      <c r="N25" s="1">
        <f t="shared" si="0"/>
        <v>2</v>
      </c>
      <c r="O25" s="1">
        <f t="shared" si="1"/>
        <v>0</v>
      </c>
      <c r="P25" s="1">
        <v>1</v>
      </c>
      <c r="Q25" s="3">
        <v>0.1</v>
      </c>
      <c r="R25" s="14">
        <f t="shared" si="2"/>
        <v>275</v>
      </c>
      <c r="S25" s="2">
        <f t="shared" si="3"/>
        <v>4.4000000000000003E-3</v>
      </c>
      <c r="T25" s="2">
        <f t="shared" si="4"/>
        <v>0.94600000000000006</v>
      </c>
      <c r="U25" s="30" t="s">
        <v>20</v>
      </c>
      <c r="V25" s="30" t="s">
        <v>183</v>
      </c>
      <c r="W25" s="10">
        <v>42506</v>
      </c>
      <c r="Y25" s="20" t="s">
        <v>154</v>
      </c>
    </row>
    <row r="26" spans="1:25" x14ac:dyDescent="0.25">
      <c r="A26" s="4">
        <f t="shared" si="5"/>
        <v>24</v>
      </c>
      <c r="B26" s="12" t="s">
        <v>244</v>
      </c>
      <c r="C26" s="5" t="s">
        <v>67</v>
      </c>
      <c r="D26" s="5" t="s">
        <v>68</v>
      </c>
      <c r="E26" s="5" t="s">
        <v>69</v>
      </c>
      <c r="F26" s="8" t="s">
        <v>153</v>
      </c>
      <c r="H26" s="1" t="s">
        <v>23</v>
      </c>
      <c r="I26" s="11" t="s">
        <v>35</v>
      </c>
      <c r="J26" s="2">
        <v>0.01</v>
      </c>
      <c r="K26" s="1">
        <v>100</v>
      </c>
      <c r="L26" s="1">
        <v>2</v>
      </c>
      <c r="N26" s="1">
        <f t="shared" si="0"/>
        <v>2</v>
      </c>
      <c r="O26" s="1">
        <f t="shared" si="1"/>
        <v>0</v>
      </c>
      <c r="P26" s="1">
        <v>1</v>
      </c>
      <c r="Q26" s="3">
        <v>0.1</v>
      </c>
      <c r="R26" s="14">
        <f t="shared" si="2"/>
        <v>275</v>
      </c>
      <c r="S26" s="2">
        <f t="shared" si="3"/>
        <v>1.1000000000000001E-2</v>
      </c>
      <c r="T26" s="2">
        <f t="shared" si="4"/>
        <v>2.3650000000000002</v>
      </c>
      <c r="U26" s="30" t="s">
        <v>20</v>
      </c>
      <c r="V26" s="30" t="s">
        <v>183</v>
      </c>
      <c r="W26" s="10"/>
    </row>
    <row r="27" spans="1:25" x14ac:dyDescent="0.25">
      <c r="A27" s="4">
        <f t="shared" si="5"/>
        <v>25</v>
      </c>
      <c r="B27" s="12" t="s">
        <v>245</v>
      </c>
      <c r="C27" s="5" t="s">
        <v>117</v>
      </c>
      <c r="D27" s="5" t="s">
        <v>118</v>
      </c>
      <c r="E27" s="5" t="s">
        <v>119</v>
      </c>
      <c r="F27" s="8" t="s">
        <v>120</v>
      </c>
      <c r="H27" s="1" t="s">
        <v>18</v>
      </c>
      <c r="I27" s="1" t="s">
        <v>19</v>
      </c>
      <c r="J27" s="2">
        <v>0.159</v>
      </c>
      <c r="K27" s="1">
        <v>100</v>
      </c>
      <c r="L27" s="1">
        <v>3</v>
      </c>
      <c r="M27" s="1">
        <v>2</v>
      </c>
      <c r="N27" s="1">
        <f t="shared" si="0"/>
        <v>3</v>
      </c>
      <c r="O27" s="1">
        <f t="shared" si="1"/>
        <v>2</v>
      </c>
      <c r="P27" s="1">
        <v>1</v>
      </c>
      <c r="Q27" s="3">
        <v>0.1</v>
      </c>
      <c r="R27" s="14">
        <f t="shared" si="2"/>
        <v>275</v>
      </c>
      <c r="S27" s="2">
        <f t="shared" si="3"/>
        <v>0.17490000000000003</v>
      </c>
      <c r="T27" s="2">
        <f t="shared" si="4"/>
        <v>37.603500000000004</v>
      </c>
      <c r="U27" s="30" t="s">
        <v>20</v>
      </c>
      <c r="V27" s="30" t="s">
        <v>183</v>
      </c>
      <c r="W27" s="10">
        <v>42500</v>
      </c>
      <c r="Y27" s="22" t="s">
        <v>121</v>
      </c>
    </row>
    <row r="28" spans="1:25" x14ac:dyDescent="0.25">
      <c r="A28" s="4">
        <f t="shared" si="5"/>
        <v>26</v>
      </c>
      <c r="B28" s="12" t="s">
        <v>246</v>
      </c>
      <c r="C28" s="5" t="s">
        <v>21</v>
      </c>
      <c r="D28" s="5" t="s">
        <v>22</v>
      </c>
      <c r="E28" s="5" t="s">
        <v>177</v>
      </c>
      <c r="F28" s="8" t="s">
        <v>178</v>
      </c>
      <c r="H28" s="1" t="s">
        <v>23</v>
      </c>
      <c r="I28" s="1" t="s">
        <v>179</v>
      </c>
      <c r="J28" s="2">
        <v>0.08</v>
      </c>
      <c r="K28" s="1">
        <v>100</v>
      </c>
      <c r="L28" s="1">
        <v>4</v>
      </c>
      <c r="N28" s="1">
        <f t="shared" si="0"/>
        <v>8</v>
      </c>
      <c r="O28" s="1">
        <f t="shared" si="1"/>
        <v>0</v>
      </c>
      <c r="P28" s="1">
        <v>2</v>
      </c>
      <c r="Q28" s="3">
        <v>0.1</v>
      </c>
      <c r="R28" s="14">
        <f t="shared" si="2"/>
        <v>550</v>
      </c>
      <c r="S28" s="2">
        <f t="shared" si="3"/>
        <v>0.17600000000000002</v>
      </c>
      <c r="T28" s="2">
        <f t="shared" si="4"/>
        <v>37.840000000000003</v>
      </c>
      <c r="U28" s="33" t="s">
        <v>24</v>
      </c>
      <c r="V28" s="33" t="s">
        <v>25</v>
      </c>
      <c r="W28" s="10"/>
      <c r="X28" s="5" t="s">
        <v>26</v>
      </c>
    </row>
    <row r="29" spans="1:25" x14ac:dyDescent="0.25">
      <c r="A29" s="4">
        <f t="shared" si="5"/>
        <v>27</v>
      </c>
      <c r="B29" s="12" t="s">
        <v>247</v>
      </c>
      <c r="C29" s="5" t="s">
        <v>90</v>
      </c>
      <c r="D29" s="5" t="s">
        <v>91</v>
      </c>
      <c r="E29" s="5" t="s">
        <v>92</v>
      </c>
      <c r="F29" s="8" t="s">
        <v>93</v>
      </c>
      <c r="H29" s="1" t="s">
        <v>18</v>
      </c>
      <c r="I29" s="1" t="s">
        <v>94</v>
      </c>
      <c r="J29" s="2">
        <v>0.19</v>
      </c>
      <c r="K29" s="1">
        <v>100</v>
      </c>
      <c r="L29" s="1">
        <v>3</v>
      </c>
      <c r="N29" s="1">
        <f t="shared" si="0"/>
        <v>3</v>
      </c>
      <c r="O29" s="1">
        <f t="shared" si="1"/>
        <v>0</v>
      </c>
      <c r="P29" s="1">
        <v>1</v>
      </c>
      <c r="Q29" s="3">
        <v>0.1</v>
      </c>
      <c r="R29" s="14">
        <f t="shared" si="2"/>
        <v>275</v>
      </c>
      <c r="S29" s="2">
        <f t="shared" si="3"/>
        <v>0.20900000000000002</v>
      </c>
      <c r="T29" s="2">
        <f t="shared" si="4"/>
        <v>44.935000000000002</v>
      </c>
      <c r="U29" s="30" t="s">
        <v>20</v>
      </c>
      <c r="V29" s="30" t="s">
        <v>183</v>
      </c>
      <c r="W29" s="10">
        <v>42373</v>
      </c>
      <c r="Y29" s="22" t="s">
        <v>95</v>
      </c>
    </row>
    <row r="30" spans="1:25" x14ac:dyDescent="0.25">
      <c r="A30" s="4">
        <f t="shared" si="5"/>
        <v>28</v>
      </c>
      <c r="B30" s="12" t="s">
        <v>192</v>
      </c>
      <c r="C30" s="5" t="s">
        <v>72</v>
      </c>
      <c r="D30" s="12" t="s">
        <v>73</v>
      </c>
      <c r="E30" s="5" t="s">
        <v>74</v>
      </c>
      <c r="F30" s="8" t="s">
        <v>75</v>
      </c>
      <c r="H30" s="27" t="s">
        <v>18</v>
      </c>
      <c r="I30" s="1" t="s">
        <v>76</v>
      </c>
      <c r="J30" s="2">
        <v>4.1500000000000004</v>
      </c>
      <c r="K30" s="1">
        <v>100</v>
      </c>
      <c r="L30" s="1">
        <v>38</v>
      </c>
      <c r="N30" s="1">
        <f t="shared" si="0"/>
        <v>38</v>
      </c>
      <c r="O30" s="1">
        <f t="shared" si="1"/>
        <v>0</v>
      </c>
      <c r="P30" s="1">
        <v>1</v>
      </c>
      <c r="Q30" s="3">
        <v>0.05</v>
      </c>
      <c r="R30" s="14">
        <v>260</v>
      </c>
      <c r="S30" s="2">
        <f t="shared" si="3"/>
        <v>4.3575000000000008</v>
      </c>
      <c r="T30" s="2">
        <f t="shared" si="4"/>
        <v>936.86250000000018</v>
      </c>
      <c r="U30" s="30" t="s">
        <v>20</v>
      </c>
      <c r="V30" s="30" t="s">
        <v>183</v>
      </c>
      <c r="W30" s="10"/>
    </row>
    <row r="31" spans="1:25" x14ac:dyDescent="0.25">
      <c r="A31" s="4">
        <f t="shared" si="5"/>
        <v>29</v>
      </c>
      <c r="B31" s="12" t="s">
        <v>198</v>
      </c>
      <c r="C31" s="5" t="s">
        <v>77</v>
      </c>
      <c r="D31" s="5" t="s">
        <v>148</v>
      </c>
      <c r="E31" s="5" t="s">
        <v>78</v>
      </c>
      <c r="F31" s="8" t="s">
        <v>149</v>
      </c>
      <c r="H31" s="1" t="s">
        <v>18</v>
      </c>
      <c r="I31" s="1" t="s">
        <v>22</v>
      </c>
      <c r="J31" s="2">
        <v>0.7</v>
      </c>
      <c r="K31" s="1">
        <v>200</v>
      </c>
      <c r="L31" s="1">
        <v>8</v>
      </c>
      <c r="N31" s="1">
        <f t="shared" si="0"/>
        <v>8</v>
      </c>
      <c r="O31" s="1">
        <f t="shared" si="1"/>
        <v>0</v>
      </c>
      <c r="P31" s="1">
        <v>1</v>
      </c>
      <c r="Q31" s="3">
        <v>0.2</v>
      </c>
      <c r="R31" s="14">
        <f>P31*250*(1+Q31)</f>
        <v>300</v>
      </c>
      <c r="S31" s="2">
        <f t="shared" si="3"/>
        <v>0.84</v>
      </c>
      <c r="T31" s="2">
        <f t="shared" si="4"/>
        <v>180.6</v>
      </c>
      <c r="U31" s="32" t="s">
        <v>78</v>
      </c>
      <c r="V31" s="32" t="s">
        <v>185</v>
      </c>
      <c r="W31" s="10"/>
      <c r="X31" s="5" t="s">
        <v>79</v>
      </c>
    </row>
    <row r="32" spans="1:25" x14ac:dyDescent="0.25">
      <c r="A32" s="4">
        <f t="shared" si="5"/>
        <v>30</v>
      </c>
      <c r="B32" s="12" t="s">
        <v>248</v>
      </c>
      <c r="C32" s="5" t="s">
        <v>80</v>
      </c>
      <c r="D32" s="5" t="s">
        <v>81</v>
      </c>
      <c r="E32" s="5" t="s">
        <v>74</v>
      </c>
      <c r="F32" s="8" t="s">
        <v>82</v>
      </c>
      <c r="H32" s="1" t="s">
        <v>18</v>
      </c>
      <c r="I32" s="11" t="s">
        <v>83</v>
      </c>
      <c r="J32" s="2">
        <v>2.73</v>
      </c>
      <c r="K32" s="1">
        <v>100</v>
      </c>
      <c r="L32" s="1">
        <v>24</v>
      </c>
      <c r="N32" s="1">
        <f t="shared" si="0"/>
        <v>24</v>
      </c>
      <c r="O32" s="1">
        <f t="shared" si="1"/>
        <v>0</v>
      </c>
      <c r="P32" s="1">
        <v>1</v>
      </c>
      <c r="Q32" s="3">
        <v>0.05</v>
      </c>
      <c r="R32" s="14">
        <f>P32*250*(1+Q32)</f>
        <v>262.5</v>
      </c>
      <c r="S32" s="2">
        <f t="shared" si="3"/>
        <v>2.8665000000000003</v>
      </c>
      <c r="T32" s="2">
        <f t="shared" si="4"/>
        <v>616.29750000000001</v>
      </c>
      <c r="U32" s="31" t="s">
        <v>47</v>
      </c>
      <c r="V32" s="31" t="s">
        <v>184</v>
      </c>
      <c r="W32" s="10">
        <v>42500</v>
      </c>
      <c r="Y32" s="22" t="s">
        <v>147</v>
      </c>
    </row>
    <row r="33" spans="1:23" x14ac:dyDescent="0.25">
      <c r="A33" s="4">
        <f t="shared" si="5"/>
        <v>31</v>
      </c>
      <c r="B33" s="12" t="s">
        <v>218</v>
      </c>
      <c r="C33" s="5" t="s">
        <v>84</v>
      </c>
      <c r="D33" s="5" t="s">
        <v>85</v>
      </c>
      <c r="E33" s="5" t="s">
        <v>86</v>
      </c>
      <c r="F33" s="9" t="s">
        <v>87</v>
      </c>
      <c r="G33" s="9"/>
      <c r="H33" s="1" t="s">
        <v>18</v>
      </c>
      <c r="I33" s="1" t="s">
        <v>88</v>
      </c>
      <c r="J33" s="2">
        <v>0.40200000000000002</v>
      </c>
      <c r="K33" s="1">
        <v>100</v>
      </c>
      <c r="L33" s="1">
        <v>6</v>
      </c>
      <c r="N33" s="1">
        <f t="shared" si="0"/>
        <v>6</v>
      </c>
      <c r="O33" s="1">
        <f t="shared" si="1"/>
        <v>0</v>
      </c>
      <c r="P33" s="1">
        <v>1</v>
      </c>
      <c r="Q33" s="3">
        <v>0.1</v>
      </c>
      <c r="R33" s="14">
        <f>P33*250*(1+Q33)</f>
        <v>275</v>
      </c>
      <c r="S33" s="2">
        <f t="shared" si="3"/>
        <v>0.44220000000000004</v>
      </c>
      <c r="T33" s="2">
        <f t="shared" si="4"/>
        <v>95.073000000000008</v>
      </c>
      <c r="U33" s="30" t="s">
        <v>20</v>
      </c>
      <c r="V33" s="30" t="s">
        <v>183</v>
      </c>
      <c r="W33" s="10"/>
    </row>
    <row r="36" spans="1:23" x14ac:dyDescent="0.25">
      <c r="B36" s="143" t="s">
        <v>186</v>
      </c>
      <c r="C36" s="143"/>
      <c r="D36" s="143"/>
      <c r="E36" s="23">
        <f>SUM(N3:N33)</f>
        <v>284</v>
      </c>
    </row>
    <row r="37" spans="1:23" x14ac:dyDescent="0.25">
      <c r="B37" s="143" t="s">
        <v>187</v>
      </c>
      <c r="C37" s="143"/>
      <c r="D37" s="143"/>
      <c r="E37" s="23">
        <f>SUM(O3:O33)</f>
        <v>18</v>
      </c>
    </row>
    <row r="38" spans="1:23" x14ac:dyDescent="0.25">
      <c r="B38" s="143" t="s">
        <v>188</v>
      </c>
      <c r="C38" s="143"/>
      <c r="D38" s="143"/>
      <c r="E38" s="23">
        <f>COUNT(A3:A33)</f>
        <v>31</v>
      </c>
    </row>
    <row r="39" spans="1:23" x14ac:dyDescent="0.25">
      <c r="B39" s="143" t="s">
        <v>189</v>
      </c>
      <c r="C39" s="143"/>
      <c r="D39" s="143"/>
      <c r="E39" s="23">
        <f>SUM(P3:P33)</f>
        <v>110</v>
      </c>
    </row>
  </sheetData>
  <autoFilter ref="A2:Y2" xr:uid="{00000000-0009-0000-0000-000007000000}">
    <sortState xmlns:xlrd2="http://schemas.microsoft.com/office/spreadsheetml/2017/richdata2" ref="A2:Z34">
      <sortCondition ref="B1"/>
    </sortState>
  </autoFilter>
  <sortState xmlns:xlrd2="http://schemas.microsoft.com/office/spreadsheetml/2017/richdata2" ref="B3:AA39">
    <sortCondition descending="1" ref="J3:J39"/>
  </sortState>
  <mergeCells count="5">
    <mergeCell ref="B36:D36"/>
    <mergeCell ref="B37:D37"/>
    <mergeCell ref="B38:D38"/>
    <mergeCell ref="B39:D39"/>
    <mergeCell ref="A1:Y1"/>
  </mergeCells>
  <conditionalFormatting sqref="T3:T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Y29" r:id="rId1" xr:uid="{00000000-0004-0000-0700-000000000000}"/>
    <hyperlink ref="Y19" r:id="rId2" xr:uid="{00000000-0004-0000-0700-000001000000}"/>
    <hyperlink ref="Y15" r:id="rId3" xr:uid="{00000000-0004-0000-0700-000002000000}"/>
    <hyperlink ref="Y14" r:id="rId4" xr:uid="{00000000-0004-0000-0700-000003000000}"/>
    <hyperlink ref="Y17" r:id="rId5" xr:uid="{00000000-0004-0000-0700-000004000000}"/>
    <hyperlink ref="Y27" r:id="rId6" xr:uid="{00000000-0004-0000-0700-000005000000}"/>
    <hyperlink ref="Y18" r:id="rId7" xr:uid="{00000000-0004-0000-0700-000006000000}"/>
    <hyperlink ref="Y21" r:id="rId8" xr:uid="{00000000-0004-0000-0700-000007000000}"/>
    <hyperlink ref="Y11" r:id="rId9" xr:uid="{00000000-0004-0000-0700-000008000000}"/>
    <hyperlink ref="Y4" r:id="rId10" xr:uid="{00000000-0004-0000-0700-000009000000}"/>
    <hyperlink ref="Y32" r:id="rId11" xr:uid="{00000000-0004-0000-0700-00000A000000}"/>
    <hyperlink ref="Y25" r:id="rId12" xr:uid="{00000000-0004-0000-0700-00000B000000}"/>
    <hyperlink ref="Y16" r:id="rId13" xr:uid="{00000000-0004-0000-0700-00000C000000}"/>
    <hyperlink ref="Y23" r:id="rId14" xr:uid="{00000000-0004-0000-0700-00000D000000}"/>
  </hyperlinks>
  <printOptions horizontalCentered="1" headings="1"/>
  <pageMargins left="0.25" right="0.25" top="0.75" bottom="0.75" header="0.3" footer="0.3"/>
  <pageSetup orientation="landscape" r:id="rId15"/>
  <legacyDrawing r:id="rId1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1.42578125" style="52" customWidth="1"/>
    <col min="3" max="3" width="8" style="52" bestFit="1" customWidth="1"/>
    <col min="4" max="4" width="9.140625" style="54"/>
  </cols>
  <sheetData>
    <row r="1" spans="1:5" x14ac:dyDescent="0.25">
      <c r="B1" s="52" t="s">
        <v>411</v>
      </c>
      <c r="C1" s="52" t="s">
        <v>434</v>
      </c>
      <c r="D1" s="54" t="s">
        <v>414</v>
      </c>
      <c r="E1" t="s">
        <v>416</v>
      </c>
    </row>
    <row r="2" spans="1:5" x14ac:dyDescent="0.25">
      <c r="A2" t="s">
        <v>412</v>
      </c>
      <c r="B2" s="52">
        <f>3752.53+250+105</f>
        <v>4107.5300000000007</v>
      </c>
      <c r="C2" s="52">
        <f>B2/'2018'!$F$41</f>
        <v>9.1278444444444453</v>
      </c>
      <c r="D2" s="54">
        <v>15</v>
      </c>
      <c r="E2" t="s">
        <v>417</v>
      </c>
    </row>
    <row r="3" spans="1:5" x14ac:dyDescent="0.25">
      <c r="A3" t="s">
        <v>413</v>
      </c>
      <c r="B3" s="52">
        <v>5400</v>
      </c>
      <c r="C3" s="52">
        <f>B3/'2018'!$F$41</f>
        <v>12</v>
      </c>
      <c r="D3" s="54">
        <v>15</v>
      </c>
      <c r="E3" t="s">
        <v>25</v>
      </c>
    </row>
    <row r="4" spans="1:5" x14ac:dyDescent="0.25">
      <c r="A4" t="s">
        <v>415</v>
      </c>
      <c r="B4" s="52">
        <v>10650</v>
      </c>
      <c r="C4" s="52">
        <f>B4/'2018'!$F$41</f>
        <v>23.666666666666668</v>
      </c>
      <c r="D4" s="54">
        <v>10</v>
      </c>
      <c r="E4" t="s">
        <v>25</v>
      </c>
    </row>
    <row r="5" spans="1:5" x14ac:dyDescent="0.25">
      <c r="A5" t="s">
        <v>418</v>
      </c>
      <c r="B5" s="52">
        <v>9650</v>
      </c>
      <c r="C5" s="52">
        <f>B5/'2018'!$F$41</f>
        <v>21.444444444444443</v>
      </c>
      <c r="D5" s="54">
        <v>15</v>
      </c>
      <c r="E5" t="s">
        <v>25</v>
      </c>
    </row>
    <row r="6" spans="1:5" x14ac:dyDescent="0.25">
      <c r="A6" t="s">
        <v>419</v>
      </c>
      <c r="B6" s="52">
        <v>573.79999999999995</v>
      </c>
      <c r="C6" s="52">
        <f>B6/'2018'!$F$41</f>
        <v>1.2751111111111111</v>
      </c>
      <c r="D6" s="54">
        <v>15</v>
      </c>
      <c r="E6" t="s">
        <v>185</v>
      </c>
    </row>
    <row r="7" spans="1:5" x14ac:dyDescent="0.25">
      <c r="A7" t="s">
        <v>420</v>
      </c>
      <c r="B7" s="52">
        <v>5341</v>
      </c>
      <c r="C7" s="52">
        <f>B7/'2018'!$F$41</f>
        <v>11.86888888888889</v>
      </c>
      <c r="D7" s="54" t="s">
        <v>433</v>
      </c>
      <c r="E7" t="s">
        <v>25</v>
      </c>
    </row>
    <row r="8" spans="1:5" x14ac:dyDescent="0.25">
      <c r="A8" t="s">
        <v>440</v>
      </c>
      <c r="B8" s="52">
        <f>1613+20.46</f>
        <v>1633.46</v>
      </c>
      <c r="C8" s="52">
        <f>B8/'2018'!$F$41</f>
        <v>3.6299111111111113</v>
      </c>
      <c r="D8" s="54" t="s">
        <v>441</v>
      </c>
      <c r="E8" t="s">
        <v>185</v>
      </c>
    </row>
    <row r="11" spans="1:5" x14ac:dyDescent="0.25">
      <c r="B11" s="52">
        <f>(B3)/B2</f>
        <v>1.3146586878245561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workbookViewId="0">
      <selection activeCell="A3" sqref="A3:XFD3"/>
    </sheetView>
  </sheetViews>
  <sheetFormatPr defaultRowHeight="15" x14ac:dyDescent="0.25"/>
  <cols>
    <col min="1" max="1" width="19" bestFit="1" customWidth="1"/>
    <col min="2" max="3" width="11.42578125" style="52" customWidth="1"/>
    <col min="4" max="4" width="8" style="52" bestFit="1" customWidth="1"/>
    <col min="5" max="5" width="8" style="52" customWidth="1"/>
    <col min="6" max="6" width="8.85546875" style="54"/>
  </cols>
  <sheetData>
    <row r="1" spans="1:8" x14ac:dyDescent="0.25">
      <c r="B1" s="52" t="s">
        <v>411</v>
      </c>
      <c r="C1" s="52" t="s">
        <v>546</v>
      </c>
      <c r="D1" s="52" t="s">
        <v>434</v>
      </c>
      <c r="E1" s="52" t="s">
        <v>547</v>
      </c>
      <c r="F1" s="54" t="s">
        <v>414</v>
      </c>
      <c r="G1" t="s">
        <v>416</v>
      </c>
      <c r="H1" t="s">
        <v>543</v>
      </c>
    </row>
    <row r="2" spans="1:8" x14ac:dyDescent="0.25">
      <c r="A2" t="s">
        <v>412</v>
      </c>
      <c r="B2" s="52">
        <f>3491.87+250+105+1750</f>
        <v>5596.87</v>
      </c>
      <c r="C2" s="52">
        <f>2729+250+105+1750</f>
        <v>4834</v>
      </c>
      <c r="D2" s="52">
        <f>B2/'2019'!$G$39</f>
        <v>8.6105692307692312</v>
      </c>
      <c r="E2" s="52">
        <f>C2/'2019'!$G$39</f>
        <v>7.436923076923077</v>
      </c>
      <c r="F2" s="54">
        <v>15</v>
      </c>
      <c r="G2" t="s">
        <v>417</v>
      </c>
      <c r="H2" t="s">
        <v>544</v>
      </c>
    </row>
    <row r="3" spans="1:8" x14ac:dyDescent="0.25">
      <c r="A3" t="s">
        <v>413</v>
      </c>
      <c r="C3" s="52">
        <f>('2018 Quotes'!B3/'2018 Quotes'!$B$2)*'2019 Quotes'!$B$2</f>
        <v>7357.9737701246231</v>
      </c>
      <c r="D3" s="52">
        <f>B3/'2019'!$G$39</f>
        <v>0</v>
      </c>
      <c r="E3" s="52">
        <f>C3/'2019'!$G$39</f>
        <v>11.319959646345573</v>
      </c>
      <c r="F3" s="54">
        <v>20</v>
      </c>
      <c r="G3" t="s">
        <v>25</v>
      </c>
      <c r="H3" t="s">
        <v>545</v>
      </c>
    </row>
    <row r="4" spans="1:8" x14ac:dyDescent="0.25">
      <c r="A4" t="s">
        <v>415</v>
      </c>
      <c r="C4" s="52">
        <f>('2018 Quotes'!B4/'2018 Quotes'!$B$2)*'2019 Quotes'!$B$2</f>
        <v>14511.559379968008</v>
      </c>
      <c r="D4" s="52">
        <f>B4/'2019'!$G$39</f>
        <v>0</v>
      </c>
      <c r="E4" s="52">
        <f>C4/'2019'!$G$39</f>
        <v>22.32547596918155</v>
      </c>
      <c r="F4" s="54">
        <v>10</v>
      </c>
      <c r="G4" t="s">
        <v>25</v>
      </c>
    </row>
    <row r="5" spans="1:8" x14ac:dyDescent="0.25">
      <c r="A5" t="s">
        <v>418</v>
      </c>
      <c r="C5" s="52">
        <f>('2018 Quotes'!B5/'2018 Quotes'!$B$2)*'2019 Quotes'!$B$2</f>
        <v>13148.971644759744</v>
      </c>
      <c r="D5" s="52">
        <f>B5/'2019'!$G$39</f>
        <v>0</v>
      </c>
      <c r="E5" s="52">
        <f>C5/'2019'!$G$39</f>
        <v>20.22918714578422</v>
      </c>
      <c r="F5" s="54">
        <v>15</v>
      </c>
      <c r="G5" t="s">
        <v>25</v>
      </c>
    </row>
    <row r="6" spans="1:8" x14ac:dyDescent="0.25">
      <c r="A6" t="s">
        <v>419</v>
      </c>
      <c r="C6" s="52">
        <f>('2018 Quotes'!B6/'2018 Quotes'!$B$2)*'2019 Quotes'!$B$2</f>
        <v>781.8528424625016</v>
      </c>
      <c r="D6" s="52">
        <f>B6/'2019'!$G$39</f>
        <v>0</v>
      </c>
      <c r="E6" s="52">
        <f>C6/'2019'!$G$39</f>
        <v>1.2028505268653871</v>
      </c>
      <c r="F6" s="54">
        <v>15</v>
      </c>
      <c r="G6" t="s">
        <v>185</v>
      </c>
    </row>
    <row r="7" spans="1:8" x14ac:dyDescent="0.25">
      <c r="A7" t="s">
        <v>420</v>
      </c>
      <c r="B7" s="52">
        <v>8500</v>
      </c>
      <c r="C7" s="52">
        <f>('2018 Quotes'!B7/'2018 Quotes'!$B$2)*'2019 Quotes'!$B$2</f>
        <v>7277.5810937473361</v>
      </c>
      <c r="D7" s="52">
        <f>B7/'2019'!$G$39</f>
        <v>13.076923076923077</v>
      </c>
      <c r="E7" s="52">
        <f>C7/'2019'!$G$39</f>
        <v>11.196278605765132</v>
      </c>
      <c r="F7" s="54">
        <v>20</v>
      </c>
      <c r="G7" t="s">
        <v>25</v>
      </c>
    </row>
    <row r="8" spans="1:8" x14ac:dyDescent="0.25">
      <c r="A8" t="s">
        <v>440</v>
      </c>
      <c r="C8" s="52">
        <f>('2018 Quotes'!B8/'2018 Quotes'!$B$2)*'2019 Quotes'!$B$2</f>
        <v>2225.7325619532903</v>
      </c>
      <c r="D8" s="52">
        <f>B8/'2019'!$G$39</f>
        <v>0</v>
      </c>
      <c r="E8" s="52">
        <f>C8/'2019'!$G$39</f>
        <v>3.4242039414666006</v>
      </c>
      <c r="F8" s="54" t="s">
        <v>441</v>
      </c>
      <c r="G8" t="s">
        <v>185</v>
      </c>
    </row>
    <row r="9" spans="1:8" x14ac:dyDescent="0.25">
      <c r="A9" t="s">
        <v>542</v>
      </c>
      <c r="B9" s="52">
        <f>1109+789+264</f>
        <v>2162</v>
      </c>
      <c r="C9" s="52">
        <f>('2018 Quotes'!B9/'2018 Quotes'!$B$2)*'2019 Quotes'!$B$2</f>
        <v>0</v>
      </c>
      <c r="D9" s="52">
        <f>B9/'2019'!$G$39</f>
        <v>3.3261538461538462</v>
      </c>
      <c r="E9" s="52">
        <f>C9/'2019'!$G$39</f>
        <v>0</v>
      </c>
      <c r="F9" s="54">
        <v>30</v>
      </c>
      <c r="G9" t="s">
        <v>185</v>
      </c>
    </row>
    <row r="10" spans="1:8" x14ac:dyDescent="0.25">
      <c r="A10" t="s">
        <v>588</v>
      </c>
      <c r="B10" s="52">
        <v>12724</v>
      </c>
      <c r="D10" s="52">
        <f>B10/'2019'!$G$39</f>
        <v>19.575384615384614</v>
      </c>
      <c r="F10" s="54">
        <v>30</v>
      </c>
      <c r="G10" s="88" t="s">
        <v>185</v>
      </c>
    </row>
    <row r="13" spans="1:8" x14ac:dyDescent="0.25">
      <c r="A13" t="s">
        <v>548</v>
      </c>
      <c r="B13" s="52">
        <v>7500</v>
      </c>
    </row>
    <row r="14" spans="1:8" x14ac:dyDescent="0.25">
      <c r="A14" t="s">
        <v>549</v>
      </c>
      <c r="B14" s="52">
        <f>'2019'!G45</f>
        <v>15478.947405000006</v>
      </c>
    </row>
    <row r="15" spans="1:8" x14ac:dyDescent="0.25">
      <c r="A15" t="s">
        <v>550</v>
      </c>
      <c r="B15" s="52">
        <v>750</v>
      </c>
    </row>
    <row r="16" spans="1:8" x14ac:dyDescent="0.25">
      <c r="A16" t="s">
        <v>551</v>
      </c>
      <c r="B16" s="52">
        <v>1500</v>
      </c>
    </row>
    <row r="17" spans="1:2" x14ac:dyDescent="0.25">
      <c r="A17" t="s">
        <v>574</v>
      </c>
      <c r="B17" s="52">
        <v>600</v>
      </c>
    </row>
    <row r="18" spans="1:2" x14ac:dyDescent="0.25">
      <c r="A18" t="s">
        <v>578</v>
      </c>
      <c r="B18" s="52">
        <v>100</v>
      </c>
    </row>
    <row r="22" spans="1:2" x14ac:dyDescent="0.25">
      <c r="A22" s="84" t="s">
        <v>552</v>
      </c>
      <c r="B22" s="83">
        <f>SUM(B13:B21)</f>
        <v>25928.947405000006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2022</vt:lpstr>
      <vt:lpstr>2021</vt:lpstr>
      <vt:lpstr>2021 Quotes</vt:lpstr>
      <vt:lpstr>2019</vt:lpstr>
      <vt:lpstr>2018</vt:lpstr>
      <vt:lpstr>2017</vt:lpstr>
      <vt:lpstr>2016</vt:lpstr>
      <vt:lpstr>2018 Quotes</vt:lpstr>
      <vt:lpstr>2019 Quotes</vt:lpstr>
      <vt:lpstr>'2016'!Print_Titles</vt:lpstr>
      <vt:lpstr>'2017'!Print_Titles</vt:lpstr>
      <vt:lpstr>'2018'!Print_Titles</vt:lpstr>
      <vt:lpstr>'2019'!Print_Titles</vt:lpstr>
      <vt:lpstr>'2021'!Print_Titles</vt:lpstr>
      <vt:lpstr>'2022'!Print_Titles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Evan</cp:lastModifiedBy>
  <cp:revision/>
  <cp:lastPrinted>2021-06-24T22:56:17Z</cp:lastPrinted>
  <dcterms:created xsi:type="dcterms:W3CDTF">2014-04-13T22:19:22Z</dcterms:created>
  <dcterms:modified xsi:type="dcterms:W3CDTF">2022-06-30T23:04:32Z</dcterms:modified>
</cp:coreProperties>
</file>