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G:\My Drive\UCD\SupplyChainManagement\MiracleGroAssignment\"/>
    </mc:Choice>
  </mc:AlternateContent>
  <xr:revisionPtr revIDLastSave="0" documentId="13_ncr:1_{C4783551-0BEF-4AB8-AF05-CDDDA3EBA7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sts" sheetId="1" r:id="rId1"/>
    <sheet name="DemandEstimate" sheetId="2" r:id="rId2"/>
    <sheet name="CostPieChartUSA" sheetId="6" r:id="rId3"/>
    <sheet name="CostPieChartOutsource" sheetId="7" r:id="rId4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DemandEstimate!$L$1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1" l="1"/>
  <c r="E95" i="1"/>
  <c r="F95" i="1"/>
  <c r="G95" i="1"/>
  <c r="H95" i="1"/>
  <c r="I95" i="1"/>
  <c r="J95" i="1"/>
  <c r="K95" i="1"/>
  <c r="L95" i="1"/>
  <c r="C95" i="1"/>
  <c r="D139" i="1"/>
  <c r="E139" i="1"/>
  <c r="F139" i="1"/>
  <c r="G139" i="1"/>
  <c r="H139" i="1"/>
  <c r="I139" i="1"/>
  <c r="J139" i="1"/>
  <c r="K139" i="1"/>
  <c r="L139" i="1"/>
  <c r="C139" i="1"/>
  <c r="D119" i="1"/>
  <c r="E119" i="1"/>
  <c r="F119" i="1"/>
  <c r="G119" i="1"/>
  <c r="H119" i="1"/>
  <c r="I119" i="1"/>
  <c r="J119" i="1"/>
  <c r="K119" i="1"/>
  <c r="L119" i="1"/>
  <c r="C119" i="1"/>
  <c r="D81" i="1"/>
  <c r="E81" i="1"/>
  <c r="F81" i="1"/>
  <c r="G81" i="1"/>
  <c r="H81" i="1"/>
  <c r="I81" i="1"/>
  <c r="J81" i="1"/>
  <c r="K81" i="1"/>
  <c r="L81" i="1"/>
  <c r="C81" i="1"/>
  <c r="D63" i="1"/>
  <c r="E63" i="1"/>
  <c r="F63" i="1"/>
  <c r="G63" i="1"/>
  <c r="H63" i="1"/>
  <c r="I63" i="1"/>
  <c r="J63" i="1"/>
  <c r="K63" i="1"/>
  <c r="L63" i="1"/>
  <c r="C63" i="1"/>
  <c r="D45" i="1"/>
  <c r="E45" i="1"/>
  <c r="F45" i="1"/>
  <c r="G45" i="1"/>
  <c r="H45" i="1"/>
  <c r="I45" i="1"/>
  <c r="J45" i="1"/>
  <c r="K45" i="1"/>
  <c r="L45" i="1"/>
  <c r="C45" i="1"/>
  <c r="D27" i="1"/>
  <c r="E27" i="1"/>
  <c r="F27" i="1"/>
  <c r="G27" i="1"/>
  <c r="H27" i="1"/>
  <c r="I27" i="1"/>
  <c r="J27" i="1"/>
  <c r="K27" i="1"/>
  <c r="L27" i="1"/>
  <c r="C27" i="1"/>
  <c r="D13" i="1"/>
  <c r="E13" i="1"/>
  <c r="F13" i="1"/>
  <c r="G13" i="1"/>
  <c r="H13" i="1"/>
  <c r="I13" i="1"/>
  <c r="J13" i="1"/>
  <c r="K13" i="1"/>
  <c r="L13" i="1"/>
  <c r="C13" i="1"/>
  <c r="I19" i="1"/>
  <c r="J19" i="1"/>
  <c r="K19" i="1" s="1"/>
  <c r="L19" i="1" s="1"/>
  <c r="H19" i="1"/>
  <c r="E19" i="1"/>
  <c r="F19" i="1"/>
  <c r="G19" i="1" s="1"/>
  <c r="D19" i="1"/>
  <c r="I5" i="1"/>
  <c r="J5" i="1" s="1"/>
  <c r="K5" i="1" s="1"/>
  <c r="L5" i="1" s="1"/>
  <c r="H5" i="1"/>
  <c r="E5" i="1"/>
  <c r="F5" i="1" s="1"/>
  <c r="G5" i="1" s="1"/>
  <c r="D5" i="1"/>
  <c r="F135" i="1"/>
  <c r="G135" i="1"/>
  <c r="H135" i="1"/>
  <c r="I135" i="1"/>
  <c r="J135" i="1"/>
  <c r="K135" i="1"/>
  <c r="L135" i="1"/>
  <c r="E135" i="1"/>
  <c r="D135" i="1"/>
  <c r="C135" i="1"/>
  <c r="C115" i="1"/>
  <c r="H115" i="1"/>
  <c r="I115" i="1"/>
  <c r="J115" i="1"/>
  <c r="K115" i="1"/>
  <c r="L115" i="1"/>
  <c r="D77" i="1"/>
  <c r="E77" i="1"/>
  <c r="F77" i="1"/>
  <c r="G77" i="1"/>
  <c r="H77" i="1"/>
  <c r="I77" i="1"/>
  <c r="J77" i="1"/>
  <c r="K77" i="1"/>
  <c r="L77" i="1"/>
  <c r="C77" i="1"/>
  <c r="D59" i="1"/>
  <c r="E59" i="1"/>
  <c r="F59" i="1"/>
  <c r="G59" i="1"/>
  <c r="H59" i="1"/>
  <c r="I59" i="1"/>
  <c r="J59" i="1"/>
  <c r="K59" i="1"/>
  <c r="L59" i="1"/>
  <c r="C59" i="1"/>
  <c r="D11" i="1"/>
  <c r="D25" i="1" s="1"/>
  <c r="C25" i="1"/>
  <c r="D22" i="1"/>
  <c r="C22" i="1"/>
  <c r="C21" i="1"/>
  <c r="C20" i="1"/>
  <c r="D20" i="1" s="1"/>
  <c r="E20" i="1" s="1"/>
  <c r="F20" i="1" s="1"/>
  <c r="G20" i="1" s="1"/>
  <c r="H20" i="1" s="1"/>
  <c r="I20" i="1" s="1"/>
  <c r="J20" i="1" s="1"/>
  <c r="K20" i="1" s="1"/>
  <c r="L20" i="1" s="1"/>
  <c r="C19" i="1"/>
  <c r="D18" i="1"/>
  <c r="D17" i="1"/>
  <c r="E17" i="1" s="1"/>
  <c r="D31" i="1"/>
  <c r="E31" i="1" s="1"/>
  <c r="F31" i="1" s="1"/>
  <c r="G31" i="1" s="1"/>
  <c r="H31" i="1" s="1"/>
  <c r="I31" i="1" s="1"/>
  <c r="J31" i="1" s="1"/>
  <c r="K31" i="1" s="1"/>
  <c r="L31" i="1" s="1"/>
  <c r="C33" i="1"/>
  <c r="F33" i="1" s="1"/>
  <c r="C35" i="1"/>
  <c r="F35" i="1" s="1"/>
  <c r="F127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D39" i="1"/>
  <c r="E39" i="1" s="1"/>
  <c r="F39" i="1" s="1"/>
  <c r="G39" i="1" s="1"/>
  <c r="H39" i="1" s="1"/>
  <c r="I39" i="1" s="1"/>
  <c r="J39" i="1" s="1"/>
  <c r="K39" i="1" s="1"/>
  <c r="L39" i="1" s="1"/>
  <c r="D133" i="1"/>
  <c r="D128" i="1"/>
  <c r="C128" i="1"/>
  <c r="D127" i="1"/>
  <c r="C127" i="1"/>
  <c r="I126" i="1"/>
  <c r="J126" i="1" s="1"/>
  <c r="K126" i="1" s="1"/>
  <c r="L126" i="1" s="1"/>
  <c r="C126" i="1"/>
  <c r="D126" i="1" s="1"/>
  <c r="C125" i="1"/>
  <c r="D125" i="1" s="1"/>
  <c r="I124" i="1"/>
  <c r="J124" i="1" s="1"/>
  <c r="F124" i="1"/>
  <c r="G124" i="1" s="1"/>
  <c r="D124" i="1"/>
  <c r="I123" i="1"/>
  <c r="J123" i="1" s="1"/>
  <c r="D123" i="1"/>
  <c r="D113" i="1"/>
  <c r="E113" i="1" s="1"/>
  <c r="F113" i="1" s="1"/>
  <c r="G113" i="1" s="1"/>
  <c r="D108" i="1"/>
  <c r="C108" i="1"/>
  <c r="G107" i="1"/>
  <c r="F107" i="1"/>
  <c r="E107" i="1"/>
  <c r="D107" i="1"/>
  <c r="C107" i="1"/>
  <c r="C106" i="1"/>
  <c r="C105" i="1"/>
  <c r="D104" i="1"/>
  <c r="E104" i="1" s="1"/>
  <c r="F104" i="1" s="1"/>
  <c r="G104" i="1" s="1"/>
  <c r="I104" i="1" s="1"/>
  <c r="J104" i="1" s="1"/>
  <c r="K104" i="1" s="1"/>
  <c r="L104" i="1" s="1"/>
  <c r="D103" i="1"/>
  <c r="D97" i="1"/>
  <c r="E97" i="1"/>
  <c r="F97" i="1"/>
  <c r="G97" i="1"/>
  <c r="H97" i="1"/>
  <c r="I97" i="1"/>
  <c r="J97" i="1"/>
  <c r="K97" i="1"/>
  <c r="L97" i="1"/>
  <c r="D93" i="1"/>
  <c r="E93" i="1" s="1"/>
  <c r="F93" i="1" s="1"/>
  <c r="G93" i="1" s="1"/>
  <c r="H93" i="1" s="1"/>
  <c r="I93" i="1" s="1"/>
  <c r="J93" i="1" s="1"/>
  <c r="K93" i="1" s="1"/>
  <c r="L93" i="1" s="1"/>
  <c r="C92" i="1"/>
  <c r="D92" i="1" s="1"/>
  <c r="E92" i="1" s="1"/>
  <c r="F92" i="1" s="1"/>
  <c r="G92" i="1" s="1"/>
  <c r="H92" i="1" s="1"/>
  <c r="I92" i="1" s="1"/>
  <c r="J92" i="1" s="1"/>
  <c r="K92" i="1" s="1"/>
  <c r="L92" i="1" s="1"/>
  <c r="C90" i="1"/>
  <c r="G90" i="1" s="1"/>
  <c r="C88" i="1"/>
  <c r="F88" i="1" s="1"/>
  <c r="D86" i="1"/>
  <c r="E86" i="1" s="1"/>
  <c r="F86" i="1" s="1"/>
  <c r="G86" i="1" s="1"/>
  <c r="H86" i="1" s="1"/>
  <c r="I86" i="1" s="1"/>
  <c r="J86" i="1" s="1"/>
  <c r="K86" i="1" s="1"/>
  <c r="L86" i="1" s="1"/>
  <c r="D10" i="2"/>
  <c r="D14" i="2"/>
  <c r="E79" i="1"/>
  <c r="F79" i="1"/>
  <c r="G79" i="1"/>
  <c r="H79" i="1"/>
  <c r="I79" i="1"/>
  <c r="J79" i="1"/>
  <c r="K79" i="1"/>
  <c r="L79" i="1"/>
  <c r="D79" i="1"/>
  <c r="D75" i="1"/>
  <c r="E75" i="1" s="1"/>
  <c r="F75" i="1" s="1"/>
  <c r="G75" i="1" s="1"/>
  <c r="H75" i="1" s="1"/>
  <c r="I75" i="1" s="1"/>
  <c r="J75" i="1" s="1"/>
  <c r="K75" i="1" s="1"/>
  <c r="L75" i="1" s="1"/>
  <c r="C74" i="1"/>
  <c r="D74" i="1" s="1"/>
  <c r="E74" i="1" s="1"/>
  <c r="F74" i="1" s="1"/>
  <c r="G74" i="1" s="1"/>
  <c r="H74" i="1" s="1"/>
  <c r="I74" i="1" s="1"/>
  <c r="J74" i="1" s="1"/>
  <c r="K74" i="1" s="1"/>
  <c r="L74" i="1" s="1"/>
  <c r="C71" i="1"/>
  <c r="E71" i="1" s="1"/>
  <c r="C69" i="1"/>
  <c r="C70" i="1" s="1"/>
  <c r="D67" i="1"/>
  <c r="E67" i="1" s="1"/>
  <c r="E61" i="1"/>
  <c r="F61" i="1"/>
  <c r="G61" i="1"/>
  <c r="H61" i="1"/>
  <c r="I61" i="1"/>
  <c r="J61" i="1"/>
  <c r="K61" i="1"/>
  <c r="L61" i="1"/>
  <c r="D61" i="1"/>
  <c r="H43" i="1"/>
  <c r="I43" i="1"/>
  <c r="J43" i="1"/>
  <c r="K43" i="1"/>
  <c r="L43" i="1"/>
  <c r="D8" i="1"/>
  <c r="C8" i="1"/>
  <c r="D57" i="1"/>
  <c r="E57" i="1" s="1"/>
  <c r="F57" i="1" s="1"/>
  <c r="G57" i="1" s="1"/>
  <c r="H57" i="1" s="1"/>
  <c r="I57" i="1" s="1"/>
  <c r="J57" i="1" s="1"/>
  <c r="K57" i="1" s="1"/>
  <c r="L57" i="1" s="1"/>
  <c r="C56" i="1"/>
  <c r="D56" i="1" s="1"/>
  <c r="E56" i="1" s="1"/>
  <c r="F56" i="1" s="1"/>
  <c r="G56" i="1" s="1"/>
  <c r="H56" i="1" s="1"/>
  <c r="I56" i="1" s="1"/>
  <c r="J56" i="1" s="1"/>
  <c r="K56" i="1" s="1"/>
  <c r="L56" i="1" s="1"/>
  <c r="C53" i="1"/>
  <c r="H53" i="1" s="1"/>
  <c r="C51" i="1"/>
  <c r="C52" i="1" s="1"/>
  <c r="D49" i="1"/>
  <c r="E43" i="1"/>
  <c r="F43" i="1"/>
  <c r="G43" i="1"/>
  <c r="D43" i="1"/>
  <c r="C8" i="2"/>
  <c r="D8" i="2" s="1"/>
  <c r="C9" i="2"/>
  <c r="C10" i="2"/>
  <c r="C11" i="2"/>
  <c r="D11" i="2" s="1"/>
  <c r="C12" i="2"/>
  <c r="D12" i="2" s="1"/>
  <c r="C13" i="2"/>
  <c r="C14" i="2"/>
  <c r="C15" i="2"/>
  <c r="D15" i="2" s="1"/>
  <c r="C16" i="2"/>
  <c r="D16" i="2" s="1"/>
  <c r="C7" i="2"/>
  <c r="J96" i="1" l="1"/>
  <c r="D115" i="1"/>
  <c r="E11" i="1"/>
  <c r="H33" i="1"/>
  <c r="H34" i="1" s="1"/>
  <c r="C24" i="1"/>
  <c r="C26" i="1" s="1"/>
  <c r="K33" i="1"/>
  <c r="K35" i="1"/>
  <c r="L35" i="1"/>
  <c r="D35" i="1"/>
  <c r="D129" i="1"/>
  <c r="D136" i="1" s="1"/>
  <c r="H35" i="1"/>
  <c r="G35" i="1"/>
  <c r="G127" i="1" s="1"/>
  <c r="G33" i="1"/>
  <c r="G125" i="1" s="1"/>
  <c r="F17" i="1"/>
  <c r="E18" i="1"/>
  <c r="F18" i="1" s="1"/>
  <c r="G18" i="1" s="1"/>
  <c r="H18" i="1" s="1"/>
  <c r="I18" i="1" s="1"/>
  <c r="J18" i="1" s="1"/>
  <c r="K18" i="1" s="1"/>
  <c r="L18" i="1" s="1"/>
  <c r="L33" i="1"/>
  <c r="D33" i="1"/>
  <c r="F34" i="1"/>
  <c r="F129" i="1" s="1"/>
  <c r="I35" i="1"/>
  <c r="E35" i="1"/>
  <c r="E127" i="1" s="1"/>
  <c r="C34" i="1"/>
  <c r="C36" i="1" s="1"/>
  <c r="I33" i="1"/>
  <c r="E33" i="1"/>
  <c r="J35" i="1"/>
  <c r="J33" i="1"/>
  <c r="E133" i="1"/>
  <c r="F125" i="1"/>
  <c r="K123" i="1"/>
  <c r="K124" i="1"/>
  <c r="C129" i="1"/>
  <c r="D9" i="2"/>
  <c r="D13" i="2"/>
  <c r="C109" i="1"/>
  <c r="C116" i="1" s="1"/>
  <c r="D105" i="1"/>
  <c r="E105" i="1" s="1"/>
  <c r="F105" i="1" s="1"/>
  <c r="J90" i="1"/>
  <c r="E103" i="1"/>
  <c r="D106" i="1"/>
  <c r="E106" i="1" s="1"/>
  <c r="F106" i="1" s="1"/>
  <c r="G106" i="1" s="1"/>
  <c r="I106" i="1" s="1"/>
  <c r="J106" i="1" s="1"/>
  <c r="K106" i="1" s="1"/>
  <c r="L106" i="1" s="1"/>
  <c r="F90" i="1"/>
  <c r="D88" i="1"/>
  <c r="D89" i="1" s="1"/>
  <c r="E88" i="1"/>
  <c r="E89" i="1" s="1"/>
  <c r="L88" i="1"/>
  <c r="L89" i="1" s="1"/>
  <c r="D90" i="1"/>
  <c r="D96" i="1" s="1"/>
  <c r="I90" i="1"/>
  <c r="E90" i="1"/>
  <c r="K88" i="1"/>
  <c r="G88" i="1"/>
  <c r="L90" i="1"/>
  <c r="H90" i="1"/>
  <c r="I88" i="1"/>
  <c r="H88" i="1"/>
  <c r="J88" i="1"/>
  <c r="J89" i="1" s="1"/>
  <c r="K90" i="1"/>
  <c r="C54" i="1"/>
  <c r="C60" i="1" s="1"/>
  <c r="C72" i="1"/>
  <c r="C78" i="1" s="1"/>
  <c r="C89" i="1"/>
  <c r="C96" i="1" s="1"/>
  <c r="H69" i="1"/>
  <c r="G69" i="1"/>
  <c r="I51" i="1"/>
  <c r="H71" i="1"/>
  <c r="E51" i="1"/>
  <c r="L69" i="1"/>
  <c r="J53" i="1"/>
  <c r="E53" i="1"/>
  <c r="D53" i="1"/>
  <c r="G53" i="1"/>
  <c r="K69" i="1"/>
  <c r="F69" i="1"/>
  <c r="I53" i="1"/>
  <c r="D51" i="1"/>
  <c r="K53" i="1"/>
  <c r="F53" i="1"/>
  <c r="J69" i="1"/>
  <c r="L71" i="1"/>
  <c r="L51" i="1"/>
  <c r="H51" i="1"/>
  <c r="K71" i="1"/>
  <c r="G71" i="1"/>
  <c r="K51" i="1"/>
  <c r="G51" i="1"/>
  <c r="L53" i="1"/>
  <c r="D69" i="1"/>
  <c r="I69" i="1"/>
  <c r="E69" i="1"/>
  <c r="J71" i="1"/>
  <c r="F71" i="1"/>
  <c r="J51" i="1"/>
  <c r="F51" i="1"/>
  <c r="D71" i="1"/>
  <c r="I71" i="1"/>
  <c r="F67" i="1"/>
  <c r="E49" i="1"/>
  <c r="G89" i="1" l="1"/>
  <c r="G96" i="1" s="1"/>
  <c r="G98" i="1" s="1"/>
  <c r="G99" i="1" s="1"/>
  <c r="E96" i="1"/>
  <c r="E98" i="1" s="1"/>
  <c r="E99" i="1" s="1"/>
  <c r="C136" i="1"/>
  <c r="C138" i="1" s="1"/>
  <c r="L96" i="1"/>
  <c r="L98" i="1" s="1"/>
  <c r="L99" i="1" s="1"/>
  <c r="K89" i="1"/>
  <c r="K96" i="1" s="1"/>
  <c r="K98" i="1" s="1"/>
  <c r="K99" i="1" s="1"/>
  <c r="D138" i="1"/>
  <c r="D116" i="1"/>
  <c r="F11" i="1"/>
  <c r="E115" i="1"/>
  <c r="E25" i="1"/>
  <c r="C80" i="1"/>
  <c r="H36" i="1"/>
  <c r="H42" i="1" s="1"/>
  <c r="C62" i="1"/>
  <c r="D34" i="1"/>
  <c r="D36" i="1" s="1"/>
  <c r="D42" i="1" s="1"/>
  <c r="G34" i="1"/>
  <c r="L34" i="1"/>
  <c r="L36" i="1" s="1"/>
  <c r="K34" i="1"/>
  <c r="K129" i="1" s="1"/>
  <c r="C42" i="1"/>
  <c r="F130" i="1"/>
  <c r="G17" i="1"/>
  <c r="J34" i="1"/>
  <c r="J36" i="1" s="1"/>
  <c r="I34" i="1"/>
  <c r="I129" i="1" s="1"/>
  <c r="E34" i="1"/>
  <c r="E36" i="1" s="1"/>
  <c r="E125" i="1"/>
  <c r="F36" i="1"/>
  <c r="F42" i="1" s="1"/>
  <c r="E132" i="1"/>
  <c r="J107" i="1"/>
  <c r="J127" i="1"/>
  <c r="I105" i="1"/>
  <c r="I125" i="1"/>
  <c r="K105" i="1"/>
  <c r="K125" i="1"/>
  <c r="H107" i="1"/>
  <c r="H127" i="1"/>
  <c r="I107" i="1"/>
  <c r="I127" i="1"/>
  <c r="K107" i="1"/>
  <c r="K127" i="1"/>
  <c r="L107" i="1"/>
  <c r="L127" i="1"/>
  <c r="J105" i="1"/>
  <c r="J125" i="1"/>
  <c r="H105" i="1"/>
  <c r="H125" i="1"/>
  <c r="L105" i="1"/>
  <c r="L125" i="1"/>
  <c r="L124" i="1"/>
  <c r="L123" i="1"/>
  <c r="C118" i="1"/>
  <c r="D98" i="1"/>
  <c r="D99" i="1" s="1"/>
  <c r="I89" i="1"/>
  <c r="C98" i="1"/>
  <c r="C99" i="1" s="1"/>
  <c r="J98" i="1"/>
  <c r="J99" i="1" s="1"/>
  <c r="F103" i="1"/>
  <c r="G105" i="1"/>
  <c r="F109" i="1"/>
  <c r="D109" i="1"/>
  <c r="E109" i="1"/>
  <c r="E116" i="1" s="1"/>
  <c r="H89" i="1"/>
  <c r="H96" i="1" s="1"/>
  <c r="D70" i="1"/>
  <c r="D72" i="1" s="1"/>
  <c r="J70" i="1"/>
  <c r="J72" i="1" s="1"/>
  <c r="F70" i="1"/>
  <c r="F72" i="1" s="1"/>
  <c r="L70" i="1"/>
  <c r="L72" i="1" s="1"/>
  <c r="G70" i="1"/>
  <c r="G72" i="1" s="1"/>
  <c r="F89" i="1"/>
  <c r="F96" i="1" s="1"/>
  <c r="E70" i="1"/>
  <c r="K70" i="1"/>
  <c r="K72" i="1" s="1"/>
  <c r="H70" i="1"/>
  <c r="H72" i="1" s="1"/>
  <c r="I70" i="1"/>
  <c r="I72" i="1" s="1"/>
  <c r="H129" i="1"/>
  <c r="G67" i="1"/>
  <c r="F49" i="1"/>
  <c r="I96" i="1" l="1"/>
  <c r="I98" i="1" s="1"/>
  <c r="I99" i="1" s="1"/>
  <c r="I78" i="1"/>
  <c r="I36" i="1"/>
  <c r="G11" i="1"/>
  <c r="F115" i="1"/>
  <c r="F116" i="1" s="1"/>
  <c r="F118" i="1" s="1"/>
  <c r="F25" i="1"/>
  <c r="L129" i="1"/>
  <c r="F78" i="1"/>
  <c r="F80" i="1" s="1"/>
  <c r="J78" i="1"/>
  <c r="K36" i="1"/>
  <c r="K42" i="1" s="1"/>
  <c r="L42" i="1"/>
  <c r="L78" i="1"/>
  <c r="G78" i="1"/>
  <c r="G80" i="1" s="1"/>
  <c r="K78" i="1"/>
  <c r="H78" i="1"/>
  <c r="D78" i="1"/>
  <c r="D80" i="1" s="1"/>
  <c r="I42" i="1"/>
  <c r="G36" i="1"/>
  <c r="G42" i="1" s="1"/>
  <c r="E42" i="1"/>
  <c r="J42" i="1"/>
  <c r="J129" i="1"/>
  <c r="J130" i="1" s="1"/>
  <c r="H17" i="1"/>
  <c r="F132" i="1"/>
  <c r="K130" i="1"/>
  <c r="I130" i="1"/>
  <c r="G129" i="1"/>
  <c r="L130" i="1"/>
  <c r="H130" i="1"/>
  <c r="E129" i="1"/>
  <c r="E118" i="1"/>
  <c r="D118" i="1"/>
  <c r="J109" i="1"/>
  <c r="J110" i="1" s="1"/>
  <c r="H109" i="1"/>
  <c r="L109" i="1"/>
  <c r="L110" i="1" s="1"/>
  <c r="K109" i="1"/>
  <c r="K110" i="1" s="1"/>
  <c r="I109" i="1"/>
  <c r="I110" i="1" s="1"/>
  <c r="F98" i="1"/>
  <c r="F99" i="1" s="1"/>
  <c r="H98" i="1"/>
  <c r="H99" i="1" s="1"/>
  <c r="G109" i="1"/>
  <c r="G103" i="1"/>
  <c r="E72" i="1"/>
  <c r="H67" i="1"/>
  <c r="G49" i="1"/>
  <c r="G130" i="1" l="1"/>
  <c r="G115" i="1"/>
  <c r="G116" i="1" s="1"/>
  <c r="G118" i="1" s="1"/>
  <c r="G25" i="1"/>
  <c r="H11" i="1"/>
  <c r="E78" i="1"/>
  <c r="E80" i="1" s="1"/>
  <c r="I17" i="1"/>
  <c r="G133" i="1"/>
  <c r="G132" i="1"/>
  <c r="F133" i="1"/>
  <c r="E130" i="1"/>
  <c r="H110" i="1"/>
  <c r="C100" i="1"/>
  <c r="I67" i="1"/>
  <c r="H80" i="1"/>
  <c r="H49" i="1"/>
  <c r="G136" i="1" l="1"/>
  <c r="E138" i="1"/>
  <c r="F136" i="1"/>
  <c r="F138" i="1" s="1"/>
  <c r="E136" i="1"/>
  <c r="H25" i="1"/>
  <c r="I11" i="1"/>
  <c r="J17" i="1"/>
  <c r="H112" i="1"/>
  <c r="H132" i="1"/>
  <c r="G138" i="1"/>
  <c r="I103" i="1"/>
  <c r="I80" i="1"/>
  <c r="J67" i="1"/>
  <c r="I49" i="1"/>
  <c r="D3" i="1"/>
  <c r="D4" i="1"/>
  <c r="E4" i="1" s="1"/>
  <c r="F4" i="1" s="1"/>
  <c r="G4" i="1" s="1"/>
  <c r="H4" i="1" s="1"/>
  <c r="I4" i="1" s="1"/>
  <c r="J4" i="1" s="1"/>
  <c r="K4" i="1" s="1"/>
  <c r="L4" i="1" s="1"/>
  <c r="C7" i="1"/>
  <c r="C6" i="1"/>
  <c r="C5" i="1"/>
  <c r="J11" i="1" l="1"/>
  <c r="I25" i="1"/>
  <c r="E3" i="1"/>
  <c r="J21" i="1"/>
  <c r="J24" i="1" s="1"/>
  <c r="J26" i="1" s="1"/>
  <c r="H21" i="1"/>
  <c r="D21" i="1"/>
  <c r="E21" i="1"/>
  <c r="I21" i="1"/>
  <c r="F21" i="1"/>
  <c r="G21" i="1"/>
  <c r="L21" i="1"/>
  <c r="L24" i="1" s="1"/>
  <c r="K21" i="1"/>
  <c r="K24" i="1" s="1"/>
  <c r="K17" i="1"/>
  <c r="I132" i="1"/>
  <c r="I112" i="1"/>
  <c r="H113" i="1"/>
  <c r="H133" i="1"/>
  <c r="J103" i="1"/>
  <c r="C10" i="1"/>
  <c r="C12" i="1" s="1"/>
  <c r="D6" i="1"/>
  <c r="E6" i="1" s="1"/>
  <c r="F6" i="1" s="1"/>
  <c r="G6" i="1" s="1"/>
  <c r="H6" i="1" s="1"/>
  <c r="I6" i="1" s="1"/>
  <c r="J6" i="1" s="1"/>
  <c r="K6" i="1" s="1"/>
  <c r="L6" i="1" s="1"/>
  <c r="H7" i="1"/>
  <c r="L7" i="1"/>
  <c r="E7" i="1"/>
  <c r="I7" i="1"/>
  <c r="D7" i="1"/>
  <c r="F7" i="1"/>
  <c r="J7" i="1"/>
  <c r="K7" i="1"/>
  <c r="G7" i="1"/>
  <c r="J80" i="1"/>
  <c r="K67" i="1"/>
  <c r="L52" i="1"/>
  <c r="J49" i="1"/>
  <c r="H118" i="1" l="1"/>
  <c r="H136" i="1"/>
  <c r="H138" i="1" s="1"/>
  <c r="H116" i="1"/>
  <c r="K11" i="1"/>
  <c r="J25" i="1"/>
  <c r="L54" i="1"/>
  <c r="L60" i="1" s="1"/>
  <c r="F3" i="1"/>
  <c r="K26" i="1"/>
  <c r="L17" i="1"/>
  <c r="L26" i="1" s="1"/>
  <c r="E24" i="1"/>
  <c r="E26" i="1" s="1"/>
  <c r="F24" i="1"/>
  <c r="F26" i="1" s="1"/>
  <c r="D24" i="1"/>
  <c r="D26" i="1" s="1"/>
  <c r="I24" i="1"/>
  <c r="I26" i="1" s="1"/>
  <c r="G24" i="1"/>
  <c r="G26" i="1" s="1"/>
  <c r="H24" i="1"/>
  <c r="H26" i="1" s="1"/>
  <c r="J112" i="1"/>
  <c r="J132" i="1"/>
  <c r="I133" i="1"/>
  <c r="I113" i="1"/>
  <c r="K103" i="1"/>
  <c r="D10" i="1"/>
  <c r="D12" i="1" s="1"/>
  <c r="L67" i="1"/>
  <c r="L80" i="1" s="1"/>
  <c r="K80" i="1"/>
  <c r="G44" i="1"/>
  <c r="K49" i="1"/>
  <c r="H52" i="1"/>
  <c r="F52" i="1"/>
  <c r="I44" i="1"/>
  <c r="J52" i="1"/>
  <c r="F44" i="1"/>
  <c r="K52" i="1"/>
  <c r="E10" i="1"/>
  <c r="E44" i="1"/>
  <c r="D44" i="1"/>
  <c r="H44" i="1"/>
  <c r="I116" i="1" l="1"/>
  <c r="I118" i="1" s="1"/>
  <c r="I138" i="1"/>
  <c r="I136" i="1"/>
  <c r="L11" i="1"/>
  <c r="L25" i="1" s="1"/>
  <c r="K25" i="1"/>
  <c r="K54" i="1"/>
  <c r="K60" i="1" s="1"/>
  <c r="K62" i="1" s="1"/>
  <c r="F54" i="1"/>
  <c r="F60" i="1" s="1"/>
  <c r="F62" i="1" s="1"/>
  <c r="J54" i="1"/>
  <c r="J60" i="1"/>
  <c r="J62" i="1" s="1"/>
  <c r="E12" i="1"/>
  <c r="G3" i="1"/>
  <c r="C28" i="1"/>
  <c r="K112" i="1"/>
  <c r="K132" i="1"/>
  <c r="L112" i="1"/>
  <c r="L132" i="1"/>
  <c r="J133" i="1"/>
  <c r="J113" i="1"/>
  <c r="L103" i="1"/>
  <c r="H54" i="1"/>
  <c r="H60" i="1" s="1"/>
  <c r="C82" i="1"/>
  <c r="G52" i="1"/>
  <c r="L49" i="1"/>
  <c r="L62" i="1" s="1"/>
  <c r="I52" i="1"/>
  <c r="E52" i="1"/>
  <c r="D52" i="1"/>
  <c r="F10" i="1"/>
  <c r="J44" i="1"/>
  <c r="J136" i="1" l="1"/>
  <c r="J138" i="1" s="1"/>
  <c r="J116" i="1"/>
  <c r="J118" i="1" s="1"/>
  <c r="H62" i="1"/>
  <c r="F12" i="1"/>
  <c r="H3" i="1"/>
  <c r="L113" i="1"/>
  <c r="L133" i="1"/>
  <c r="K133" i="1"/>
  <c r="K113" i="1"/>
  <c r="E54" i="1"/>
  <c r="G54" i="1"/>
  <c r="D54" i="1"/>
  <c r="D60" i="1" s="1"/>
  <c r="I54" i="1"/>
  <c r="K44" i="1"/>
  <c r="C44" i="1"/>
  <c r="L44" i="1"/>
  <c r="G10" i="1"/>
  <c r="L136" i="1" l="1"/>
  <c r="L138" i="1" s="1"/>
  <c r="L118" i="1"/>
  <c r="K136" i="1"/>
  <c r="K138" i="1" s="1"/>
  <c r="L116" i="1"/>
  <c r="K116" i="1"/>
  <c r="K118" i="1" s="1"/>
  <c r="E60" i="1"/>
  <c r="E62" i="1" s="1"/>
  <c r="I60" i="1"/>
  <c r="I62" i="1" s="1"/>
  <c r="D62" i="1"/>
  <c r="G60" i="1"/>
  <c r="G62" i="1" s="1"/>
  <c r="G12" i="1"/>
  <c r="I3" i="1"/>
  <c r="C46" i="1"/>
  <c r="H10" i="1"/>
  <c r="C140" i="1" l="1"/>
  <c r="C64" i="1"/>
  <c r="H12" i="1"/>
  <c r="J3" i="1"/>
  <c r="I10" i="1"/>
  <c r="K3" i="1" l="1"/>
  <c r="I12" i="1"/>
  <c r="J10" i="1"/>
  <c r="J12" i="1" l="1"/>
  <c r="L3" i="1"/>
  <c r="K10" i="1"/>
  <c r="K12" i="1" l="1"/>
  <c r="L10" i="1"/>
  <c r="L12" i="1" l="1"/>
  <c r="C14" i="1" s="1"/>
  <c r="C120" i="1" l="1"/>
</calcChain>
</file>

<file path=xl/sharedStrings.xml><?xml version="1.0" encoding="utf-8"?>
<sst xmlns="http://schemas.openxmlformats.org/spreadsheetml/2006/main" count="228" uniqueCount="114">
  <si>
    <t>Raw Materials</t>
  </si>
  <si>
    <t>Labour Salary</t>
  </si>
  <si>
    <t>Labour Temp</t>
  </si>
  <si>
    <t>Electricity Surcharge</t>
  </si>
  <si>
    <t>Overhead Fixed</t>
  </si>
  <si>
    <t>Lease Cost</t>
  </si>
  <si>
    <t xml:space="preserve">Freight </t>
  </si>
  <si>
    <t>Lead time offset stock</t>
  </si>
  <si>
    <t>Freight Offset</t>
  </si>
  <si>
    <t>Year</t>
  </si>
  <si>
    <t>YearNumeric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</si>
  <si>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</si>
  <si>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</si>
  <si>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</si>
  <si>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</si>
  <si>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</si>
  <si>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</si>
  <si>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</si>
  <si>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</si>
  <si>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</si>
  <si>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</si>
  <si>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</si>
  <si>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</si>
  <si>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</si>
  <si>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</si>
  <si>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</si>
  <si>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</si>
  <si>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</si>
  <si>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</si>
  <si>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</si>
  <si>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</si>
  <si>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</si>
  <si>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</si>
  <si>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</si>
  <si>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</si>
  <si>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</si>
  <si>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Overhead Fixed (HQ)</t>
  </si>
  <si>
    <t>Overhead (50% of direct labour)</t>
  </si>
  <si>
    <t>Increase Factor</t>
  </si>
  <si>
    <t>Overhead 30% of labour + electricity</t>
  </si>
  <si>
    <t>Present Value in 2007</t>
  </si>
  <si>
    <t>Discounting 15% to 2007</t>
  </si>
  <si>
    <t>Total Costs (without FX factor)</t>
  </si>
  <si>
    <t>Electricity Surcharge (2.5 cents/kwh)</t>
  </si>
  <si>
    <t>Direct Labour Cost (40% in 10 years)</t>
  </si>
  <si>
    <t>Electricity (20% in 10 years)</t>
  </si>
  <si>
    <t>FX Multiplier for Yuan (20% in 5 years)</t>
  </si>
  <si>
    <t>Direct Labour Cost (50% in 10 years)</t>
  </si>
  <si>
    <t>Electricity (25% in 10 years)</t>
  </si>
  <si>
    <t>FX Multiplier for Yuan (25% in 5 years)</t>
  </si>
  <si>
    <t>Direct Labour Cost (30% in 10 years)</t>
  </si>
  <si>
    <t>Electricity (15% in 10 years)</t>
  </si>
  <si>
    <t>FX Multiplier for Yuan (15% in 5 years)</t>
  </si>
  <si>
    <t>Contractor Margin (8%)</t>
  </si>
  <si>
    <t>YOY increase</t>
  </si>
  <si>
    <t>One time set up cost</t>
  </si>
  <si>
    <t>Electricity Fixed</t>
  </si>
  <si>
    <t>Overhead variable</t>
  </si>
  <si>
    <t>Total Cost (without FX factor)</t>
  </si>
  <si>
    <t>FX Multiplier for Yuan</t>
  </si>
  <si>
    <t>Comments and assumptions</t>
  </si>
  <si>
    <t>Given variable overhead definition</t>
  </si>
  <si>
    <t>This is how the actual figures look like per year</t>
  </si>
  <si>
    <t>Value as of today using 15% discount factor</t>
  </si>
  <si>
    <t>Sum of all values as of today</t>
  </si>
  <si>
    <t>Given, 50-25=25% is evenly distributed as 2.5% per year. 8m kwh *0.16 gives us 1.28m USD</t>
  </si>
  <si>
    <t>No regrind technology makes it 100k differential wrt US raw material costs</t>
  </si>
  <si>
    <t>Assuming 40% spread uniformly distributed across 10 years</t>
  </si>
  <si>
    <t>Overhead as per given condition</t>
  </si>
  <si>
    <t>Electricity as per estimate</t>
  </si>
  <si>
    <t>Row Labels</t>
  </si>
  <si>
    <t>Grand Total</t>
  </si>
  <si>
    <t>Sum of 2,008.00</t>
  </si>
  <si>
    <t>Sum of 2008</t>
  </si>
  <si>
    <t>Contractor margin is assumed on lease, labour, electricity and labour overhead</t>
  </si>
  <si>
    <t>HQ overhead, just for better overall numbers</t>
  </si>
  <si>
    <t>8m (in 2005) increasing annually by 3%</t>
  </si>
  <si>
    <t>1m (in 2007) decreasing annually by 3%</t>
  </si>
  <si>
    <t>Cost of holding extra inventory for 8 week lead time nullification</t>
  </si>
  <si>
    <t>Overestimate is higher end of 3 variables- direct labour, electricity, yuan FX rate</t>
  </si>
  <si>
    <t>Assume labour costs to increase by 50% instead of 40% in next 10 years</t>
  </si>
  <si>
    <t>Raw material cost is not mentioned but regrind saves 100k for USA factory, so 0 in US and 100k in China</t>
  </si>
  <si>
    <t>Given as 3m for long term, assume same amount for 2016 and 2017 as well</t>
  </si>
  <si>
    <t>For first 5 years, do -6+3=-3 percent change in salary to factor in the improvements in technology. The remaining 5 years have -3+3=0 i.e. constant salaries as the improvements are capped at 3 percent.</t>
  </si>
  <si>
    <t>Until 2009, given 2.5 cents/kwh. Neglect 2.5% improvement in 2009 for ease of simplicity.</t>
  </si>
  <si>
    <t>This is HQ overhead, it is kept just for better accuracy of absolute numbers, but not required as such for differential analysis</t>
  </si>
  <si>
    <t>Yuan variation we are assuming to remain same for next 5 years. For more conservative analysis, it can be assumed that it remains flat for remaining 5 years as currency fluctuations are rare.</t>
  </si>
  <si>
    <t>Assume electricity to increase by 25% instead of 20% estimate</t>
  </si>
  <si>
    <t>Assume yuan to increase by 50% instead of 40% estimate over 10 years</t>
  </si>
  <si>
    <t>Underestimate is lower end of 3 variables- direct labour, electricity, yuan FX rate</t>
  </si>
  <si>
    <t>Assume labour costs to increase by 30% instead of 40% in next 10 years</t>
  </si>
  <si>
    <t>Assume electricity to increase by 15% instead of 20% estimate</t>
  </si>
  <si>
    <t>Assume yuan to increase by 30% instead of 40% estimate over 10 years</t>
  </si>
  <si>
    <t>Cost of setting up plant</t>
  </si>
  <si>
    <t>Offshoring option exploration basically adds plant and setup cost upfront for 8m USD</t>
  </si>
  <si>
    <t>Here we talk about deferred offshoring option distributing 5 years each in Temecula to optimize all the processes and then outsource to china starting 2013</t>
  </si>
  <si>
    <t>We continue to see the impact of deferred outsourcing option and try to phase out Temecula in 2 years instead of 5 and see the impact on total cost compared to 5 year phaseout plan</t>
  </si>
  <si>
    <t>Assess the first option of continuing operations in Temecula. Inflation in US and China is assumed to be same at 3% and thus it is not factored into analysis for simplicity.</t>
  </si>
  <si>
    <t>This analysis gives us idea of extra cost incurred in case Temecula plant was not doing process optimization</t>
  </si>
  <si>
    <t>We consider 44 hours in calculation for 2008 to factor in productivity of chinese workers compared to 40 hour workweek of US workers</t>
  </si>
  <si>
    <t>This does not include the additional overhead of finding the supplier, inking the deal, recurring expenses of managing the supplier, cost of shutting down Temecula plant etc.</t>
  </si>
  <si>
    <t>Employee Salary</t>
  </si>
  <si>
    <t>Capital for improvements</t>
  </si>
  <si>
    <t>Table 1: Remain in Temecula (CA, USA) (w/ improvements)</t>
  </si>
  <si>
    <t>Table 2: Remain in Temecula (CA, USA) (w/o improvements)</t>
  </si>
  <si>
    <t>Table 3: Outsourcing to China (as per estimate)</t>
  </si>
  <si>
    <t>Table 4: Outsourcing to China (overestimate)</t>
  </si>
  <si>
    <t>Table 5: Outsourcing to China (underestimate)</t>
  </si>
  <si>
    <t>Table 6: Offshoring to China</t>
  </si>
  <si>
    <t>Table 7: Temecula 5 years + outsource china 5 years</t>
  </si>
  <si>
    <t>Table 8: Temecula 2 years + outsource china 8 years</t>
  </si>
  <si>
    <t>Electricity (10% in 10 years)</t>
  </si>
  <si>
    <t>Assuming that offshoring also brings the 50% electricity cut benefit, we reduce overall increase from 20% to 10% in 10 years.</t>
  </si>
  <si>
    <t>We assume the sister company would get capital same as Temecula plant even though it is based in China due to offshoring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</si>
</sst>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4" fontId="0" fillId="0" borderId="0" xfId="0" applyNumberFormat="1"/>
    <xf numFmtId="4" fontId="0" fillId="2" borderId="0" xfId="0" applyNumberFormat="1" applyFill="1"/>
    <xf numFmtId="4" fontId="0" fillId="3" borderId="0" xfId="0" applyNumberFormat="1" applyFill="1"/>
    <xf numFmtId="43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[21202634_DurgeshRamani_MiracleGroFinancialAnalysis.xlsx]CostPieChartUSA!PivotTable1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CostPieChartUSA!$B$3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922-BC28-D5F9C43F35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922-BC28-D5F9C43F35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BD-4922-BC28-D5F9C43F35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BD-4922-BC28-D5F9C43F35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BD-4922-BC28-D5F9C43F35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CBD-4922-BC28-D5F9C43F35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CBD-4922-BC28-D5F9C43F35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CBD-4922-BC28-D5F9C43F3569}"/>
              </c:ext>
            </c:extLst>
          </c:dPt>
          <c:cat>
            <c:strRef>
              <c:f>CostPieChartUSA!$A$4:$A$12</c:f>
              <c:strCache>
                <c:ptCount val="8"/>
                <c:pt idx="0">
                  <c:v>Electricity Fixed</c:v>
                </c:pt>
                <c:pt idx="1">
                  <c:v>Electricity Surcharge</c:v>
                </c:pt>
                <c:pt idx="2">
                  <c:v>Labour Salary</c:v>
                </c:pt>
                <c:pt idx="3">
                  <c:v>Labour Temp</c:v>
                </c:pt>
                <c:pt idx="4">
                  <c:v>Lease Cost</c:v>
                </c:pt>
                <c:pt idx="5">
                  <c:v>Overhead 30% of labour + electricity</c:v>
                </c:pt>
                <c:pt idx="6">
                  <c:v>Overhead Fixed</c:v>
                </c:pt>
                <c:pt idx="7">
                  <c:v>Raw Materials</c:v>
                </c:pt>
              </c:strCache>
            </c:strRef>
          </c:cat>
          <c:val>
            <c:numRef>
              <c:f>CostPieChartUSA!$B$4:$B$12</c:f>
              <c:numCache>
                <c:formatCode>General</c:formatCode>
                <c:ptCount val="8"/>
                <c:pt idx="0">
                  <c:v>1280000</c:v>
                </c:pt>
                <c:pt idx="1">
                  <c:v>200000</c:v>
                </c:pt>
                <c:pt idx="2">
                  <c:v>2000000</c:v>
                </c:pt>
                <c:pt idx="3">
                  <c:v>6591000</c:v>
                </c:pt>
                <c:pt idx="4">
                  <c:v>3000000</c:v>
                </c:pt>
                <c:pt idx="5">
                  <c:v>3021300</c:v>
                </c:pt>
                <c:pt idx="6">
                  <c:v>1000000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1-4C80-B8CC-EA235CA7D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[21202634_DurgeshRamani_MiracleGroFinancialAnalysis.xlsx]CostPieChartOutsource!PivotTable2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CostPieChartOutsource!$B$3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2C-46BE-8972-014CFC9939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2C-46BE-8972-014CFC9939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2C-46BE-8972-014CFC9939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2C-46BE-8972-014CFC9939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2C-46BE-8972-014CFC9939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2C-46BE-8972-014CFC9939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2C-46BE-8972-014CFC9939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72C-46BE-8972-014CFC9939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72C-46BE-8972-014CFC9939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72C-46BE-8972-014CFC9939EE}"/>
              </c:ext>
            </c:extLst>
          </c:dPt>
          <c:cat>
            <c:strRef>
              <c:f>CostPieChartOutsource!$A$4:$A$14</c:f>
              <c:strCache>
                <c:ptCount val="10"/>
                <c:pt idx="0">
                  <c:v>Contractor Margin (8%)</c:v>
                </c:pt>
                <c:pt idx="1">
                  <c:v>Direct Labour Cost (40% in 10 years)</c:v>
                </c:pt>
                <c:pt idx="2">
                  <c:v>Electricity (20% in 10 years)</c:v>
                </c:pt>
                <c:pt idx="3">
                  <c:v>Freight </c:v>
                </c:pt>
                <c:pt idx="4">
                  <c:v>Freight Offset</c:v>
                </c:pt>
                <c:pt idx="5">
                  <c:v>Lead time offset stock</c:v>
                </c:pt>
                <c:pt idx="6">
                  <c:v>Lease Cost</c:v>
                </c:pt>
                <c:pt idx="7">
                  <c:v>Overhead (50% of direct labour)</c:v>
                </c:pt>
                <c:pt idx="8">
                  <c:v>Overhead Fixed (HQ)</c:v>
                </c:pt>
                <c:pt idx="9">
                  <c:v>Raw Materials</c:v>
                </c:pt>
              </c:strCache>
            </c:strRef>
          </c:cat>
          <c:val>
            <c:numRef>
              <c:f>CostPieChartOutsource!$B$4:$B$14</c:f>
              <c:numCache>
                <c:formatCode>General</c:formatCode>
                <c:ptCount val="10"/>
                <c:pt idx="0">
                  <c:v>110318.26560000001</c:v>
                </c:pt>
                <c:pt idx="1">
                  <c:v>439318.88</c:v>
                </c:pt>
                <c:pt idx="2">
                  <c:v>520000</c:v>
                </c:pt>
                <c:pt idx="3">
                  <c:v>8741816</c:v>
                </c:pt>
                <c:pt idx="4">
                  <c:v>-1000000</c:v>
                </c:pt>
                <c:pt idx="5">
                  <c:v>460000</c:v>
                </c:pt>
                <c:pt idx="6">
                  <c:v>200000</c:v>
                </c:pt>
                <c:pt idx="7">
                  <c:v>219659.44</c:v>
                </c:pt>
                <c:pt idx="8">
                  <c:v>1000000</c:v>
                </c:pt>
                <c:pt idx="9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6-4B6B-92B2-57FC3445E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2</xdr:row>
      <xdr:rowOff>0</xdr:rowOff>
    </xdr:from>
    <xdr:to>
      <xdr:col>13</xdr:col>
      <xdr:colOff>76200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9BA5E-18FF-48C6-A23C-09C67A588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2</xdr:row>
      <xdr:rowOff>15240</xdr:rowOff>
    </xdr:from>
    <xdr:to>
      <xdr:col>13</xdr:col>
      <xdr:colOff>586740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731E4-6E00-41ED-9F7F-1A5642EA7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rge" refreshedDate="44483.520403356481" createdVersion="7" refreshedVersion="7" minRefreshableVersion="3" recordCount="8" xr:uid="{E6A35E15-2412-4DDB-83AF-A794F11051D1}">
  <cacheSource type="worksheet">
    <worksheetSource ref="A2:C10" sheet="Costs"/>
  </cacheSource>
  <cacheFields count="3">
    <cacheField name="Remain in Temecula (CA, USA)" numFmtId="4">
      <sharedItems count="8">
        <s v="Raw Materials"/>
        <s v="Lease Cost"/>
        <s v="Labour Salary"/>
        <s v="Labour Temp"/>
        <s v="Electricity Fixed"/>
        <s v="Electricity Surcharge"/>
        <s v="Overhead Fixed"/>
        <s v="Overhead 30% of labour + electricity"/>
      </sharedItems>
    </cacheField>
    <cacheField name="Increase Factor" numFmtId="4">
      <sharedItems containsString="0" containsBlank="1" containsNumber="1" minValue="2.5000000000000001E-2" maxValue="2.5000000000000001E-2"/>
    </cacheField>
    <cacheField name="2,008.00" numFmtId="0">
      <sharedItems containsSemiMixedTypes="0" containsString="0" containsNumber="1" containsInteger="1" minValue="0" maxValue="6591000" count="8">
        <n v="0"/>
        <n v="3000000"/>
        <n v="2000000"/>
        <n v="6591000"/>
        <n v="1280000"/>
        <n v="200000"/>
        <n v="1000000"/>
        <n v="3021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rge" refreshedDate="44483.524538888887" createdVersion="7" refreshedVersion="7" minRefreshableVersion="3" recordCount="11" xr:uid="{DB976449-EAD0-491E-A1F9-7B88316B4600}">
  <cacheSource type="worksheet">
    <worksheetSource ref="A30:C42" sheet="Costs"/>
  </cacheSource>
  <cacheFields count="3">
    <cacheField name="Outsourcing to China (as per estimate)" numFmtId="4">
      <sharedItems count="11">
        <s v="Raw Materials"/>
        <s v="Lease Cost"/>
        <s v="Direct Labour Cost (40% in 10 years)"/>
        <s v="Overhead (50% of direct labour)"/>
        <s v="Electricity (20% in 10 years)"/>
        <s v="Contractor Margin (8%)"/>
        <s v="Overhead Fixed (HQ)"/>
        <s v="Freight "/>
        <s v="Freight Offset"/>
        <s v="Lead time offset stock"/>
        <s v="Total Costs (without FX factor)"/>
      </sharedItems>
    </cacheField>
    <cacheField name="Increase Factor" numFmtId="4">
      <sharedItems containsString="0" containsBlank="1" containsNumber="1" minValue="0.02" maxValue="0.04"/>
    </cacheField>
    <cacheField name="2008" numFmtId="4">
      <sharedItems containsSemiMixedTypes="0" containsString="0" containsNumber="1" minValue="-1000000" maxValue="10691112.58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m/>
    <x v="0"/>
  </r>
  <r>
    <x v="1"/>
    <m/>
    <x v="1"/>
  </r>
  <r>
    <x v="2"/>
    <m/>
    <x v="2"/>
  </r>
  <r>
    <x v="3"/>
    <m/>
    <x v="3"/>
  </r>
  <r>
    <x v="4"/>
    <n v="2.5000000000000001E-2"/>
    <x v="4"/>
  </r>
  <r>
    <x v="5"/>
    <m/>
    <x v="5"/>
  </r>
  <r>
    <x v="6"/>
    <m/>
    <x v="6"/>
  </r>
  <r>
    <x v="7"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m/>
    <n v="100000"/>
  </r>
  <r>
    <x v="1"/>
    <m/>
    <n v="200000"/>
  </r>
  <r>
    <x v="2"/>
    <n v="0.04"/>
    <n v="439318.88"/>
  </r>
  <r>
    <x v="3"/>
    <m/>
    <n v="219659.44"/>
  </r>
  <r>
    <x v="4"/>
    <n v="0.02"/>
    <n v="520000"/>
  </r>
  <r>
    <x v="5"/>
    <m/>
    <n v="110318.26560000001"/>
  </r>
  <r>
    <x v="6"/>
    <m/>
    <n v="1000000"/>
  </r>
  <r>
    <x v="7"/>
    <m/>
    <n v="8741816"/>
  </r>
  <r>
    <x v="8"/>
    <m/>
    <n v="-1000000"/>
  </r>
  <r>
    <x v="9"/>
    <m/>
    <n v="460000"/>
  </r>
  <r>
    <x v="10"/>
    <m/>
    <n v="10691112.58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D517E-7B7B-47D2-9A50-BD797EE6016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2" firstHeaderRow="1" firstDataRow="1" firstDataCol="1"/>
  <pivotFields count="3">
    <pivotField axis="axisRow" showAll="0">
      <items count="9">
        <item x="4"/>
        <item x="5"/>
        <item x="2"/>
        <item x="3"/>
        <item x="1"/>
        <item x="7"/>
        <item x="6"/>
        <item x="0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2,008.00" fld="2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D95A2-C359-4728-92E8-7DF9FEB21F1B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4" firstHeaderRow="1" firstDataRow="1" firstDataCol="1"/>
  <pivotFields count="3">
    <pivotField axis="axisRow" showAll="0">
      <items count="12">
        <item x="5"/>
        <item x="2"/>
        <item x="4"/>
        <item x="7"/>
        <item x="8"/>
        <item x="9"/>
        <item x="1"/>
        <item x="3"/>
        <item x="6"/>
        <item x="0"/>
        <item h="1" x="10"/>
        <item t="default"/>
      </items>
    </pivotField>
    <pivotField showAll="0"/>
    <pivotField dataField="1" numFmtId="4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2008" fld="2" baseField="0" baseItem="0"/>
  </dataField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0"/>
  <sheetViews>
    <sheetView tabSelected="1" zoomScaleNormal="100" workbookViewId="0">
      <selection activeCell="C33" sqref="C33"/>
    </sheetView>
  </sheetViews>
  <sheetFormatPr defaultRowHeight="14.4" x14ac:dyDescent="0.3"/>
  <cols>
    <col min="1" max="1" width="49.109375" bestFit="1" customWidth="1"/>
    <col min="2" max="2" width="13.77734375" bestFit="1" customWidth="1"/>
    <col min="3" max="3" width="13.6640625" customWidth="1"/>
    <col min="4" max="12" width="12.88671875" bestFit="1" customWidth="1"/>
    <col min="17" max="17" width="10" bestFit="1" customWidth="1"/>
  </cols>
  <sheetData>
    <row r="1" spans="1:14" x14ac:dyDescent="0.3">
      <c r="A1" s="6"/>
      <c r="B1" s="6"/>
      <c r="C1" s="6">
        <v>0</v>
      </c>
      <c r="D1" s="6">
        <v>1</v>
      </c>
      <c r="E1" s="6">
        <v>2</v>
      </c>
      <c r="F1" s="6">
        <v>3</v>
      </c>
      <c r="G1" s="6">
        <v>4</v>
      </c>
      <c r="H1" s="6">
        <v>5</v>
      </c>
      <c r="I1" s="6">
        <v>6</v>
      </c>
      <c r="J1" s="6">
        <v>7</v>
      </c>
      <c r="K1" s="6">
        <v>8</v>
      </c>
      <c r="L1" s="6">
        <v>9</v>
      </c>
      <c r="N1" t="s">
        <v>60</v>
      </c>
    </row>
    <row r="2" spans="1:14" x14ac:dyDescent="0.3">
      <c r="A2" s="7" t="s">
        <v>103</v>
      </c>
      <c r="B2" s="7" t="s">
        <v>38</v>
      </c>
      <c r="C2" s="1">
        <v>2008</v>
      </c>
      <c r="D2" s="1">
        <v>2009</v>
      </c>
      <c r="E2" s="1">
        <v>2010</v>
      </c>
      <c r="F2" s="1">
        <v>2011</v>
      </c>
      <c r="G2" s="1">
        <v>2012</v>
      </c>
      <c r="H2" s="1">
        <v>2013</v>
      </c>
      <c r="I2" s="1">
        <v>2014</v>
      </c>
      <c r="J2" s="1">
        <v>2015</v>
      </c>
      <c r="K2" s="1">
        <v>2016</v>
      </c>
      <c r="L2" s="1">
        <v>2017</v>
      </c>
      <c r="N2" t="s">
        <v>97</v>
      </c>
    </row>
    <row r="3" spans="1:14" x14ac:dyDescent="0.3">
      <c r="A3" s="6" t="s">
        <v>0</v>
      </c>
      <c r="B3" s="6"/>
      <c r="C3" s="6">
        <v>0</v>
      </c>
      <c r="D3" s="6">
        <f>C3</f>
        <v>0</v>
      </c>
      <c r="E3" s="6">
        <f t="shared" ref="E3:L3" si="0">D3</f>
        <v>0</v>
      </c>
      <c r="F3" s="6">
        <f t="shared" si="0"/>
        <v>0</v>
      </c>
      <c r="G3" s="6">
        <f t="shared" si="0"/>
        <v>0</v>
      </c>
      <c r="H3" s="6">
        <f t="shared" si="0"/>
        <v>0</v>
      </c>
      <c r="I3" s="6">
        <f t="shared" si="0"/>
        <v>0</v>
      </c>
      <c r="J3" s="6">
        <f t="shared" si="0"/>
        <v>0</v>
      </c>
      <c r="K3" s="6">
        <f t="shared" si="0"/>
        <v>0</v>
      </c>
      <c r="L3" s="6">
        <f t="shared" si="0"/>
        <v>0</v>
      </c>
      <c r="N3" t="s">
        <v>81</v>
      </c>
    </row>
    <row r="4" spans="1:14" x14ac:dyDescent="0.3">
      <c r="A4" s="6" t="s">
        <v>5</v>
      </c>
      <c r="B4" s="6"/>
      <c r="C4" s="9">
        <v>3000000</v>
      </c>
      <c r="D4" s="6">
        <f>C4</f>
        <v>3000000</v>
      </c>
      <c r="E4" s="6">
        <f t="shared" ref="E4:L5" si="1">D4</f>
        <v>3000000</v>
      </c>
      <c r="F4" s="6">
        <f t="shared" si="1"/>
        <v>3000000</v>
      </c>
      <c r="G4" s="6">
        <f t="shared" si="1"/>
        <v>3000000</v>
      </c>
      <c r="H4" s="6">
        <f t="shared" si="1"/>
        <v>3000000</v>
      </c>
      <c r="I4" s="6">
        <f t="shared" si="1"/>
        <v>3000000</v>
      </c>
      <c r="J4" s="6">
        <f t="shared" si="1"/>
        <v>3000000</v>
      </c>
      <c r="K4" s="6">
        <f t="shared" si="1"/>
        <v>3000000</v>
      </c>
      <c r="L4" s="6">
        <f t="shared" si="1"/>
        <v>3000000</v>
      </c>
      <c r="N4" t="s">
        <v>82</v>
      </c>
    </row>
    <row r="5" spans="1:14" x14ac:dyDescent="0.3">
      <c r="A5" s="6" t="s">
        <v>101</v>
      </c>
      <c r="B5" s="6"/>
      <c r="C5" s="6">
        <f>125000*16</f>
        <v>2000000</v>
      </c>
      <c r="D5" s="6">
        <f>C5*0.97</f>
        <v>1940000</v>
      </c>
      <c r="E5" s="6">
        <f t="shared" ref="E5:L5" si="2">D5*0.97</f>
        <v>1881800</v>
      </c>
      <c r="F5" s="6">
        <f t="shared" si="2"/>
        <v>1825346</v>
      </c>
      <c r="G5" s="6">
        <f t="shared" si="2"/>
        <v>1770585.6199999999</v>
      </c>
      <c r="H5" s="6">
        <f>G5</f>
        <v>1770585.6199999999</v>
      </c>
      <c r="I5" s="6">
        <f t="shared" si="1"/>
        <v>1770585.6199999999</v>
      </c>
      <c r="J5" s="6">
        <f t="shared" si="1"/>
        <v>1770585.6199999999</v>
      </c>
      <c r="K5" s="6">
        <f t="shared" si="1"/>
        <v>1770585.6199999999</v>
      </c>
      <c r="L5" s="6">
        <f t="shared" si="1"/>
        <v>1770585.6199999999</v>
      </c>
      <c r="N5" t="s">
        <v>83</v>
      </c>
    </row>
    <row r="6" spans="1:14" x14ac:dyDescent="0.3">
      <c r="A6" s="6" t="s">
        <v>2</v>
      </c>
      <c r="B6" s="6"/>
      <c r="C6" s="6">
        <f>195*16.25*40*52</f>
        <v>6591000</v>
      </c>
      <c r="D6" s="6">
        <f>C6*0.97</f>
        <v>6393270</v>
      </c>
      <c r="E6" s="6">
        <f>D6*0.97</f>
        <v>6201471.8999999994</v>
      </c>
      <c r="F6" s="6">
        <f>E6*0.97</f>
        <v>6015427.7429999989</v>
      </c>
      <c r="G6" s="6">
        <f>F6*0.97</f>
        <v>5834964.9107099986</v>
      </c>
      <c r="H6" s="6">
        <f>G6</f>
        <v>5834964.9107099986</v>
      </c>
      <c r="I6" s="6">
        <f t="shared" ref="I6:L6" si="3">H6</f>
        <v>5834964.9107099986</v>
      </c>
      <c r="J6" s="6">
        <f t="shared" si="3"/>
        <v>5834964.9107099986</v>
      </c>
      <c r="K6" s="6">
        <f t="shared" si="3"/>
        <v>5834964.9107099986</v>
      </c>
      <c r="L6" s="6">
        <f t="shared" si="3"/>
        <v>5834964.9107099986</v>
      </c>
      <c r="N6" t="s">
        <v>83</v>
      </c>
    </row>
    <row r="7" spans="1:14" x14ac:dyDescent="0.3">
      <c r="A7" s="6" t="s">
        <v>56</v>
      </c>
      <c r="B7" s="6">
        <v>2.5000000000000001E-2</v>
      </c>
      <c r="C7" s="6">
        <f>8000000*0.16</f>
        <v>1280000</v>
      </c>
      <c r="D7" s="6">
        <f t="shared" ref="D7:L7" si="4">$C$7*(1+($B$7*D$1))</f>
        <v>1312000</v>
      </c>
      <c r="E7" s="6">
        <f t="shared" si="4"/>
        <v>1344000</v>
      </c>
      <c r="F7" s="6">
        <f t="shared" si="4"/>
        <v>1376000</v>
      </c>
      <c r="G7" s="6">
        <f t="shared" si="4"/>
        <v>1408000</v>
      </c>
      <c r="H7" s="6">
        <f t="shared" si="4"/>
        <v>1440000</v>
      </c>
      <c r="I7" s="6">
        <f t="shared" si="4"/>
        <v>1472000</v>
      </c>
      <c r="J7" s="6">
        <f t="shared" si="4"/>
        <v>1504000</v>
      </c>
      <c r="K7" s="6">
        <f t="shared" si="4"/>
        <v>1536000</v>
      </c>
      <c r="L7" s="6">
        <f t="shared" si="4"/>
        <v>1568000</v>
      </c>
      <c r="N7" t="s">
        <v>65</v>
      </c>
    </row>
    <row r="8" spans="1:14" x14ac:dyDescent="0.3">
      <c r="A8" s="6" t="s">
        <v>3</v>
      </c>
      <c r="B8" s="6"/>
      <c r="C8" s="6">
        <f>8000000*0.025</f>
        <v>200000</v>
      </c>
      <c r="D8" s="6">
        <f>8000000*0.025</f>
        <v>200000</v>
      </c>
      <c r="E8" s="6"/>
      <c r="F8" s="6"/>
      <c r="G8" s="6"/>
      <c r="H8" s="6"/>
      <c r="I8" s="6"/>
      <c r="J8" s="6"/>
      <c r="K8" s="6"/>
      <c r="L8" s="6"/>
      <c r="N8" t="s">
        <v>84</v>
      </c>
    </row>
    <row r="9" spans="1:14" x14ac:dyDescent="0.3">
      <c r="A9" s="6" t="s">
        <v>4</v>
      </c>
      <c r="B9" s="6"/>
      <c r="C9" s="6">
        <v>1000000</v>
      </c>
      <c r="D9" s="6">
        <v>1000000</v>
      </c>
      <c r="E9" s="6">
        <v>1000000</v>
      </c>
      <c r="F9" s="6">
        <v>1000000</v>
      </c>
      <c r="G9" s="6">
        <v>1000000</v>
      </c>
      <c r="H9" s="6">
        <v>1000000</v>
      </c>
      <c r="I9" s="6">
        <v>1000000</v>
      </c>
      <c r="J9" s="6">
        <v>1000000</v>
      </c>
      <c r="K9" s="6">
        <v>1000000</v>
      </c>
      <c r="L9" s="6">
        <v>1000000</v>
      </c>
      <c r="N9" t="s">
        <v>85</v>
      </c>
    </row>
    <row r="10" spans="1:14" x14ac:dyDescent="0.3">
      <c r="A10" s="6" t="s">
        <v>39</v>
      </c>
      <c r="B10" s="6"/>
      <c r="C10" s="6">
        <f>SUM(C5:C8)*0.3</f>
        <v>3021300</v>
      </c>
      <c r="D10" s="6">
        <f t="shared" ref="D10:L10" si="5">SUM(D5:D8)*0.3</f>
        <v>2953581</v>
      </c>
      <c r="E10" s="6">
        <f t="shared" si="5"/>
        <v>2828181.5699999994</v>
      </c>
      <c r="F10" s="6">
        <f t="shared" si="5"/>
        <v>2765032.1228999994</v>
      </c>
      <c r="G10" s="6">
        <f t="shared" si="5"/>
        <v>2704065.1592129995</v>
      </c>
      <c r="H10" s="6">
        <f t="shared" si="5"/>
        <v>2713665.1592129995</v>
      </c>
      <c r="I10" s="6">
        <f t="shared" si="5"/>
        <v>2723265.1592129995</v>
      </c>
      <c r="J10" s="6">
        <f t="shared" si="5"/>
        <v>2732865.1592129995</v>
      </c>
      <c r="K10" s="6">
        <f t="shared" si="5"/>
        <v>2742465.1592129995</v>
      </c>
      <c r="L10" s="6">
        <f t="shared" si="5"/>
        <v>2752065.1592129995</v>
      </c>
      <c r="N10" t="s">
        <v>61</v>
      </c>
    </row>
    <row r="11" spans="1:14" x14ac:dyDescent="0.3">
      <c r="A11" s="6" t="s">
        <v>102</v>
      </c>
      <c r="B11" s="6"/>
      <c r="C11" s="6">
        <v>500000</v>
      </c>
      <c r="D11" s="6">
        <f>C11</f>
        <v>500000</v>
      </c>
      <c r="E11" s="6">
        <f t="shared" ref="E11:L11" si="6">D11</f>
        <v>500000</v>
      </c>
      <c r="F11" s="6">
        <f t="shared" si="6"/>
        <v>500000</v>
      </c>
      <c r="G11" s="6">
        <f t="shared" si="6"/>
        <v>500000</v>
      </c>
      <c r="H11" s="6">
        <f t="shared" si="6"/>
        <v>500000</v>
      </c>
      <c r="I11" s="6">
        <f t="shared" si="6"/>
        <v>500000</v>
      </c>
      <c r="J11" s="6">
        <f t="shared" si="6"/>
        <v>500000</v>
      </c>
      <c r="K11" s="6">
        <f t="shared" si="6"/>
        <v>500000</v>
      </c>
      <c r="L11" s="6">
        <f t="shared" si="6"/>
        <v>500000</v>
      </c>
    </row>
    <row r="12" spans="1:14" x14ac:dyDescent="0.3">
      <c r="A12" s="6"/>
      <c r="B12" s="6"/>
      <c r="C12" s="6">
        <f>SUM(C3:C11)</f>
        <v>17592300</v>
      </c>
      <c r="D12" s="6">
        <f t="shared" ref="D12:L12" si="7">SUM(D3:D11)</f>
        <v>17298851</v>
      </c>
      <c r="E12" s="6">
        <f t="shared" si="7"/>
        <v>16755453.469999999</v>
      </c>
      <c r="F12" s="6">
        <f t="shared" si="7"/>
        <v>16481805.865899999</v>
      </c>
      <c r="G12" s="6">
        <f t="shared" si="7"/>
        <v>16217615.689922998</v>
      </c>
      <c r="H12" s="6">
        <f t="shared" si="7"/>
        <v>16259215.689922998</v>
      </c>
      <c r="I12" s="6">
        <f t="shared" si="7"/>
        <v>16300815.689922998</v>
      </c>
      <c r="J12" s="6">
        <f t="shared" si="7"/>
        <v>16342415.689922998</v>
      </c>
      <c r="K12" s="6">
        <f t="shared" si="7"/>
        <v>16384015.689922998</v>
      </c>
      <c r="L12" s="6">
        <f t="shared" si="7"/>
        <v>16425615.689922998</v>
      </c>
      <c r="N12" t="s">
        <v>62</v>
      </c>
    </row>
    <row r="13" spans="1:14" x14ac:dyDescent="0.3">
      <c r="A13" s="6" t="s">
        <v>41</v>
      </c>
      <c r="B13" s="6"/>
      <c r="C13" s="6">
        <f>C12/(1.15^(C$1+1))</f>
        <v>15297652.173913045</v>
      </c>
      <c r="D13" s="6">
        <f t="shared" ref="D13:L13" si="8">D12/(1.15^(D$1+1))</f>
        <v>13080416.635160683</v>
      </c>
      <c r="E13" s="6">
        <f t="shared" si="8"/>
        <v>11016982.638283886</v>
      </c>
      <c r="F13" s="6">
        <f t="shared" si="8"/>
        <v>9423525.9970626198</v>
      </c>
      <c r="G13" s="6">
        <f t="shared" si="8"/>
        <v>8063021.2230382394</v>
      </c>
      <c r="H13" s="6">
        <f t="shared" si="8"/>
        <v>7029307.6306318687</v>
      </c>
      <c r="I13" s="6">
        <f t="shared" si="8"/>
        <v>6128080.3988015577</v>
      </c>
      <c r="J13" s="6">
        <f t="shared" si="8"/>
        <v>5342364.677967268</v>
      </c>
      <c r="K13" s="6">
        <f t="shared" si="8"/>
        <v>4657359.8189211031</v>
      </c>
      <c r="L13" s="6">
        <f t="shared" si="8"/>
        <v>4060160.9871843252</v>
      </c>
      <c r="N13" t="s">
        <v>63</v>
      </c>
    </row>
    <row r="14" spans="1:14" x14ac:dyDescent="0.3">
      <c r="A14" s="6" t="s">
        <v>40</v>
      </c>
      <c r="B14" s="6"/>
      <c r="C14" s="8">
        <f>SUM(C13:L13)</f>
        <v>84098872.180964604</v>
      </c>
      <c r="D14" s="6"/>
      <c r="E14" s="6"/>
      <c r="F14" s="6"/>
      <c r="G14" s="6"/>
      <c r="H14" s="6"/>
      <c r="I14" s="6"/>
      <c r="J14" s="6"/>
      <c r="K14" s="6"/>
      <c r="L14" s="6"/>
      <c r="N14" t="s">
        <v>64</v>
      </c>
    </row>
    <row r="16" spans="1:14" x14ac:dyDescent="0.3">
      <c r="A16" s="7" t="s">
        <v>104</v>
      </c>
      <c r="B16" s="7" t="s">
        <v>38</v>
      </c>
      <c r="C16" s="1">
        <v>2008</v>
      </c>
      <c r="D16" s="1">
        <v>2009</v>
      </c>
      <c r="E16" s="1">
        <v>2010</v>
      </c>
      <c r="F16" s="1">
        <v>2011</v>
      </c>
      <c r="G16" s="1">
        <v>2012</v>
      </c>
      <c r="H16" s="1">
        <v>2013</v>
      </c>
      <c r="I16" s="1">
        <v>2014</v>
      </c>
      <c r="J16" s="1">
        <v>2015</v>
      </c>
      <c r="K16" s="1">
        <v>2016</v>
      </c>
      <c r="L16" s="1">
        <v>2017</v>
      </c>
      <c r="N16" t="s">
        <v>98</v>
      </c>
    </row>
    <row r="17" spans="1:14" x14ac:dyDescent="0.3">
      <c r="A17" s="6" t="s">
        <v>0</v>
      </c>
      <c r="B17" s="6"/>
      <c r="C17" s="6">
        <v>0</v>
      </c>
      <c r="D17" s="6">
        <f>C17</f>
        <v>0</v>
      </c>
      <c r="E17" s="6">
        <f t="shared" ref="E17:E18" si="9">D17</f>
        <v>0</v>
      </c>
      <c r="F17" s="6">
        <f t="shared" ref="F17:F18" si="10">E17</f>
        <v>0</v>
      </c>
      <c r="G17" s="6">
        <f t="shared" ref="G17:G18" si="11">F17</f>
        <v>0</v>
      </c>
      <c r="H17" s="6">
        <f t="shared" ref="H17:H18" si="12">G17</f>
        <v>0</v>
      </c>
      <c r="I17" s="6">
        <f t="shared" ref="I17:I19" si="13">H17</f>
        <v>0</v>
      </c>
      <c r="J17" s="6">
        <f t="shared" ref="J17:J19" si="14">I17</f>
        <v>0</v>
      </c>
      <c r="K17" s="6">
        <f t="shared" ref="K17:K19" si="15">J17</f>
        <v>0</v>
      </c>
      <c r="L17" s="6">
        <f t="shared" ref="L17:L19" si="16">K17</f>
        <v>0</v>
      </c>
    </row>
    <row r="18" spans="1:14" x14ac:dyDescent="0.3">
      <c r="A18" s="6" t="s">
        <v>5</v>
      </c>
      <c r="B18" s="6"/>
      <c r="C18" s="9">
        <v>3000000</v>
      </c>
      <c r="D18" s="6">
        <f>C18</f>
        <v>3000000</v>
      </c>
      <c r="E18" s="6">
        <f t="shared" si="9"/>
        <v>3000000</v>
      </c>
      <c r="F18" s="6">
        <f t="shared" si="10"/>
        <v>3000000</v>
      </c>
      <c r="G18" s="6">
        <f t="shared" si="11"/>
        <v>3000000</v>
      </c>
      <c r="H18" s="6">
        <f t="shared" si="12"/>
        <v>3000000</v>
      </c>
      <c r="I18" s="6">
        <f t="shared" si="13"/>
        <v>3000000</v>
      </c>
      <c r="J18" s="6">
        <f t="shared" si="14"/>
        <v>3000000</v>
      </c>
      <c r="K18" s="6">
        <f t="shared" si="15"/>
        <v>3000000</v>
      </c>
      <c r="L18" s="6">
        <f t="shared" si="16"/>
        <v>3000000</v>
      </c>
    </row>
    <row r="19" spans="1:14" x14ac:dyDescent="0.3">
      <c r="A19" s="6" t="s">
        <v>101</v>
      </c>
      <c r="B19" s="6"/>
      <c r="C19" s="6">
        <f>125000*16</f>
        <v>2000000</v>
      </c>
      <c r="D19" s="6">
        <f>C19*0.97</f>
        <v>1940000</v>
      </c>
      <c r="E19" s="6">
        <f t="shared" ref="E19:G19" si="17">D19*0.97</f>
        <v>1881800</v>
      </c>
      <c r="F19" s="6">
        <f t="shared" si="17"/>
        <v>1825346</v>
      </c>
      <c r="G19" s="6">
        <f t="shared" si="17"/>
        <v>1770585.6199999999</v>
      </c>
      <c r="H19" s="6">
        <f>G19</f>
        <v>1770585.6199999999</v>
      </c>
      <c r="I19" s="6">
        <f t="shared" si="13"/>
        <v>1770585.6199999999</v>
      </c>
      <c r="J19" s="6">
        <f t="shared" si="14"/>
        <v>1770585.6199999999</v>
      </c>
      <c r="K19" s="6">
        <f t="shared" si="15"/>
        <v>1770585.6199999999</v>
      </c>
      <c r="L19" s="6">
        <f t="shared" si="16"/>
        <v>1770585.6199999999</v>
      </c>
    </row>
    <row r="20" spans="1:14" x14ac:dyDescent="0.3">
      <c r="A20" s="6" t="s">
        <v>2</v>
      </c>
      <c r="B20" s="6"/>
      <c r="C20" s="6">
        <f>195*16.25*40*52</f>
        <v>6591000</v>
      </c>
      <c r="D20" s="6">
        <f>C20*1.03</f>
        <v>6788730</v>
      </c>
      <c r="E20" s="6">
        <f t="shared" ref="E19:E20" si="18">D20*1.03</f>
        <v>6992391.9000000004</v>
      </c>
      <c r="F20" s="6">
        <f t="shared" ref="F19:F20" si="19">E20*1.03</f>
        <v>7202163.6570000006</v>
      </c>
      <c r="G20" s="6">
        <f t="shared" ref="G19:G20" si="20">F20*1.03</f>
        <v>7418228.5667100009</v>
      </c>
      <c r="H20" s="6">
        <f t="shared" ref="H19:H20" si="21">G20*1.03</f>
        <v>7640775.4237113008</v>
      </c>
      <c r="I20" s="6">
        <f t="shared" ref="I19:I20" si="22">H20*1.03</f>
        <v>7869998.6864226405</v>
      </c>
      <c r="J20" s="6">
        <f t="shared" ref="J19:J20" si="23">I20*1.03</f>
        <v>8106098.6470153201</v>
      </c>
      <c r="K20" s="6">
        <f t="shared" ref="K19:K20" si="24">J20*1.03</f>
        <v>8349281.6064257799</v>
      </c>
      <c r="L20" s="6">
        <f t="shared" ref="L19:L20" si="25">K20*1.03</f>
        <v>8599760.0546185542</v>
      </c>
    </row>
    <row r="21" spans="1:14" x14ac:dyDescent="0.3">
      <c r="A21" s="6" t="s">
        <v>56</v>
      </c>
      <c r="B21" s="6">
        <v>0.05</v>
      </c>
      <c r="C21" s="6">
        <f>8000000*0.16</f>
        <v>1280000</v>
      </c>
      <c r="D21" s="6">
        <f t="shared" ref="D21:L21" si="26">$C$7*(1+($B$21*D$1))</f>
        <v>1344000</v>
      </c>
      <c r="E21" s="6">
        <f t="shared" si="26"/>
        <v>1408000</v>
      </c>
      <c r="F21" s="6">
        <f t="shared" si="26"/>
        <v>1472000</v>
      </c>
      <c r="G21" s="6">
        <f t="shared" si="26"/>
        <v>1536000</v>
      </c>
      <c r="H21" s="6">
        <f t="shared" si="26"/>
        <v>1600000</v>
      </c>
      <c r="I21" s="6">
        <f t="shared" si="26"/>
        <v>1664000</v>
      </c>
      <c r="J21" s="6">
        <f t="shared" si="26"/>
        <v>1728000</v>
      </c>
      <c r="K21" s="6">
        <f t="shared" si="26"/>
        <v>1792000</v>
      </c>
      <c r="L21" s="6">
        <f t="shared" si="26"/>
        <v>1856000</v>
      </c>
    </row>
    <row r="22" spans="1:14" x14ac:dyDescent="0.3">
      <c r="A22" s="6" t="s">
        <v>3</v>
      </c>
      <c r="B22" s="6"/>
      <c r="C22" s="6">
        <f>8000000*0.025</f>
        <v>200000</v>
      </c>
      <c r="D22" s="6">
        <f>8000000*0.025</f>
        <v>200000</v>
      </c>
      <c r="E22" s="6"/>
      <c r="F22" s="6"/>
      <c r="G22" s="6"/>
      <c r="H22" s="6"/>
      <c r="I22" s="6"/>
      <c r="J22" s="6"/>
      <c r="K22" s="6"/>
      <c r="L22" s="6"/>
    </row>
    <row r="23" spans="1:14" x14ac:dyDescent="0.3">
      <c r="A23" s="6" t="s">
        <v>4</v>
      </c>
      <c r="B23" s="6"/>
      <c r="C23" s="6">
        <v>1000000</v>
      </c>
      <c r="D23" s="6">
        <v>1000000</v>
      </c>
      <c r="E23" s="6">
        <v>1000000</v>
      </c>
      <c r="F23" s="6">
        <v>1000000</v>
      </c>
      <c r="G23" s="6">
        <v>1000000</v>
      </c>
      <c r="H23" s="6">
        <v>1000000</v>
      </c>
      <c r="I23" s="6">
        <v>1000000</v>
      </c>
      <c r="J23" s="6">
        <v>1000000</v>
      </c>
      <c r="K23" s="6">
        <v>1000000</v>
      </c>
      <c r="L23" s="6">
        <v>1000000</v>
      </c>
    </row>
    <row r="24" spans="1:14" x14ac:dyDescent="0.3">
      <c r="A24" s="6" t="s">
        <v>39</v>
      </c>
      <c r="B24" s="6"/>
      <c r="C24" s="6">
        <f>SUM(C19:C22)*0.3</f>
        <v>3021300</v>
      </c>
      <c r="D24" s="6">
        <f t="shared" ref="D24:L24" si="27">SUM(D19:D22)*0.3</f>
        <v>3081819</v>
      </c>
      <c r="E24" s="6">
        <f t="shared" si="27"/>
        <v>3084657.57</v>
      </c>
      <c r="F24" s="6">
        <f t="shared" si="27"/>
        <v>3149852.8971000002</v>
      </c>
      <c r="G24" s="6">
        <f t="shared" si="27"/>
        <v>3217444.2560129999</v>
      </c>
      <c r="H24" s="6">
        <f t="shared" si="27"/>
        <v>3303408.31311339</v>
      </c>
      <c r="I24" s="6">
        <f t="shared" si="27"/>
        <v>3391375.2919267919</v>
      </c>
      <c r="J24" s="6">
        <f t="shared" si="27"/>
        <v>3481405.2801045957</v>
      </c>
      <c r="K24" s="6">
        <f t="shared" si="27"/>
        <v>3573560.1679277341</v>
      </c>
      <c r="L24" s="6">
        <f t="shared" si="27"/>
        <v>3667903.7023855657</v>
      </c>
    </row>
    <row r="25" spans="1:14" x14ac:dyDescent="0.3">
      <c r="A25" s="6" t="s">
        <v>102</v>
      </c>
      <c r="B25" s="6"/>
      <c r="C25" s="6">
        <f>C11</f>
        <v>500000</v>
      </c>
      <c r="D25" s="6">
        <f t="shared" ref="D25:L25" si="28">D11</f>
        <v>500000</v>
      </c>
      <c r="E25" s="6">
        <f t="shared" si="28"/>
        <v>500000</v>
      </c>
      <c r="F25" s="6">
        <f t="shared" si="28"/>
        <v>500000</v>
      </c>
      <c r="G25" s="6">
        <f t="shared" si="28"/>
        <v>500000</v>
      </c>
      <c r="H25" s="6">
        <f t="shared" si="28"/>
        <v>500000</v>
      </c>
      <c r="I25" s="6">
        <f t="shared" si="28"/>
        <v>500000</v>
      </c>
      <c r="J25" s="6">
        <f t="shared" si="28"/>
        <v>500000</v>
      </c>
      <c r="K25" s="6">
        <f t="shared" si="28"/>
        <v>500000</v>
      </c>
      <c r="L25" s="6">
        <f t="shared" si="28"/>
        <v>500000</v>
      </c>
    </row>
    <row r="26" spans="1:14" x14ac:dyDescent="0.3">
      <c r="A26" s="6"/>
      <c r="B26" s="6"/>
      <c r="C26" s="6">
        <f>SUM(C17:C25)</f>
        <v>17592300</v>
      </c>
      <c r="D26" s="6">
        <f t="shared" ref="D26:L26" si="29">SUM(D17:D24)</f>
        <v>17354549</v>
      </c>
      <c r="E26" s="6">
        <f t="shared" si="29"/>
        <v>17366849.469999999</v>
      </c>
      <c r="F26" s="6">
        <f t="shared" si="29"/>
        <v>17649362.554100003</v>
      </c>
      <c r="G26" s="6">
        <f t="shared" si="29"/>
        <v>17942258.442722999</v>
      </c>
      <c r="H26" s="6">
        <f t="shared" si="29"/>
        <v>18314769.356824692</v>
      </c>
      <c r="I26" s="6">
        <f t="shared" si="29"/>
        <v>18695959.59834943</v>
      </c>
      <c r="J26" s="6">
        <f t="shared" si="29"/>
        <v>19086089.547119915</v>
      </c>
      <c r="K26" s="6">
        <f t="shared" si="29"/>
        <v>19485427.394353513</v>
      </c>
      <c r="L26" s="6">
        <f t="shared" si="29"/>
        <v>19894249.37700412</v>
      </c>
    </row>
    <row r="27" spans="1:14" x14ac:dyDescent="0.3">
      <c r="A27" s="6" t="s">
        <v>41</v>
      </c>
      <c r="B27" s="6"/>
      <c r="C27" s="6">
        <f>C26/(1.15^(C$1+1))</f>
        <v>15297652.173913045</v>
      </c>
      <c r="D27" s="6">
        <f t="shared" ref="D27:L27" si="30">D26/(1.15^(D$1+1))</f>
        <v>13122532.325141778</v>
      </c>
      <c r="E27" s="6">
        <f t="shared" si="30"/>
        <v>11418985.432727873</v>
      </c>
      <c r="F27" s="6">
        <f t="shared" si="30"/>
        <v>10091080.322954826</v>
      </c>
      <c r="G27" s="6">
        <f t="shared" si="30"/>
        <v>8920473.4764311984</v>
      </c>
      <c r="H27" s="6">
        <f t="shared" si="30"/>
        <v>7917980.2057106625</v>
      </c>
      <c r="I27" s="6">
        <f t="shared" si="30"/>
        <v>7028503.7099252166</v>
      </c>
      <c r="J27" s="6">
        <f t="shared" si="30"/>
        <v>6239276.5287402971</v>
      </c>
      <c r="K27" s="6">
        <f t="shared" si="30"/>
        <v>5538974.5907520615</v>
      </c>
      <c r="L27" s="6">
        <f t="shared" si="30"/>
        <v>4917554.1857698765</v>
      </c>
    </row>
    <row r="28" spans="1:14" x14ac:dyDescent="0.3">
      <c r="A28" s="6" t="s">
        <v>40</v>
      </c>
      <c r="B28" s="6"/>
      <c r="C28" s="8">
        <f>SUM(C27:L27)</f>
        <v>90493012.952066839</v>
      </c>
      <c r="D28" s="6"/>
      <c r="E28" s="6"/>
      <c r="F28" s="6"/>
      <c r="G28" s="6"/>
      <c r="H28" s="6"/>
      <c r="I28" s="6"/>
      <c r="J28" s="6"/>
      <c r="K28" s="6"/>
      <c r="L28" s="6"/>
    </row>
    <row r="30" spans="1:14" x14ac:dyDescent="0.3">
      <c r="A30" s="1" t="s">
        <v>105</v>
      </c>
      <c r="B30" s="1" t="s">
        <v>38</v>
      </c>
      <c r="C30" s="1">
        <v>2008</v>
      </c>
      <c r="D30" s="1">
        <v>2009</v>
      </c>
      <c r="E30" s="1">
        <v>2010</v>
      </c>
      <c r="F30" s="1">
        <v>2011</v>
      </c>
      <c r="G30" s="1">
        <v>2012</v>
      </c>
      <c r="H30" s="1">
        <v>2013</v>
      </c>
      <c r="I30" s="1">
        <v>2014</v>
      </c>
      <c r="J30" s="1">
        <v>2015</v>
      </c>
      <c r="K30" s="1">
        <v>2016</v>
      </c>
      <c r="L30" s="1">
        <v>2017</v>
      </c>
    </row>
    <row r="31" spans="1:14" x14ac:dyDescent="0.3">
      <c r="A31" s="6" t="s">
        <v>0</v>
      </c>
      <c r="B31" s="6"/>
      <c r="C31" s="6">
        <v>100000</v>
      </c>
      <c r="D31" s="6">
        <f>C31</f>
        <v>100000</v>
      </c>
      <c r="E31" s="6">
        <f t="shared" ref="E31:L31" si="31">D31</f>
        <v>100000</v>
      </c>
      <c r="F31" s="6">
        <f t="shared" si="31"/>
        <v>100000</v>
      </c>
      <c r="G31" s="6">
        <f t="shared" si="31"/>
        <v>100000</v>
      </c>
      <c r="H31" s="6">
        <f t="shared" si="31"/>
        <v>100000</v>
      </c>
      <c r="I31" s="6">
        <f t="shared" si="31"/>
        <v>100000</v>
      </c>
      <c r="J31" s="6">
        <f t="shared" si="31"/>
        <v>100000</v>
      </c>
      <c r="K31" s="6">
        <f t="shared" si="31"/>
        <v>100000</v>
      </c>
      <c r="L31" s="6">
        <f t="shared" si="31"/>
        <v>100000</v>
      </c>
      <c r="N31" t="s">
        <v>66</v>
      </c>
    </row>
    <row r="32" spans="1:14" x14ac:dyDescent="0.3">
      <c r="A32" s="6" t="s">
        <v>5</v>
      </c>
      <c r="B32" s="6"/>
      <c r="C32" s="6">
        <v>200000</v>
      </c>
      <c r="D32" s="6">
        <v>200000</v>
      </c>
      <c r="E32" s="6">
        <v>200000</v>
      </c>
      <c r="F32" s="6">
        <v>200000</v>
      </c>
      <c r="G32" s="6">
        <v>200000</v>
      </c>
      <c r="H32" s="6">
        <v>200000</v>
      </c>
      <c r="I32" s="6">
        <v>200000</v>
      </c>
      <c r="J32" s="6">
        <v>200000</v>
      </c>
      <c r="K32" s="6">
        <v>200000</v>
      </c>
      <c r="L32" s="6">
        <v>200000</v>
      </c>
      <c r="N32" t="s">
        <v>99</v>
      </c>
    </row>
    <row r="33" spans="1:14" x14ac:dyDescent="0.3">
      <c r="A33" s="6" t="s">
        <v>44</v>
      </c>
      <c r="B33" s="6">
        <v>0.04</v>
      </c>
      <c r="C33" s="6">
        <f>211*0.91*44*52</f>
        <v>439318.88</v>
      </c>
      <c r="D33" s="6">
        <f t="shared" ref="D33:L33" si="32">$C$33*(1+($B$33*D1))</f>
        <v>456891.63520000002</v>
      </c>
      <c r="E33" s="6">
        <f t="shared" si="32"/>
        <v>474464.39040000003</v>
      </c>
      <c r="F33" s="6">
        <f t="shared" si="32"/>
        <v>492037.14560000005</v>
      </c>
      <c r="G33" s="6">
        <f t="shared" si="32"/>
        <v>509609.90079999994</v>
      </c>
      <c r="H33" s="6">
        <f t="shared" si="32"/>
        <v>527182.65599999996</v>
      </c>
      <c r="I33" s="6">
        <f t="shared" si="32"/>
        <v>544755.41119999997</v>
      </c>
      <c r="J33" s="6">
        <f t="shared" si="32"/>
        <v>562328.16639999999</v>
      </c>
      <c r="K33" s="6">
        <f t="shared" si="32"/>
        <v>579900.9216</v>
      </c>
      <c r="L33" s="6">
        <f t="shared" si="32"/>
        <v>597473.6767999999</v>
      </c>
      <c r="N33" t="s">
        <v>67</v>
      </c>
    </row>
    <row r="34" spans="1:14" x14ac:dyDescent="0.3">
      <c r="A34" s="6" t="s">
        <v>37</v>
      </c>
      <c r="B34" s="6"/>
      <c r="C34" s="6">
        <f>C33*0.5</f>
        <v>219659.44</v>
      </c>
      <c r="D34" s="6">
        <f t="shared" ref="D34:L34" si="33">D33*0.5</f>
        <v>228445.81760000001</v>
      </c>
      <c r="E34" s="6">
        <f t="shared" si="33"/>
        <v>237232.19520000002</v>
      </c>
      <c r="F34" s="6">
        <f t="shared" si="33"/>
        <v>246018.57280000002</v>
      </c>
      <c r="G34" s="6">
        <f t="shared" si="33"/>
        <v>254804.95039999997</v>
      </c>
      <c r="H34" s="6">
        <f t="shared" si="33"/>
        <v>263591.32799999998</v>
      </c>
      <c r="I34" s="6">
        <f t="shared" si="33"/>
        <v>272377.70559999999</v>
      </c>
      <c r="J34" s="6">
        <f t="shared" si="33"/>
        <v>281164.08319999999</v>
      </c>
      <c r="K34" s="6">
        <f t="shared" si="33"/>
        <v>289950.4608</v>
      </c>
      <c r="L34" s="6">
        <f t="shared" si="33"/>
        <v>298736.83839999995</v>
      </c>
      <c r="N34" t="s">
        <v>68</v>
      </c>
    </row>
    <row r="35" spans="1:14" x14ac:dyDescent="0.3">
      <c r="A35" s="6" t="s">
        <v>45</v>
      </c>
      <c r="B35" s="6">
        <v>0.02</v>
      </c>
      <c r="C35" s="6">
        <f>8000000*0.065</f>
        <v>520000</v>
      </c>
      <c r="D35" s="6">
        <f t="shared" ref="D35:L35" si="34">$C$35*(1+($B$35*D1))</f>
        <v>530400</v>
      </c>
      <c r="E35" s="6">
        <f t="shared" si="34"/>
        <v>540800</v>
      </c>
      <c r="F35" s="6">
        <f t="shared" si="34"/>
        <v>551200</v>
      </c>
      <c r="G35" s="6">
        <f t="shared" si="34"/>
        <v>561600</v>
      </c>
      <c r="H35" s="6">
        <f t="shared" si="34"/>
        <v>572000</v>
      </c>
      <c r="I35" s="6">
        <f t="shared" si="34"/>
        <v>582400</v>
      </c>
      <c r="J35" s="6">
        <f t="shared" si="34"/>
        <v>592800.00000000012</v>
      </c>
      <c r="K35" s="6">
        <f t="shared" si="34"/>
        <v>603200</v>
      </c>
      <c r="L35" s="6">
        <f t="shared" si="34"/>
        <v>613600</v>
      </c>
      <c r="N35" t="s">
        <v>69</v>
      </c>
    </row>
    <row r="36" spans="1:14" x14ac:dyDescent="0.3">
      <c r="A36" s="6" t="s">
        <v>53</v>
      </c>
      <c r="B36" s="6"/>
      <c r="C36" s="6">
        <f>SUM(C32:C35)*0.08</f>
        <v>110318.26560000001</v>
      </c>
      <c r="D36" s="6">
        <f t="shared" ref="D36:L36" si="35">SUM(D32:D35)*0.08</f>
        <v>113258.996224</v>
      </c>
      <c r="E36" s="6">
        <f t="shared" si="35"/>
        <v>116199.72684800001</v>
      </c>
      <c r="F36" s="6">
        <f t="shared" si="35"/>
        <v>119140.45747200001</v>
      </c>
      <c r="G36" s="6">
        <f t="shared" si="35"/>
        <v>122081.188096</v>
      </c>
      <c r="H36" s="6">
        <f t="shared" si="35"/>
        <v>125021.91872</v>
      </c>
      <c r="I36" s="6">
        <f t="shared" si="35"/>
        <v>127962.649344</v>
      </c>
      <c r="J36" s="6">
        <f t="shared" si="35"/>
        <v>130903.37996800002</v>
      </c>
      <c r="K36" s="6">
        <f t="shared" si="35"/>
        <v>133844.11059200001</v>
      </c>
      <c r="L36" s="6">
        <f t="shared" si="35"/>
        <v>136784.84121599997</v>
      </c>
      <c r="N36" t="s">
        <v>74</v>
      </c>
    </row>
    <row r="37" spans="1:14" x14ac:dyDescent="0.3">
      <c r="A37" s="6" t="s">
        <v>36</v>
      </c>
      <c r="B37" s="6"/>
      <c r="C37" s="6">
        <v>1000000</v>
      </c>
      <c r="D37" s="6">
        <v>1000000</v>
      </c>
      <c r="E37" s="6">
        <v>1000000</v>
      </c>
      <c r="F37" s="6">
        <v>1000000</v>
      </c>
      <c r="G37" s="6">
        <v>1000000</v>
      </c>
      <c r="H37" s="6">
        <v>1000000</v>
      </c>
      <c r="I37" s="6">
        <v>1000000</v>
      </c>
      <c r="J37" s="6">
        <v>1000000</v>
      </c>
      <c r="K37" s="6">
        <v>1000000</v>
      </c>
      <c r="L37" s="6">
        <v>1000000</v>
      </c>
      <c r="N37" t="s">
        <v>75</v>
      </c>
    </row>
    <row r="38" spans="1:14" x14ac:dyDescent="0.3">
      <c r="A38" s="6" t="s">
        <v>6</v>
      </c>
      <c r="B38" s="6"/>
      <c r="C38" s="6">
        <f>8000000*(1.03)^3</f>
        <v>8741816</v>
      </c>
      <c r="D38" s="6">
        <f>C38*1.03</f>
        <v>9004070.4800000004</v>
      </c>
      <c r="E38" s="6">
        <f t="shared" ref="E38:L38" si="36">D38*1.03</f>
        <v>9274192.5943999998</v>
      </c>
      <c r="F38" s="6">
        <f t="shared" si="36"/>
        <v>9552418.3722319994</v>
      </c>
      <c r="G38" s="6">
        <f t="shared" si="36"/>
        <v>9838990.9233989604</v>
      </c>
      <c r="H38" s="6">
        <f t="shared" si="36"/>
        <v>10134160.65110093</v>
      </c>
      <c r="I38" s="6">
        <f t="shared" si="36"/>
        <v>10438185.470633958</v>
      </c>
      <c r="J38" s="6">
        <f t="shared" si="36"/>
        <v>10751331.034752976</v>
      </c>
      <c r="K38" s="6">
        <f t="shared" si="36"/>
        <v>11073870.965795565</v>
      </c>
      <c r="L38" s="6">
        <f t="shared" si="36"/>
        <v>11406087.094769433</v>
      </c>
      <c r="N38" t="s">
        <v>76</v>
      </c>
    </row>
    <row r="39" spans="1:14" x14ac:dyDescent="0.3">
      <c r="A39" s="6" t="s">
        <v>8</v>
      </c>
      <c r="B39" s="6"/>
      <c r="C39" s="6">
        <v>-1000000</v>
      </c>
      <c r="D39" s="6">
        <f>C39*1.15</f>
        <v>-1150000</v>
      </c>
      <c r="E39" s="6">
        <f t="shared" ref="E39:L39" si="37">D39*1.15</f>
        <v>-1322500</v>
      </c>
      <c r="F39" s="6">
        <f t="shared" si="37"/>
        <v>-1520874.9999999998</v>
      </c>
      <c r="G39" s="6">
        <f t="shared" si="37"/>
        <v>-1749006.2499999995</v>
      </c>
      <c r="H39" s="6">
        <f t="shared" si="37"/>
        <v>-2011357.1874999993</v>
      </c>
      <c r="I39" s="6">
        <f t="shared" si="37"/>
        <v>-2313060.7656249991</v>
      </c>
      <c r="J39" s="6">
        <f t="shared" si="37"/>
        <v>-2660019.8804687485</v>
      </c>
      <c r="K39" s="6">
        <f t="shared" si="37"/>
        <v>-3059022.8625390604</v>
      </c>
      <c r="L39" s="6">
        <f t="shared" si="37"/>
        <v>-3517876.2919199192</v>
      </c>
      <c r="N39" t="s">
        <v>77</v>
      </c>
    </row>
    <row r="40" spans="1:14" x14ac:dyDescent="0.3">
      <c r="A40" s="6" t="s">
        <v>7</v>
      </c>
      <c r="B40" s="6"/>
      <c r="C40" s="6">
        <v>460000</v>
      </c>
      <c r="D40" s="6">
        <v>460000</v>
      </c>
      <c r="E40" s="6">
        <v>460000</v>
      </c>
      <c r="F40" s="6">
        <v>460000</v>
      </c>
      <c r="G40" s="6">
        <v>460000</v>
      </c>
      <c r="H40" s="6">
        <v>460000</v>
      </c>
      <c r="I40" s="6">
        <v>460000</v>
      </c>
      <c r="J40" s="6">
        <v>460000</v>
      </c>
      <c r="K40" s="6">
        <v>460000</v>
      </c>
      <c r="L40" s="6">
        <v>460000</v>
      </c>
      <c r="N40" t="s">
        <v>78</v>
      </c>
    </row>
    <row r="41" spans="1:14" x14ac:dyDescent="0.3">
      <c r="A41" s="6" t="s">
        <v>102</v>
      </c>
      <c r="B41" s="6"/>
      <c r="C41" s="6">
        <v>300000</v>
      </c>
      <c r="D41" s="6">
        <v>300000</v>
      </c>
      <c r="E41" s="6">
        <v>300000</v>
      </c>
      <c r="F41" s="6">
        <v>300000</v>
      </c>
      <c r="G41" s="6">
        <v>300000</v>
      </c>
      <c r="H41" s="6">
        <v>300000</v>
      </c>
      <c r="I41" s="6">
        <v>300000</v>
      </c>
      <c r="J41" s="6">
        <v>300000</v>
      </c>
      <c r="K41" s="6">
        <v>300000</v>
      </c>
      <c r="L41" s="6">
        <v>300000</v>
      </c>
    </row>
    <row r="42" spans="1:14" x14ac:dyDescent="0.3">
      <c r="A42" s="6" t="s">
        <v>42</v>
      </c>
      <c r="B42" s="6"/>
      <c r="C42" s="6">
        <f>SUM(C32:C41)</f>
        <v>10991112.5856</v>
      </c>
      <c r="D42" s="6">
        <f t="shared" ref="D42:L42" si="38">SUM(D32:D41)</f>
        <v>11143066.929024</v>
      </c>
      <c r="E42" s="6">
        <f t="shared" si="38"/>
        <v>11280388.906848</v>
      </c>
      <c r="F42" s="6">
        <f t="shared" si="38"/>
        <v>11399939.548103999</v>
      </c>
      <c r="G42" s="6">
        <f t="shared" si="38"/>
        <v>11498080.71269496</v>
      </c>
      <c r="H42" s="6">
        <f t="shared" si="38"/>
        <v>11570599.36632093</v>
      </c>
      <c r="I42" s="6">
        <f t="shared" si="38"/>
        <v>11612620.471152958</v>
      </c>
      <c r="J42" s="6">
        <f t="shared" si="38"/>
        <v>11618506.783852227</v>
      </c>
      <c r="K42" s="6">
        <f t="shared" si="38"/>
        <v>11581743.596248504</v>
      </c>
      <c r="L42" s="6">
        <f t="shared" si="38"/>
        <v>11494806.159265514</v>
      </c>
    </row>
    <row r="43" spans="1:14" x14ac:dyDescent="0.3">
      <c r="A43" s="6" t="s">
        <v>46</v>
      </c>
      <c r="B43" s="6">
        <v>0.04</v>
      </c>
      <c r="C43" s="6">
        <v>1</v>
      </c>
      <c r="D43" s="6">
        <f t="shared" ref="D43:L43" si="39">$C$43+($B$43*D1)</f>
        <v>1.04</v>
      </c>
      <c r="E43" s="6">
        <f t="shared" si="39"/>
        <v>1.08</v>
      </c>
      <c r="F43" s="6">
        <f t="shared" si="39"/>
        <v>1.1200000000000001</v>
      </c>
      <c r="G43" s="6">
        <f t="shared" si="39"/>
        <v>1.1599999999999999</v>
      </c>
      <c r="H43" s="6">
        <f t="shared" si="39"/>
        <v>1.2</v>
      </c>
      <c r="I43" s="6">
        <f t="shared" si="39"/>
        <v>1.24</v>
      </c>
      <c r="J43" s="6">
        <f t="shared" si="39"/>
        <v>1.28</v>
      </c>
      <c r="K43" s="6">
        <f t="shared" si="39"/>
        <v>1.32</v>
      </c>
      <c r="L43" s="6">
        <f t="shared" si="39"/>
        <v>1.3599999999999999</v>
      </c>
      <c r="N43" t="s">
        <v>86</v>
      </c>
    </row>
    <row r="44" spans="1:14" x14ac:dyDescent="0.3">
      <c r="A44" s="6"/>
      <c r="B44" s="6"/>
      <c r="C44" s="6">
        <f>C42*C43</f>
        <v>10991112.5856</v>
      </c>
      <c r="D44" s="6">
        <f>D42*D43</f>
        <v>11588789.606184959</v>
      </c>
      <c r="E44" s="6">
        <f t="shared" ref="E44:L44" si="40">E42*E43</f>
        <v>12182820.019395841</v>
      </c>
      <c r="F44" s="6">
        <f t="shared" si="40"/>
        <v>12767932.29387648</v>
      </c>
      <c r="G44" s="6">
        <f t="shared" si="40"/>
        <v>13337773.626726152</v>
      </c>
      <c r="H44" s="6">
        <f t="shared" si="40"/>
        <v>13884719.239585117</v>
      </c>
      <c r="I44" s="6">
        <f t="shared" si="40"/>
        <v>14399649.384229667</v>
      </c>
      <c r="J44" s="6">
        <f t="shared" si="40"/>
        <v>14871688.683330851</v>
      </c>
      <c r="K44" s="6">
        <f t="shared" si="40"/>
        <v>15287901.547048025</v>
      </c>
      <c r="L44" s="6">
        <f t="shared" si="40"/>
        <v>15632936.376601098</v>
      </c>
    </row>
    <row r="45" spans="1:14" x14ac:dyDescent="0.3">
      <c r="A45" s="6" t="s">
        <v>41</v>
      </c>
      <c r="B45" s="6"/>
      <c r="C45" s="6">
        <f>C44/(1.15^(C1+1))</f>
        <v>9557489.2048695665</v>
      </c>
      <c r="D45" s="6">
        <f t="shared" ref="D45:L45" si="41">D44/(1.15^(D1+1))</f>
        <v>8762789.8723515775</v>
      </c>
      <c r="E45" s="6">
        <f t="shared" si="41"/>
        <v>8010401.9195501572</v>
      </c>
      <c r="F45" s="6">
        <f t="shared" si="41"/>
        <v>7300106.7285359809</v>
      </c>
      <c r="G45" s="6">
        <f t="shared" si="41"/>
        <v>6631230.7478833403</v>
      </c>
      <c r="H45" s="6">
        <f t="shared" si="41"/>
        <v>6002747.2887567673</v>
      </c>
      <c r="I45" s="6">
        <f t="shared" si="41"/>
        <v>5413361.5654376857</v>
      </c>
      <c r="J45" s="6">
        <f t="shared" si="41"/>
        <v>4861581.4106688313</v>
      </c>
      <c r="K45" s="6">
        <f t="shared" si="41"/>
        <v>4345775.7687961468</v>
      </c>
      <c r="L45" s="6">
        <f t="shared" si="41"/>
        <v>3864222.7840719689</v>
      </c>
    </row>
    <row r="46" spans="1:14" x14ac:dyDescent="0.3">
      <c r="A46" t="s">
        <v>40</v>
      </c>
      <c r="C46" s="8">
        <f>SUM(C45:L45)</f>
        <v>64749707.290922031</v>
      </c>
      <c r="N46" t="s">
        <v>100</v>
      </c>
    </row>
    <row r="48" spans="1:14" x14ac:dyDescent="0.3">
      <c r="A48" s="1" t="s">
        <v>106</v>
      </c>
      <c r="B48" s="1"/>
      <c r="C48" s="1">
        <v>2008</v>
      </c>
      <c r="D48" s="1">
        <v>2009</v>
      </c>
      <c r="E48" s="1">
        <v>2010</v>
      </c>
      <c r="F48" s="1">
        <v>2011</v>
      </c>
      <c r="G48" s="1">
        <v>2012</v>
      </c>
      <c r="H48" s="1">
        <v>2013</v>
      </c>
      <c r="I48" s="1">
        <v>2014</v>
      </c>
      <c r="J48" s="1">
        <v>2015</v>
      </c>
      <c r="K48" s="1">
        <v>2016</v>
      </c>
      <c r="L48" s="1">
        <v>2017</v>
      </c>
      <c r="N48" t="s">
        <v>79</v>
      </c>
    </row>
    <row r="49" spans="1:14" x14ac:dyDescent="0.3">
      <c r="A49" s="6" t="s">
        <v>0</v>
      </c>
      <c r="B49" s="6"/>
      <c r="C49" s="6">
        <v>100000</v>
      </c>
      <c r="D49" s="6">
        <f>C49</f>
        <v>100000</v>
      </c>
      <c r="E49" s="6">
        <f t="shared" ref="E49:L49" si="42">D49</f>
        <v>100000</v>
      </c>
      <c r="F49" s="6">
        <f t="shared" si="42"/>
        <v>100000</v>
      </c>
      <c r="G49" s="6">
        <f t="shared" si="42"/>
        <v>100000</v>
      </c>
      <c r="H49" s="6">
        <f t="shared" si="42"/>
        <v>100000</v>
      </c>
      <c r="I49" s="6">
        <f t="shared" si="42"/>
        <v>100000</v>
      </c>
      <c r="J49" s="6">
        <f t="shared" si="42"/>
        <v>100000</v>
      </c>
      <c r="K49" s="6">
        <f t="shared" si="42"/>
        <v>100000</v>
      </c>
      <c r="L49" s="6">
        <f t="shared" si="42"/>
        <v>100000</v>
      </c>
    </row>
    <row r="50" spans="1:14" x14ac:dyDescent="0.3">
      <c r="A50" s="6" t="s">
        <v>5</v>
      </c>
      <c r="B50" s="6"/>
      <c r="C50" s="6">
        <v>200000</v>
      </c>
      <c r="D50" s="6">
        <v>200000</v>
      </c>
      <c r="E50" s="6">
        <v>200000</v>
      </c>
      <c r="F50" s="6">
        <v>200000</v>
      </c>
      <c r="G50" s="6">
        <v>200000</v>
      </c>
      <c r="H50" s="6">
        <v>200000</v>
      </c>
      <c r="I50" s="6">
        <v>200000</v>
      </c>
      <c r="J50" s="6">
        <v>200000</v>
      </c>
      <c r="K50" s="6">
        <v>200000</v>
      </c>
      <c r="L50" s="6">
        <v>200000</v>
      </c>
    </row>
    <row r="51" spans="1:14" x14ac:dyDescent="0.3">
      <c r="A51" s="6" t="s">
        <v>47</v>
      </c>
      <c r="B51" s="6">
        <v>0.05</v>
      </c>
      <c r="C51" s="6">
        <f>211*0.91*44*52</f>
        <v>439318.88</v>
      </c>
      <c r="D51" s="6">
        <f t="shared" ref="D51:L51" si="43">$C$51*(1+($B$51*D$1))</f>
        <v>461284.82400000002</v>
      </c>
      <c r="E51" s="6">
        <f t="shared" si="43"/>
        <v>483250.76800000004</v>
      </c>
      <c r="F51" s="6">
        <f t="shared" si="43"/>
        <v>505216.71199999994</v>
      </c>
      <c r="G51" s="6">
        <f t="shared" si="43"/>
        <v>527182.65599999996</v>
      </c>
      <c r="H51" s="6">
        <f t="shared" si="43"/>
        <v>549148.6</v>
      </c>
      <c r="I51" s="6">
        <f t="shared" si="43"/>
        <v>571114.54399999999</v>
      </c>
      <c r="J51" s="6">
        <f t="shared" si="43"/>
        <v>593080.48800000001</v>
      </c>
      <c r="K51" s="6">
        <f t="shared" si="43"/>
        <v>615046.43199999991</v>
      </c>
      <c r="L51" s="6">
        <f t="shared" si="43"/>
        <v>637012.37599999993</v>
      </c>
      <c r="N51" t="s">
        <v>80</v>
      </c>
    </row>
    <row r="52" spans="1:14" x14ac:dyDescent="0.3">
      <c r="A52" s="6" t="s">
        <v>37</v>
      </c>
      <c r="B52" s="6"/>
      <c r="C52" s="6">
        <f>C51*0.5</f>
        <v>219659.44</v>
      </c>
      <c r="D52" s="6">
        <f t="shared" ref="D52" si="44">D51*0.5</f>
        <v>230642.41200000001</v>
      </c>
      <c r="E52" s="6">
        <f t="shared" ref="E52" si="45">E51*0.5</f>
        <v>241625.38400000002</v>
      </c>
      <c r="F52" s="6">
        <f t="shared" ref="F52" si="46">F51*0.5</f>
        <v>252608.35599999997</v>
      </c>
      <c r="G52" s="6">
        <f t="shared" ref="G52" si="47">G51*0.5</f>
        <v>263591.32799999998</v>
      </c>
      <c r="H52" s="6">
        <f t="shared" ref="H52" si="48">H51*0.5</f>
        <v>274574.3</v>
      </c>
      <c r="I52" s="6">
        <f t="shared" ref="I52" si="49">I51*0.5</f>
        <v>285557.272</v>
      </c>
      <c r="J52" s="6">
        <f t="shared" ref="J52" si="50">J51*0.5</f>
        <v>296540.24400000001</v>
      </c>
      <c r="K52" s="6">
        <f t="shared" ref="K52" si="51">K51*0.5</f>
        <v>307523.21599999996</v>
      </c>
      <c r="L52" s="6">
        <f t="shared" ref="L52" si="52">L51*0.5</f>
        <v>318506.18799999997</v>
      </c>
    </row>
    <row r="53" spans="1:14" x14ac:dyDescent="0.3">
      <c r="A53" s="6" t="s">
        <v>48</v>
      </c>
      <c r="B53" s="6">
        <v>2.5000000000000001E-2</v>
      </c>
      <c r="C53" s="6">
        <f>8000000*0.065</f>
        <v>520000</v>
      </c>
      <c r="D53" s="6">
        <f t="shared" ref="D53:L53" si="53">$C$53*(1+($B$53*D1))</f>
        <v>533000</v>
      </c>
      <c r="E53" s="6">
        <f t="shared" si="53"/>
        <v>546000</v>
      </c>
      <c r="F53" s="6">
        <f t="shared" si="53"/>
        <v>559000</v>
      </c>
      <c r="G53" s="6">
        <f t="shared" si="53"/>
        <v>572000</v>
      </c>
      <c r="H53" s="6">
        <f t="shared" si="53"/>
        <v>585000</v>
      </c>
      <c r="I53" s="6">
        <f t="shared" si="53"/>
        <v>598000</v>
      </c>
      <c r="J53" s="6">
        <f t="shared" si="53"/>
        <v>611000</v>
      </c>
      <c r="K53" s="6">
        <f t="shared" si="53"/>
        <v>624000</v>
      </c>
      <c r="L53" s="6">
        <f t="shared" si="53"/>
        <v>637000</v>
      </c>
      <c r="N53" t="s">
        <v>87</v>
      </c>
    </row>
    <row r="54" spans="1:14" x14ac:dyDescent="0.3">
      <c r="A54" s="6" t="s">
        <v>53</v>
      </c>
      <c r="B54" s="6"/>
      <c r="C54" s="6">
        <f>SUM(C50:C53)*0.08</f>
        <v>110318.26560000001</v>
      </c>
      <c r="D54" s="6">
        <f t="shared" ref="D54:L54" si="54">SUM(D50:D53)*0.08</f>
        <v>113994.17888000001</v>
      </c>
      <c r="E54" s="6">
        <f t="shared" si="54"/>
        <v>117670.09216</v>
      </c>
      <c r="F54" s="6">
        <f t="shared" si="54"/>
        <v>121346.00543999999</v>
      </c>
      <c r="G54" s="6">
        <f t="shared" si="54"/>
        <v>125021.91872</v>
      </c>
      <c r="H54" s="6">
        <f t="shared" si="54"/>
        <v>128697.83199999999</v>
      </c>
      <c r="I54" s="6">
        <f t="shared" si="54"/>
        <v>132373.74528</v>
      </c>
      <c r="J54" s="6">
        <f t="shared" si="54"/>
        <v>136049.65856000001</v>
      </c>
      <c r="K54" s="6">
        <f t="shared" si="54"/>
        <v>139725.57183999999</v>
      </c>
      <c r="L54" s="6">
        <f t="shared" si="54"/>
        <v>143401.48512</v>
      </c>
    </row>
    <row r="55" spans="1:14" x14ac:dyDescent="0.3">
      <c r="A55" s="6" t="s">
        <v>36</v>
      </c>
      <c r="B55" s="6"/>
      <c r="C55" s="6">
        <v>1000000</v>
      </c>
      <c r="D55" s="6">
        <v>1000000</v>
      </c>
      <c r="E55" s="6">
        <v>1000000</v>
      </c>
      <c r="F55" s="6">
        <v>1000000</v>
      </c>
      <c r="G55" s="6">
        <v>1000000</v>
      </c>
      <c r="H55" s="6">
        <v>1000000</v>
      </c>
      <c r="I55" s="6">
        <v>1000000</v>
      </c>
      <c r="J55" s="6">
        <v>1000000</v>
      </c>
      <c r="K55" s="6">
        <v>1000000</v>
      </c>
      <c r="L55" s="6">
        <v>1000000</v>
      </c>
    </row>
    <row r="56" spans="1:14" x14ac:dyDescent="0.3">
      <c r="A56" s="6" t="s">
        <v>6</v>
      </c>
      <c r="B56" s="6"/>
      <c r="C56" s="6">
        <f>8000000*(1.03)^3</f>
        <v>8741816</v>
      </c>
      <c r="D56" s="6">
        <f>C56*1.03</f>
        <v>9004070.4800000004</v>
      </c>
      <c r="E56" s="6">
        <f t="shared" ref="E56:L56" si="55">D56*1.03</f>
        <v>9274192.5943999998</v>
      </c>
      <c r="F56" s="6">
        <f t="shared" si="55"/>
        <v>9552418.3722319994</v>
      </c>
      <c r="G56" s="6">
        <f t="shared" si="55"/>
        <v>9838990.9233989604</v>
      </c>
      <c r="H56" s="6">
        <f t="shared" si="55"/>
        <v>10134160.65110093</v>
      </c>
      <c r="I56" s="6">
        <f t="shared" si="55"/>
        <v>10438185.470633958</v>
      </c>
      <c r="J56" s="6">
        <f t="shared" si="55"/>
        <v>10751331.034752976</v>
      </c>
      <c r="K56" s="6">
        <f t="shared" si="55"/>
        <v>11073870.965795565</v>
      </c>
      <c r="L56" s="6">
        <f t="shared" si="55"/>
        <v>11406087.094769433</v>
      </c>
    </row>
    <row r="57" spans="1:14" x14ac:dyDescent="0.3">
      <c r="A57" s="6" t="s">
        <v>8</v>
      </c>
      <c r="B57" s="6"/>
      <c r="C57" s="6">
        <v>-1000000</v>
      </c>
      <c r="D57" s="6">
        <f>C57*1.15</f>
        <v>-1150000</v>
      </c>
      <c r="E57" s="6">
        <f t="shared" ref="E57:L57" si="56">D57*1.15</f>
        <v>-1322500</v>
      </c>
      <c r="F57" s="6">
        <f t="shared" si="56"/>
        <v>-1520874.9999999998</v>
      </c>
      <c r="G57" s="6">
        <f t="shared" si="56"/>
        <v>-1749006.2499999995</v>
      </c>
      <c r="H57" s="6">
        <f t="shared" si="56"/>
        <v>-2011357.1874999993</v>
      </c>
      <c r="I57" s="6">
        <f t="shared" si="56"/>
        <v>-2313060.7656249991</v>
      </c>
      <c r="J57" s="6">
        <f t="shared" si="56"/>
        <v>-2660019.8804687485</v>
      </c>
      <c r="K57" s="6">
        <f t="shared" si="56"/>
        <v>-3059022.8625390604</v>
      </c>
      <c r="L57" s="6">
        <f t="shared" si="56"/>
        <v>-3517876.2919199192</v>
      </c>
    </row>
    <row r="58" spans="1:14" x14ac:dyDescent="0.3">
      <c r="A58" s="6" t="s">
        <v>7</v>
      </c>
      <c r="B58" s="6"/>
      <c r="C58" s="6">
        <v>460000</v>
      </c>
      <c r="D58" s="6">
        <v>460000</v>
      </c>
      <c r="E58" s="6">
        <v>460000</v>
      </c>
      <c r="F58" s="6">
        <v>460000</v>
      </c>
      <c r="G58" s="6">
        <v>460000</v>
      </c>
      <c r="H58" s="6">
        <v>460000</v>
      </c>
      <c r="I58" s="6">
        <v>460000</v>
      </c>
      <c r="J58" s="6">
        <v>460000</v>
      </c>
      <c r="K58" s="6">
        <v>460000</v>
      </c>
      <c r="L58" s="6">
        <v>460000</v>
      </c>
    </row>
    <row r="59" spans="1:14" x14ac:dyDescent="0.3">
      <c r="A59" s="6" t="s">
        <v>102</v>
      </c>
      <c r="B59" s="6"/>
      <c r="C59" s="6">
        <f>C41</f>
        <v>300000</v>
      </c>
      <c r="D59" s="6">
        <f t="shared" ref="D59:L59" si="57">D41</f>
        <v>300000</v>
      </c>
      <c r="E59" s="6">
        <f t="shared" si="57"/>
        <v>300000</v>
      </c>
      <c r="F59" s="6">
        <f t="shared" si="57"/>
        <v>300000</v>
      </c>
      <c r="G59" s="6">
        <f t="shared" si="57"/>
        <v>300000</v>
      </c>
      <c r="H59" s="6">
        <f t="shared" si="57"/>
        <v>300000</v>
      </c>
      <c r="I59" s="6">
        <f t="shared" si="57"/>
        <v>300000</v>
      </c>
      <c r="J59" s="6">
        <f t="shared" si="57"/>
        <v>300000</v>
      </c>
      <c r="K59" s="6">
        <f t="shared" si="57"/>
        <v>300000</v>
      </c>
      <c r="L59" s="6">
        <f t="shared" si="57"/>
        <v>300000</v>
      </c>
    </row>
    <row r="60" spans="1:14" x14ac:dyDescent="0.3">
      <c r="A60" s="6" t="s">
        <v>42</v>
      </c>
      <c r="B60" s="6"/>
      <c r="C60" s="6">
        <f>SUM(C50:C59)</f>
        <v>10991112.5856</v>
      </c>
      <c r="D60" s="6">
        <f t="shared" ref="D60:L60" si="58">SUM(D50:D59)</f>
        <v>11152991.894880001</v>
      </c>
      <c r="E60" s="6">
        <f t="shared" si="58"/>
        <v>11300238.83856</v>
      </c>
      <c r="F60" s="6">
        <f t="shared" si="58"/>
        <v>11429714.445672</v>
      </c>
      <c r="G60" s="6">
        <f t="shared" si="58"/>
        <v>11537780.576118961</v>
      </c>
      <c r="H60" s="6">
        <f t="shared" si="58"/>
        <v>11620224.195600931</v>
      </c>
      <c r="I60" s="6">
        <f t="shared" si="58"/>
        <v>11672170.266288958</v>
      </c>
      <c r="J60" s="6">
        <f t="shared" si="58"/>
        <v>11687981.544844229</v>
      </c>
      <c r="K60" s="6">
        <f t="shared" si="58"/>
        <v>11661143.323096504</v>
      </c>
      <c r="L60" s="6">
        <f t="shared" si="58"/>
        <v>11584130.851969514</v>
      </c>
    </row>
    <row r="61" spans="1:14" x14ac:dyDescent="0.3">
      <c r="A61" s="6" t="s">
        <v>49</v>
      </c>
      <c r="B61" s="6">
        <v>0.05</v>
      </c>
      <c r="C61" s="6">
        <v>1</v>
      </c>
      <c r="D61" s="6">
        <f t="shared" ref="D61:L61" si="59">$C$61+($B$61*D$1)</f>
        <v>1.05</v>
      </c>
      <c r="E61" s="6">
        <f t="shared" si="59"/>
        <v>1.1000000000000001</v>
      </c>
      <c r="F61" s="6">
        <f t="shared" si="59"/>
        <v>1.1499999999999999</v>
      </c>
      <c r="G61" s="6">
        <f t="shared" si="59"/>
        <v>1.2</v>
      </c>
      <c r="H61" s="6">
        <f t="shared" si="59"/>
        <v>1.25</v>
      </c>
      <c r="I61" s="6">
        <f t="shared" si="59"/>
        <v>1.3</v>
      </c>
      <c r="J61" s="6">
        <f t="shared" si="59"/>
        <v>1.35</v>
      </c>
      <c r="K61" s="6">
        <f t="shared" si="59"/>
        <v>1.4</v>
      </c>
      <c r="L61" s="6">
        <f t="shared" si="59"/>
        <v>1.45</v>
      </c>
      <c r="N61" t="s">
        <v>88</v>
      </c>
    </row>
    <row r="62" spans="1:14" x14ac:dyDescent="0.3">
      <c r="A62" s="6"/>
      <c r="B62" s="6"/>
      <c r="C62" s="6">
        <f>C60*C61</f>
        <v>10991112.5856</v>
      </c>
      <c r="D62" s="6">
        <f>D60*D61</f>
        <v>11710641.489624001</v>
      </c>
      <c r="E62" s="6">
        <f t="shared" ref="E62" si="60">E60*E61</f>
        <v>12430262.722416</v>
      </c>
      <c r="F62" s="6">
        <f t="shared" ref="F62" si="61">F60*F61</f>
        <v>13144171.6125228</v>
      </c>
      <c r="G62" s="6">
        <f t="shared" ref="G62" si="62">G60*G61</f>
        <v>13845336.691342752</v>
      </c>
      <c r="H62" s="6">
        <f t="shared" ref="H62" si="63">H60*H61</f>
        <v>14525280.244501162</v>
      </c>
      <c r="I62" s="6">
        <f t="shared" ref="I62" si="64">I60*I61</f>
        <v>15173821.346175646</v>
      </c>
      <c r="J62" s="6">
        <f t="shared" ref="J62" si="65">J60*J61</f>
        <v>15778775.08553971</v>
      </c>
      <c r="K62" s="6">
        <f t="shared" ref="K62" si="66">K60*K61</f>
        <v>16325600.652335105</v>
      </c>
      <c r="L62" s="6">
        <f t="shared" ref="L62" si="67">L60*L61</f>
        <v>16796989.735355794</v>
      </c>
    </row>
    <row r="63" spans="1:14" x14ac:dyDescent="0.3">
      <c r="A63" s="6" t="s">
        <v>41</v>
      </c>
      <c r="B63" s="6"/>
      <c r="C63" s="6">
        <f>C62/(1.15^(C$1+1))</f>
        <v>9557489.2048695665</v>
      </c>
      <c r="D63" s="6">
        <f t="shared" ref="D63:L63" si="68">D62/(1.15^(D$1+1))</f>
        <v>8854927.4023621958</v>
      </c>
      <c r="E63" s="6">
        <f t="shared" si="68"/>
        <v>8173099.5133827599</v>
      </c>
      <c r="F63" s="6">
        <f t="shared" si="68"/>
        <v>7515222.7800917253</v>
      </c>
      <c r="G63" s="6">
        <f t="shared" si="68"/>
        <v>6883579.2953074165</v>
      </c>
      <c r="H63" s="6">
        <f t="shared" si="68"/>
        <v>6279679.4880468128</v>
      </c>
      <c r="I63" s="6">
        <f t="shared" si="68"/>
        <v>5704401.48120311</v>
      </c>
      <c r="J63" s="6">
        <f t="shared" si="68"/>
        <v>5158109.564582645</v>
      </c>
      <c r="K63" s="6">
        <f t="shared" si="68"/>
        <v>4640754.6194369532</v>
      </c>
      <c r="L63" s="6">
        <f t="shared" si="68"/>
        <v>4151958.9714659196</v>
      </c>
      <c r="N63" t="s">
        <v>100</v>
      </c>
    </row>
    <row r="64" spans="1:14" x14ac:dyDescent="0.3">
      <c r="A64" s="6" t="s">
        <v>40</v>
      </c>
      <c r="B64" s="6"/>
      <c r="C64" s="8">
        <f>SUM(C63:L63)</f>
        <v>66919222.320749097</v>
      </c>
      <c r="D64" s="6"/>
      <c r="E64" s="6"/>
      <c r="F64" s="6"/>
      <c r="G64" s="6"/>
      <c r="H64" s="6"/>
      <c r="I64" s="6"/>
      <c r="J64" s="6"/>
      <c r="K64" s="6"/>
      <c r="L64" s="6"/>
    </row>
    <row r="66" spans="1:14" x14ac:dyDescent="0.3">
      <c r="A66" s="1" t="s">
        <v>107</v>
      </c>
      <c r="B66" s="1"/>
      <c r="C66" s="1">
        <v>2008</v>
      </c>
      <c r="D66" s="1">
        <v>2009</v>
      </c>
      <c r="E66" s="1">
        <v>2010</v>
      </c>
      <c r="F66" s="1">
        <v>2011</v>
      </c>
      <c r="G66" s="1">
        <v>2012</v>
      </c>
      <c r="H66" s="1">
        <v>2013</v>
      </c>
      <c r="I66" s="1">
        <v>2014</v>
      </c>
      <c r="J66" s="1">
        <v>2015</v>
      </c>
      <c r="K66" s="1">
        <v>2016</v>
      </c>
      <c r="L66" s="1">
        <v>2017</v>
      </c>
      <c r="N66" t="s">
        <v>89</v>
      </c>
    </row>
    <row r="67" spans="1:14" x14ac:dyDescent="0.3">
      <c r="A67" s="6" t="s">
        <v>0</v>
      </c>
      <c r="B67" s="6"/>
      <c r="C67" s="6">
        <v>100000</v>
      </c>
      <c r="D67" s="6">
        <f>C67</f>
        <v>100000</v>
      </c>
      <c r="E67" s="6">
        <f t="shared" ref="E67" si="69">D67</f>
        <v>100000</v>
      </c>
      <c r="F67" s="6">
        <f t="shared" ref="F67" si="70">E67</f>
        <v>100000</v>
      </c>
      <c r="G67" s="6">
        <f t="shared" ref="G67" si="71">F67</f>
        <v>100000</v>
      </c>
      <c r="H67" s="6">
        <f t="shared" ref="H67" si="72">G67</f>
        <v>100000</v>
      </c>
      <c r="I67" s="6">
        <f t="shared" ref="I67" si="73">H67</f>
        <v>100000</v>
      </c>
      <c r="J67" s="6">
        <f t="shared" ref="J67" si="74">I67</f>
        <v>100000</v>
      </c>
      <c r="K67" s="6">
        <f t="shared" ref="K67" si="75">J67</f>
        <v>100000</v>
      </c>
      <c r="L67" s="6">
        <f t="shared" ref="L67" si="76">K67</f>
        <v>100000</v>
      </c>
    </row>
    <row r="68" spans="1:14" x14ac:dyDescent="0.3">
      <c r="A68" s="6" t="s">
        <v>5</v>
      </c>
      <c r="B68" s="6"/>
      <c r="C68" s="6">
        <v>200000</v>
      </c>
      <c r="D68" s="6">
        <v>200000</v>
      </c>
      <c r="E68" s="6">
        <v>200000</v>
      </c>
      <c r="F68" s="6">
        <v>200000</v>
      </c>
      <c r="G68" s="6">
        <v>200000</v>
      </c>
      <c r="H68" s="6">
        <v>200000</v>
      </c>
      <c r="I68" s="6">
        <v>200000</v>
      </c>
      <c r="J68" s="6">
        <v>200000</v>
      </c>
      <c r="K68" s="6">
        <v>200000</v>
      </c>
      <c r="L68" s="6">
        <v>200000</v>
      </c>
    </row>
    <row r="69" spans="1:14" x14ac:dyDescent="0.3">
      <c r="A69" s="6" t="s">
        <v>50</v>
      </c>
      <c r="B69" s="6">
        <v>0.03</v>
      </c>
      <c r="C69" s="6">
        <f>211*0.91*44*52</f>
        <v>439318.88</v>
      </c>
      <c r="D69" s="6">
        <f t="shared" ref="D69:L69" si="77">$C$69*(1+($B$69*D$1))</f>
        <v>452498.44640000002</v>
      </c>
      <c r="E69" s="6">
        <f t="shared" si="77"/>
        <v>465678.01280000003</v>
      </c>
      <c r="F69" s="6">
        <f t="shared" si="77"/>
        <v>478857.57920000004</v>
      </c>
      <c r="G69" s="6">
        <f t="shared" si="77"/>
        <v>492037.14560000005</v>
      </c>
      <c r="H69" s="6">
        <f t="shared" si="77"/>
        <v>505216.71199999994</v>
      </c>
      <c r="I69" s="6">
        <f t="shared" si="77"/>
        <v>518396.27839999995</v>
      </c>
      <c r="J69" s="6">
        <f t="shared" si="77"/>
        <v>531575.84479999996</v>
      </c>
      <c r="K69" s="6">
        <f t="shared" si="77"/>
        <v>544755.41119999997</v>
      </c>
      <c r="L69" s="6">
        <f t="shared" si="77"/>
        <v>557934.97759999998</v>
      </c>
      <c r="N69" t="s">
        <v>90</v>
      </c>
    </row>
    <row r="70" spans="1:14" x14ac:dyDescent="0.3">
      <c r="A70" s="6" t="s">
        <v>37</v>
      </c>
      <c r="B70" s="6"/>
      <c r="C70" s="6">
        <f>C69*0.5</f>
        <v>219659.44</v>
      </c>
      <c r="D70" s="6">
        <f t="shared" ref="D70:L70" si="78">D69*0.5</f>
        <v>226249.22320000001</v>
      </c>
      <c r="E70" s="6">
        <f t="shared" si="78"/>
        <v>232839.00640000001</v>
      </c>
      <c r="F70" s="6">
        <f t="shared" si="78"/>
        <v>239428.78960000002</v>
      </c>
      <c r="G70" s="6">
        <f t="shared" si="78"/>
        <v>246018.57280000002</v>
      </c>
      <c r="H70" s="6">
        <f t="shared" si="78"/>
        <v>252608.35599999997</v>
      </c>
      <c r="I70" s="6">
        <f t="shared" si="78"/>
        <v>259198.13919999998</v>
      </c>
      <c r="J70" s="6">
        <f t="shared" si="78"/>
        <v>265787.92239999998</v>
      </c>
      <c r="K70" s="6">
        <f t="shared" si="78"/>
        <v>272377.70559999999</v>
      </c>
      <c r="L70" s="6">
        <f t="shared" si="78"/>
        <v>278967.48879999999</v>
      </c>
    </row>
    <row r="71" spans="1:14" x14ac:dyDescent="0.3">
      <c r="A71" s="6" t="s">
        <v>51</v>
      </c>
      <c r="B71" s="6">
        <v>1.4999999999999999E-2</v>
      </c>
      <c r="C71" s="6">
        <f>8000000*0.065</f>
        <v>520000</v>
      </c>
      <c r="D71" s="6">
        <f t="shared" ref="D71:L71" si="79">$C$71*(1+($B$71*D$1))</f>
        <v>527800</v>
      </c>
      <c r="E71" s="6">
        <f t="shared" si="79"/>
        <v>535600</v>
      </c>
      <c r="F71" s="6">
        <f t="shared" si="79"/>
        <v>543400</v>
      </c>
      <c r="G71" s="6">
        <f t="shared" si="79"/>
        <v>551200</v>
      </c>
      <c r="H71" s="6">
        <f t="shared" si="79"/>
        <v>559000</v>
      </c>
      <c r="I71" s="6">
        <f t="shared" si="79"/>
        <v>566800</v>
      </c>
      <c r="J71" s="6">
        <f t="shared" si="79"/>
        <v>574600</v>
      </c>
      <c r="K71" s="6">
        <f t="shared" si="79"/>
        <v>582400</v>
      </c>
      <c r="L71" s="6">
        <f t="shared" si="79"/>
        <v>590200</v>
      </c>
      <c r="N71" t="s">
        <v>91</v>
      </c>
    </row>
    <row r="72" spans="1:14" x14ac:dyDescent="0.3">
      <c r="A72" s="6" t="s">
        <v>53</v>
      </c>
      <c r="B72" s="6"/>
      <c r="C72" s="6">
        <f>SUM(C68:C71)*0.08</f>
        <v>110318.26560000001</v>
      </c>
      <c r="D72" s="6">
        <f t="shared" ref="D72:L72" si="80">SUM(D68:D71)*0.08</f>
        <v>112523.81356800001</v>
      </c>
      <c r="E72" s="6">
        <f t="shared" si="80"/>
        <v>114729.361536</v>
      </c>
      <c r="F72" s="6">
        <f t="shared" si="80"/>
        <v>116934.90950400001</v>
      </c>
      <c r="G72" s="6">
        <f t="shared" si="80"/>
        <v>119140.45747200001</v>
      </c>
      <c r="H72" s="6">
        <f t="shared" si="80"/>
        <v>121346.00543999999</v>
      </c>
      <c r="I72" s="6">
        <f t="shared" si="80"/>
        <v>123551.55340799999</v>
      </c>
      <c r="J72" s="6">
        <f t="shared" si="80"/>
        <v>125757.10137599999</v>
      </c>
      <c r="K72" s="6">
        <f t="shared" si="80"/>
        <v>127962.649344</v>
      </c>
      <c r="L72" s="6">
        <f t="shared" si="80"/>
        <v>130168.197312</v>
      </c>
    </row>
    <row r="73" spans="1:14" x14ac:dyDescent="0.3">
      <c r="A73" s="6" t="s">
        <v>36</v>
      </c>
      <c r="B73" s="6"/>
      <c r="C73" s="6">
        <v>1000000</v>
      </c>
      <c r="D73" s="6">
        <v>1000000</v>
      </c>
      <c r="E73" s="6">
        <v>1000000</v>
      </c>
      <c r="F73" s="6">
        <v>1000000</v>
      </c>
      <c r="G73" s="6">
        <v>1000000</v>
      </c>
      <c r="H73" s="6">
        <v>1000000</v>
      </c>
      <c r="I73" s="6">
        <v>1000000</v>
      </c>
      <c r="J73" s="6">
        <v>1000000</v>
      </c>
      <c r="K73" s="6">
        <v>1000000</v>
      </c>
      <c r="L73" s="6">
        <v>1000000</v>
      </c>
    </row>
    <row r="74" spans="1:14" x14ac:dyDescent="0.3">
      <c r="A74" s="6" t="s">
        <v>6</v>
      </c>
      <c r="B74" s="6"/>
      <c r="C74" s="6">
        <f>8000000*(1.03)^3</f>
        <v>8741816</v>
      </c>
      <c r="D74" s="6">
        <f>C74*1.03</f>
        <v>9004070.4800000004</v>
      </c>
      <c r="E74" s="6">
        <f t="shared" ref="E74" si="81">D74*1.03</f>
        <v>9274192.5943999998</v>
      </c>
      <c r="F74" s="6">
        <f t="shared" ref="F74" si="82">E74*1.03</f>
        <v>9552418.3722319994</v>
      </c>
      <c r="G74" s="6">
        <f t="shared" ref="G74" si="83">F74*1.03</f>
        <v>9838990.9233989604</v>
      </c>
      <c r="H74" s="6">
        <f t="shared" ref="H74" si="84">G74*1.03</f>
        <v>10134160.65110093</v>
      </c>
      <c r="I74" s="6">
        <f t="shared" ref="I74" si="85">H74*1.03</f>
        <v>10438185.470633958</v>
      </c>
      <c r="J74" s="6">
        <f t="shared" ref="J74" si="86">I74*1.03</f>
        <v>10751331.034752976</v>
      </c>
      <c r="K74" s="6">
        <f t="shared" ref="K74" si="87">J74*1.03</f>
        <v>11073870.965795565</v>
      </c>
      <c r="L74" s="6">
        <f t="shared" ref="L74" si="88">K74*1.03</f>
        <v>11406087.094769433</v>
      </c>
    </row>
    <row r="75" spans="1:14" x14ac:dyDescent="0.3">
      <c r="A75" s="6" t="s">
        <v>8</v>
      </c>
      <c r="B75" s="6"/>
      <c r="C75" s="6">
        <v>-1000000</v>
      </c>
      <c r="D75" s="6">
        <f>C75*1.15</f>
        <v>-1150000</v>
      </c>
      <c r="E75" s="6">
        <f t="shared" ref="E75" si="89">D75*1.15</f>
        <v>-1322500</v>
      </c>
      <c r="F75" s="6">
        <f t="shared" ref="F75" si="90">E75*1.15</f>
        <v>-1520874.9999999998</v>
      </c>
      <c r="G75" s="6">
        <f t="shared" ref="G75" si="91">F75*1.15</f>
        <v>-1749006.2499999995</v>
      </c>
      <c r="H75" s="6">
        <f t="shared" ref="H75" si="92">G75*1.15</f>
        <v>-2011357.1874999993</v>
      </c>
      <c r="I75" s="6">
        <f t="shared" ref="I75" si="93">H75*1.15</f>
        <v>-2313060.7656249991</v>
      </c>
      <c r="J75" s="6">
        <f t="shared" ref="J75" si="94">I75*1.15</f>
        <v>-2660019.8804687485</v>
      </c>
      <c r="K75" s="6">
        <f t="shared" ref="K75" si="95">J75*1.15</f>
        <v>-3059022.8625390604</v>
      </c>
      <c r="L75" s="6">
        <f t="shared" ref="L75" si="96">K75*1.15</f>
        <v>-3517876.2919199192</v>
      </c>
    </row>
    <row r="76" spans="1:14" x14ac:dyDescent="0.3">
      <c r="A76" s="6" t="s">
        <v>7</v>
      </c>
      <c r="B76" s="6"/>
      <c r="C76" s="6">
        <v>460000</v>
      </c>
      <c r="D76" s="6">
        <v>460000</v>
      </c>
      <c r="E76" s="6">
        <v>460000</v>
      </c>
      <c r="F76" s="6">
        <v>460000</v>
      </c>
      <c r="G76" s="6">
        <v>460000</v>
      </c>
      <c r="H76" s="6">
        <v>460000</v>
      </c>
      <c r="I76" s="6">
        <v>460000</v>
      </c>
      <c r="J76" s="6">
        <v>460000</v>
      </c>
      <c r="K76" s="6">
        <v>460000</v>
      </c>
      <c r="L76" s="6">
        <v>460000</v>
      </c>
    </row>
    <row r="77" spans="1:14" x14ac:dyDescent="0.3">
      <c r="A77" s="6" t="s">
        <v>102</v>
      </c>
      <c r="B77" s="6"/>
      <c r="C77" s="6">
        <f>C41</f>
        <v>300000</v>
      </c>
      <c r="D77" s="6">
        <f t="shared" ref="D77:L77" si="97">D41</f>
        <v>300000</v>
      </c>
      <c r="E77" s="6">
        <f t="shared" si="97"/>
        <v>300000</v>
      </c>
      <c r="F77" s="6">
        <f t="shared" si="97"/>
        <v>300000</v>
      </c>
      <c r="G77" s="6">
        <f t="shared" si="97"/>
        <v>300000</v>
      </c>
      <c r="H77" s="6">
        <f t="shared" si="97"/>
        <v>300000</v>
      </c>
      <c r="I77" s="6">
        <f t="shared" si="97"/>
        <v>300000</v>
      </c>
      <c r="J77" s="6">
        <f t="shared" si="97"/>
        <v>300000</v>
      </c>
      <c r="K77" s="6">
        <f t="shared" si="97"/>
        <v>300000</v>
      </c>
      <c r="L77" s="6">
        <f t="shared" si="97"/>
        <v>300000</v>
      </c>
    </row>
    <row r="78" spans="1:14" x14ac:dyDescent="0.3">
      <c r="A78" s="6" t="s">
        <v>42</v>
      </c>
      <c r="B78" s="6"/>
      <c r="C78" s="6">
        <f>SUM(C68:C77)</f>
        <v>10991112.5856</v>
      </c>
      <c r="D78" s="6">
        <f t="shared" ref="D78:L78" si="98">SUM(D68:D77)</f>
        <v>11133141.963168001</v>
      </c>
      <c r="E78" s="6">
        <f t="shared" si="98"/>
        <v>11260538.975136001</v>
      </c>
      <c r="F78" s="6">
        <f t="shared" si="98"/>
        <v>11370164.650536001</v>
      </c>
      <c r="G78" s="6">
        <f t="shared" si="98"/>
        <v>11458380.84927096</v>
      </c>
      <c r="H78" s="6">
        <f t="shared" si="98"/>
        <v>11520974.53704093</v>
      </c>
      <c r="I78" s="6">
        <f t="shared" si="98"/>
        <v>11553070.676016957</v>
      </c>
      <c r="J78" s="6">
        <f t="shared" si="98"/>
        <v>11549032.022860227</v>
      </c>
      <c r="K78" s="6">
        <f t="shared" si="98"/>
        <v>11502343.869400505</v>
      </c>
      <c r="L78" s="6">
        <f t="shared" si="98"/>
        <v>11405481.466561515</v>
      </c>
    </row>
    <row r="79" spans="1:14" x14ac:dyDescent="0.3">
      <c r="A79" s="6" t="s">
        <v>52</v>
      </c>
      <c r="B79" s="6">
        <v>0.03</v>
      </c>
      <c r="C79" s="6">
        <v>1</v>
      </c>
      <c r="D79" s="6">
        <f t="shared" ref="D79:L79" si="99">$C$79+($B$79*D$1)</f>
        <v>1.03</v>
      </c>
      <c r="E79" s="6">
        <f t="shared" si="99"/>
        <v>1.06</v>
      </c>
      <c r="F79" s="6">
        <f t="shared" si="99"/>
        <v>1.0900000000000001</v>
      </c>
      <c r="G79" s="6">
        <f t="shared" si="99"/>
        <v>1.1200000000000001</v>
      </c>
      <c r="H79" s="6">
        <f t="shared" si="99"/>
        <v>1.1499999999999999</v>
      </c>
      <c r="I79" s="6">
        <f t="shared" si="99"/>
        <v>1.18</v>
      </c>
      <c r="J79" s="6">
        <f t="shared" si="99"/>
        <v>1.21</v>
      </c>
      <c r="K79" s="6">
        <f t="shared" si="99"/>
        <v>1.24</v>
      </c>
      <c r="L79" s="6">
        <f t="shared" si="99"/>
        <v>1.27</v>
      </c>
      <c r="N79" t="s">
        <v>92</v>
      </c>
    </row>
    <row r="80" spans="1:14" x14ac:dyDescent="0.3">
      <c r="A80" s="6"/>
      <c r="B80" s="6"/>
      <c r="C80" s="6">
        <f>C78*C79</f>
        <v>10991112.5856</v>
      </c>
      <c r="D80" s="6">
        <f>D78*D79</f>
        <v>11467136.22206304</v>
      </c>
      <c r="E80" s="6">
        <f t="shared" ref="E80:L80" si="100">E78*E79</f>
        <v>11936171.313644161</v>
      </c>
      <c r="F80" s="6">
        <f t="shared" si="100"/>
        <v>12393479.469084242</v>
      </c>
      <c r="G80" s="6">
        <f t="shared" si="100"/>
        <v>12833386.551183477</v>
      </c>
      <c r="H80" s="6">
        <f t="shared" si="100"/>
        <v>13249120.717597069</v>
      </c>
      <c r="I80" s="6">
        <f t="shared" si="100"/>
        <v>13632623.397700008</v>
      </c>
      <c r="J80" s="6">
        <f t="shared" si="100"/>
        <v>13974328.747660875</v>
      </c>
      <c r="K80" s="6">
        <f t="shared" si="100"/>
        <v>14262906.398056626</v>
      </c>
      <c r="L80" s="6">
        <f t="shared" si="100"/>
        <v>14484961.462533124</v>
      </c>
    </row>
    <row r="81" spans="1:14" x14ac:dyDescent="0.3">
      <c r="A81" s="6" t="s">
        <v>41</v>
      </c>
      <c r="B81" s="6"/>
      <c r="C81" s="6">
        <f>C80/(1.15^(C$1+1))</f>
        <v>9557489.2048695665</v>
      </c>
      <c r="D81" s="6">
        <f t="shared" ref="D81:L81" si="101">D80/(1.15^(D$1+1))</f>
        <v>8670802.4363425653</v>
      </c>
      <c r="E81" s="6">
        <f t="shared" si="101"/>
        <v>7848226.3918100866</v>
      </c>
      <c r="F81" s="6">
        <f t="shared" si="101"/>
        <v>7086012.1106395395</v>
      </c>
      <c r="G81" s="6">
        <f t="shared" si="101"/>
        <v>6380461.2283383813</v>
      </c>
      <c r="H81" s="6">
        <f t="shared" si="101"/>
        <v>5727960.5077807363</v>
      </c>
      <c r="I81" s="6">
        <f t="shared" si="101"/>
        <v>5125008.0865176348</v>
      </c>
      <c r="J81" s="6">
        <f t="shared" si="101"/>
        <v>4568232.8559198333</v>
      </c>
      <c r="K81" s="6">
        <f t="shared" si="101"/>
        <v>4054408.1754144034</v>
      </c>
      <c r="L81" s="6">
        <f t="shared" si="101"/>
        <v>3580460.9423028026</v>
      </c>
    </row>
    <row r="82" spans="1:14" x14ac:dyDescent="0.3">
      <c r="A82" s="6" t="s">
        <v>40</v>
      </c>
      <c r="B82" s="6"/>
      <c r="C82" s="8">
        <f>SUM(C81:L81)</f>
        <v>62599061.939935543</v>
      </c>
      <c r="D82" s="6"/>
      <c r="E82" s="6"/>
      <c r="F82" s="6"/>
      <c r="G82" s="6"/>
      <c r="H82" s="6"/>
      <c r="I82" s="6"/>
      <c r="J82" s="6"/>
      <c r="K82" s="6"/>
      <c r="L82" s="6"/>
      <c r="N82" t="s">
        <v>100</v>
      </c>
    </row>
    <row r="84" spans="1:14" x14ac:dyDescent="0.3">
      <c r="A84" s="1" t="s">
        <v>108</v>
      </c>
      <c r="B84" s="1"/>
      <c r="C84" s="1">
        <v>2008</v>
      </c>
      <c r="D84" s="1">
        <v>2009</v>
      </c>
      <c r="E84" s="1">
        <v>2010</v>
      </c>
      <c r="F84" s="1">
        <v>2011</v>
      </c>
      <c r="G84" s="1">
        <v>2012</v>
      </c>
      <c r="H84" s="1">
        <v>2013</v>
      </c>
      <c r="I84" s="1">
        <v>2014</v>
      </c>
      <c r="J84" s="1">
        <v>2015</v>
      </c>
      <c r="K84" s="1">
        <v>2016</v>
      </c>
      <c r="L84" s="1">
        <v>2017</v>
      </c>
      <c r="N84" t="s">
        <v>94</v>
      </c>
    </row>
    <row r="85" spans="1:14" x14ac:dyDescent="0.3">
      <c r="A85" s="6" t="s">
        <v>55</v>
      </c>
      <c r="B85" s="6"/>
      <c r="C85" s="6">
        <v>8000000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N85" t="s">
        <v>93</v>
      </c>
    </row>
    <row r="86" spans="1:14" x14ac:dyDescent="0.3">
      <c r="A86" s="6" t="s">
        <v>0</v>
      </c>
      <c r="B86" s="6"/>
      <c r="C86" s="6">
        <v>0</v>
      </c>
      <c r="D86" s="6">
        <f>C86</f>
        <v>0</v>
      </c>
      <c r="E86" s="6">
        <f t="shared" ref="E86" si="102">D86</f>
        <v>0</v>
      </c>
      <c r="F86" s="6">
        <f t="shared" ref="F86" si="103">E86</f>
        <v>0</v>
      </c>
      <c r="G86" s="6">
        <f t="shared" ref="G86" si="104">F86</f>
        <v>0</v>
      </c>
      <c r="H86" s="6">
        <f t="shared" ref="H86" si="105">G86</f>
        <v>0</v>
      </c>
      <c r="I86" s="6">
        <f t="shared" ref="I86" si="106">H86</f>
        <v>0</v>
      </c>
      <c r="J86" s="6">
        <f t="shared" ref="J86" si="107">I86</f>
        <v>0</v>
      </c>
      <c r="K86" s="6">
        <f t="shared" ref="K86" si="108">J86</f>
        <v>0</v>
      </c>
      <c r="L86" s="6">
        <f t="shared" ref="L86" si="109">K86</f>
        <v>0</v>
      </c>
    </row>
    <row r="87" spans="1:14" x14ac:dyDescent="0.3">
      <c r="A87" s="6" t="s">
        <v>5</v>
      </c>
      <c r="B87" s="6"/>
      <c r="C87" s="6">
        <v>200000</v>
      </c>
      <c r="D87" s="6">
        <v>200000</v>
      </c>
      <c r="E87" s="6">
        <v>200000</v>
      </c>
      <c r="F87" s="6">
        <v>200000</v>
      </c>
      <c r="G87" s="6">
        <v>200000</v>
      </c>
      <c r="H87" s="6">
        <v>200000</v>
      </c>
      <c r="I87" s="6">
        <v>200000</v>
      </c>
      <c r="J87" s="6">
        <v>200000</v>
      </c>
      <c r="K87" s="6">
        <v>200000</v>
      </c>
      <c r="L87" s="6">
        <v>200000</v>
      </c>
    </row>
    <row r="88" spans="1:14" x14ac:dyDescent="0.3">
      <c r="A88" s="6" t="s">
        <v>44</v>
      </c>
      <c r="B88" s="6">
        <v>0.04</v>
      </c>
      <c r="C88" s="6">
        <f>211*0.91*44*52</f>
        <v>439318.88</v>
      </c>
      <c r="D88" s="6">
        <f t="shared" ref="D88:L88" si="110">$C$88*(1+($B$88*D$1))</f>
        <v>456891.63520000002</v>
      </c>
      <c r="E88" s="6">
        <f t="shared" si="110"/>
        <v>474464.39040000003</v>
      </c>
      <c r="F88" s="6">
        <f t="shared" si="110"/>
        <v>492037.14560000005</v>
      </c>
      <c r="G88" s="6">
        <f t="shared" si="110"/>
        <v>509609.90079999994</v>
      </c>
      <c r="H88" s="6">
        <f t="shared" si="110"/>
        <v>527182.65599999996</v>
      </c>
      <c r="I88" s="6">
        <f t="shared" si="110"/>
        <v>544755.41119999997</v>
      </c>
      <c r="J88" s="6">
        <f t="shared" si="110"/>
        <v>562328.16639999999</v>
      </c>
      <c r="K88" s="6">
        <f t="shared" si="110"/>
        <v>579900.9216</v>
      </c>
      <c r="L88" s="6">
        <f t="shared" si="110"/>
        <v>597473.6767999999</v>
      </c>
    </row>
    <row r="89" spans="1:14" x14ac:dyDescent="0.3">
      <c r="A89" s="6" t="s">
        <v>37</v>
      </c>
      <c r="B89" s="6"/>
      <c r="C89" s="6">
        <f>C88*0.5</f>
        <v>219659.44</v>
      </c>
      <c r="D89" s="6">
        <f t="shared" ref="D89:L89" si="111">D88*0.5</f>
        <v>228445.81760000001</v>
      </c>
      <c r="E89" s="6">
        <f t="shared" si="111"/>
        <v>237232.19520000002</v>
      </c>
      <c r="F89" s="6">
        <f t="shared" si="111"/>
        <v>246018.57280000002</v>
      </c>
      <c r="G89" s="6">
        <f t="shared" si="111"/>
        <v>254804.95039999997</v>
      </c>
      <c r="H89" s="6">
        <f t="shared" si="111"/>
        <v>263591.32799999998</v>
      </c>
      <c r="I89" s="6">
        <f t="shared" si="111"/>
        <v>272377.70559999999</v>
      </c>
      <c r="J89" s="6">
        <f t="shared" si="111"/>
        <v>281164.08319999999</v>
      </c>
      <c r="K89" s="6">
        <f t="shared" si="111"/>
        <v>289950.4608</v>
      </c>
      <c r="L89" s="6">
        <f t="shared" si="111"/>
        <v>298736.83839999995</v>
      </c>
    </row>
    <row r="90" spans="1:14" x14ac:dyDescent="0.3">
      <c r="A90" s="6" t="s">
        <v>111</v>
      </c>
      <c r="B90" s="6">
        <v>0.01</v>
      </c>
      <c r="C90" s="6">
        <f>8000000*0.065</f>
        <v>520000</v>
      </c>
      <c r="D90" s="6">
        <f t="shared" ref="D90:L90" si="112">$C$90*(1+($B$90*D$1))</f>
        <v>525200</v>
      </c>
      <c r="E90" s="6">
        <f t="shared" si="112"/>
        <v>530400</v>
      </c>
      <c r="F90" s="6">
        <f t="shared" si="112"/>
        <v>535600</v>
      </c>
      <c r="G90" s="6">
        <f t="shared" si="112"/>
        <v>540800</v>
      </c>
      <c r="H90" s="6">
        <f t="shared" si="112"/>
        <v>546000</v>
      </c>
      <c r="I90" s="6">
        <f t="shared" si="112"/>
        <v>551200</v>
      </c>
      <c r="J90" s="6">
        <f t="shared" si="112"/>
        <v>556400</v>
      </c>
      <c r="K90" s="6">
        <f t="shared" si="112"/>
        <v>561600</v>
      </c>
      <c r="L90" s="6">
        <f t="shared" si="112"/>
        <v>566800</v>
      </c>
      <c r="N90" t="s">
        <v>112</v>
      </c>
    </row>
    <row r="91" spans="1:14" x14ac:dyDescent="0.3">
      <c r="A91" s="6" t="s">
        <v>36</v>
      </c>
      <c r="B91" s="6"/>
      <c r="C91" s="6">
        <v>1000000</v>
      </c>
      <c r="D91" s="6">
        <v>1000000</v>
      </c>
      <c r="E91" s="6">
        <v>1000000</v>
      </c>
      <c r="F91" s="6">
        <v>1000000</v>
      </c>
      <c r="G91" s="6">
        <v>1000000</v>
      </c>
      <c r="H91" s="6">
        <v>1000000</v>
      </c>
      <c r="I91" s="6">
        <v>1000000</v>
      </c>
      <c r="J91" s="6">
        <v>1000000</v>
      </c>
      <c r="K91" s="6">
        <v>1000000</v>
      </c>
      <c r="L91" s="6">
        <v>1000000</v>
      </c>
    </row>
    <row r="92" spans="1:14" x14ac:dyDescent="0.3">
      <c r="A92" s="6" t="s">
        <v>6</v>
      </c>
      <c r="B92" s="6"/>
      <c r="C92" s="6">
        <f>8000000*(1.03)^3</f>
        <v>8741816</v>
      </c>
      <c r="D92" s="6">
        <f>C92*1.03</f>
        <v>9004070.4800000004</v>
      </c>
      <c r="E92" s="6">
        <f t="shared" ref="E92" si="113">D92*1.03</f>
        <v>9274192.5943999998</v>
      </c>
      <c r="F92" s="6">
        <f t="shared" ref="F92" si="114">E92*1.03</f>
        <v>9552418.3722319994</v>
      </c>
      <c r="G92" s="6">
        <f t="shared" ref="G92" si="115">F92*1.03</f>
        <v>9838990.9233989604</v>
      </c>
      <c r="H92" s="6">
        <f t="shared" ref="H92" si="116">G92*1.03</f>
        <v>10134160.65110093</v>
      </c>
      <c r="I92" s="6">
        <f t="shared" ref="I92" si="117">H92*1.03</f>
        <v>10438185.470633958</v>
      </c>
      <c r="J92" s="6">
        <f t="shared" ref="J92" si="118">I92*1.03</f>
        <v>10751331.034752976</v>
      </c>
      <c r="K92" s="6">
        <f t="shared" ref="K92" si="119">J92*1.03</f>
        <v>11073870.965795565</v>
      </c>
      <c r="L92" s="6">
        <f t="shared" ref="L92" si="120">K92*1.03</f>
        <v>11406087.094769433</v>
      </c>
    </row>
    <row r="93" spans="1:14" x14ac:dyDescent="0.3">
      <c r="A93" s="6" t="s">
        <v>8</v>
      </c>
      <c r="B93" s="6"/>
      <c r="C93" s="6">
        <v>-1000000</v>
      </c>
      <c r="D93" s="6">
        <f>C93*1.15</f>
        <v>-1150000</v>
      </c>
      <c r="E93" s="6">
        <f t="shared" ref="E93" si="121">D93*1.15</f>
        <v>-1322500</v>
      </c>
      <c r="F93" s="6">
        <f t="shared" ref="F93" si="122">E93*1.15</f>
        <v>-1520874.9999999998</v>
      </c>
      <c r="G93" s="6">
        <f t="shared" ref="G93" si="123">F93*1.15</f>
        <v>-1749006.2499999995</v>
      </c>
      <c r="H93" s="6">
        <f t="shared" ref="H93" si="124">G93*1.15</f>
        <v>-2011357.1874999993</v>
      </c>
      <c r="I93" s="6">
        <f t="shared" ref="I93" si="125">H93*1.15</f>
        <v>-2313060.7656249991</v>
      </c>
      <c r="J93" s="6">
        <f t="shared" ref="J93" si="126">I93*1.15</f>
        <v>-2660019.8804687485</v>
      </c>
      <c r="K93" s="6">
        <f t="shared" ref="K93" si="127">J93*1.15</f>
        <v>-3059022.8625390604</v>
      </c>
      <c r="L93" s="6">
        <f t="shared" ref="L93" si="128">K93*1.15</f>
        <v>-3517876.2919199192</v>
      </c>
    </row>
    <row r="94" spans="1:14" x14ac:dyDescent="0.3">
      <c r="A94" s="6" t="s">
        <v>7</v>
      </c>
      <c r="B94" s="6"/>
      <c r="C94" s="6">
        <v>460000</v>
      </c>
      <c r="D94" s="6">
        <v>460000</v>
      </c>
      <c r="E94" s="6">
        <v>460000</v>
      </c>
      <c r="F94" s="6">
        <v>460000</v>
      </c>
      <c r="G94" s="6">
        <v>460000</v>
      </c>
      <c r="H94" s="6">
        <v>460000</v>
      </c>
      <c r="I94" s="6">
        <v>460000</v>
      </c>
      <c r="J94" s="6">
        <v>460000</v>
      </c>
      <c r="K94" s="6">
        <v>460000</v>
      </c>
      <c r="L94" s="6">
        <v>460000</v>
      </c>
    </row>
    <row r="95" spans="1:14" x14ac:dyDescent="0.3">
      <c r="A95" s="6" t="s">
        <v>102</v>
      </c>
      <c r="B95" s="6"/>
      <c r="C95" s="6">
        <f>C11</f>
        <v>500000</v>
      </c>
      <c r="D95" s="6">
        <f t="shared" ref="D95:L95" si="129">D11</f>
        <v>500000</v>
      </c>
      <c r="E95" s="6">
        <f t="shared" si="129"/>
        <v>500000</v>
      </c>
      <c r="F95" s="6">
        <f t="shared" si="129"/>
        <v>500000</v>
      </c>
      <c r="G95" s="6">
        <f t="shared" si="129"/>
        <v>500000</v>
      </c>
      <c r="H95" s="6">
        <f t="shared" si="129"/>
        <v>500000</v>
      </c>
      <c r="I95" s="6">
        <f t="shared" si="129"/>
        <v>500000</v>
      </c>
      <c r="J95" s="6">
        <f t="shared" si="129"/>
        <v>500000</v>
      </c>
      <c r="K95" s="6">
        <f t="shared" si="129"/>
        <v>500000</v>
      </c>
      <c r="L95" s="6">
        <f t="shared" si="129"/>
        <v>500000</v>
      </c>
      <c r="N95" t="s">
        <v>113</v>
      </c>
    </row>
    <row r="96" spans="1:14" x14ac:dyDescent="0.3">
      <c r="A96" s="6" t="s">
        <v>42</v>
      </c>
      <c r="B96" s="6"/>
      <c r="C96" s="6">
        <f>SUM(C85:C95)</f>
        <v>19080794.32</v>
      </c>
      <c r="D96" s="6">
        <f t="shared" ref="D96:L96" si="130">SUM(D85:D95)</f>
        <v>11224607.932800001</v>
      </c>
      <c r="E96" s="6">
        <f t="shared" si="130"/>
        <v>11353789.18</v>
      </c>
      <c r="F96" s="6">
        <f t="shared" si="130"/>
        <v>11465199.090631999</v>
      </c>
      <c r="G96" s="6">
        <f t="shared" si="130"/>
        <v>11555199.52459896</v>
      </c>
      <c r="H96" s="6">
        <f t="shared" si="130"/>
        <v>11619577.447600931</v>
      </c>
      <c r="I96" s="6">
        <f t="shared" si="130"/>
        <v>11653457.821808957</v>
      </c>
      <c r="J96" s="6">
        <f t="shared" si="130"/>
        <v>11651203.403884228</v>
      </c>
      <c r="K96" s="6">
        <f t="shared" si="130"/>
        <v>11606299.485656505</v>
      </c>
      <c r="L96" s="6">
        <f t="shared" si="130"/>
        <v>11511221.318049515</v>
      </c>
    </row>
    <row r="97" spans="1:14" x14ac:dyDescent="0.3">
      <c r="A97" s="6" t="s">
        <v>46</v>
      </c>
      <c r="B97" s="6">
        <v>0.04</v>
      </c>
      <c r="C97" s="6">
        <v>1</v>
      </c>
      <c r="D97" s="6">
        <f t="shared" ref="D97:L97" si="131">$C$97+($B$97*D1)</f>
        <v>1.04</v>
      </c>
      <c r="E97" s="6">
        <f t="shared" si="131"/>
        <v>1.08</v>
      </c>
      <c r="F97" s="6">
        <f t="shared" si="131"/>
        <v>1.1200000000000001</v>
      </c>
      <c r="G97" s="6">
        <f t="shared" si="131"/>
        <v>1.1599999999999999</v>
      </c>
      <c r="H97" s="6">
        <f t="shared" si="131"/>
        <v>1.2</v>
      </c>
      <c r="I97" s="6">
        <f t="shared" si="131"/>
        <v>1.24</v>
      </c>
      <c r="J97" s="6">
        <f t="shared" si="131"/>
        <v>1.28</v>
      </c>
      <c r="K97" s="6">
        <f t="shared" si="131"/>
        <v>1.32</v>
      </c>
      <c r="L97" s="6">
        <f t="shared" si="131"/>
        <v>1.3599999999999999</v>
      </c>
    </row>
    <row r="98" spans="1:14" x14ac:dyDescent="0.3">
      <c r="A98" s="6"/>
      <c r="B98" s="6"/>
      <c r="C98" s="6">
        <f t="shared" ref="C98:L98" si="132">C96*C97</f>
        <v>19080794.32</v>
      </c>
      <c r="D98" s="6">
        <f t="shared" si="132"/>
        <v>11673592.250112001</v>
      </c>
      <c r="E98" s="6">
        <f t="shared" si="132"/>
        <v>12262092.3144</v>
      </c>
      <c r="F98" s="6">
        <f t="shared" si="132"/>
        <v>12841022.98150784</v>
      </c>
      <c r="G98" s="6">
        <f t="shared" si="132"/>
        <v>13404031.448534792</v>
      </c>
      <c r="H98" s="6">
        <f t="shared" si="132"/>
        <v>13943492.937121117</v>
      </c>
      <c r="I98" s="6">
        <f t="shared" si="132"/>
        <v>14450287.699043106</v>
      </c>
      <c r="J98" s="6">
        <f t="shared" si="132"/>
        <v>14913540.356971813</v>
      </c>
      <c r="K98" s="6">
        <f t="shared" si="132"/>
        <v>15320315.321066588</v>
      </c>
      <c r="L98" s="6">
        <f t="shared" si="132"/>
        <v>15655260.992547339</v>
      </c>
    </row>
    <row r="99" spans="1:14" x14ac:dyDescent="0.3">
      <c r="A99" s="6" t="s">
        <v>41</v>
      </c>
      <c r="B99" s="6"/>
      <c r="C99" s="6">
        <f>C98/(1.15^(C$1+1))</f>
        <v>16591995.060869567</v>
      </c>
      <c r="D99" s="6">
        <f t="shared" ref="D99:L99" si="133">D98/(1.15^(D$1+1))</f>
        <v>8826912.8545270339</v>
      </c>
      <c r="E99" s="6">
        <f t="shared" si="133"/>
        <v>8062524.7402975289</v>
      </c>
      <c r="F99" s="6">
        <f t="shared" si="133"/>
        <v>7341896.5664118379</v>
      </c>
      <c r="G99" s="6">
        <f t="shared" si="133"/>
        <v>6664172.5954181356</v>
      </c>
      <c r="H99" s="6">
        <f t="shared" si="133"/>
        <v>6028156.7801153399</v>
      </c>
      <c r="I99" s="6">
        <f t="shared" si="133"/>
        <v>5432398.3836153429</v>
      </c>
      <c r="J99" s="6">
        <f t="shared" si="133"/>
        <v>4875262.7970204931</v>
      </c>
      <c r="K99" s="6">
        <f t="shared" si="133"/>
        <v>4354989.7863819879</v>
      </c>
      <c r="L99" s="6">
        <f t="shared" si="133"/>
        <v>3869741.0877039242</v>
      </c>
    </row>
    <row r="100" spans="1:14" x14ac:dyDescent="0.3">
      <c r="A100" s="6" t="s">
        <v>40</v>
      </c>
      <c r="B100" s="6"/>
      <c r="C100" s="8">
        <f>SUM(C99:L99)</f>
        <v>72048050.652361199</v>
      </c>
      <c r="D100" s="6"/>
      <c r="E100" s="6"/>
      <c r="F100" s="6"/>
      <c r="G100" s="6"/>
      <c r="H100" s="6"/>
      <c r="I100" s="6"/>
      <c r="J100" s="6"/>
      <c r="K100" s="6"/>
      <c r="L100" s="6"/>
      <c r="N100" t="s">
        <v>100</v>
      </c>
    </row>
    <row r="102" spans="1:14" x14ac:dyDescent="0.3">
      <c r="A102" s="1" t="s">
        <v>109</v>
      </c>
      <c r="B102" s="1" t="s">
        <v>38</v>
      </c>
      <c r="C102" s="1">
        <v>2008</v>
      </c>
      <c r="D102" s="1">
        <v>2009</v>
      </c>
      <c r="E102" s="1">
        <v>2010</v>
      </c>
      <c r="F102" s="1">
        <v>2011</v>
      </c>
      <c r="G102" s="1">
        <v>2012</v>
      </c>
      <c r="H102" s="1">
        <v>2013</v>
      </c>
      <c r="I102" s="1">
        <v>2014</v>
      </c>
      <c r="J102" s="1">
        <v>2015</v>
      </c>
      <c r="K102" s="1">
        <v>2016</v>
      </c>
      <c r="L102" s="1">
        <v>2017</v>
      </c>
      <c r="N102" t="s">
        <v>95</v>
      </c>
    </row>
    <row r="103" spans="1:14" x14ac:dyDescent="0.3">
      <c r="A103" s="6" t="s">
        <v>0</v>
      </c>
      <c r="B103" s="6"/>
      <c r="C103" s="6">
        <v>0</v>
      </c>
      <c r="D103" s="6">
        <f>C103</f>
        <v>0</v>
      </c>
      <c r="E103" s="6">
        <f t="shared" ref="E103:E104" si="134">D103</f>
        <v>0</v>
      </c>
      <c r="F103" s="6">
        <f t="shared" ref="F103:F104" si="135">E103</f>
        <v>0</v>
      </c>
      <c r="G103" s="6">
        <f t="shared" ref="G103:G104" si="136">F103</f>
        <v>0</v>
      </c>
      <c r="H103" s="6">
        <v>100000</v>
      </c>
      <c r="I103" s="6">
        <f t="shared" ref="I103:I104" si="137">H103</f>
        <v>100000</v>
      </c>
      <c r="J103" s="6">
        <f t="shared" ref="J103:J104" si="138">I103</f>
        <v>100000</v>
      </c>
      <c r="K103" s="6">
        <f t="shared" ref="K103:K104" si="139">J103</f>
        <v>100000</v>
      </c>
      <c r="L103" s="6">
        <f t="shared" ref="L103:L104" si="140">K103</f>
        <v>100000</v>
      </c>
    </row>
    <row r="104" spans="1:14" x14ac:dyDescent="0.3">
      <c r="A104" s="6" t="s">
        <v>5</v>
      </c>
      <c r="B104" s="6"/>
      <c r="C104" s="6">
        <v>3000000</v>
      </c>
      <c r="D104" s="6">
        <f>C104</f>
        <v>3000000</v>
      </c>
      <c r="E104" s="6">
        <f t="shared" si="134"/>
        <v>3000000</v>
      </c>
      <c r="F104" s="6">
        <f t="shared" si="135"/>
        <v>3000000</v>
      </c>
      <c r="G104" s="6">
        <f t="shared" si="136"/>
        <v>3000000</v>
      </c>
      <c r="H104" s="6">
        <v>200000</v>
      </c>
      <c r="I104" s="6">
        <f t="shared" si="137"/>
        <v>200000</v>
      </c>
      <c r="J104" s="6">
        <f t="shared" si="138"/>
        <v>200000</v>
      </c>
      <c r="K104" s="6">
        <f t="shared" si="139"/>
        <v>200000</v>
      </c>
      <c r="L104" s="6">
        <f t="shared" si="140"/>
        <v>200000</v>
      </c>
    </row>
    <row r="105" spans="1:14" x14ac:dyDescent="0.3">
      <c r="A105" s="6" t="s">
        <v>101</v>
      </c>
      <c r="B105" s="6"/>
      <c r="C105" s="6">
        <f>125000*16</f>
        <v>2000000</v>
      </c>
      <c r="D105" s="6">
        <f>C105*1.03</f>
        <v>2060000</v>
      </c>
      <c r="E105" s="6">
        <f t="shared" ref="E105" si="141">D105*1.03</f>
        <v>2121800</v>
      </c>
      <c r="F105" s="6">
        <f t="shared" ref="F105" si="142">E105*1.03</f>
        <v>2185454</v>
      </c>
      <c r="G105" s="6">
        <f t="shared" ref="G105" si="143">F105*1.03</f>
        <v>2251017.62</v>
      </c>
      <c r="H105" s="6">
        <f>H33</f>
        <v>527182.65599999996</v>
      </c>
      <c r="I105" s="6">
        <f t="shared" ref="I105:L105" si="144">I33</f>
        <v>544755.41119999997</v>
      </c>
      <c r="J105" s="6">
        <f t="shared" si="144"/>
        <v>562328.16639999999</v>
      </c>
      <c r="K105" s="6">
        <f t="shared" si="144"/>
        <v>579900.9216</v>
      </c>
      <c r="L105" s="6">
        <f t="shared" si="144"/>
        <v>597473.6767999999</v>
      </c>
    </row>
    <row r="106" spans="1:14" x14ac:dyDescent="0.3">
      <c r="A106" s="6" t="s">
        <v>2</v>
      </c>
      <c r="B106" s="6"/>
      <c r="C106" s="6">
        <f>195*16.25*40*52</f>
        <v>6591000</v>
      </c>
      <c r="D106" s="6">
        <f>C106*0.97</f>
        <v>6393270</v>
      </c>
      <c r="E106" s="6">
        <f>D106*0.97</f>
        <v>6201471.8999999994</v>
      </c>
      <c r="F106" s="6">
        <f>E106*0.97</f>
        <v>6015427.7429999989</v>
      </c>
      <c r="G106" s="6">
        <f>F106*0.97</f>
        <v>5834964.9107099986</v>
      </c>
      <c r="H106" s="6">
        <v>0</v>
      </c>
      <c r="I106" s="6">
        <f t="shared" ref="I106" si="145">H106</f>
        <v>0</v>
      </c>
      <c r="J106" s="6">
        <f t="shared" ref="J106" si="146">I106</f>
        <v>0</v>
      </c>
      <c r="K106" s="6">
        <f t="shared" ref="K106" si="147">J106</f>
        <v>0</v>
      </c>
      <c r="L106" s="6">
        <f t="shared" ref="L106" si="148">K106</f>
        <v>0</v>
      </c>
    </row>
    <row r="107" spans="1:14" x14ac:dyDescent="0.3">
      <c r="A107" s="6" t="s">
        <v>56</v>
      </c>
      <c r="B107" s="6">
        <v>0.05</v>
      </c>
      <c r="C107" s="6">
        <f>8000000*0.16</f>
        <v>1280000</v>
      </c>
      <c r="D107" s="6">
        <f t="shared" ref="D107:G107" si="149">8000000*0.16</f>
        <v>1280000</v>
      </c>
      <c r="E107" s="6">
        <f t="shared" si="149"/>
        <v>1280000</v>
      </c>
      <c r="F107" s="6">
        <f t="shared" si="149"/>
        <v>1280000</v>
      </c>
      <c r="G107" s="6">
        <f t="shared" si="149"/>
        <v>1280000</v>
      </c>
      <c r="H107" s="6">
        <f>H35</f>
        <v>572000</v>
      </c>
      <c r="I107" s="6">
        <f t="shared" ref="I107:L107" si="150">I35</f>
        <v>582400</v>
      </c>
      <c r="J107" s="6">
        <f t="shared" si="150"/>
        <v>592800.00000000012</v>
      </c>
      <c r="K107" s="6">
        <f t="shared" si="150"/>
        <v>603200</v>
      </c>
      <c r="L107" s="6">
        <f t="shared" si="150"/>
        <v>613600</v>
      </c>
    </row>
    <row r="108" spans="1:14" x14ac:dyDescent="0.3">
      <c r="A108" s="6" t="s">
        <v>43</v>
      </c>
      <c r="B108" s="6"/>
      <c r="C108" s="6">
        <f>8000000*0.025</f>
        <v>200000</v>
      </c>
      <c r="D108" s="6">
        <f>8000000*0.025</f>
        <v>200000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</row>
    <row r="109" spans="1:14" x14ac:dyDescent="0.3">
      <c r="A109" s="6" t="s">
        <v>57</v>
      </c>
      <c r="B109" s="6"/>
      <c r="C109" s="6">
        <f>SUM(C105:C108)*0.3</f>
        <v>3021300</v>
      </c>
      <c r="D109" s="6">
        <f>SUM(D105:D108)*0.3</f>
        <v>2979981</v>
      </c>
      <c r="E109" s="6">
        <f>SUM(E105:E108)*0.3</f>
        <v>2880981.5699999994</v>
      </c>
      <c r="F109" s="6">
        <f>SUM(F105:F108)*0.3</f>
        <v>2844264.5228999997</v>
      </c>
      <c r="G109" s="6">
        <f>SUM(G105:G108)*0.3</f>
        <v>2809794.7592129996</v>
      </c>
      <c r="H109" s="6">
        <f>H34</f>
        <v>263591.32799999998</v>
      </c>
      <c r="I109" s="6">
        <f>I34</f>
        <v>272377.70559999999</v>
      </c>
      <c r="J109" s="6">
        <f>J34</f>
        <v>281164.08319999999</v>
      </c>
      <c r="K109" s="6">
        <f>K34</f>
        <v>289950.4608</v>
      </c>
      <c r="L109" s="6">
        <f>L34</f>
        <v>298736.83839999995</v>
      </c>
    </row>
    <row r="110" spans="1:14" x14ac:dyDescent="0.3">
      <c r="A110" s="6" t="s">
        <v>53</v>
      </c>
      <c r="B110" s="6"/>
      <c r="C110" s="6"/>
      <c r="D110" s="6"/>
      <c r="E110" s="6"/>
      <c r="F110" s="6"/>
      <c r="G110" s="6"/>
      <c r="H110" s="6">
        <f>SUM(H104:H109)*0.08</f>
        <v>125021.91872</v>
      </c>
      <c r="I110" s="6">
        <f t="shared" ref="I110:L110" si="151">SUM(I104:I109)*0.08</f>
        <v>127962.649344</v>
      </c>
      <c r="J110" s="6">
        <f t="shared" si="151"/>
        <v>130903.37996800001</v>
      </c>
      <c r="K110" s="6">
        <f t="shared" si="151"/>
        <v>133844.11059200001</v>
      </c>
      <c r="L110" s="6">
        <f t="shared" si="151"/>
        <v>136784.841216</v>
      </c>
    </row>
    <row r="111" spans="1:14" x14ac:dyDescent="0.3">
      <c r="A111" s="6" t="s">
        <v>4</v>
      </c>
      <c r="B111" s="6"/>
      <c r="C111" s="6">
        <v>1000000</v>
      </c>
      <c r="D111" s="6">
        <v>1000000</v>
      </c>
      <c r="E111" s="6">
        <v>1000000</v>
      </c>
      <c r="F111" s="6">
        <v>1000000</v>
      </c>
      <c r="G111" s="6">
        <v>1000000</v>
      </c>
      <c r="H111" s="6">
        <v>1000000</v>
      </c>
      <c r="I111" s="6">
        <v>1000000</v>
      </c>
      <c r="J111" s="6">
        <v>1000000</v>
      </c>
      <c r="K111" s="6">
        <v>1000000</v>
      </c>
      <c r="L111" s="6">
        <v>1000000</v>
      </c>
    </row>
    <row r="112" spans="1:14" x14ac:dyDescent="0.3">
      <c r="A112" s="6" t="s">
        <v>6</v>
      </c>
      <c r="B112" s="6"/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f>H38</f>
        <v>10134160.65110093</v>
      </c>
      <c r="I112" s="6">
        <f t="shared" ref="I112:L112" si="152">I38</f>
        <v>10438185.470633958</v>
      </c>
      <c r="J112" s="6">
        <f t="shared" si="152"/>
        <v>10751331.034752976</v>
      </c>
      <c r="K112" s="6">
        <f t="shared" si="152"/>
        <v>11073870.965795565</v>
      </c>
      <c r="L112" s="6">
        <f t="shared" si="152"/>
        <v>11406087.094769433</v>
      </c>
    </row>
    <row r="113" spans="1:14" x14ac:dyDescent="0.3">
      <c r="A113" s="6" t="s">
        <v>8</v>
      </c>
      <c r="B113" s="6"/>
      <c r="C113" s="6">
        <v>0</v>
      </c>
      <c r="D113" s="6">
        <f>C113*1.15</f>
        <v>0</v>
      </c>
      <c r="E113" s="6">
        <f t="shared" ref="E113" si="153">D113*1.15</f>
        <v>0</v>
      </c>
      <c r="F113" s="6">
        <f t="shared" ref="F113" si="154">E113*1.15</f>
        <v>0</v>
      </c>
      <c r="G113" s="6">
        <f t="shared" ref="G113" si="155">F113*1.15</f>
        <v>0</v>
      </c>
      <c r="H113" s="6">
        <f>H39</f>
        <v>-2011357.1874999993</v>
      </c>
      <c r="I113" s="6">
        <f t="shared" ref="I113:L113" si="156">I39</f>
        <v>-2313060.7656249991</v>
      </c>
      <c r="J113" s="6">
        <f t="shared" si="156"/>
        <v>-2660019.8804687485</v>
      </c>
      <c r="K113" s="6">
        <f t="shared" si="156"/>
        <v>-3059022.8625390604</v>
      </c>
      <c r="L113" s="6">
        <f t="shared" si="156"/>
        <v>-3517876.2919199192</v>
      </c>
    </row>
    <row r="114" spans="1:14" x14ac:dyDescent="0.3">
      <c r="A114" s="6" t="s">
        <v>7</v>
      </c>
      <c r="B114" s="6"/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460000</v>
      </c>
      <c r="I114" s="6">
        <v>460000</v>
      </c>
      <c r="J114" s="6">
        <v>460000</v>
      </c>
      <c r="K114" s="6">
        <v>460000</v>
      </c>
      <c r="L114" s="6">
        <v>460000</v>
      </c>
    </row>
    <row r="115" spans="1:14" x14ac:dyDescent="0.3">
      <c r="A115" s="6" t="s">
        <v>102</v>
      </c>
      <c r="B115" s="6"/>
      <c r="C115" s="6">
        <f>C11</f>
        <v>500000</v>
      </c>
      <c r="D115" s="6">
        <f t="shared" ref="D115:G115" si="157">D11</f>
        <v>500000</v>
      </c>
      <c r="E115" s="6">
        <f t="shared" si="157"/>
        <v>500000</v>
      </c>
      <c r="F115" s="6">
        <f t="shared" si="157"/>
        <v>500000</v>
      </c>
      <c r="G115" s="6">
        <f t="shared" si="157"/>
        <v>500000</v>
      </c>
      <c r="H115" s="6">
        <f t="shared" ref="H115:L115" si="158">H41</f>
        <v>300000</v>
      </c>
      <c r="I115" s="6">
        <f t="shared" si="158"/>
        <v>300000</v>
      </c>
      <c r="J115" s="6">
        <f t="shared" si="158"/>
        <v>300000</v>
      </c>
      <c r="K115" s="6">
        <f t="shared" si="158"/>
        <v>300000</v>
      </c>
      <c r="L115" s="6">
        <f t="shared" si="158"/>
        <v>300000</v>
      </c>
    </row>
    <row r="116" spans="1:14" x14ac:dyDescent="0.3">
      <c r="A116" s="6" t="s">
        <v>58</v>
      </c>
      <c r="B116" s="6"/>
      <c r="C116" s="6">
        <f>SUM(C103:C115)</f>
        <v>17592300</v>
      </c>
      <c r="D116" s="6">
        <f t="shared" ref="D116:L116" si="159">SUM(D103:D115)</f>
        <v>17413251</v>
      </c>
      <c r="E116" s="6">
        <f t="shared" si="159"/>
        <v>16984253.469999999</v>
      </c>
      <c r="F116" s="6">
        <f t="shared" si="159"/>
        <v>16825146.265900001</v>
      </c>
      <c r="G116" s="6">
        <f t="shared" si="159"/>
        <v>16675777.289922997</v>
      </c>
      <c r="H116" s="6">
        <f t="shared" si="159"/>
        <v>11670599.36632093</v>
      </c>
      <c r="I116" s="6">
        <f t="shared" si="159"/>
        <v>11712620.471152958</v>
      </c>
      <c r="J116" s="6">
        <f t="shared" si="159"/>
        <v>11718506.783852227</v>
      </c>
      <c r="K116" s="6">
        <f t="shared" si="159"/>
        <v>11681743.596248504</v>
      </c>
      <c r="L116" s="6">
        <f t="shared" si="159"/>
        <v>11594806.159265514</v>
      </c>
    </row>
    <row r="117" spans="1:14" x14ac:dyDescent="0.3">
      <c r="A117" s="6" t="s">
        <v>59</v>
      </c>
      <c r="B117" s="6"/>
      <c r="C117" s="6">
        <v>1</v>
      </c>
      <c r="D117" s="6">
        <v>1</v>
      </c>
      <c r="E117" s="6">
        <v>1</v>
      </c>
      <c r="F117" s="6">
        <v>1</v>
      </c>
      <c r="G117" s="6">
        <v>1</v>
      </c>
      <c r="H117" s="6">
        <v>1</v>
      </c>
      <c r="I117" s="6">
        <v>1.04</v>
      </c>
      <c r="J117" s="6">
        <v>1.08</v>
      </c>
      <c r="K117" s="6">
        <v>1.1200000000000001</v>
      </c>
      <c r="L117" s="6">
        <v>1.1599999999999999</v>
      </c>
    </row>
    <row r="118" spans="1:14" x14ac:dyDescent="0.3">
      <c r="A118" s="6"/>
      <c r="B118" s="6"/>
      <c r="C118" s="6">
        <f>C116*C117</f>
        <v>17592300</v>
      </c>
      <c r="D118" s="6">
        <f t="shared" ref="D118:L118" si="160">D116*D117</f>
        <v>17413251</v>
      </c>
      <c r="E118" s="6">
        <f t="shared" si="160"/>
        <v>16984253.469999999</v>
      </c>
      <c r="F118" s="6">
        <f t="shared" si="160"/>
        <v>16825146.265900001</v>
      </c>
      <c r="G118" s="6">
        <f t="shared" si="160"/>
        <v>16675777.289922997</v>
      </c>
      <c r="H118" s="6">
        <f t="shared" si="160"/>
        <v>11670599.36632093</v>
      </c>
      <c r="I118" s="6">
        <f t="shared" si="160"/>
        <v>12181125.289999077</v>
      </c>
      <c r="J118" s="6">
        <f t="shared" si="160"/>
        <v>12655987.326560406</v>
      </c>
      <c r="K118" s="6">
        <f t="shared" si="160"/>
        <v>13083552.827798326</v>
      </c>
      <c r="L118" s="6">
        <f t="shared" si="160"/>
        <v>13449975.144747997</v>
      </c>
    </row>
    <row r="119" spans="1:14" x14ac:dyDescent="0.3">
      <c r="A119" s="6" t="s">
        <v>41</v>
      </c>
      <c r="B119" s="6"/>
      <c r="C119" s="6">
        <f>C118/(1.15^(C$1+1))</f>
        <v>15297652.173913045</v>
      </c>
      <c r="D119" s="6">
        <f t="shared" ref="D119:L119" si="161">D118/(1.15^(D$1+1))</f>
        <v>13166919.470699435</v>
      </c>
      <c r="E119" s="6">
        <f t="shared" si="161"/>
        <v>11167422.352264324</v>
      </c>
      <c r="F119" s="6">
        <f t="shared" si="161"/>
        <v>9619831.9851058312</v>
      </c>
      <c r="G119" s="6">
        <f t="shared" si="161"/>
        <v>8290808.5115652801</v>
      </c>
      <c r="H119" s="6">
        <f t="shared" si="161"/>
        <v>5045522.1668884624</v>
      </c>
      <c r="I119" s="6">
        <f t="shared" si="161"/>
        <v>4579336.184454577</v>
      </c>
      <c r="J119" s="6">
        <f t="shared" si="161"/>
        <v>4137264.7068272126</v>
      </c>
      <c r="K119" s="6">
        <f t="shared" si="161"/>
        <v>3719162.2848846214</v>
      </c>
      <c r="L119" s="6">
        <f t="shared" si="161"/>
        <v>3324628.1535009337</v>
      </c>
    </row>
    <row r="120" spans="1:14" x14ac:dyDescent="0.3">
      <c r="A120" s="6" t="s">
        <v>40</v>
      </c>
      <c r="B120" s="6"/>
      <c r="C120" s="8">
        <f>SUM(C119:L119)</f>
        <v>78348547.990103707</v>
      </c>
      <c r="D120" s="6"/>
      <c r="E120" s="6"/>
      <c r="F120" s="6"/>
      <c r="G120" s="6"/>
      <c r="H120" s="6"/>
      <c r="I120" s="6"/>
      <c r="J120" s="6"/>
      <c r="K120" s="6"/>
      <c r="L120" s="6"/>
      <c r="N120" t="s">
        <v>100</v>
      </c>
    </row>
    <row r="122" spans="1:14" x14ac:dyDescent="0.3">
      <c r="A122" s="1" t="s">
        <v>110</v>
      </c>
      <c r="B122" s="1" t="s">
        <v>38</v>
      </c>
      <c r="C122" s="1">
        <v>2008</v>
      </c>
      <c r="D122" s="1">
        <v>2009</v>
      </c>
      <c r="E122" s="1">
        <v>2010</v>
      </c>
      <c r="F122" s="1">
        <v>2011</v>
      </c>
      <c r="G122" s="1">
        <v>2012</v>
      </c>
      <c r="H122" s="1">
        <v>2013</v>
      </c>
      <c r="I122" s="1">
        <v>2014</v>
      </c>
      <c r="J122" s="1">
        <v>2015</v>
      </c>
      <c r="K122" s="1">
        <v>2016</v>
      </c>
      <c r="L122" s="1">
        <v>2017</v>
      </c>
      <c r="N122" t="s">
        <v>96</v>
      </c>
    </row>
    <row r="123" spans="1:14" x14ac:dyDescent="0.3">
      <c r="A123" s="6" t="s">
        <v>0</v>
      </c>
      <c r="B123" s="6"/>
      <c r="C123" s="6">
        <v>0</v>
      </c>
      <c r="D123" s="6">
        <f>C123</f>
        <v>0</v>
      </c>
      <c r="E123" s="6">
        <v>100000</v>
      </c>
      <c r="F123" s="6">
        <v>100000</v>
      </c>
      <c r="G123" s="6">
        <v>100000</v>
      </c>
      <c r="H123" s="6">
        <v>100000</v>
      </c>
      <c r="I123" s="6">
        <f t="shared" ref="I123:I124" si="162">H123</f>
        <v>100000</v>
      </c>
      <c r="J123" s="6">
        <f t="shared" ref="J123:J124" si="163">I123</f>
        <v>100000</v>
      </c>
      <c r="K123" s="6">
        <f t="shared" ref="K123:K124" si="164">J123</f>
        <v>100000</v>
      </c>
      <c r="L123" s="6">
        <f t="shared" ref="L123:L124" si="165">K123</f>
        <v>100000</v>
      </c>
    </row>
    <row r="124" spans="1:14" x14ac:dyDescent="0.3">
      <c r="A124" s="6" t="s">
        <v>5</v>
      </c>
      <c r="B124" s="6"/>
      <c r="C124" s="6">
        <v>3000000</v>
      </c>
      <c r="D124" s="6">
        <f>C124</f>
        <v>3000000</v>
      </c>
      <c r="E124" s="6">
        <v>200000</v>
      </c>
      <c r="F124" s="6">
        <f t="shared" ref="F124" si="166">E124</f>
        <v>200000</v>
      </c>
      <c r="G124" s="6">
        <f t="shared" ref="G124" si="167">F124</f>
        <v>200000</v>
      </c>
      <c r="H124" s="6">
        <v>200000</v>
      </c>
      <c r="I124" s="6">
        <f t="shared" si="162"/>
        <v>200000</v>
      </c>
      <c r="J124" s="6">
        <f t="shared" si="163"/>
        <v>200000</v>
      </c>
      <c r="K124" s="6">
        <f t="shared" si="164"/>
        <v>200000</v>
      </c>
      <c r="L124" s="6">
        <f t="shared" si="165"/>
        <v>200000</v>
      </c>
    </row>
    <row r="125" spans="1:14" x14ac:dyDescent="0.3">
      <c r="A125" s="6" t="s">
        <v>101</v>
      </c>
      <c r="B125" s="6"/>
      <c r="C125" s="6">
        <f>125000*16</f>
        <v>2000000</v>
      </c>
      <c r="D125" s="6">
        <f>C125*1.03</f>
        <v>2060000</v>
      </c>
      <c r="E125" s="6">
        <f t="shared" ref="E125:G125" si="168">E33</f>
        <v>474464.39040000003</v>
      </c>
      <c r="F125" s="6">
        <f t="shared" si="168"/>
        <v>492037.14560000005</v>
      </c>
      <c r="G125" s="6">
        <f t="shared" si="168"/>
        <v>509609.90079999994</v>
      </c>
      <c r="H125" s="6">
        <f>H33</f>
        <v>527182.65599999996</v>
      </c>
      <c r="I125" s="6">
        <f t="shared" ref="I125:L125" si="169">I33</f>
        <v>544755.41119999997</v>
      </c>
      <c r="J125" s="6">
        <f t="shared" si="169"/>
        <v>562328.16639999999</v>
      </c>
      <c r="K125" s="6">
        <f t="shared" si="169"/>
        <v>579900.9216</v>
      </c>
      <c r="L125" s="6">
        <f t="shared" si="169"/>
        <v>597473.6767999999</v>
      </c>
    </row>
    <row r="126" spans="1:14" x14ac:dyDescent="0.3">
      <c r="A126" s="6" t="s">
        <v>2</v>
      </c>
      <c r="B126" s="6"/>
      <c r="C126" s="6">
        <f>195*16.25*40*52</f>
        <v>6591000</v>
      </c>
      <c r="D126" s="6">
        <f>C126*0.97</f>
        <v>6393270</v>
      </c>
      <c r="E126" s="6">
        <v>0</v>
      </c>
      <c r="F126" s="6">
        <v>0</v>
      </c>
      <c r="G126" s="6">
        <v>0</v>
      </c>
      <c r="H126" s="6">
        <v>0</v>
      </c>
      <c r="I126" s="6">
        <f t="shared" ref="I126" si="170">H126</f>
        <v>0</v>
      </c>
      <c r="J126" s="6">
        <f t="shared" ref="J126" si="171">I126</f>
        <v>0</v>
      </c>
      <c r="K126" s="6">
        <f t="shared" ref="K126" si="172">J126</f>
        <v>0</v>
      </c>
      <c r="L126" s="6">
        <f t="shared" ref="L126" si="173">K126</f>
        <v>0</v>
      </c>
    </row>
    <row r="127" spans="1:14" x14ac:dyDescent="0.3">
      <c r="A127" s="6" t="s">
        <v>56</v>
      </c>
      <c r="B127" s="6">
        <v>0.05</v>
      </c>
      <c r="C127" s="6">
        <f>8000000*0.16</f>
        <v>1280000</v>
      </c>
      <c r="D127" s="6">
        <f t="shared" ref="D127" si="174">8000000*0.16</f>
        <v>1280000</v>
      </c>
      <c r="E127" s="6">
        <f>E35</f>
        <v>540800</v>
      </c>
      <c r="F127" s="6">
        <f t="shared" ref="F127:L127" si="175">F35</f>
        <v>551200</v>
      </c>
      <c r="G127" s="6">
        <f t="shared" si="175"/>
        <v>561600</v>
      </c>
      <c r="H127" s="6">
        <f t="shared" si="175"/>
        <v>572000</v>
      </c>
      <c r="I127" s="6">
        <f t="shared" si="175"/>
        <v>582400</v>
      </c>
      <c r="J127" s="6">
        <f t="shared" si="175"/>
        <v>592800.00000000012</v>
      </c>
      <c r="K127" s="6">
        <f t="shared" si="175"/>
        <v>603200</v>
      </c>
      <c r="L127" s="6">
        <f t="shared" si="175"/>
        <v>613600</v>
      </c>
    </row>
    <row r="128" spans="1:14" x14ac:dyDescent="0.3">
      <c r="A128" s="6" t="s">
        <v>43</v>
      </c>
      <c r="B128" s="6"/>
      <c r="C128" s="6">
        <f>8000000*0.025</f>
        <v>200000</v>
      </c>
      <c r="D128" s="6">
        <f>8000000*0.025</f>
        <v>200000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</row>
    <row r="129" spans="1:14" x14ac:dyDescent="0.3">
      <c r="A129" s="6" t="s">
        <v>57</v>
      </c>
      <c r="B129" s="6"/>
      <c r="C129" s="6">
        <f>SUM(C125:C128)*0.3</f>
        <v>3021300</v>
      </c>
      <c r="D129" s="6">
        <f>SUM(D125:D128)*0.3</f>
        <v>2979981</v>
      </c>
      <c r="E129" s="6">
        <f>E34</f>
        <v>237232.19520000002</v>
      </c>
      <c r="F129" s="6">
        <f t="shared" ref="F129:L129" si="176">F34</f>
        <v>246018.57280000002</v>
      </c>
      <c r="G129" s="6">
        <f t="shared" si="176"/>
        <v>254804.95039999997</v>
      </c>
      <c r="H129" s="6">
        <f t="shared" si="176"/>
        <v>263591.32799999998</v>
      </c>
      <c r="I129" s="6">
        <f t="shared" si="176"/>
        <v>272377.70559999999</v>
      </c>
      <c r="J129" s="6">
        <f t="shared" si="176"/>
        <v>281164.08319999999</v>
      </c>
      <c r="K129" s="6">
        <f t="shared" si="176"/>
        <v>289950.4608</v>
      </c>
      <c r="L129" s="6">
        <f t="shared" si="176"/>
        <v>298736.83839999995</v>
      </c>
    </row>
    <row r="130" spans="1:14" x14ac:dyDescent="0.3">
      <c r="A130" s="6" t="s">
        <v>53</v>
      </c>
      <c r="B130" s="6"/>
      <c r="C130" s="6"/>
      <c r="D130" s="6"/>
      <c r="E130" s="6">
        <f t="shared" ref="E130:G130" si="177">SUM(E124:E129)*0.08</f>
        <v>116199.72684799999</v>
      </c>
      <c r="F130" s="6">
        <f t="shared" si="177"/>
        <v>119140.45747199999</v>
      </c>
      <c r="G130" s="6">
        <f t="shared" si="177"/>
        <v>122081.188096</v>
      </c>
      <c r="H130" s="6">
        <f>SUM(H124:H129)*0.08</f>
        <v>125021.91872</v>
      </c>
      <c r="I130" s="6">
        <f t="shared" ref="I130:L130" si="178">SUM(I124:I129)*0.08</f>
        <v>127962.649344</v>
      </c>
      <c r="J130" s="6">
        <f t="shared" si="178"/>
        <v>130903.37996800001</v>
      </c>
      <c r="K130" s="6">
        <f t="shared" si="178"/>
        <v>133844.11059200001</v>
      </c>
      <c r="L130" s="6">
        <f t="shared" si="178"/>
        <v>136784.841216</v>
      </c>
    </row>
    <row r="131" spans="1:14" x14ac:dyDescent="0.3">
      <c r="A131" s="6" t="s">
        <v>4</v>
      </c>
      <c r="B131" s="6"/>
      <c r="C131" s="6">
        <v>1000000</v>
      </c>
      <c r="D131" s="6">
        <v>1000000</v>
      </c>
      <c r="E131" s="6">
        <v>1000000</v>
      </c>
      <c r="F131" s="6">
        <v>1000000</v>
      </c>
      <c r="G131" s="6">
        <v>1000000</v>
      </c>
      <c r="H131" s="6">
        <v>1000000</v>
      </c>
      <c r="I131" s="6">
        <v>1000000</v>
      </c>
      <c r="J131" s="6">
        <v>1000000</v>
      </c>
      <c r="K131" s="6">
        <v>1000000</v>
      </c>
      <c r="L131" s="6">
        <v>1000000</v>
      </c>
    </row>
    <row r="132" spans="1:14" x14ac:dyDescent="0.3">
      <c r="A132" s="6" t="s">
        <v>6</v>
      </c>
      <c r="B132" s="6"/>
      <c r="C132" s="6">
        <v>0</v>
      </c>
      <c r="D132" s="6">
        <v>0</v>
      </c>
      <c r="E132" s="6">
        <f>E38</f>
        <v>9274192.5943999998</v>
      </c>
      <c r="F132" s="6">
        <f t="shared" ref="F132:L132" si="179">F38</f>
        <v>9552418.3722319994</v>
      </c>
      <c r="G132" s="6">
        <f t="shared" si="179"/>
        <v>9838990.9233989604</v>
      </c>
      <c r="H132" s="6">
        <f t="shared" si="179"/>
        <v>10134160.65110093</v>
      </c>
      <c r="I132" s="6">
        <f t="shared" si="179"/>
        <v>10438185.470633958</v>
      </c>
      <c r="J132" s="6">
        <f t="shared" si="179"/>
        <v>10751331.034752976</v>
      </c>
      <c r="K132" s="6">
        <f t="shared" si="179"/>
        <v>11073870.965795565</v>
      </c>
      <c r="L132" s="6">
        <f t="shared" si="179"/>
        <v>11406087.094769433</v>
      </c>
    </row>
    <row r="133" spans="1:14" x14ac:dyDescent="0.3">
      <c r="A133" s="6" t="s">
        <v>8</v>
      </c>
      <c r="B133" s="6"/>
      <c r="C133" s="6">
        <v>0</v>
      </c>
      <c r="D133" s="6">
        <f>C133*1.15</f>
        <v>0</v>
      </c>
      <c r="E133" s="6">
        <f>E39</f>
        <v>-1322500</v>
      </c>
      <c r="F133" s="6">
        <f t="shared" ref="F133:L133" si="180">F39</f>
        <v>-1520874.9999999998</v>
      </c>
      <c r="G133" s="6">
        <f t="shared" si="180"/>
        <v>-1749006.2499999995</v>
      </c>
      <c r="H133" s="6">
        <f t="shared" si="180"/>
        <v>-2011357.1874999993</v>
      </c>
      <c r="I133" s="6">
        <f t="shared" si="180"/>
        <v>-2313060.7656249991</v>
      </c>
      <c r="J133" s="6">
        <f t="shared" si="180"/>
        <v>-2660019.8804687485</v>
      </c>
      <c r="K133" s="6">
        <f t="shared" si="180"/>
        <v>-3059022.8625390604</v>
      </c>
      <c r="L133" s="6">
        <f t="shared" si="180"/>
        <v>-3517876.2919199192</v>
      </c>
    </row>
    <row r="134" spans="1:14" x14ac:dyDescent="0.3">
      <c r="A134" s="6" t="s">
        <v>7</v>
      </c>
      <c r="B134" s="6"/>
      <c r="C134" s="6">
        <v>0</v>
      </c>
      <c r="D134" s="6">
        <v>0</v>
      </c>
      <c r="E134" s="6">
        <v>460000</v>
      </c>
      <c r="F134" s="6">
        <v>460000</v>
      </c>
      <c r="G134" s="6">
        <v>460000</v>
      </c>
      <c r="H134" s="6">
        <v>460000</v>
      </c>
      <c r="I134" s="6">
        <v>460000</v>
      </c>
      <c r="J134" s="6">
        <v>460000</v>
      </c>
      <c r="K134" s="6">
        <v>460000</v>
      </c>
      <c r="L134" s="6">
        <v>460000</v>
      </c>
    </row>
    <row r="135" spans="1:14" x14ac:dyDescent="0.3">
      <c r="A135" s="6" t="s">
        <v>102</v>
      </c>
      <c r="B135" s="6"/>
      <c r="C135" s="6">
        <f>C11</f>
        <v>500000</v>
      </c>
      <c r="D135" s="6">
        <f>D11</f>
        <v>500000</v>
      </c>
      <c r="E135" s="6">
        <f>E41</f>
        <v>300000</v>
      </c>
      <c r="F135" s="6">
        <f t="shared" ref="F135:L135" si="181">F41</f>
        <v>300000</v>
      </c>
      <c r="G135" s="6">
        <f t="shared" si="181"/>
        <v>300000</v>
      </c>
      <c r="H135" s="6">
        <f t="shared" si="181"/>
        <v>300000</v>
      </c>
      <c r="I135" s="6">
        <f t="shared" si="181"/>
        <v>300000</v>
      </c>
      <c r="J135" s="6">
        <f t="shared" si="181"/>
        <v>300000</v>
      </c>
      <c r="K135" s="6">
        <f t="shared" si="181"/>
        <v>300000</v>
      </c>
      <c r="L135" s="6">
        <f t="shared" si="181"/>
        <v>300000</v>
      </c>
    </row>
    <row r="136" spans="1:14" x14ac:dyDescent="0.3">
      <c r="A136" s="6" t="s">
        <v>58</v>
      </c>
      <c r="B136" s="6"/>
      <c r="C136" s="6">
        <f>SUM(C123:C135)</f>
        <v>17592300</v>
      </c>
      <c r="D136" s="6">
        <f t="shared" ref="D136:L136" si="182">SUM(D123:D135)</f>
        <v>17413251</v>
      </c>
      <c r="E136" s="6">
        <f t="shared" si="182"/>
        <v>11380388.906847998</v>
      </c>
      <c r="F136" s="6">
        <f t="shared" si="182"/>
        <v>11499939.548103999</v>
      </c>
      <c r="G136" s="6">
        <f t="shared" si="182"/>
        <v>11598080.71269496</v>
      </c>
      <c r="H136" s="6">
        <f t="shared" si="182"/>
        <v>11670599.36632093</v>
      </c>
      <c r="I136" s="6">
        <f t="shared" si="182"/>
        <v>11712620.471152958</v>
      </c>
      <c r="J136" s="6">
        <f t="shared" si="182"/>
        <v>11718506.783852227</v>
      </c>
      <c r="K136" s="6">
        <f t="shared" si="182"/>
        <v>11681743.596248504</v>
      </c>
      <c r="L136" s="6">
        <f t="shared" si="182"/>
        <v>11594806.159265514</v>
      </c>
    </row>
    <row r="137" spans="1:14" x14ac:dyDescent="0.3">
      <c r="A137" s="6" t="s">
        <v>59</v>
      </c>
      <c r="B137" s="6"/>
      <c r="C137" s="6">
        <v>1</v>
      </c>
      <c r="D137" s="6">
        <v>1</v>
      </c>
      <c r="E137" s="6">
        <v>1.04</v>
      </c>
      <c r="F137" s="6">
        <v>1.08</v>
      </c>
      <c r="G137" s="6">
        <v>1.1200000000000001</v>
      </c>
      <c r="H137" s="6">
        <v>1.1599999999999999</v>
      </c>
      <c r="I137" s="6">
        <v>1.2</v>
      </c>
      <c r="J137" s="6">
        <v>1.24</v>
      </c>
      <c r="K137" s="6">
        <v>1.28</v>
      </c>
      <c r="L137" s="6">
        <v>1.32</v>
      </c>
    </row>
    <row r="138" spans="1:14" x14ac:dyDescent="0.3">
      <c r="A138" s="6"/>
      <c r="B138" s="6"/>
      <c r="C138" s="6">
        <f>C136*C137</f>
        <v>17592300</v>
      </c>
      <c r="D138" s="6">
        <f t="shared" ref="D138:L138" si="183">D136*D137</f>
        <v>17413251</v>
      </c>
      <c r="E138" s="6">
        <f t="shared" si="183"/>
        <v>11835604.463121919</v>
      </c>
      <c r="F138" s="6">
        <f t="shared" si="183"/>
        <v>12419934.711952319</v>
      </c>
      <c r="G138" s="6">
        <f t="shared" si="183"/>
        <v>12989850.398218356</v>
      </c>
      <c r="H138" s="6">
        <f t="shared" si="183"/>
        <v>13537895.264932279</v>
      </c>
      <c r="I138" s="6">
        <f t="shared" si="183"/>
        <v>14055144.565383548</v>
      </c>
      <c r="J138" s="6">
        <f t="shared" si="183"/>
        <v>14530948.411976762</v>
      </c>
      <c r="K138" s="6">
        <f t="shared" si="183"/>
        <v>14952631.803198084</v>
      </c>
      <c r="L138" s="6">
        <f t="shared" si="183"/>
        <v>15305144.130230479</v>
      </c>
    </row>
    <row r="139" spans="1:14" x14ac:dyDescent="0.3">
      <c r="A139" s="6" t="s">
        <v>41</v>
      </c>
      <c r="B139" s="6"/>
      <c r="C139" s="6">
        <f>C138/(1.15^(C$1+1))</f>
        <v>15297652.173913045</v>
      </c>
      <c r="D139" s="6">
        <f t="shared" ref="D139:L139" si="184">D138/(1.15^(D$1+1))</f>
        <v>13166919.470699435</v>
      </c>
      <c r="E139" s="6">
        <f t="shared" si="184"/>
        <v>7782102.0551471505</v>
      </c>
      <c r="F139" s="6">
        <f t="shared" si="184"/>
        <v>7101137.9816123145</v>
      </c>
      <c r="G139" s="6">
        <f t="shared" si="184"/>
        <v>6458251.4129993934</v>
      </c>
      <c r="H139" s="6">
        <f t="shared" si="184"/>
        <v>5852805.7135906154</v>
      </c>
      <c r="I139" s="6">
        <f t="shared" si="184"/>
        <v>5283849.4436014341</v>
      </c>
      <c r="J139" s="6">
        <f t="shared" si="184"/>
        <v>4750192.8115423555</v>
      </c>
      <c r="K139" s="6">
        <f t="shared" si="184"/>
        <v>4250471.1827252805</v>
      </c>
      <c r="L139" s="6">
        <f t="shared" si="184"/>
        <v>3783197.5539838211</v>
      </c>
    </row>
    <row r="140" spans="1:14" x14ac:dyDescent="0.3">
      <c r="A140" s="6" t="s">
        <v>40</v>
      </c>
      <c r="B140" s="6"/>
      <c r="C140" s="8">
        <f>SUM(C139:L139)</f>
        <v>73726579.79981485</v>
      </c>
      <c r="D140" s="6"/>
      <c r="E140" s="6"/>
      <c r="F140" s="6"/>
      <c r="G140" s="6"/>
      <c r="H140" s="6"/>
      <c r="I140" s="6"/>
      <c r="J140" s="6"/>
      <c r="K140" s="6"/>
      <c r="L140" s="6"/>
      <c r="N140" t="s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E404-2056-4120-A48A-007F2267B940}">
  <dimension ref="A1:S18"/>
  <sheetViews>
    <sheetView workbookViewId="0">
      <selection activeCell="F16" sqref="F16"/>
    </sheetView>
  </sheetViews>
  <sheetFormatPr defaultRowHeight="14.4" x14ac:dyDescent="0.3"/>
  <cols>
    <col min="2" max="2" width="11.5546875" bestFit="1" customWidth="1"/>
    <col min="4" max="4" width="11.5546875" bestFit="1" customWidth="1"/>
  </cols>
  <sheetData>
    <row r="1" spans="1:19" x14ac:dyDescent="0.3">
      <c r="A1" t="s">
        <v>9</v>
      </c>
      <c r="B1" t="s">
        <v>10</v>
      </c>
      <c r="C1" t="s">
        <v>11</v>
      </c>
      <c r="D1" t="s">
        <v>54</v>
      </c>
      <c r="K1" t="s">
        <v>12</v>
      </c>
    </row>
    <row r="2" spans="1:19" ht="15" thickBot="1" x14ac:dyDescent="0.35">
      <c r="A2">
        <v>2002</v>
      </c>
      <c r="B2">
        <v>1</v>
      </c>
      <c r="C2">
        <v>1748.7</v>
      </c>
    </row>
    <row r="3" spans="1:19" x14ac:dyDescent="0.3">
      <c r="A3">
        <v>2003</v>
      </c>
      <c r="B3">
        <v>2</v>
      </c>
      <c r="C3">
        <v>1887.7</v>
      </c>
      <c r="K3" s="5" t="s">
        <v>13</v>
      </c>
      <c r="L3" s="5"/>
    </row>
    <row r="4" spans="1:19" x14ac:dyDescent="0.3">
      <c r="A4">
        <v>2004</v>
      </c>
      <c r="B4">
        <v>3</v>
      </c>
      <c r="C4">
        <v>2106.5</v>
      </c>
      <c r="K4" s="2" t="s">
        <v>14</v>
      </c>
      <c r="L4" s="2">
        <v>0.98890523136524411</v>
      </c>
    </row>
    <row r="5" spans="1:19" x14ac:dyDescent="0.3">
      <c r="A5">
        <v>2005</v>
      </c>
      <c r="B5">
        <v>4</v>
      </c>
      <c r="C5">
        <v>2369.3000000000002</v>
      </c>
      <c r="K5" s="2" t="s">
        <v>15</v>
      </c>
      <c r="L5" s="2">
        <v>0.97793355662154702</v>
      </c>
    </row>
    <row r="6" spans="1:19" x14ac:dyDescent="0.3">
      <c r="A6">
        <v>2006</v>
      </c>
      <c r="B6">
        <v>5</v>
      </c>
      <c r="C6">
        <v>2697.1</v>
      </c>
      <c r="K6" s="2" t="s">
        <v>16</v>
      </c>
      <c r="L6" s="2">
        <v>0.97057807549539599</v>
      </c>
    </row>
    <row r="7" spans="1:19" x14ac:dyDescent="0.3">
      <c r="A7">
        <v>2007</v>
      </c>
      <c r="B7">
        <v>6</v>
      </c>
      <c r="C7" s="1">
        <f>B7*237.84+1448.34</f>
        <v>2875.38</v>
      </c>
      <c r="K7" s="2" t="s">
        <v>17</v>
      </c>
      <c r="L7" s="2">
        <v>65.228255636137675</v>
      </c>
    </row>
    <row r="8" spans="1:19" ht="15" thickBot="1" x14ac:dyDescent="0.35">
      <c r="A8">
        <v>2008</v>
      </c>
      <c r="B8">
        <v>7</v>
      </c>
      <c r="C8" s="1">
        <f t="shared" ref="C8:C16" si="0">B8*237.84+1448.34</f>
        <v>3113.2200000000003</v>
      </c>
      <c r="D8">
        <f>(C8-C7)*100/C7</f>
        <v>8.2716023621225769</v>
      </c>
      <c r="K8" s="3" t="s">
        <v>18</v>
      </c>
      <c r="L8" s="3">
        <v>5</v>
      </c>
    </row>
    <row r="9" spans="1:19" x14ac:dyDescent="0.3">
      <c r="A9">
        <v>2009</v>
      </c>
      <c r="B9">
        <v>8</v>
      </c>
      <c r="C9" s="1">
        <f t="shared" si="0"/>
        <v>3351.06</v>
      </c>
      <c r="D9">
        <f t="shared" ref="D9:D16" si="1">(C9-C8)*100/C8</f>
        <v>7.6396785321949521</v>
      </c>
    </row>
    <row r="10" spans="1:19" ht="15" thickBot="1" x14ac:dyDescent="0.35">
      <c r="A10">
        <v>2010</v>
      </c>
      <c r="B10">
        <v>9</v>
      </c>
      <c r="C10" s="1">
        <f t="shared" si="0"/>
        <v>3588.8999999999996</v>
      </c>
      <c r="D10">
        <f t="shared" si="1"/>
        <v>7.0974557304255885</v>
      </c>
      <c r="K10" t="s">
        <v>19</v>
      </c>
    </row>
    <row r="11" spans="1:19" x14ac:dyDescent="0.3">
      <c r="A11">
        <v>2011</v>
      </c>
      <c r="B11">
        <v>10</v>
      </c>
      <c r="C11" s="1">
        <f t="shared" si="0"/>
        <v>3826.74</v>
      </c>
      <c r="D11">
        <f t="shared" si="1"/>
        <v>6.6271002256959006</v>
      </c>
      <c r="K11" s="4"/>
      <c r="L11" s="4" t="s">
        <v>24</v>
      </c>
      <c r="M11" s="4" t="s">
        <v>25</v>
      </c>
      <c r="N11" s="4" t="s">
        <v>26</v>
      </c>
      <c r="O11" s="4" t="s">
        <v>27</v>
      </c>
      <c r="P11" s="4" t="s">
        <v>28</v>
      </c>
    </row>
    <row r="12" spans="1:19" x14ac:dyDescent="0.3">
      <c r="A12">
        <v>2012</v>
      </c>
      <c r="B12">
        <v>11</v>
      </c>
      <c r="C12" s="1">
        <f t="shared" si="0"/>
        <v>4064.58</v>
      </c>
      <c r="D12">
        <f t="shared" si="1"/>
        <v>6.2152119036046392</v>
      </c>
      <c r="K12" s="2" t="s">
        <v>20</v>
      </c>
      <c r="L12" s="2">
        <v>1</v>
      </c>
      <c r="M12" s="2">
        <v>565678.65599999996</v>
      </c>
      <c r="N12" s="2">
        <v>565678.65599999996</v>
      </c>
      <c r="O12" s="2">
        <v>132.95303731318046</v>
      </c>
      <c r="P12" s="2">
        <v>1.4005130251021514E-3</v>
      </c>
    </row>
    <row r="13" spans="1:19" x14ac:dyDescent="0.3">
      <c r="A13">
        <v>2013</v>
      </c>
      <c r="B13">
        <v>12</v>
      </c>
      <c r="C13" s="1">
        <f t="shared" si="0"/>
        <v>4302.42</v>
      </c>
      <c r="D13">
        <f t="shared" si="1"/>
        <v>5.8515270950504146</v>
      </c>
      <c r="K13" s="2" t="s">
        <v>21</v>
      </c>
      <c r="L13" s="2">
        <v>3</v>
      </c>
      <c r="M13" s="2">
        <v>12764.175999999979</v>
      </c>
      <c r="N13" s="2">
        <v>4254.7253333333265</v>
      </c>
      <c r="O13" s="2"/>
      <c r="P13" s="2"/>
    </row>
    <row r="14" spans="1:19" ht="15" thickBot="1" x14ac:dyDescent="0.35">
      <c r="A14">
        <v>2014</v>
      </c>
      <c r="B14">
        <v>13</v>
      </c>
      <c r="C14" s="1">
        <f t="shared" si="0"/>
        <v>4540.26</v>
      </c>
      <c r="D14">
        <f t="shared" si="1"/>
        <v>5.5280516546501772</v>
      </c>
      <c r="K14" s="3" t="s">
        <v>22</v>
      </c>
      <c r="L14" s="3">
        <v>4</v>
      </c>
      <c r="M14" s="3">
        <v>578442.83199999994</v>
      </c>
      <c r="N14" s="3"/>
      <c r="O14" s="3"/>
      <c r="P14" s="3"/>
    </row>
    <row r="15" spans="1:19" x14ac:dyDescent="0.3">
      <c r="A15">
        <v>2015</v>
      </c>
      <c r="B15">
        <v>14</v>
      </c>
      <c r="C15" s="1">
        <f t="shared" si="0"/>
        <v>4778.1000000000004</v>
      </c>
      <c r="D15">
        <f t="shared" si="1"/>
        <v>5.2384665195385312</v>
      </c>
    </row>
    <row r="16" spans="1:19" x14ac:dyDescent="0.3">
      <c r="A16">
        <v>2016</v>
      </c>
      <c r="B16">
        <v>15</v>
      </c>
      <c r="C16" s="1">
        <f t="shared" si="0"/>
        <v>5015.9399999999996</v>
      </c>
      <c r="D16">
        <f t="shared" si="1"/>
        <v>4.9777108055503065</v>
      </c>
      <c r="L16" t="s">
        <v>29</v>
      </c>
      <c r="M16" t="s">
        <v>17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</row>
    <row r="17" spans="11:19" x14ac:dyDescent="0.3">
      <c r="K17" t="s">
        <v>23</v>
      </c>
      <c r="L17" s="1">
        <v>1448.3399999999997</v>
      </c>
      <c r="M17">
        <v>68.411971661885744</v>
      </c>
      <c r="N17">
        <v>21.17085598933134</v>
      </c>
      <c r="O17">
        <v>2.3055693104619525E-4</v>
      </c>
      <c r="P17">
        <v>1230.6225735474577</v>
      </c>
      <c r="Q17">
        <v>1666.0574264525417</v>
      </c>
      <c r="R17">
        <v>1230.6225735474577</v>
      </c>
      <c r="S17">
        <v>1666.0574264525417</v>
      </c>
    </row>
    <row r="18" spans="11:19" x14ac:dyDescent="0.3">
      <c r="K18" t="s">
        <v>10</v>
      </c>
      <c r="L18" s="1">
        <v>237.83999999999995</v>
      </c>
      <c r="M18">
        <v>20.626985560991034</v>
      </c>
      <c r="N18">
        <v>11.530526324204825</v>
      </c>
      <c r="O18">
        <v>1.4005130251021514E-3</v>
      </c>
      <c r="P18">
        <v>172.19572601228361</v>
      </c>
      <c r="Q18">
        <v>303.48427398771628</v>
      </c>
      <c r="R18">
        <v>172.19572601228361</v>
      </c>
      <c r="S18">
        <v>303.48427398771628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1316-A765-42B6-BC5A-E5AF43FEA8C7}">
  <dimension ref="A3:B12"/>
  <sheetViews>
    <sheetView workbookViewId="0">
      <selection activeCell="A3" sqref="A3"/>
    </sheetView>
  </sheetViews>
  <sheetFormatPr defaultRowHeight="14.4" x14ac:dyDescent="0.3"/>
  <cols>
    <col min="1" max="1" width="31.109375" bestFit="1" customWidth="1"/>
    <col min="2" max="2" width="14.6640625" bestFit="1" customWidth="1"/>
  </cols>
  <sheetData>
    <row r="3" spans="1:2" x14ac:dyDescent="0.3">
      <c r="A3" s="11" t="s">
        <v>70</v>
      </c>
      <c r="B3" t="s">
        <v>72</v>
      </c>
    </row>
    <row r="4" spans="1:2" x14ac:dyDescent="0.3">
      <c r="A4" s="12" t="s">
        <v>56</v>
      </c>
      <c r="B4" s="10">
        <v>1280000</v>
      </c>
    </row>
    <row r="5" spans="1:2" x14ac:dyDescent="0.3">
      <c r="A5" s="12" t="s">
        <v>3</v>
      </c>
      <c r="B5" s="10">
        <v>200000</v>
      </c>
    </row>
    <row r="6" spans="1:2" x14ac:dyDescent="0.3">
      <c r="A6" s="12" t="s">
        <v>1</v>
      </c>
      <c r="B6" s="10">
        <v>2000000</v>
      </c>
    </row>
    <row r="7" spans="1:2" x14ac:dyDescent="0.3">
      <c r="A7" s="12" t="s">
        <v>2</v>
      </c>
      <c r="B7" s="10">
        <v>6591000</v>
      </c>
    </row>
    <row r="8" spans="1:2" x14ac:dyDescent="0.3">
      <c r="A8" s="12" t="s">
        <v>5</v>
      </c>
      <c r="B8" s="10">
        <v>3000000</v>
      </c>
    </row>
    <row r="9" spans="1:2" x14ac:dyDescent="0.3">
      <c r="A9" s="12" t="s">
        <v>39</v>
      </c>
      <c r="B9" s="10">
        <v>3021300</v>
      </c>
    </row>
    <row r="10" spans="1:2" x14ac:dyDescent="0.3">
      <c r="A10" s="12" t="s">
        <v>4</v>
      </c>
      <c r="B10" s="10">
        <v>1000000</v>
      </c>
    </row>
    <row r="11" spans="1:2" x14ac:dyDescent="0.3">
      <c r="A11" s="12" t="s">
        <v>0</v>
      </c>
      <c r="B11" s="10">
        <v>0</v>
      </c>
    </row>
    <row r="12" spans="1:2" x14ac:dyDescent="0.3">
      <c r="A12" s="12" t="s">
        <v>71</v>
      </c>
      <c r="B12" s="10">
        <v>17092300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EDDBB-C0EF-4B92-9281-C978EC494D40}">
  <dimension ref="A3:B14"/>
  <sheetViews>
    <sheetView workbookViewId="0">
      <selection activeCell="A4" sqref="A4:A14"/>
    </sheetView>
  </sheetViews>
  <sheetFormatPr defaultRowHeight="14.4" x14ac:dyDescent="0.3"/>
  <cols>
    <col min="1" max="1" width="30.77734375" bestFit="1" customWidth="1"/>
    <col min="2" max="2" width="12" bestFit="1" customWidth="1"/>
  </cols>
  <sheetData>
    <row r="3" spans="1:2" x14ac:dyDescent="0.3">
      <c r="A3" s="11" t="s">
        <v>70</v>
      </c>
      <c r="B3" t="s">
        <v>73</v>
      </c>
    </row>
    <row r="4" spans="1:2" x14ac:dyDescent="0.3">
      <c r="A4" s="12" t="s">
        <v>53</v>
      </c>
      <c r="B4" s="10">
        <v>110318.26560000001</v>
      </c>
    </row>
    <row r="5" spans="1:2" x14ac:dyDescent="0.3">
      <c r="A5" s="12" t="s">
        <v>44</v>
      </c>
      <c r="B5" s="10">
        <v>439318.88</v>
      </c>
    </row>
    <row r="6" spans="1:2" x14ac:dyDescent="0.3">
      <c r="A6" s="12" t="s">
        <v>45</v>
      </c>
      <c r="B6" s="10">
        <v>520000</v>
      </c>
    </row>
    <row r="7" spans="1:2" x14ac:dyDescent="0.3">
      <c r="A7" s="12" t="s">
        <v>6</v>
      </c>
      <c r="B7" s="10">
        <v>8741816</v>
      </c>
    </row>
    <row r="8" spans="1:2" x14ac:dyDescent="0.3">
      <c r="A8" s="12" t="s">
        <v>8</v>
      </c>
      <c r="B8" s="10">
        <v>-1000000</v>
      </c>
    </row>
    <row r="9" spans="1:2" x14ac:dyDescent="0.3">
      <c r="A9" s="12" t="s">
        <v>7</v>
      </c>
      <c r="B9" s="10">
        <v>460000</v>
      </c>
    </row>
    <row r="10" spans="1:2" x14ac:dyDescent="0.3">
      <c r="A10" s="12" t="s">
        <v>5</v>
      </c>
      <c r="B10" s="10">
        <v>200000</v>
      </c>
    </row>
    <row r="11" spans="1:2" x14ac:dyDescent="0.3">
      <c r="A11" s="12" t="s">
        <v>37</v>
      </c>
      <c r="B11" s="10">
        <v>219659.44</v>
      </c>
    </row>
    <row r="12" spans="1:2" x14ac:dyDescent="0.3">
      <c r="A12" s="12" t="s">
        <v>36</v>
      </c>
      <c r="B12" s="10">
        <v>1000000</v>
      </c>
    </row>
    <row r="13" spans="1:2" x14ac:dyDescent="0.3">
      <c r="A13" s="12" t="s">
        <v>0</v>
      </c>
      <c r="B13" s="10">
        <v>100000</v>
      </c>
    </row>
    <row r="14" spans="1:2" x14ac:dyDescent="0.3">
      <c r="A14" s="12" t="s">
        <v>71</v>
      </c>
      <c r="B14" s="10">
        <v>10791112.5856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</vt:lpstr>
      <vt:lpstr>DemandEstimate</vt:lpstr>
      <vt:lpstr>CostPieChartUSA</vt:lpstr>
      <vt:lpstr>CostPieChartOutsource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durge</dc:creator>
  <cp:lastModifiedBy>durge</cp:lastModifiedBy>
  <dcterms:created xsi:type="dcterms:W3CDTF">2015-06-05T18:17:20Z</dcterms:created>
  <dcterms:modified xsi:type="dcterms:W3CDTF">2021-10-15T03:43:28Z</dcterms:modified>
</cp:coreProperties>
</file>