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DHAR\Documents\Addressing Payment Issues of Delivery Partners\"/>
    </mc:Choice>
  </mc:AlternateContent>
  <xr:revisionPtr revIDLastSave="0" documentId="13_ncr:1_{932ED976-E143-41D0-81D7-6630B4BF0810}" xr6:coauthVersionLast="47" xr6:coauthVersionMax="47" xr10:uidLastSave="{00000000-0000-0000-0000-000000000000}"/>
  <bookViews>
    <workbookView xWindow="-120" yWindow="-120" windowWidth="29040" windowHeight="16440" activeTab="1" xr2:uid="{98D3236E-BDFA-4148-AA89-3925215011B8}"/>
  </bookViews>
  <sheets>
    <sheet name="Cost Sheet" sheetId="1" r:id="rId1"/>
    <sheet name="Cost Pivo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'Cost Sheet'!$A$4:$AY$4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J73" i="1" l="1"/>
  <c r="I73" i="1"/>
  <c r="H74" i="1"/>
  <c r="H7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" i="1"/>
  <c r="I74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5" i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M52" i="1"/>
  <c r="Q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M65" i="1"/>
  <c r="Q65" i="1" s="1"/>
  <c r="M66" i="1"/>
  <c r="Q66" i="1" s="1"/>
  <c r="M67" i="1"/>
  <c r="Q67" i="1" s="1"/>
  <c r="M68" i="1"/>
  <c r="Q68" i="1" s="1"/>
  <c r="M69" i="1"/>
  <c r="Q69" i="1" s="1"/>
  <c r="M70" i="1"/>
  <c r="Q70" i="1" s="1"/>
  <c r="M5" i="1"/>
  <c r="N13" i="1" l="1"/>
  <c r="O13" i="1" s="1"/>
  <c r="P13" i="1" s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5" i="1"/>
  <c r="AA13" i="1"/>
  <c r="AB13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5" i="1"/>
  <c r="AB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5" i="1"/>
  <c r="N6" i="1"/>
  <c r="N7" i="1"/>
  <c r="N8" i="1"/>
  <c r="N14" i="1"/>
  <c r="N15" i="1"/>
  <c r="N16" i="1"/>
  <c r="N21" i="1"/>
  <c r="N22" i="1"/>
  <c r="N23" i="1"/>
  <c r="N24" i="1"/>
  <c r="N29" i="1"/>
  <c r="N30" i="1"/>
  <c r="N31" i="1"/>
  <c r="N32" i="1"/>
  <c r="N37" i="1"/>
  <c r="N38" i="1"/>
  <c r="N39" i="1"/>
  <c r="N40" i="1"/>
  <c r="N45" i="1"/>
  <c r="N46" i="1"/>
  <c r="N47" i="1"/>
  <c r="N48" i="1"/>
  <c r="N53" i="1"/>
  <c r="N54" i="1"/>
  <c r="N55" i="1"/>
  <c r="N56" i="1"/>
  <c r="N61" i="1"/>
  <c r="N62" i="1"/>
  <c r="N63" i="1"/>
  <c r="N64" i="1"/>
  <c r="N69" i="1"/>
  <c r="N70" i="1"/>
  <c r="N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5" i="1"/>
  <c r="X65" i="1" l="1"/>
  <c r="X57" i="1"/>
  <c r="X49" i="1"/>
  <c r="X41" i="1"/>
  <c r="X33" i="1"/>
  <c r="X25" i="1"/>
  <c r="X17" i="1"/>
  <c r="X70" i="1"/>
  <c r="X62" i="1"/>
  <c r="X54" i="1"/>
  <c r="X46" i="1"/>
  <c r="X38" i="1"/>
  <c r="X30" i="1"/>
  <c r="X22" i="1"/>
  <c r="X14" i="1"/>
  <c r="X6" i="1"/>
  <c r="W9" i="1"/>
  <c r="X9" i="1"/>
  <c r="X64" i="1"/>
  <c r="X56" i="1"/>
  <c r="X48" i="1"/>
  <c r="X40" i="1"/>
  <c r="X32" i="1"/>
  <c r="X24" i="1"/>
  <c r="X16" i="1"/>
  <c r="X8" i="1"/>
  <c r="X69" i="1"/>
  <c r="X61" i="1"/>
  <c r="X53" i="1"/>
  <c r="X45" i="1"/>
  <c r="X37" i="1"/>
  <c r="X29" i="1"/>
  <c r="X21" i="1"/>
  <c r="X13" i="1"/>
  <c r="X63" i="1"/>
  <c r="X47" i="1"/>
  <c r="X31" i="1"/>
  <c r="X15" i="1"/>
  <c r="X68" i="1"/>
  <c r="X60" i="1"/>
  <c r="X52" i="1"/>
  <c r="X44" i="1"/>
  <c r="X36" i="1"/>
  <c r="X28" i="1"/>
  <c r="X20" i="1"/>
  <c r="X12" i="1"/>
  <c r="X5" i="1"/>
  <c r="X55" i="1"/>
  <c r="X39" i="1"/>
  <c r="X23" i="1"/>
  <c r="X7" i="1"/>
  <c r="X67" i="1"/>
  <c r="X59" i="1"/>
  <c r="X51" i="1"/>
  <c r="X43" i="1"/>
  <c r="X35" i="1"/>
  <c r="X27" i="1"/>
  <c r="X19" i="1"/>
  <c r="X11" i="1"/>
  <c r="X66" i="1"/>
  <c r="X58" i="1"/>
  <c r="X50" i="1"/>
  <c r="X42" i="1"/>
  <c r="X34" i="1"/>
  <c r="X26" i="1"/>
  <c r="X18" i="1"/>
  <c r="X10" i="1"/>
  <c r="W32" i="1"/>
  <c r="W5" i="1"/>
  <c r="W63" i="1"/>
  <c r="W55" i="1"/>
  <c r="W47" i="1"/>
  <c r="W39" i="1"/>
  <c r="W31" i="1"/>
  <c r="W23" i="1"/>
  <c r="W15" i="1"/>
  <c r="W7" i="1"/>
  <c r="W56" i="1"/>
  <c r="W8" i="1"/>
  <c r="W70" i="1"/>
  <c r="W62" i="1"/>
  <c r="W54" i="1"/>
  <c r="W46" i="1"/>
  <c r="W38" i="1"/>
  <c r="W30" i="1"/>
  <c r="W22" i="1"/>
  <c r="W14" i="1"/>
  <c r="W6" i="1"/>
  <c r="W64" i="1"/>
  <c r="W16" i="1"/>
  <c r="W69" i="1"/>
  <c r="W61" i="1"/>
  <c r="W53" i="1"/>
  <c r="W45" i="1"/>
  <c r="W37" i="1"/>
  <c r="W29" i="1"/>
  <c r="W21" i="1"/>
  <c r="W13" i="1"/>
  <c r="AC40" i="1"/>
  <c r="W48" i="1"/>
  <c r="W68" i="1"/>
  <c r="W60" i="1"/>
  <c r="W52" i="1"/>
  <c r="W44" i="1"/>
  <c r="W36" i="1"/>
  <c r="W28" i="1"/>
  <c r="W20" i="1"/>
  <c r="W12" i="1"/>
  <c r="W24" i="1"/>
  <c r="W67" i="1"/>
  <c r="W59" i="1"/>
  <c r="W51" i="1"/>
  <c r="W43" i="1"/>
  <c r="W35" i="1"/>
  <c r="W27" i="1"/>
  <c r="W19" i="1"/>
  <c r="W11" i="1"/>
  <c r="W40" i="1"/>
  <c r="W66" i="1"/>
  <c r="W58" i="1"/>
  <c r="W50" i="1"/>
  <c r="W42" i="1"/>
  <c r="W34" i="1"/>
  <c r="W26" i="1"/>
  <c r="W18" i="1"/>
  <c r="W10" i="1"/>
  <c r="W65" i="1"/>
  <c r="W57" i="1"/>
  <c r="W49" i="1"/>
  <c r="W41" i="1"/>
  <c r="W33" i="1"/>
  <c r="W25" i="1"/>
  <c r="W17" i="1"/>
  <c r="O5" i="1"/>
  <c r="P5" i="1" s="1"/>
  <c r="O55" i="1"/>
  <c r="P55" i="1" s="1"/>
  <c r="O39" i="1"/>
  <c r="P39" i="1" s="1"/>
  <c r="O23" i="1"/>
  <c r="P23" i="1" s="1"/>
  <c r="O7" i="1"/>
  <c r="P7" i="1" s="1"/>
  <c r="AC67" i="1"/>
  <c r="AC59" i="1"/>
  <c r="AC51" i="1"/>
  <c r="AC43" i="1"/>
  <c r="AC35" i="1"/>
  <c r="AC27" i="1"/>
  <c r="AC19" i="1"/>
  <c r="O70" i="1"/>
  <c r="P70" i="1" s="1"/>
  <c r="O54" i="1"/>
  <c r="P54" i="1" s="1"/>
  <c r="O38" i="1"/>
  <c r="P38" i="1" s="1"/>
  <c r="O22" i="1"/>
  <c r="P22" i="1" s="1"/>
  <c r="O6" i="1"/>
  <c r="P6" i="1" s="1"/>
  <c r="O69" i="1"/>
  <c r="P69" i="1" s="1"/>
  <c r="O53" i="1"/>
  <c r="P53" i="1" s="1"/>
  <c r="O37" i="1"/>
  <c r="P37" i="1" s="1"/>
  <c r="O21" i="1"/>
  <c r="P21" i="1" s="1"/>
  <c r="O64" i="1"/>
  <c r="P64" i="1" s="1"/>
  <c r="AF64" i="1" s="1"/>
  <c r="O48" i="1"/>
  <c r="P48" i="1" s="1"/>
  <c r="O32" i="1"/>
  <c r="P32" i="1" s="1"/>
  <c r="O16" i="1"/>
  <c r="P16" i="1" s="1"/>
  <c r="O63" i="1"/>
  <c r="P63" i="1" s="1"/>
  <c r="O47" i="1"/>
  <c r="P47" i="1" s="1"/>
  <c r="AF47" i="1" s="1"/>
  <c r="O31" i="1"/>
  <c r="P31" i="1" s="1"/>
  <c r="O15" i="1"/>
  <c r="P15" i="1" s="1"/>
  <c r="O62" i="1"/>
  <c r="P62" i="1" s="1"/>
  <c r="O46" i="1"/>
  <c r="P46" i="1" s="1"/>
  <c r="O30" i="1"/>
  <c r="P30" i="1" s="1"/>
  <c r="O14" i="1"/>
  <c r="P14" i="1" s="1"/>
  <c r="O61" i="1"/>
  <c r="P61" i="1" s="1"/>
  <c r="O45" i="1"/>
  <c r="P45" i="1" s="1"/>
  <c r="O29" i="1"/>
  <c r="P29" i="1" s="1"/>
  <c r="O56" i="1"/>
  <c r="P56" i="1" s="1"/>
  <c r="O40" i="1"/>
  <c r="P40" i="1" s="1"/>
  <c r="O24" i="1"/>
  <c r="P24" i="1" s="1"/>
  <c r="O8" i="1"/>
  <c r="P8" i="1" s="1"/>
  <c r="AC8" i="1"/>
  <c r="AC5" i="1"/>
  <c r="AC63" i="1"/>
  <c r="AC55" i="1"/>
  <c r="AC47" i="1"/>
  <c r="AC39" i="1"/>
  <c r="AC31" i="1"/>
  <c r="AC23" i="1"/>
  <c r="AC15" i="1"/>
  <c r="AC13" i="1"/>
  <c r="AC69" i="1"/>
  <c r="AC61" i="1"/>
  <c r="AC53" i="1"/>
  <c r="AC45" i="1"/>
  <c r="AC37" i="1"/>
  <c r="AC29" i="1"/>
  <c r="AC21" i="1"/>
  <c r="AC6" i="1"/>
  <c r="AC70" i="1"/>
  <c r="AC62" i="1"/>
  <c r="AC54" i="1"/>
  <c r="AC46" i="1"/>
  <c r="AC38" i="1"/>
  <c r="AC30" i="1"/>
  <c r="AC22" i="1"/>
  <c r="AC14" i="1"/>
  <c r="AC10" i="1"/>
  <c r="AC66" i="1"/>
  <c r="AC58" i="1"/>
  <c r="AC50" i="1"/>
  <c r="AC42" i="1"/>
  <c r="AC34" i="1"/>
  <c r="AC26" i="1"/>
  <c r="AC18" i="1"/>
  <c r="AC9" i="1"/>
  <c r="AC65" i="1"/>
  <c r="AC57" i="1"/>
  <c r="AC49" i="1"/>
  <c r="AC41" i="1"/>
  <c r="AC33" i="1"/>
  <c r="AC25" i="1"/>
  <c r="AC17" i="1"/>
  <c r="AC64" i="1"/>
  <c r="AC48" i="1"/>
  <c r="AC32" i="1"/>
  <c r="AC16" i="1"/>
  <c r="AC7" i="1"/>
  <c r="N58" i="1"/>
  <c r="AC24" i="1"/>
  <c r="N42" i="1"/>
  <c r="N26" i="1"/>
  <c r="AC11" i="1"/>
  <c r="N10" i="1"/>
  <c r="AC56" i="1"/>
  <c r="N50" i="1"/>
  <c r="N18" i="1"/>
  <c r="AC12" i="1"/>
  <c r="N44" i="1"/>
  <c r="N12" i="1"/>
  <c r="AC68" i="1"/>
  <c r="AC60" i="1"/>
  <c r="AC52" i="1"/>
  <c r="AC44" i="1"/>
  <c r="AC36" i="1"/>
  <c r="AC28" i="1"/>
  <c r="AC20" i="1"/>
  <c r="N68" i="1"/>
  <c r="N36" i="1"/>
  <c r="N66" i="1"/>
  <c r="N34" i="1"/>
  <c r="N60" i="1"/>
  <c r="N28" i="1"/>
  <c r="N52" i="1"/>
  <c r="N20" i="1"/>
  <c r="N67" i="1"/>
  <c r="N59" i="1"/>
  <c r="N51" i="1"/>
  <c r="N43" i="1"/>
  <c r="N35" i="1"/>
  <c r="N27" i="1"/>
  <c r="N19" i="1"/>
  <c r="N11" i="1"/>
  <c r="Q5" i="1"/>
  <c r="N65" i="1"/>
  <c r="N57" i="1"/>
  <c r="N49" i="1"/>
  <c r="N41" i="1"/>
  <c r="N33" i="1"/>
  <c r="N25" i="1"/>
  <c r="N17" i="1"/>
  <c r="N9" i="1"/>
  <c r="AF39" i="1" l="1"/>
  <c r="AG39" i="1" s="1"/>
  <c r="AF56" i="1"/>
  <c r="AF70" i="1"/>
  <c r="AG70" i="1" s="1"/>
  <c r="AF37" i="1"/>
  <c r="AG37" i="1" s="1"/>
  <c r="AF6" i="1"/>
  <c r="AG6" i="1" s="1"/>
  <c r="AF32" i="1"/>
  <c r="AG32" i="1" s="1"/>
  <c r="AF62" i="1"/>
  <c r="AG62" i="1" s="1"/>
  <c r="AG64" i="1"/>
  <c r="AF22" i="1"/>
  <c r="AG22" i="1" s="1"/>
  <c r="AF30" i="1"/>
  <c r="AG30" i="1" s="1"/>
  <c r="AF23" i="1"/>
  <c r="AG23" i="1" s="1"/>
  <c r="AF61" i="1"/>
  <c r="AG61" i="1" s="1"/>
  <c r="AG56" i="1"/>
  <c r="AG47" i="1"/>
  <c r="AF29" i="1"/>
  <c r="AG29" i="1" s="1"/>
  <c r="AF24" i="1"/>
  <c r="AG24" i="1" s="1"/>
  <c r="AF46" i="1"/>
  <c r="AG46" i="1" s="1"/>
  <c r="AF48" i="1"/>
  <c r="AG48" i="1" s="1"/>
  <c r="AF38" i="1"/>
  <c r="AG38" i="1" s="1"/>
  <c r="AF7" i="1"/>
  <c r="AG7" i="1" s="1"/>
  <c r="AF15" i="1"/>
  <c r="AG15" i="1" s="1"/>
  <c r="AF45" i="1"/>
  <c r="AG45" i="1" s="1"/>
  <c r="AF31" i="1"/>
  <c r="AG31" i="1" s="1"/>
  <c r="AF53" i="1"/>
  <c r="AG53" i="1" s="1"/>
  <c r="AF40" i="1"/>
  <c r="AG40" i="1" s="1"/>
  <c r="AF54" i="1"/>
  <c r="AG54" i="1" s="1"/>
  <c r="AH53" i="1"/>
  <c r="AF63" i="1"/>
  <c r="AG63" i="1" s="1"/>
  <c r="AF69" i="1"/>
  <c r="AG69" i="1" s="1"/>
  <c r="AH69" i="1"/>
  <c r="AF16" i="1"/>
  <c r="AG16" i="1" s="1"/>
  <c r="AF55" i="1"/>
  <c r="AG55" i="1" s="1"/>
  <c r="AF13" i="1"/>
  <c r="AG13" i="1" s="1"/>
  <c r="AF14" i="1"/>
  <c r="AG14" i="1" s="1"/>
  <c r="AH45" i="1"/>
  <c r="AF8" i="1"/>
  <c r="AG8" i="1" s="1"/>
  <c r="AH30" i="1"/>
  <c r="AF5" i="1"/>
  <c r="AG5" i="1" s="1"/>
  <c r="AF21" i="1"/>
  <c r="AG21" i="1" s="1"/>
  <c r="O49" i="1"/>
  <c r="O28" i="1"/>
  <c r="P28" i="1" s="1"/>
  <c r="AF28" i="1" s="1"/>
  <c r="AG28" i="1" s="1"/>
  <c r="O18" i="1"/>
  <c r="P18" i="1" s="1"/>
  <c r="O57" i="1"/>
  <c r="P57" i="1" s="1"/>
  <c r="O60" i="1"/>
  <c r="P60" i="1" s="1"/>
  <c r="O50" i="1"/>
  <c r="P50" i="1" s="1"/>
  <c r="O65" i="1"/>
  <c r="P65" i="1" s="1"/>
  <c r="O51" i="1"/>
  <c r="O34" i="1"/>
  <c r="O9" i="1"/>
  <c r="O66" i="1"/>
  <c r="P66" i="1" s="1"/>
  <c r="AF66" i="1" s="1"/>
  <c r="AG66" i="1" s="1"/>
  <c r="O36" i="1"/>
  <c r="P36" i="1" s="1"/>
  <c r="O26" i="1"/>
  <c r="P26" i="1" s="1"/>
  <c r="O59" i="1"/>
  <c r="O58" i="1"/>
  <c r="O17" i="1"/>
  <c r="O67" i="1"/>
  <c r="O25" i="1"/>
  <c r="P25" i="1" s="1"/>
  <c r="O20" i="1"/>
  <c r="P20" i="1" s="1"/>
  <c r="O11" i="1"/>
  <c r="P11" i="1" s="1"/>
  <c r="O68" i="1"/>
  <c r="O12" i="1"/>
  <c r="P12" i="1" s="1"/>
  <c r="O33" i="1"/>
  <c r="O19" i="1"/>
  <c r="P19" i="1" s="1"/>
  <c r="AF19" i="1" s="1"/>
  <c r="AG19" i="1" s="1"/>
  <c r="O52" i="1"/>
  <c r="O44" i="1"/>
  <c r="P44" i="1" s="1"/>
  <c r="O41" i="1"/>
  <c r="P41" i="1" s="1"/>
  <c r="O42" i="1"/>
  <c r="O10" i="1"/>
  <c r="O27" i="1"/>
  <c r="P27" i="1" s="1"/>
  <c r="O35" i="1"/>
  <c r="O43" i="1"/>
  <c r="P43" i="1" s="1"/>
  <c r="AJ40" i="1" l="1"/>
  <c r="AK40" i="1"/>
  <c r="AL40" i="1" s="1"/>
  <c r="AJ45" i="1"/>
  <c r="AK45" i="1"/>
  <c r="AL45" i="1" s="1"/>
  <c r="AJ22" i="1"/>
  <c r="AK22" i="1"/>
  <c r="AL22" i="1" s="1"/>
  <c r="AJ69" i="1"/>
  <c r="AK69" i="1"/>
  <c r="AL69" i="1" s="1"/>
  <c r="AJ30" i="1"/>
  <c r="AK30" i="1"/>
  <c r="AL30" i="1" s="1"/>
  <c r="AJ53" i="1"/>
  <c r="AK53" i="1"/>
  <c r="AL53" i="1" s="1"/>
  <c r="AH22" i="1"/>
  <c r="AH20" i="1"/>
  <c r="AH40" i="1"/>
  <c r="AI5" i="1"/>
  <c r="AH21" i="1"/>
  <c r="AH70" i="1"/>
  <c r="AF60" i="1"/>
  <c r="AG60" i="1" s="1"/>
  <c r="AF43" i="1"/>
  <c r="AG43" i="1" s="1"/>
  <c r="AF44" i="1"/>
  <c r="AG44" i="1" s="1"/>
  <c r="AH8" i="1"/>
  <c r="AH50" i="1"/>
  <c r="AH12" i="1"/>
  <c r="AF26" i="1"/>
  <c r="AG26" i="1" s="1"/>
  <c r="AH11" i="1"/>
  <c r="AH36" i="1"/>
  <c r="AF57" i="1"/>
  <c r="AG57" i="1" s="1"/>
  <c r="AF50" i="1"/>
  <c r="AG50" i="1" s="1"/>
  <c r="AH61" i="1"/>
  <c r="P35" i="1"/>
  <c r="AH65" i="1"/>
  <c r="AF65" i="1"/>
  <c r="AG65" i="1" s="1"/>
  <c r="P59" i="1"/>
  <c r="P10" i="1"/>
  <c r="AF18" i="1"/>
  <c r="AG18" i="1" s="1"/>
  <c r="AH5" i="1"/>
  <c r="AF27" i="1"/>
  <c r="AG27" i="1" s="1"/>
  <c r="AF20" i="1"/>
  <c r="AG20" i="1" s="1"/>
  <c r="AF36" i="1"/>
  <c r="AG36" i="1" s="1"/>
  <c r="AH46" i="1"/>
  <c r="P58" i="1"/>
  <c r="AH38" i="1"/>
  <c r="P68" i="1"/>
  <c r="AH48" i="1"/>
  <c r="P42" i="1"/>
  <c r="AF41" i="1"/>
  <c r="AG41" i="1" s="1"/>
  <c r="AH44" i="1"/>
  <c r="AF25" i="1"/>
  <c r="AG25" i="1" s="1"/>
  <c r="P9" i="1"/>
  <c r="AH54" i="1"/>
  <c r="AF11" i="1"/>
  <c r="AG11" i="1" s="1"/>
  <c r="P33" i="1"/>
  <c r="AH60" i="1"/>
  <c r="P52" i="1"/>
  <c r="P67" i="1"/>
  <c r="P49" i="1"/>
  <c r="AH13" i="1"/>
  <c r="AH23" i="1"/>
  <c r="AH7" i="1"/>
  <c r="AF12" i="1"/>
  <c r="AG12" i="1" s="1"/>
  <c r="AH24" i="1"/>
  <c r="AH55" i="1"/>
  <c r="P34" i="1"/>
  <c r="AH14" i="1"/>
  <c r="AH43" i="1"/>
  <c r="P17" i="1"/>
  <c r="P51" i="1"/>
  <c r="AH37" i="1"/>
  <c r="AK6" i="1" l="1"/>
  <c r="AL6" i="1" s="1"/>
  <c r="AK5" i="1"/>
  <c r="AL5" i="1" s="1"/>
  <c r="AJ36" i="1"/>
  <c r="AK36" i="1"/>
  <c r="AL36" i="1" s="1"/>
  <c r="AJ13" i="1"/>
  <c r="AK13" i="1"/>
  <c r="AL13" i="1" s="1"/>
  <c r="AJ8" i="1"/>
  <c r="AK8" i="1"/>
  <c r="AL8" i="1" s="1"/>
  <c r="AJ37" i="1"/>
  <c r="AK37" i="1"/>
  <c r="AL37" i="1" s="1"/>
  <c r="AJ44" i="1"/>
  <c r="AK44" i="1"/>
  <c r="AL44" i="1" s="1"/>
  <c r="AJ50" i="1"/>
  <c r="AK50" i="1"/>
  <c r="AL50" i="1" s="1"/>
  <c r="AJ24" i="1"/>
  <c r="AK24" i="1"/>
  <c r="AL24" i="1" s="1"/>
  <c r="AJ54" i="1"/>
  <c r="AK54" i="1"/>
  <c r="AL54" i="1" s="1"/>
  <c r="AK46" i="1"/>
  <c r="AL46" i="1" s="1"/>
  <c r="AK47" i="1"/>
  <c r="AL47" i="1" s="1"/>
  <c r="AJ20" i="1"/>
  <c r="AK20" i="1"/>
  <c r="AL20" i="1" s="1"/>
  <c r="AJ70" i="1"/>
  <c r="AK70" i="1"/>
  <c r="AL70" i="1" s="1"/>
  <c r="AJ43" i="1"/>
  <c r="AK43" i="1"/>
  <c r="AL43" i="1" s="1"/>
  <c r="AK62" i="1"/>
  <c r="AL62" i="1" s="1"/>
  <c r="AK63" i="1"/>
  <c r="AL63" i="1" s="1"/>
  <c r="AK64" i="1"/>
  <c r="AL64" i="1" s="1"/>
  <c r="AK61" i="1"/>
  <c r="AL61" i="1" s="1"/>
  <c r="AJ48" i="1"/>
  <c r="AK48" i="1"/>
  <c r="AL48" i="1" s="1"/>
  <c r="AJ21" i="1"/>
  <c r="AK21" i="1"/>
  <c r="AL21" i="1" s="1"/>
  <c r="AJ23" i="1"/>
  <c r="AK23" i="1"/>
  <c r="AL23" i="1" s="1"/>
  <c r="AJ11" i="1"/>
  <c r="AK11" i="1"/>
  <c r="AL11" i="1" s="1"/>
  <c r="AK14" i="1"/>
  <c r="AL14" i="1" s="1"/>
  <c r="AK15" i="1"/>
  <c r="AL15" i="1" s="1"/>
  <c r="AK16" i="1"/>
  <c r="AL16" i="1" s="1"/>
  <c r="AJ7" i="1"/>
  <c r="AK7" i="1"/>
  <c r="AL7" i="1" s="1"/>
  <c r="AH27" i="1"/>
  <c r="AK55" i="1"/>
  <c r="AL55" i="1" s="1"/>
  <c r="AK56" i="1"/>
  <c r="AL56" i="1" s="1"/>
  <c r="AJ60" i="1"/>
  <c r="AK60" i="1"/>
  <c r="AL60" i="1" s="1"/>
  <c r="AK38" i="1"/>
  <c r="AL38" i="1" s="1"/>
  <c r="AK39" i="1"/>
  <c r="AL39" i="1" s="1"/>
  <c r="AK27" i="1"/>
  <c r="AL27" i="1" s="1"/>
  <c r="AK28" i="1"/>
  <c r="AL28" i="1" s="1"/>
  <c r="AK29" i="1"/>
  <c r="AL29" i="1" s="1"/>
  <c r="AJ12" i="1"/>
  <c r="AK12" i="1"/>
  <c r="AL12" i="1" s="1"/>
  <c r="AJ14" i="1"/>
  <c r="AJ55" i="1"/>
  <c r="AJ5" i="1"/>
  <c r="AJ38" i="1"/>
  <c r="AJ27" i="1"/>
  <c r="AJ46" i="1"/>
  <c r="AJ61" i="1"/>
  <c r="AH41" i="1"/>
  <c r="AF58" i="1"/>
  <c r="AF59" i="1"/>
  <c r="AG59" i="1" s="1"/>
  <c r="AF35" i="1"/>
  <c r="AG35" i="1" s="1"/>
  <c r="AF10" i="1"/>
  <c r="AG10" i="1" s="1"/>
  <c r="AH57" i="1"/>
  <c r="AF9" i="1"/>
  <c r="AG9" i="1" s="1"/>
  <c r="AH18" i="1"/>
  <c r="AH25" i="1"/>
  <c r="AF52" i="1"/>
  <c r="AF51" i="1"/>
  <c r="AF49" i="1"/>
  <c r="AG49" i="1" s="1"/>
  <c r="AF68" i="1"/>
  <c r="AG68" i="1" s="1"/>
  <c r="AF17" i="1"/>
  <c r="AG17" i="1" s="1"/>
  <c r="AF34" i="1"/>
  <c r="AG34" i="1" s="1"/>
  <c r="AF67" i="1"/>
  <c r="AG67" i="1" s="1"/>
  <c r="AH26" i="1"/>
  <c r="AF42" i="1"/>
  <c r="AG42" i="1" s="1"/>
  <c r="AF33" i="1"/>
  <c r="AG33" i="1" s="1"/>
  <c r="AH31" i="1"/>
  <c r="AK18" i="1" l="1"/>
  <c r="AL18" i="1" s="1"/>
  <c r="AK19" i="1"/>
  <c r="AL19" i="1" s="1"/>
  <c r="AJ57" i="1"/>
  <c r="AK57" i="1"/>
  <c r="AL57" i="1" s="1"/>
  <c r="AJ26" i="1"/>
  <c r="AK26" i="1"/>
  <c r="AL26" i="1" s="1"/>
  <c r="AJ25" i="1"/>
  <c r="AK25" i="1"/>
  <c r="AL25" i="1" s="1"/>
  <c r="AK66" i="1"/>
  <c r="AL66" i="1" s="1"/>
  <c r="AK65" i="1"/>
  <c r="AL65" i="1" s="1"/>
  <c r="AJ41" i="1"/>
  <c r="AK41" i="1"/>
  <c r="AL41" i="1" s="1"/>
  <c r="AJ18" i="1"/>
  <c r="AJ65" i="1"/>
  <c r="AH68" i="1"/>
  <c r="AG52" i="1"/>
  <c r="AG58" i="1"/>
  <c r="AG51" i="1"/>
  <c r="AH35" i="1"/>
  <c r="AH17" i="1"/>
  <c r="AH52" i="1"/>
  <c r="AH42" i="1"/>
  <c r="AH10" i="1"/>
  <c r="AH58" i="1"/>
  <c r="AH9" i="1"/>
  <c r="AH67" i="1"/>
  <c r="AH49" i="1"/>
  <c r="AH34" i="1"/>
  <c r="AH59" i="1"/>
  <c r="AH51" i="1"/>
  <c r="AJ42" i="1" l="1"/>
  <c r="AK42" i="1"/>
  <c r="AL42" i="1" s="1"/>
  <c r="AJ9" i="1"/>
  <c r="AK9" i="1"/>
  <c r="AL9" i="1" s="1"/>
  <c r="AJ34" i="1"/>
  <c r="AK34" i="1"/>
  <c r="AL34" i="1" s="1"/>
  <c r="AJ52" i="1"/>
  <c r="AK52" i="1"/>
  <c r="AL52" i="1" s="1"/>
  <c r="AJ59" i="1"/>
  <c r="AK59" i="1"/>
  <c r="AL59" i="1" s="1"/>
  <c r="AK31" i="1"/>
  <c r="AL31" i="1" s="1"/>
  <c r="AK32" i="1"/>
  <c r="AL32" i="1" s="1"/>
  <c r="AK33" i="1"/>
  <c r="AL33" i="1" s="1"/>
  <c r="AJ58" i="1"/>
  <c r="AK58" i="1"/>
  <c r="AL58" i="1" s="1"/>
  <c r="AJ17" i="1"/>
  <c r="AK17" i="1"/>
  <c r="AL17" i="1" s="1"/>
  <c r="AJ67" i="1"/>
  <c r="AK67" i="1"/>
  <c r="AL67" i="1" s="1"/>
  <c r="AJ49" i="1"/>
  <c r="AK49" i="1"/>
  <c r="AL49" i="1" s="1"/>
  <c r="AJ10" i="1"/>
  <c r="AK10" i="1"/>
  <c r="AL10" i="1" s="1"/>
  <c r="AJ51" i="1"/>
  <c r="AK51" i="1"/>
  <c r="AL51" i="1" s="1"/>
  <c r="AJ68" i="1"/>
  <c r="AK68" i="1"/>
  <c r="AL68" i="1" s="1"/>
  <c r="AJ35" i="1"/>
  <c r="AK35" i="1"/>
  <c r="AL35" i="1" s="1"/>
  <c r="AJ31" i="1"/>
</calcChain>
</file>

<file path=xl/sharedStrings.xml><?xml version="1.0" encoding="utf-8"?>
<sst xmlns="http://schemas.openxmlformats.org/spreadsheetml/2006/main" count="280" uniqueCount="185">
  <si>
    <t>Market (68000)</t>
  </si>
  <si>
    <t>ZAINULSHA.M.DIWAN</t>
  </si>
  <si>
    <t>BDQ1151</t>
  </si>
  <si>
    <t>EMI (4 yrs)</t>
  </si>
  <si>
    <t>Visharad Chauhan</t>
  </si>
  <si>
    <t>AMD1171</t>
  </si>
  <si>
    <t>VIRENDRA SOLANKI</t>
  </si>
  <si>
    <t>AMD1104</t>
  </si>
  <si>
    <t>VIKAS AGARWAL</t>
  </si>
  <si>
    <t>VAP1105</t>
  </si>
  <si>
    <t>Owned</t>
  </si>
  <si>
    <t>SWAPNIL PANDEY_BP</t>
  </si>
  <si>
    <t>AMD1331</t>
  </si>
  <si>
    <t>SURESHBHAI RAJABHAI BHARWAD</t>
  </si>
  <si>
    <t>AMD1330</t>
  </si>
  <si>
    <t>Siddhant Subhash Borse</t>
  </si>
  <si>
    <t>STV1299</t>
  </si>
  <si>
    <t>Shekh Seemabanu Mohammad</t>
  </si>
  <si>
    <t>BDQ1367</t>
  </si>
  <si>
    <t>SHEKH JENULABEDEEN BADRUDIN</t>
  </si>
  <si>
    <t>AMD1338</t>
  </si>
  <si>
    <t>SANDEEP KUMAR</t>
  </si>
  <si>
    <t>AMD1237</t>
  </si>
  <si>
    <t>SADHU RAM KARGWAL</t>
  </si>
  <si>
    <t>MSH1240</t>
  </si>
  <si>
    <t>RAKIB GULAMKADAR BLOCH</t>
  </si>
  <si>
    <t>JND1344</t>
  </si>
  <si>
    <t>Market (52500)</t>
  </si>
  <si>
    <t>Rajesh Kumar Misra_Pickup</t>
  </si>
  <si>
    <t>BDQ1329</t>
  </si>
  <si>
    <t>Rajesh Kumar Misra_Delivery</t>
  </si>
  <si>
    <t>BDQ1328</t>
  </si>
  <si>
    <t>RAJENDRASINH L CHAVDA</t>
  </si>
  <si>
    <t>GNC1357</t>
  </si>
  <si>
    <t>Market (45000)</t>
  </si>
  <si>
    <t>Pravin Thakor</t>
  </si>
  <si>
    <t>AMD1031</t>
  </si>
  <si>
    <t>Pravin Patil</t>
  </si>
  <si>
    <t>STV1229</t>
  </si>
  <si>
    <t>PATHAN PARVEZBHAI</t>
  </si>
  <si>
    <t>AMD1302</t>
  </si>
  <si>
    <t>Market (49000)</t>
  </si>
  <si>
    <t>Patani Salim Gafarbhai</t>
  </si>
  <si>
    <t>RAJ1042</t>
  </si>
  <si>
    <t>OD Maheshbhai Bhikhabhai</t>
  </si>
  <si>
    <t>BDQ1327</t>
  </si>
  <si>
    <t>MULIYA TOFIKHUSEN HABIBBHAI</t>
  </si>
  <si>
    <t>AMD1289</t>
  </si>
  <si>
    <t>MUKESHBHAI RAJABHAI BHARWAD</t>
  </si>
  <si>
    <t>AMD1335</t>
  </si>
  <si>
    <t>MOINUDDIN R SHAIKH</t>
  </si>
  <si>
    <t>GNC1364</t>
  </si>
  <si>
    <t>mo. Farukh</t>
  </si>
  <si>
    <t>STV1317</t>
  </si>
  <si>
    <t>Meenakshi Gupta</t>
  </si>
  <si>
    <t>BDQ1342</t>
  </si>
  <si>
    <t>MANISHA PRAVIN PATIL</t>
  </si>
  <si>
    <t>STV1146</t>
  </si>
  <si>
    <t>MAMATA PAL</t>
  </si>
  <si>
    <t>AKV1298</t>
  </si>
  <si>
    <t>LALAJI BHAI THAKOR</t>
  </si>
  <si>
    <t>AMD1319</t>
  </si>
  <si>
    <t>Karan Mistry_Pickup</t>
  </si>
  <si>
    <t>BDQ1074</t>
  </si>
  <si>
    <t>Karan Mistry_Delivery</t>
  </si>
  <si>
    <t>BDQ1075</t>
  </si>
  <si>
    <t>Inderkumar moolchand gupta</t>
  </si>
  <si>
    <t>BDQ1223</t>
  </si>
  <si>
    <t>Harun Abdul Bhai Theba</t>
  </si>
  <si>
    <t>RAJ1217</t>
  </si>
  <si>
    <t>Hardik Patel</t>
  </si>
  <si>
    <t>JGA1022</t>
  </si>
  <si>
    <t>GULZAR F MEMON</t>
  </si>
  <si>
    <t>AMD1259</t>
  </si>
  <si>
    <t>Gulamhusen Mohamad Ghanchi</t>
  </si>
  <si>
    <t>AMD1143</t>
  </si>
  <si>
    <t>GOHIL RAGHUVIRSINH R</t>
  </si>
  <si>
    <t>BVC1209</t>
  </si>
  <si>
    <t>GAJRAJSINGH B RATHOD</t>
  </si>
  <si>
    <t>GNC1377</t>
  </si>
  <si>
    <t>FAIZILA Theba</t>
  </si>
  <si>
    <t>RAJ1334</t>
  </si>
  <si>
    <t>EKTA AGARWAL</t>
  </si>
  <si>
    <t>VAP1339</t>
  </si>
  <si>
    <t>DINESHBHAI MOHANBHAI SOLANKI</t>
  </si>
  <si>
    <t>AMD1275</t>
  </si>
  <si>
    <t>Dharmendra Sharma</t>
  </si>
  <si>
    <t>AMD1057</t>
  </si>
  <si>
    <t>Devendra r. mistry</t>
  </si>
  <si>
    <t>BDQ1318</t>
  </si>
  <si>
    <t>Devendar Vanga</t>
  </si>
  <si>
    <t>STV1107</t>
  </si>
  <si>
    <t>DENISH B. BAVARIYA</t>
  </si>
  <si>
    <t>JGA1336</t>
  </si>
  <si>
    <t>Market (35000)</t>
  </si>
  <si>
    <t>Chauhan navneet kumar</t>
  </si>
  <si>
    <t>BDQ1203</t>
  </si>
  <si>
    <t>Bharat madhusing lodha</t>
  </si>
  <si>
    <t>AMD1324</t>
  </si>
  <si>
    <t>BELIM RIYAZUDDIN MEHBOOBBHAI</t>
  </si>
  <si>
    <t>AMD1296</t>
  </si>
  <si>
    <t>Ashok Kumar</t>
  </si>
  <si>
    <t>GNC1363</t>
  </si>
  <si>
    <t>ASHISH SAXENA</t>
  </si>
  <si>
    <t>AMD1061</t>
  </si>
  <si>
    <t>Market (60000)</t>
  </si>
  <si>
    <t>Amit Ramesh Agarwal</t>
  </si>
  <si>
    <t>VAP1070</t>
  </si>
  <si>
    <t>EMI (3 yrs)</t>
  </si>
  <si>
    <t>AGARWAL SUGANDHA AMIT</t>
  </si>
  <si>
    <t>VAP1332</t>
  </si>
  <si>
    <t>Total Cost (Rs.)</t>
  </si>
  <si>
    <t>Vehicle Cost (Rs.)</t>
  </si>
  <si>
    <t>Price (Market Owned)</t>
  </si>
  <si>
    <t>Manpower Cost (Rs.)</t>
  </si>
  <si>
    <t>Loader Salary (Rs.)</t>
  </si>
  <si>
    <t>Loaders</t>
  </si>
  <si>
    <t>Driver Salary (Rs.)</t>
  </si>
  <si>
    <t>Vehicle Capacity (tons)</t>
  </si>
  <si>
    <t>EMI (Rs.)</t>
  </si>
  <si>
    <t>EMI End Year</t>
  </si>
  <si>
    <t>Principal Amount (Rs.)</t>
  </si>
  <si>
    <t>NPER (months)</t>
  </si>
  <si>
    <t>EMI Duration (Years)</t>
  </si>
  <si>
    <t>Ownership Info</t>
  </si>
  <si>
    <t>Purchase Type</t>
  </si>
  <si>
    <t>Maintenance (Rs.)</t>
  </si>
  <si>
    <t>Fuel Cost (Rs.)</t>
  </si>
  <si>
    <t>Fuel Consumed (l)</t>
  </si>
  <si>
    <t>Mileage (Km/l)</t>
  </si>
  <si>
    <t>Vehicle Type</t>
  </si>
  <si>
    <t>City</t>
  </si>
  <si>
    <t>Cluster Code</t>
  </si>
  <si>
    <t>Branch Name</t>
  </si>
  <si>
    <t>vehicle_purchase_year</t>
  </si>
  <si>
    <t>ownership_type</t>
  </si>
  <si>
    <t>vehicle_type_id</t>
  </si>
  <si>
    <t>bp_joining_date</t>
  </si>
  <si>
    <t>BP name</t>
  </si>
  <si>
    <t>branch_id</t>
  </si>
  <si>
    <t>bp_code</t>
  </si>
  <si>
    <t>bp_id</t>
  </si>
  <si>
    <t>Sub Task 1.3</t>
  </si>
  <si>
    <t>Sub Task 1.2</t>
  </si>
  <si>
    <t>Sub Task 1.1</t>
  </si>
  <si>
    <t>Sub Task 4.3</t>
  </si>
  <si>
    <t>Sub Task 4.2</t>
  </si>
  <si>
    <t>Sub Task 4.1</t>
  </si>
  <si>
    <t>Sub Task 3.5</t>
  </si>
  <si>
    <t>Sub Task 3.4</t>
  </si>
  <si>
    <t>Sub Task 3.3</t>
  </si>
  <si>
    <t>Sub Task 3.2</t>
  </si>
  <si>
    <t>Sub Task 3.1</t>
  </si>
  <si>
    <t>Sub Task 2.1</t>
  </si>
  <si>
    <t>Task 1</t>
  </si>
  <si>
    <t>Task 4</t>
  </si>
  <si>
    <t>Task 3</t>
  </si>
  <si>
    <t>Task 2</t>
  </si>
  <si>
    <t>Objective 3</t>
  </si>
  <si>
    <t>Objective 2</t>
  </si>
  <si>
    <t>BP_Name</t>
  </si>
  <si>
    <t>Objective 4</t>
  </si>
  <si>
    <t>Profit (Rs.)</t>
  </si>
  <si>
    <t>Status of BP</t>
  </si>
  <si>
    <t>Payment Issues with Delivery Partners</t>
  </si>
  <si>
    <t>EMI (*)</t>
  </si>
  <si>
    <t>Column1</t>
  </si>
  <si>
    <t>Total Cost Calc (Rs.)</t>
  </si>
  <si>
    <t>Profit Calc (Rs.)</t>
  </si>
  <si>
    <t>Sum of Profit (Rs.)</t>
  </si>
  <si>
    <t>Ahmedabad Branch</t>
  </si>
  <si>
    <t>Ahmmedabad City</t>
  </si>
  <si>
    <t>Amreli</t>
  </si>
  <si>
    <t>Bhavnager</t>
  </si>
  <si>
    <t>Gandhi Nager</t>
  </si>
  <si>
    <t>Jamnager</t>
  </si>
  <si>
    <t>Junagarh</t>
  </si>
  <si>
    <t>Mehsana</t>
  </si>
  <si>
    <t>Rajkot</t>
  </si>
  <si>
    <t>Rampura Branch</t>
  </si>
  <si>
    <t>Sanand</t>
  </si>
  <si>
    <t>Surat</t>
  </si>
  <si>
    <t>Vadodara</t>
  </si>
  <si>
    <t>Vapi</t>
  </si>
  <si>
    <t>Total Cost of Vehicle 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</si>
</sst>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\-yyyy"/>
    <numFmt numFmtId="165" formatCode="d\-m\-yyyy"/>
    <numFmt numFmtId="166" formatCode="[$₹-4009]\ #,##0.0;[$₹-4009]\ \-#,##0.0"/>
    <numFmt numFmtId="167" formatCode="000\L"/>
    <numFmt numFmtId="168" formatCode="&quot;₹&quot;\ #,##0.0"/>
    <numFmt numFmtId="169" formatCode="&quot;₹&quot;\ #,##0.00"/>
  </numFmts>
  <fonts count="11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C343D"/>
      <name val="Arial"/>
      <family val="2"/>
    </font>
    <font>
      <b/>
      <sz val="10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theme="4" tint="0.39997558519241921"/>
      </top>
      <bottom/>
      <diagonal/>
    </border>
    <border>
      <left style="thin">
        <color theme="0" tint="-0.149998474074526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0" fontId="6" fillId="0" borderId="0" xfId="0" applyFont="1"/>
    <xf numFmtId="0" fontId="9" fillId="0" borderId="0" xfId="0" applyFont="1"/>
    <xf numFmtId="0" fontId="7" fillId="2" borderId="8" xfId="0" applyFont="1" applyFill="1" applyBorder="1"/>
    <xf numFmtId="0" fontId="5" fillId="7" borderId="0" xfId="0" applyFont="1" applyFill="1"/>
    <xf numFmtId="0" fontId="7" fillId="9" borderId="8" xfId="0" applyFont="1" applyFill="1" applyBorder="1"/>
    <xf numFmtId="0" fontId="7" fillId="6" borderId="8" xfId="0" applyFont="1" applyFill="1" applyBorder="1"/>
    <xf numFmtId="0" fontId="7" fillId="5" borderId="8" xfId="0" applyFont="1" applyFill="1" applyBorder="1"/>
    <xf numFmtId="0" fontId="7" fillId="4" borderId="8" xfId="0" applyFont="1" applyFill="1" applyBorder="1"/>
    <xf numFmtId="0" fontId="7" fillId="3" borderId="8" xfId="0" applyFont="1" applyFill="1" applyBorder="1"/>
    <xf numFmtId="0" fontId="10" fillId="11" borderId="10" xfId="0" applyFont="1" applyFill="1" applyBorder="1"/>
    <xf numFmtId="0" fontId="7" fillId="2" borderId="10" xfId="0" applyFont="1" applyFill="1" applyBorder="1"/>
    <xf numFmtId="0" fontId="7" fillId="2" borderId="11" xfId="0" applyFont="1" applyFill="1" applyBorder="1"/>
    <xf numFmtId="0" fontId="1" fillId="10" borderId="12" xfId="0" applyFont="1" applyFill="1" applyBorder="1"/>
    <xf numFmtId="164" fontId="1" fillId="10" borderId="12" xfId="0" applyNumberFormat="1" applyFont="1" applyFill="1" applyBorder="1"/>
    <xf numFmtId="1" fontId="1" fillId="10" borderId="12" xfId="0" applyNumberFormat="1" applyFont="1" applyFill="1" applyBorder="1"/>
    <xf numFmtId="167" fontId="1" fillId="10" borderId="12" xfId="0" applyNumberFormat="1" applyFont="1" applyFill="1" applyBorder="1"/>
    <xf numFmtId="2" fontId="1" fillId="10" borderId="12" xfId="0" applyNumberFormat="1" applyFont="1" applyFill="1" applyBorder="1"/>
    <xf numFmtId="3" fontId="1" fillId="10" borderId="12" xfId="0" applyNumberFormat="1" applyFont="1" applyFill="1" applyBorder="1"/>
    <xf numFmtId="168" fontId="1" fillId="10" borderId="12" xfId="0" applyNumberFormat="1" applyFont="1" applyFill="1" applyBorder="1"/>
    <xf numFmtId="169" fontId="1" fillId="10" borderId="12" xfId="0" applyNumberFormat="1" applyFont="1" applyFill="1" applyBorder="1"/>
    <xf numFmtId="2" fontId="1" fillId="10" borderId="9" xfId="0" applyNumberFormat="1" applyFont="1" applyFill="1" applyBorder="1"/>
    <xf numFmtId="0" fontId="1" fillId="0" borderId="12" xfId="0" applyFont="1" applyBorder="1"/>
    <xf numFmtId="164" fontId="1" fillId="0" borderId="12" xfId="0" applyNumberFormat="1" applyFont="1" applyBorder="1"/>
    <xf numFmtId="1" fontId="1" fillId="0" borderId="12" xfId="0" applyNumberFormat="1" applyFont="1" applyBorder="1"/>
    <xf numFmtId="167" fontId="1" fillId="0" borderId="12" xfId="0" applyNumberFormat="1" applyFont="1" applyBorder="1"/>
    <xf numFmtId="2" fontId="1" fillId="0" borderId="12" xfId="0" applyNumberFormat="1" applyFont="1" applyBorder="1"/>
    <xf numFmtId="3" fontId="1" fillId="0" borderId="12" xfId="0" applyNumberFormat="1" applyFont="1" applyBorder="1"/>
    <xf numFmtId="168" fontId="1" fillId="0" borderId="12" xfId="0" applyNumberFormat="1" applyFont="1" applyBorder="1"/>
    <xf numFmtId="169" fontId="1" fillId="0" borderId="12" xfId="0" applyNumberFormat="1" applyFont="1" applyBorder="1"/>
    <xf numFmtId="165" fontId="1" fillId="10" borderId="12" xfId="0" applyNumberFormat="1" applyFont="1" applyFill="1" applyBorder="1"/>
    <xf numFmtId="165" fontId="1" fillId="0" borderId="12" xfId="0" applyNumberFormat="1" applyFont="1" applyBorder="1"/>
    <xf numFmtId="0" fontId="1" fillId="0" borderId="13" xfId="0" applyFont="1" applyBorder="1"/>
    <xf numFmtId="164" fontId="1" fillId="0" borderId="13" xfId="0" applyNumberFormat="1" applyFont="1" applyBorder="1"/>
    <xf numFmtId="1" fontId="1" fillId="0" borderId="13" xfId="0" applyNumberFormat="1" applyFont="1" applyBorder="1"/>
    <xf numFmtId="167" fontId="1" fillId="0" borderId="13" xfId="0" applyNumberFormat="1" applyFont="1" applyBorder="1"/>
    <xf numFmtId="2" fontId="1" fillId="0" borderId="13" xfId="0" applyNumberFormat="1" applyFont="1" applyBorder="1"/>
    <xf numFmtId="3" fontId="1" fillId="0" borderId="13" xfId="0" applyNumberFormat="1" applyFont="1" applyBorder="1"/>
    <xf numFmtId="168" fontId="1" fillId="0" borderId="13" xfId="0" applyNumberFormat="1" applyFont="1" applyBorder="1"/>
    <xf numFmtId="169" fontId="1" fillId="0" borderId="13" xfId="0" applyNumberFormat="1" applyFont="1" applyBorder="1"/>
    <xf numFmtId="2" fontId="1" fillId="10" borderId="18" xfId="0" applyNumberFormat="1" applyFont="1" applyFill="1" applyBorder="1"/>
    <xf numFmtId="2" fontId="1" fillId="12" borderId="18" xfId="0" applyNumberFormat="1" applyFont="1" applyFill="1" applyBorder="1"/>
    <xf numFmtId="2" fontId="1" fillId="12" borderId="17" xfId="0" applyNumberFormat="1" applyFont="1" applyFill="1" applyBorder="1"/>
    <xf numFmtId="2" fontId="1" fillId="12" borderId="12" xfId="0" applyNumberFormat="1" applyFont="1" applyFill="1" applyBorder="1"/>
    <xf numFmtId="2" fontId="1" fillId="12" borderId="16" xfId="0" applyNumberFormat="1" applyFont="1" applyFill="1" applyBorder="1"/>
    <xf numFmtId="2" fontId="1" fillId="12" borderId="9" xfId="0" applyNumberFormat="1" applyFont="1" applyFill="1" applyBorder="1"/>
    <xf numFmtId="0" fontId="6" fillId="0" borderId="0" xfId="0" pivotButton="1" applyFont="1"/>
    <xf numFmtId="168" fontId="1" fillId="0" borderId="9" xfId="0" applyNumberFormat="1" applyFont="1" applyBorder="1" applyAlignment="1">
      <alignment horizontal="center" vertical="center"/>
    </xf>
    <xf numFmtId="168" fontId="1" fillId="0" borderId="14" xfId="0" applyNumberFormat="1" applyFont="1" applyBorder="1" applyAlignment="1">
      <alignment horizontal="center" vertical="center"/>
    </xf>
    <xf numFmtId="2" fontId="1" fillId="10" borderId="9" xfId="0" applyNumberFormat="1" applyFont="1" applyFill="1" applyBorder="1" applyAlignment="1">
      <alignment horizontal="center" vertical="center"/>
    </xf>
    <xf numFmtId="2" fontId="1" fillId="10" borderId="14" xfId="0" applyNumberFormat="1" applyFont="1" applyFill="1" applyBorder="1" applyAlignment="1">
      <alignment horizontal="center" vertical="center"/>
    </xf>
    <xf numFmtId="2" fontId="1" fillId="12" borderId="9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2" fontId="1" fillId="12" borderId="14" xfId="0" applyNumberFormat="1" applyFont="1" applyFill="1" applyBorder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 vertical="center"/>
    </xf>
    <xf numFmtId="168" fontId="1" fillId="10" borderId="9" xfId="0" applyNumberFormat="1" applyFont="1" applyFill="1" applyBorder="1" applyAlignment="1">
      <alignment horizontal="center" vertical="center"/>
    </xf>
    <xf numFmtId="168" fontId="1" fillId="10" borderId="15" xfId="0" applyNumberFormat="1" applyFont="1" applyFill="1" applyBorder="1" applyAlignment="1">
      <alignment horizontal="center" vertical="center"/>
    </xf>
    <xf numFmtId="168" fontId="1" fillId="10" borderId="14" xfId="0" applyNumberFormat="1" applyFont="1" applyFill="1" applyBorder="1" applyAlignment="1">
      <alignment horizontal="center" vertical="center"/>
    </xf>
    <xf numFmtId="168" fontId="1" fillId="0" borderId="15" xfId="0" applyNumberFormat="1" applyFont="1" applyBorder="1" applyAlignment="1">
      <alignment horizontal="center" vertical="center"/>
    </xf>
    <xf numFmtId="0" fontId="5" fillId="7" borderId="0" xfId="0" applyFont="1" applyFill="1"/>
    <xf numFmtId="0" fontId="3" fillId="2" borderId="0" xfId="0" applyFont="1" applyFill="1"/>
    <xf numFmtId="0" fontId="3" fillId="3" borderId="0" xfId="0" applyFont="1" applyFill="1"/>
    <xf numFmtId="0" fontId="0" fillId="0" borderId="0" xfId="0"/>
    <xf numFmtId="0" fontId="3" fillId="4" borderId="1" xfId="0" applyFont="1" applyFill="1" applyBorder="1"/>
    <xf numFmtId="0" fontId="0" fillId="0" borderId="1" xfId="0" applyBorder="1"/>
    <xf numFmtId="0" fontId="3" fillId="6" borderId="1" xfId="0" applyFont="1" applyFill="1" applyBorder="1"/>
    <xf numFmtId="0" fontId="3" fillId="3" borderId="1" xfId="0" applyFont="1" applyFill="1" applyBorder="1"/>
    <xf numFmtId="0" fontId="3" fillId="6" borderId="0" xfId="0" applyFont="1" applyFill="1"/>
    <xf numFmtId="0" fontId="3" fillId="4" borderId="0" xfId="0" applyFont="1" applyFill="1"/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location.xlsx" TargetMode="External"/><Relationship Id="rId1" Type="http://schemas.openxmlformats.org/officeDocument/2006/relationships/externalLinkPath" Target="lo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vehicle_details.xlsx" TargetMode="External"/><Relationship Id="rId1" Type="http://schemas.openxmlformats.org/officeDocument/2006/relationships/externalLinkPath" Target="vehicle_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vehicle_mileage.xlsx" TargetMode="External"/><Relationship Id="rId1" Type="http://schemas.openxmlformats.org/officeDocument/2006/relationships/externalLinkPath" Target="vehicle_mileag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data-resources\maintenance.xlsx" TargetMode="External"/><Relationship Id="rId1" Type="http://schemas.openxmlformats.org/officeDocument/2006/relationships/externalLinkPath" Target="maintenan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vehicle_details.xlsx" TargetMode="External"/><Relationship Id="rId1" Type="http://schemas.openxmlformats.org/officeDocument/2006/relationships/externalLinkPath" Target="file:///E:\vehicle_detail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DHAR\Documents\Addressing%20Payment%20Issues%20of%20Delivery%20Partners\Payouts.xlsx" TargetMode="External"/><Relationship Id="rId1" Type="http://schemas.openxmlformats.org/officeDocument/2006/relationships/externalLinkPath" Target="Payo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cation"/>
    </sheetNames>
    <sheetDataSet>
      <sheetData sheetId="0">
        <row r="2">
          <cell r="A2">
            <v>113</v>
          </cell>
          <cell r="B2" t="str">
            <v>Ahmedabad Branch</v>
          </cell>
          <cell r="C2" t="str">
            <v>AMD</v>
          </cell>
          <cell r="D2" t="str">
            <v>Ahmedabad</v>
          </cell>
        </row>
        <row r="3">
          <cell r="A3">
            <v>117</v>
          </cell>
          <cell r="B3" t="str">
            <v>Jamnager</v>
          </cell>
          <cell r="C3" t="str">
            <v>AMD</v>
          </cell>
          <cell r="D3" t="str">
            <v>Ahmedabad</v>
          </cell>
        </row>
        <row r="4">
          <cell r="A4">
            <v>226</v>
          </cell>
          <cell r="B4" t="str">
            <v>Ludhiana</v>
          </cell>
          <cell r="C4" t="str">
            <v>AMB</v>
          </cell>
          <cell r="D4" t="str">
            <v>Ambala</v>
          </cell>
        </row>
        <row r="5">
          <cell r="A5">
            <v>228</v>
          </cell>
          <cell r="B5" t="str">
            <v>Mysore 2</v>
          </cell>
          <cell r="C5" t="str">
            <v>BLR</v>
          </cell>
          <cell r="D5" t="str">
            <v>Bangalore</v>
          </cell>
        </row>
        <row r="6">
          <cell r="A6">
            <v>229</v>
          </cell>
          <cell r="B6" t="str">
            <v>Pondichery</v>
          </cell>
          <cell r="C6" t="str">
            <v>MAA</v>
          </cell>
          <cell r="D6" t="str">
            <v>Chennai</v>
          </cell>
        </row>
        <row r="7">
          <cell r="A7">
            <v>230</v>
          </cell>
          <cell r="B7" t="str">
            <v>Bhiwani</v>
          </cell>
          <cell r="C7" t="str">
            <v>DEL</v>
          </cell>
          <cell r="D7" t="str">
            <v>Delhi</v>
          </cell>
        </row>
        <row r="8">
          <cell r="A8">
            <v>231</v>
          </cell>
          <cell r="B8" t="str">
            <v>Laxmi Nager</v>
          </cell>
          <cell r="C8" t="str">
            <v>DEL</v>
          </cell>
          <cell r="D8" t="str">
            <v>Delhi</v>
          </cell>
        </row>
        <row r="9">
          <cell r="A9">
            <v>232</v>
          </cell>
          <cell r="B9" t="str">
            <v>Main Road Branch</v>
          </cell>
          <cell r="C9" t="str">
            <v>HYD</v>
          </cell>
          <cell r="D9" t="str">
            <v>Hyderabad</v>
          </cell>
        </row>
        <row r="10">
          <cell r="A10">
            <v>233</v>
          </cell>
          <cell r="B10" t="str">
            <v>Raipur Main</v>
          </cell>
          <cell r="C10" t="str">
            <v>NAG</v>
          </cell>
          <cell r="D10" t="str">
            <v>Nagpur</v>
          </cell>
        </row>
        <row r="11">
          <cell r="A11">
            <v>234</v>
          </cell>
          <cell r="B11" t="str">
            <v>Worli East</v>
          </cell>
          <cell r="C11" t="str">
            <v>BOM</v>
          </cell>
          <cell r="D11" t="str">
            <v>Mumbai</v>
          </cell>
        </row>
        <row r="12">
          <cell r="A12">
            <v>121</v>
          </cell>
          <cell r="B12" t="str">
            <v>Rajkot</v>
          </cell>
          <cell r="C12" t="str">
            <v>AMD</v>
          </cell>
          <cell r="D12" t="str">
            <v>Ahmedabad</v>
          </cell>
        </row>
        <row r="13">
          <cell r="A13">
            <v>237</v>
          </cell>
          <cell r="B13" t="str">
            <v>Hyderabad</v>
          </cell>
          <cell r="C13" t="str">
            <v>HYD</v>
          </cell>
          <cell r="D13" t="str">
            <v>Hyderabad</v>
          </cell>
        </row>
        <row r="14">
          <cell r="A14">
            <v>239</v>
          </cell>
          <cell r="B14" t="str">
            <v>Madurai</v>
          </cell>
          <cell r="C14" t="str">
            <v>CJB</v>
          </cell>
          <cell r="D14" t="str">
            <v>Coimbatore</v>
          </cell>
        </row>
        <row r="15">
          <cell r="A15">
            <v>119</v>
          </cell>
          <cell r="B15" t="str">
            <v>Ahmmedabad City</v>
          </cell>
          <cell r="C15" t="str">
            <v>AMD</v>
          </cell>
          <cell r="D15" t="str">
            <v>Ahmedabad</v>
          </cell>
        </row>
        <row r="16">
          <cell r="A16">
            <v>112</v>
          </cell>
          <cell r="B16" t="str">
            <v>Vapi</v>
          </cell>
          <cell r="C16" t="str">
            <v>AMD</v>
          </cell>
          <cell r="D16" t="str">
            <v>Ahmedabad</v>
          </cell>
        </row>
        <row r="17">
          <cell r="A17">
            <v>116</v>
          </cell>
          <cell r="B17" t="str">
            <v>Vadodara</v>
          </cell>
          <cell r="C17" t="str">
            <v>AMD</v>
          </cell>
          <cell r="D17" t="str">
            <v>Ahmedabad</v>
          </cell>
        </row>
        <row r="18">
          <cell r="A18">
            <v>118</v>
          </cell>
          <cell r="B18" t="str">
            <v>Surat</v>
          </cell>
          <cell r="C18" t="str">
            <v>AMD</v>
          </cell>
          <cell r="D18" t="str">
            <v>Ahmedabad</v>
          </cell>
        </row>
        <row r="19">
          <cell r="A19">
            <v>240</v>
          </cell>
          <cell r="B19" t="str">
            <v>Vellore</v>
          </cell>
          <cell r="C19" t="str">
            <v>MAA</v>
          </cell>
          <cell r="D19" t="str">
            <v>Chennai</v>
          </cell>
        </row>
        <row r="20">
          <cell r="A20">
            <v>120</v>
          </cell>
          <cell r="B20" t="str">
            <v>Sanand</v>
          </cell>
          <cell r="C20" t="str">
            <v>AMD</v>
          </cell>
          <cell r="D20" t="str">
            <v>Ahmedabad</v>
          </cell>
        </row>
        <row r="21">
          <cell r="A21">
            <v>123</v>
          </cell>
          <cell r="B21" t="str">
            <v>Amreli</v>
          </cell>
          <cell r="C21" t="str">
            <v>AMD</v>
          </cell>
          <cell r="D21" t="str">
            <v>Ahmedabad</v>
          </cell>
        </row>
        <row r="22">
          <cell r="A22">
            <v>241</v>
          </cell>
          <cell r="B22" t="str">
            <v>Panwell Main</v>
          </cell>
          <cell r="C22" t="str">
            <v>BOM</v>
          </cell>
          <cell r="D22" t="str">
            <v>Mumbai</v>
          </cell>
        </row>
        <row r="23">
          <cell r="A23">
            <v>125</v>
          </cell>
          <cell r="B23" t="str">
            <v>Mehsana</v>
          </cell>
          <cell r="C23" t="str">
            <v>AMD</v>
          </cell>
          <cell r="D23" t="str">
            <v>Ahmedabad</v>
          </cell>
        </row>
        <row r="24">
          <cell r="A24">
            <v>122</v>
          </cell>
          <cell r="B24" t="str">
            <v>Bhavnager</v>
          </cell>
          <cell r="C24" t="str">
            <v>AMD</v>
          </cell>
          <cell r="D24" t="str">
            <v>Ahmedabad</v>
          </cell>
        </row>
        <row r="25">
          <cell r="A25">
            <v>244</v>
          </cell>
          <cell r="B25" t="str">
            <v>Chakan Branch</v>
          </cell>
          <cell r="C25" t="str">
            <v>PNQ</v>
          </cell>
          <cell r="D25" t="str">
            <v>Pune</v>
          </cell>
        </row>
        <row r="26">
          <cell r="A26">
            <v>115</v>
          </cell>
          <cell r="B26" t="str">
            <v>Rampura Branch</v>
          </cell>
          <cell r="C26" t="str">
            <v>AMD</v>
          </cell>
          <cell r="D26" t="str">
            <v>Ahmedabad</v>
          </cell>
        </row>
        <row r="27">
          <cell r="A27">
            <v>251</v>
          </cell>
          <cell r="B27" t="str">
            <v>Gautam Nager</v>
          </cell>
          <cell r="C27" t="str">
            <v>NOI</v>
          </cell>
          <cell r="D27" t="str">
            <v>Noida</v>
          </cell>
        </row>
        <row r="28">
          <cell r="A28">
            <v>124</v>
          </cell>
          <cell r="B28" t="str">
            <v>Junagarh</v>
          </cell>
          <cell r="C28" t="str">
            <v>AMD</v>
          </cell>
          <cell r="D28" t="str">
            <v>Ahmedabad</v>
          </cell>
        </row>
        <row r="29">
          <cell r="A29">
            <v>114</v>
          </cell>
          <cell r="B29" t="str">
            <v>Gandhi Nager</v>
          </cell>
          <cell r="C29" t="str">
            <v>AMD</v>
          </cell>
          <cell r="D29" t="str">
            <v>Ahmedabad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C2">
            <v>0.75</v>
          </cell>
        </row>
        <row r="3">
          <cell r="A3">
            <v>71232</v>
          </cell>
          <cell r="B3" t="str">
            <v>Pickup</v>
          </cell>
          <cell r="C3">
            <v>1.5</v>
          </cell>
        </row>
        <row r="4">
          <cell r="A4">
            <v>71233</v>
          </cell>
          <cell r="B4" t="str">
            <v>Tata 407</v>
          </cell>
          <cell r="C4">
            <v>3.5</v>
          </cell>
        </row>
        <row r="5">
          <cell r="A5">
            <v>71234</v>
          </cell>
          <cell r="B5" t="str">
            <v>Eicher 14</v>
          </cell>
          <cell r="C5">
            <v>2.5</v>
          </cell>
        </row>
        <row r="6">
          <cell r="A6">
            <v>71235</v>
          </cell>
          <cell r="B6" t="str">
            <v>Eicher 17</v>
          </cell>
          <cell r="C6">
            <v>4.5</v>
          </cell>
        </row>
        <row r="7">
          <cell r="A7">
            <v>71236</v>
          </cell>
          <cell r="B7" t="str">
            <v>Eicher 19</v>
          </cell>
          <cell r="C7">
            <v>6.5</v>
          </cell>
        </row>
        <row r="8">
          <cell r="A8">
            <v>71237</v>
          </cell>
          <cell r="B8" t="str">
            <v>22 Ft</v>
          </cell>
          <cell r="C8">
            <v>6.8</v>
          </cell>
        </row>
        <row r="9">
          <cell r="A9">
            <v>71238</v>
          </cell>
          <cell r="B9" t="str">
            <v>Eicher 20</v>
          </cell>
          <cell r="C9">
            <v>6.5</v>
          </cell>
        </row>
        <row r="10">
          <cell r="A10">
            <v>71239</v>
          </cell>
          <cell r="B10" t="str">
            <v>Eicher 32 ft</v>
          </cell>
          <cell r="C10">
            <v>8</v>
          </cell>
        </row>
        <row r="11">
          <cell r="A11">
            <v>71240</v>
          </cell>
          <cell r="B11" t="str">
            <v>3wheeler</v>
          </cell>
          <cell r="C11">
            <v>0.8</v>
          </cell>
        </row>
        <row r="12">
          <cell r="A12">
            <v>71241</v>
          </cell>
          <cell r="B12" t="str">
            <v>Tata 909</v>
          </cell>
          <cell r="C12">
            <v>6.8</v>
          </cell>
        </row>
        <row r="13">
          <cell r="A13">
            <v>71242</v>
          </cell>
          <cell r="B13" t="str">
            <v>Tata 1109</v>
          </cell>
          <cell r="C13">
            <v>7.5</v>
          </cell>
        </row>
        <row r="14">
          <cell r="A14">
            <v>71243</v>
          </cell>
          <cell r="B14" t="str">
            <v>Mahindra</v>
          </cell>
          <cell r="C14">
            <v>1.5</v>
          </cell>
        </row>
        <row r="15">
          <cell r="A15">
            <v>71244</v>
          </cell>
          <cell r="B15" t="str">
            <v>Champion</v>
          </cell>
          <cell r="C15">
            <v>0.75</v>
          </cell>
        </row>
        <row r="16">
          <cell r="A16">
            <v>71245</v>
          </cell>
          <cell r="B16" t="str">
            <v>Trump Forec</v>
          </cell>
          <cell r="C16">
            <v>1</v>
          </cell>
        </row>
        <row r="17">
          <cell r="A17">
            <v>71246</v>
          </cell>
          <cell r="B17" t="str">
            <v>Super ace</v>
          </cell>
          <cell r="C17">
            <v>1.2</v>
          </cell>
        </row>
        <row r="18">
          <cell r="A18">
            <v>71247</v>
          </cell>
          <cell r="B18" t="str">
            <v>Cargo king</v>
          </cell>
          <cell r="C18">
            <v>2.5</v>
          </cell>
        </row>
        <row r="19">
          <cell r="A19">
            <v>71248</v>
          </cell>
          <cell r="B19" t="str">
            <v>24 FT</v>
          </cell>
          <cell r="C19">
            <v>7.5</v>
          </cell>
        </row>
        <row r="20">
          <cell r="A20">
            <v>71249</v>
          </cell>
          <cell r="B20" t="str">
            <v>AL Dost</v>
          </cell>
          <cell r="C20">
            <v>1.25</v>
          </cell>
        </row>
        <row r="21">
          <cell r="A21">
            <v>71250</v>
          </cell>
          <cell r="B21" t="str">
            <v>Taurus</v>
          </cell>
          <cell r="C21">
            <v>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mileage"/>
    </sheetNames>
    <sheetDataSet>
      <sheetData sheetId="0">
        <row r="2">
          <cell r="A2" t="str">
            <v>22 Ft</v>
          </cell>
          <cell r="C2">
            <v>6</v>
          </cell>
        </row>
        <row r="3">
          <cell r="A3" t="str">
            <v>24 FT</v>
          </cell>
          <cell r="C3">
            <v>4</v>
          </cell>
        </row>
        <row r="4">
          <cell r="A4" t="str">
            <v>3wheeler</v>
          </cell>
          <cell r="C4">
            <v>10</v>
          </cell>
        </row>
        <row r="5">
          <cell r="A5" t="str">
            <v>AL Dost</v>
          </cell>
          <cell r="C5">
            <v>12</v>
          </cell>
        </row>
        <row r="6">
          <cell r="A6" t="str">
            <v>Cargo king</v>
          </cell>
          <cell r="C6">
            <v>10</v>
          </cell>
        </row>
        <row r="7">
          <cell r="A7" t="str">
            <v>Champion</v>
          </cell>
          <cell r="C7">
            <v>10</v>
          </cell>
        </row>
        <row r="8">
          <cell r="A8" t="str">
            <v>Eicher 14</v>
          </cell>
          <cell r="C8">
            <v>8</v>
          </cell>
        </row>
        <row r="9">
          <cell r="A9" t="str">
            <v>Eicher 17</v>
          </cell>
          <cell r="C9">
            <v>7</v>
          </cell>
        </row>
        <row r="10">
          <cell r="A10" t="str">
            <v>Eicher 19</v>
          </cell>
          <cell r="C10">
            <v>7</v>
          </cell>
        </row>
        <row r="11">
          <cell r="A11" t="str">
            <v>Eicher 20</v>
          </cell>
          <cell r="C11">
            <v>6</v>
          </cell>
        </row>
        <row r="12">
          <cell r="A12" t="str">
            <v>Eicher 32 ft</v>
          </cell>
          <cell r="C12">
            <v>3</v>
          </cell>
        </row>
        <row r="13">
          <cell r="A13" t="str">
            <v>Mahindra</v>
          </cell>
          <cell r="C13">
            <v>12</v>
          </cell>
        </row>
        <row r="14">
          <cell r="A14" t="str">
            <v>Pickup</v>
          </cell>
          <cell r="C14">
            <v>12</v>
          </cell>
        </row>
        <row r="15">
          <cell r="A15" t="str">
            <v>Super ace</v>
          </cell>
          <cell r="C15">
            <v>15</v>
          </cell>
        </row>
        <row r="16">
          <cell r="A16" t="str">
            <v>Tata 1109</v>
          </cell>
          <cell r="C16">
            <v>6</v>
          </cell>
        </row>
        <row r="17">
          <cell r="A17" t="str">
            <v>Tata 407</v>
          </cell>
          <cell r="C17">
            <v>9</v>
          </cell>
        </row>
        <row r="18">
          <cell r="A18" t="str">
            <v>Tata 909</v>
          </cell>
          <cell r="C18">
            <v>7</v>
          </cell>
        </row>
        <row r="19">
          <cell r="A19" t="str">
            <v>Tata Ace</v>
          </cell>
          <cell r="C19">
            <v>14</v>
          </cell>
        </row>
        <row r="20">
          <cell r="A20" t="str">
            <v>Taurus</v>
          </cell>
          <cell r="C20">
            <v>6</v>
          </cell>
        </row>
        <row r="21">
          <cell r="A21" t="str">
            <v>Trump Forec</v>
          </cell>
          <cell r="C21">
            <v>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tenance"/>
    </sheetNames>
    <sheetDataSet>
      <sheetData sheetId="0">
        <row r="2">
          <cell r="A2" t="str">
            <v>Tata Ace</v>
          </cell>
          <cell r="E2">
            <v>2194.2857142857142</v>
          </cell>
        </row>
        <row r="3">
          <cell r="A3" t="str">
            <v>Pickup</v>
          </cell>
          <cell r="E3">
            <v>2213.3333333333335</v>
          </cell>
        </row>
        <row r="4">
          <cell r="A4" t="str">
            <v>3wheeler</v>
          </cell>
          <cell r="E4">
            <v>2240</v>
          </cell>
        </row>
        <row r="5">
          <cell r="A5" t="str">
            <v>Mahindra</v>
          </cell>
          <cell r="E5">
            <v>2213.3333333333335</v>
          </cell>
        </row>
        <row r="6">
          <cell r="A6" t="str">
            <v>Champion</v>
          </cell>
          <cell r="E6">
            <v>2240</v>
          </cell>
        </row>
        <row r="7">
          <cell r="A7" t="str">
            <v>Trump Forec</v>
          </cell>
          <cell r="E7">
            <v>2186.6666666666665</v>
          </cell>
        </row>
        <row r="8">
          <cell r="A8" t="str">
            <v>Super ace</v>
          </cell>
          <cell r="E8">
            <v>2186.6666666666665</v>
          </cell>
        </row>
        <row r="9">
          <cell r="A9" t="str">
            <v>AL Dost</v>
          </cell>
          <cell r="E9">
            <v>2213.3333333333335</v>
          </cell>
        </row>
        <row r="10">
          <cell r="A10" t="str">
            <v>Tata 407</v>
          </cell>
          <cell r="E10">
            <v>2257.7777777777778</v>
          </cell>
        </row>
        <row r="11">
          <cell r="A11" t="str">
            <v>Eicher 20</v>
          </cell>
          <cell r="E11">
            <v>2346.666666666667</v>
          </cell>
        </row>
        <row r="12">
          <cell r="A12" t="str">
            <v>Eicher 14</v>
          </cell>
          <cell r="E12">
            <v>2280</v>
          </cell>
        </row>
        <row r="13">
          <cell r="A13" t="str">
            <v>Cargo king</v>
          </cell>
          <cell r="E13">
            <v>2240</v>
          </cell>
        </row>
        <row r="14">
          <cell r="A14" t="str">
            <v>24 FT</v>
          </cell>
          <cell r="E14">
            <v>2480</v>
          </cell>
        </row>
        <row r="15">
          <cell r="A15" t="str">
            <v>22 ft</v>
          </cell>
          <cell r="E15">
            <v>2346.666666666667</v>
          </cell>
        </row>
        <row r="16">
          <cell r="A16" t="str">
            <v>Eicher 17</v>
          </cell>
          <cell r="E16">
            <v>2308.5714285714284</v>
          </cell>
        </row>
        <row r="17">
          <cell r="A17" t="str">
            <v>Eicher 19</v>
          </cell>
          <cell r="E17">
            <v>2308.5714285714284</v>
          </cell>
        </row>
        <row r="18">
          <cell r="A18" t="str">
            <v>Tata 909</v>
          </cell>
          <cell r="E18">
            <v>2308.5714285714284</v>
          </cell>
        </row>
        <row r="19">
          <cell r="A19" t="str">
            <v>Eicher 32 ft</v>
          </cell>
          <cell r="E19">
            <v>2613.3333333333335</v>
          </cell>
        </row>
        <row r="20">
          <cell r="A20" t="str">
            <v>Tata 1109</v>
          </cell>
          <cell r="E20">
            <v>2346.666666666667</v>
          </cell>
        </row>
        <row r="21">
          <cell r="A21" t="str">
            <v>Taurus</v>
          </cell>
          <cell r="E21">
            <v>2346.666666666667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_details"/>
    </sheetNames>
    <sheetDataSet>
      <sheetData sheetId="0">
        <row r="2">
          <cell r="A2">
            <v>71231</v>
          </cell>
          <cell r="B2" t="str">
            <v>Tata Ace</v>
          </cell>
          <cell r="H2">
            <v>321440</v>
          </cell>
        </row>
        <row r="3">
          <cell r="A3">
            <v>71232</v>
          </cell>
          <cell r="B3" t="str">
            <v>Pickup</v>
          </cell>
          <cell r="H3">
            <v>521680</v>
          </cell>
        </row>
        <row r="4">
          <cell r="A4">
            <v>71233</v>
          </cell>
          <cell r="B4" t="str">
            <v>Tata 407</v>
          </cell>
          <cell r="H4">
            <v>482000</v>
          </cell>
        </row>
        <row r="5">
          <cell r="A5">
            <v>71234</v>
          </cell>
          <cell r="B5" t="str">
            <v>Eicher 14</v>
          </cell>
          <cell r="H5">
            <v>603200</v>
          </cell>
        </row>
        <row r="6">
          <cell r="A6">
            <v>71235</v>
          </cell>
          <cell r="B6" t="str">
            <v>Eicher 17</v>
          </cell>
          <cell r="H6">
            <v>924000</v>
          </cell>
        </row>
        <row r="7">
          <cell r="A7">
            <v>71236</v>
          </cell>
          <cell r="B7" t="str">
            <v>Eicher 19</v>
          </cell>
          <cell r="H7">
            <v>924000</v>
          </cell>
        </row>
        <row r="8">
          <cell r="A8">
            <v>71237</v>
          </cell>
          <cell r="B8" t="str">
            <v>22 Ft</v>
          </cell>
          <cell r="H8">
            <v>1124000</v>
          </cell>
        </row>
        <row r="9">
          <cell r="A9">
            <v>71238</v>
          </cell>
          <cell r="B9" t="str">
            <v>Eicher 20</v>
          </cell>
          <cell r="H9">
            <v>1003600</v>
          </cell>
        </row>
        <row r="10">
          <cell r="A10">
            <v>71239</v>
          </cell>
          <cell r="B10" t="str">
            <v>Eicher 32 ft</v>
          </cell>
          <cell r="H10">
            <v>1164800</v>
          </cell>
        </row>
        <row r="11">
          <cell r="A11">
            <v>71240</v>
          </cell>
          <cell r="B11" t="str">
            <v>3wheeler</v>
          </cell>
          <cell r="H11">
            <v>201600</v>
          </cell>
        </row>
        <row r="12">
          <cell r="A12">
            <v>71241</v>
          </cell>
          <cell r="B12" t="str">
            <v>Tata 909</v>
          </cell>
          <cell r="H12">
            <v>964000</v>
          </cell>
        </row>
        <row r="13">
          <cell r="A13">
            <v>71242</v>
          </cell>
          <cell r="B13" t="str">
            <v>Tata 1109</v>
          </cell>
          <cell r="H13">
            <v>1124800</v>
          </cell>
        </row>
        <row r="14">
          <cell r="A14">
            <v>71243</v>
          </cell>
          <cell r="B14" t="str">
            <v>Mahindra</v>
          </cell>
          <cell r="H14">
            <v>601600</v>
          </cell>
        </row>
        <row r="15">
          <cell r="A15">
            <v>71244</v>
          </cell>
          <cell r="B15" t="str">
            <v>Champion</v>
          </cell>
          <cell r="H15">
            <v>241600</v>
          </cell>
        </row>
        <row r="16">
          <cell r="A16">
            <v>71245</v>
          </cell>
          <cell r="B16" t="str">
            <v>Trump Forec</v>
          </cell>
          <cell r="H16">
            <v>361600</v>
          </cell>
        </row>
        <row r="17">
          <cell r="A17">
            <v>71246</v>
          </cell>
          <cell r="B17" t="str">
            <v>Super ace</v>
          </cell>
          <cell r="H17">
            <v>441600</v>
          </cell>
        </row>
        <row r="18">
          <cell r="A18">
            <v>71247</v>
          </cell>
          <cell r="B18" t="str">
            <v>Cargo king</v>
          </cell>
          <cell r="H18">
            <v>563200</v>
          </cell>
        </row>
        <row r="19">
          <cell r="A19">
            <v>71248</v>
          </cell>
          <cell r="B19" t="str">
            <v>24 FT</v>
          </cell>
          <cell r="H19">
            <v>963200</v>
          </cell>
        </row>
        <row r="20">
          <cell r="A20">
            <v>71249</v>
          </cell>
          <cell r="B20" t="str">
            <v>AL Dost</v>
          </cell>
          <cell r="H20">
            <v>401600</v>
          </cell>
        </row>
        <row r="21">
          <cell r="A21">
            <v>71250</v>
          </cell>
          <cell r="B21" t="str">
            <v>Taurus</v>
          </cell>
          <cell r="H21">
            <v>1604800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outs"/>
    </sheetNames>
    <sheetDataSet>
      <sheetData sheetId="0">
        <row r="4">
          <cell r="A4">
            <v>1022</v>
          </cell>
          <cell r="G4">
            <v>52969.6729520628</v>
          </cell>
          <cell r="I4">
            <v>175602.3270479372</v>
          </cell>
        </row>
        <row r="5">
          <cell r="A5">
            <v>1057</v>
          </cell>
          <cell r="G5">
            <v>74547.195842822126</v>
          </cell>
          <cell r="I5">
            <v>-7281.195842822126</v>
          </cell>
        </row>
        <row r="6">
          <cell r="A6">
            <v>1061</v>
          </cell>
          <cell r="G6">
            <v>42423.237176473616</v>
          </cell>
          <cell r="I6">
            <v>67121.762823526384</v>
          </cell>
        </row>
        <row r="7">
          <cell r="A7">
            <v>1070</v>
          </cell>
          <cell r="G7">
            <v>76680</v>
          </cell>
          <cell r="I7">
            <v>68588</v>
          </cell>
        </row>
        <row r="8">
          <cell r="A8">
            <v>1107</v>
          </cell>
          <cell r="G8">
            <v>124872.06135062892</v>
          </cell>
          <cell r="I8">
            <v>-87416.061350628908</v>
          </cell>
        </row>
        <row r="9">
          <cell r="A9">
            <v>1104</v>
          </cell>
          <cell r="G9">
            <v>22095.650641697994</v>
          </cell>
          <cell r="I9">
            <v>-31497.650641697997</v>
          </cell>
        </row>
        <row r="10">
          <cell r="A10">
            <v>1105</v>
          </cell>
          <cell r="G10">
            <v>47242.218585677561</v>
          </cell>
          <cell r="I10">
            <v>-23159.218585677561</v>
          </cell>
        </row>
        <row r="11">
          <cell r="A11">
            <v>1143</v>
          </cell>
          <cell r="G11">
            <v>18765.714285714286</v>
          </cell>
          <cell r="I11">
            <v>96271.28571428571</v>
          </cell>
        </row>
        <row r="12">
          <cell r="A12">
            <v>1146</v>
          </cell>
          <cell r="G12">
            <v>27102.857142857141</v>
          </cell>
          <cell r="I12">
            <v>11384.142857142855</v>
          </cell>
        </row>
        <row r="13">
          <cell r="A13">
            <v>1203</v>
          </cell>
          <cell r="G13">
            <v>46813.333333333336</v>
          </cell>
          <cell r="I13">
            <v>-45223.333333333343</v>
          </cell>
        </row>
        <row r="14">
          <cell r="A14">
            <v>1229</v>
          </cell>
          <cell r="G14">
            <v>10422.857142857143</v>
          </cell>
          <cell r="I14">
            <v>204323.14285714284</v>
          </cell>
        </row>
        <row r="15">
          <cell r="A15">
            <v>1217</v>
          </cell>
          <cell r="G15">
            <v>11813.333333333334</v>
          </cell>
          <cell r="I15">
            <v>29939.666666666664</v>
          </cell>
        </row>
        <row r="16">
          <cell r="A16">
            <v>1223</v>
          </cell>
          <cell r="G16">
            <v>75392.728473153984</v>
          </cell>
          <cell r="I16">
            <v>74821.271526846016</v>
          </cell>
        </row>
        <row r="17">
          <cell r="A17">
            <v>1209</v>
          </cell>
          <cell r="G17">
            <v>11813.333333333334</v>
          </cell>
          <cell r="I17">
            <v>-29437.333333333336</v>
          </cell>
        </row>
        <row r="18">
          <cell r="A18">
            <v>1237</v>
          </cell>
          <cell r="G18">
            <v>42423.237176473616</v>
          </cell>
          <cell r="I18">
            <v>-17437.237176473616</v>
          </cell>
        </row>
        <row r="19">
          <cell r="A19">
            <v>1240</v>
          </cell>
          <cell r="G19">
            <v>39029.659925412132</v>
          </cell>
          <cell r="I19">
            <v>-64747.659925412125</v>
          </cell>
        </row>
        <row r="20">
          <cell r="A20">
            <v>1259</v>
          </cell>
          <cell r="G20">
            <v>42423.237176473616</v>
          </cell>
          <cell r="I20">
            <v>-34482.237176473616</v>
          </cell>
        </row>
        <row r="21">
          <cell r="A21">
            <v>1275</v>
          </cell>
          <cell r="G21">
            <v>18652.807530309175</v>
          </cell>
          <cell r="I21">
            <v>-54640.807530309175</v>
          </cell>
        </row>
        <row r="22">
          <cell r="A22">
            <v>1289</v>
          </cell>
          <cell r="G22">
            <v>18765.714285714286</v>
          </cell>
          <cell r="I22">
            <v>74394.28571428571</v>
          </cell>
        </row>
        <row r="23">
          <cell r="A23">
            <v>1299</v>
          </cell>
          <cell r="G23">
            <v>18652.807530309175</v>
          </cell>
          <cell r="I23">
            <v>-8434.8075303091755</v>
          </cell>
        </row>
        <row r="24">
          <cell r="A24">
            <v>1302</v>
          </cell>
          <cell r="G24">
            <v>18652.807530309175</v>
          </cell>
          <cell r="I24">
            <v>13680.192469690825</v>
          </cell>
        </row>
        <row r="25">
          <cell r="A25">
            <v>1296</v>
          </cell>
          <cell r="G25">
            <v>22095.650641697994</v>
          </cell>
          <cell r="I25">
            <v>-35915.650641697997</v>
          </cell>
        </row>
        <row r="26">
          <cell r="A26">
            <v>1298</v>
          </cell>
          <cell r="G26">
            <v>11813.333333333334</v>
          </cell>
          <cell r="I26">
            <v>14736.666666666664</v>
          </cell>
        </row>
        <row r="27">
          <cell r="A27">
            <v>1324</v>
          </cell>
          <cell r="G27">
            <v>18652.807530309175</v>
          </cell>
          <cell r="I27">
            <v>-18831.807530309175</v>
          </cell>
        </row>
        <row r="28">
          <cell r="A28">
            <v>1331</v>
          </cell>
          <cell r="G28">
            <v>23626.666666666668</v>
          </cell>
          <cell r="I28">
            <v>98.333333333328483</v>
          </cell>
        </row>
        <row r="29">
          <cell r="A29">
            <v>1330</v>
          </cell>
          <cell r="G29">
            <v>113462.47578116821</v>
          </cell>
          <cell r="I29">
            <v>-48337.475781168207</v>
          </cell>
        </row>
        <row r="30">
          <cell r="A30">
            <v>1332</v>
          </cell>
          <cell r="G30">
            <v>57155.916505030866</v>
          </cell>
          <cell r="I30">
            <v>-12217.916505030866</v>
          </cell>
        </row>
        <row r="31">
          <cell r="A31">
            <v>1335</v>
          </cell>
          <cell r="G31">
            <v>27216.326592078796</v>
          </cell>
          <cell r="I31">
            <v>21507.673407921204</v>
          </cell>
        </row>
        <row r="32">
          <cell r="A32">
            <v>1339</v>
          </cell>
          <cell r="G32">
            <v>18652.807530309175</v>
          </cell>
          <cell r="I32">
            <v>-25369.807530309175</v>
          </cell>
        </row>
        <row r="33">
          <cell r="A33">
            <v>1338</v>
          </cell>
          <cell r="G33">
            <v>27216.326592078796</v>
          </cell>
          <cell r="I33">
            <v>-20915.326592078796</v>
          </cell>
        </row>
        <row r="34">
          <cell r="A34">
            <v>1344</v>
          </cell>
          <cell r="G34">
            <v>10422.857142857143</v>
          </cell>
          <cell r="I34">
            <v>-29034.857142857145</v>
          </cell>
        </row>
        <row r="35">
          <cell r="A35">
            <v>1357</v>
          </cell>
          <cell r="G35">
            <v>10422.857142857143</v>
          </cell>
          <cell r="I35">
            <v>-22354.857142857145</v>
          </cell>
        </row>
        <row r="36">
          <cell r="A36">
            <v>1377</v>
          </cell>
          <cell r="G36">
            <v>27216.326592078796</v>
          </cell>
          <cell r="I36">
            <v>-5116.3265920787962</v>
          </cell>
        </row>
        <row r="37">
          <cell r="A37">
            <v>1334</v>
          </cell>
          <cell r="G37">
            <v>9866.6666666666661</v>
          </cell>
          <cell r="I37">
            <v>-18383.666666666664</v>
          </cell>
        </row>
        <row r="38">
          <cell r="A38">
            <v>1363</v>
          </cell>
          <cell r="G38">
            <v>27216.326592078796</v>
          </cell>
          <cell r="I38">
            <v>64054.673407921204</v>
          </cell>
        </row>
        <row r="39">
          <cell r="A39">
            <v>1336</v>
          </cell>
          <cell r="G39">
            <v>18652.807530309175</v>
          </cell>
          <cell r="I39">
            <v>65727.192469690825</v>
          </cell>
        </row>
        <row r="40">
          <cell r="A40">
            <v>1318</v>
          </cell>
          <cell r="G40">
            <v>10422.857142857143</v>
          </cell>
          <cell r="I40">
            <v>89061.142857142855</v>
          </cell>
        </row>
        <row r="41">
          <cell r="A41">
            <v>1075</v>
          </cell>
          <cell r="G41">
            <v>18652.807530309175</v>
          </cell>
          <cell r="I41">
            <v>123081.19246969082</v>
          </cell>
        </row>
        <row r="42">
          <cell r="A42">
            <v>1074</v>
          </cell>
          <cell r="G42">
            <v>9866.6666666666661</v>
          </cell>
          <cell r="I42">
            <v>77429.333333333343</v>
          </cell>
        </row>
        <row r="43">
          <cell r="A43">
            <v>1319</v>
          </cell>
          <cell r="G43">
            <v>22095.650641697994</v>
          </cell>
          <cell r="I43">
            <v>93865.349358302003</v>
          </cell>
        </row>
        <row r="44">
          <cell r="A44">
            <v>1342</v>
          </cell>
          <cell r="G44">
            <v>11813.333333333334</v>
          </cell>
          <cell r="I44">
            <v>-20115.333333333336</v>
          </cell>
        </row>
        <row r="45">
          <cell r="A45">
            <v>1317</v>
          </cell>
          <cell r="G45">
            <v>11813.333333333334</v>
          </cell>
          <cell r="I45">
            <v>-25889.333333333336</v>
          </cell>
        </row>
        <row r="46">
          <cell r="A46">
            <v>1364</v>
          </cell>
          <cell r="G46">
            <v>18652.807530309175</v>
          </cell>
          <cell r="I46">
            <v>-29778.807530309175</v>
          </cell>
        </row>
        <row r="47">
          <cell r="A47">
            <v>1327</v>
          </cell>
          <cell r="G47">
            <v>11813.333333333334</v>
          </cell>
          <cell r="I47">
            <v>-27214.333333333336</v>
          </cell>
        </row>
        <row r="48">
          <cell r="A48">
            <v>1042</v>
          </cell>
          <cell r="G48">
            <v>71236.190476190473</v>
          </cell>
          <cell r="I48">
            <v>-83449.190476190473</v>
          </cell>
        </row>
        <row r="49">
          <cell r="A49">
            <v>1031</v>
          </cell>
          <cell r="G49">
            <v>63765.714285714283</v>
          </cell>
          <cell r="I49">
            <v>-74394.71428571429</v>
          </cell>
        </row>
        <row r="50">
          <cell r="A50">
            <v>1328</v>
          </cell>
          <cell r="G50">
            <v>9866.6666666666661</v>
          </cell>
          <cell r="I50">
            <v>110070.33333333334</v>
          </cell>
        </row>
        <row r="51">
          <cell r="A51">
            <v>1329</v>
          </cell>
          <cell r="G51">
            <v>64313.333333333336</v>
          </cell>
          <cell r="I51">
            <v>-3452.333333333343</v>
          </cell>
        </row>
        <row r="52">
          <cell r="A52">
            <v>1367</v>
          </cell>
          <cell r="G52">
            <v>11813.333333333334</v>
          </cell>
          <cell r="I52">
            <v>-4376.3333333333358</v>
          </cell>
        </row>
        <row r="53">
          <cell r="A53">
            <v>1171</v>
          </cell>
          <cell r="G53">
            <v>22095.650641697994</v>
          </cell>
          <cell r="I53">
            <v>-32443.650641697997</v>
          </cell>
        </row>
        <row r="54">
          <cell r="A54">
            <v>1151</v>
          </cell>
          <cell r="G54">
            <v>84680</v>
          </cell>
          <cell r="I54">
            <v>-86386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 DHAR" refreshedDate="45494.826558449073" createdVersion="8" refreshedVersion="8" minRefreshableVersion="3" recordCount="66" xr:uid="{220CB9AF-F381-4007-9954-94ABC65D83DD}">
  <cacheSource type="worksheet">
    <worksheetSource ref="A4:AL70" sheet="Cost Sheet"/>
  </cacheSource>
  <cacheFields count="38">
    <cacheField name="bp_id" numFmtId="0">
      <sharedItems containsSemiMixedTypes="0" containsString="0" containsNumber="1" containsInteger="1" minValue="1022" maxValue="1377"/>
    </cacheField>
    <cacheField name="bp_code" numFmtId="0">
      <sharedItems/>
    </cacheField>
    <cacheField name="branch_id" numFmtId="0">
      <sharedItems containsSemiMixedTypes="0" containsString="0" containsNumber="1" containsInteger="1" minValue="112" maxValue="125"/>
    </cacheField>
    <cacheField name="BP name" numFmtId="0">
      <sharedItems/>
    </cacheField>
    <cacheField name="BP_Name" numFmtId="0">
      <sharedItems count="51">
        <s v="Agarwal Sugandha Amit"/>
        <s v="Amit Ramesh Agarwal"/>
        <s v="Ashish Saxena"/>
        <s v="Ashok Kumar"/>
        <s v="Belim Riyazuddin Mehboobbhai"/>
        <s v="Bharat Madhusing Lodha"/>
        <s v="Chauhan Navneet Kumar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Karan Mistry_Pickup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jesh Kumar Misra_Pickup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bp_joining_date" numFmtId="0">
      <sharedItems containsSemiMixedTypes="0" containsNonDate="0" containsDate="1" containsString="0" minDate="2016-10-24T00:00:00" maxDate="2018-08-31T00:00:00"/>
    </cacheField>
    <cacheField name="vehicle_type_id" numFmtId="0">
      <sharedItems containsSemiMixedTypes="0" containsString="0" containsNumber="1" containsInteger="1" minValue="71231" maxValue="71249"/>
    </cacheField>
    <cacheField name="ownership_type" numFmtId="0">
      <sharedItems/>
    </cacheField>
    <cacheField name="vehicle_purchase_year" numFmtId="0">
      <sharedItems containsSemiMixedTypes="0" containsString="0" containsNumber="1" containsInteger="1" minValue="2000" maxValue="2018"/>
    </cacheField>
    <cacheField name="Branch Name" numFmtId="0">
      <sharedItems count="14">
        <s v="Vapi"/>
        <s v="Ahmedabad Branch"/>
        <s v="Gandhi Nager"/>
        <s v="Rampura Branch"/>
        <s v="Vadodara"/>
        <s v="Jamnager"/>
        <s v="Surat"/>
        <s v="Ahmmedabad City"/>
        <s v="Sanand"/>
        <s v="Rajkot"/>
        <s v="Bhavnager"/>
        <s v="Amreli"/>
        <s v="Junagarh"/>
        <s v="Mehsana"/>
      </sharedItems>
    </cacheField>
    <cacheField name="Cluster Code" numFmtId="0">
      <sharedItems/>
    </cacheField>
    <cacheField name="City" numFmtId="0">
      <sharedItems/>
    </cacheField>
    <cacheField name="Vehicle Type" numFmtId="0">
      <sharedItems/>
    </cacheField>
    <cacheField name="Mileage (Km/l)" numFmtId="1">
      <sharedItems containsSemiMixedTypes="0" containsString="0" containsNumber="1" containsInteger="1" minValue="6" maxValue="15"/>
    </cacheField>
    <cacheField name="Fuel Consumed (l)" numFmtId="167">
      <sharedItems containsSemiMixedTypes="0" containsString="0" containsNumber="1" minValue="106.66666666666667" maxValue="266.66666666666669"/>
    </cacheField>
    <cacheField name="Fuel Cost (Rs.)" numFmtId="2">
      <sharedItems containsSemiMixedTypes="0" containsString="0" containsNumber="1" minValue="7680" maxValue="19200"/>
    </cacheField>
    <cacheField name="Maintenance (Rs.)" numFmtId="2">
      <sharedItems containsSemiMixedTypes="0" containsString="0" containsNumber="1" minValue="2186.6666666666665" maxValue="2346.666666666667"/>
    </cacheField>
    <cacheField name="Purchase Type" numFmtId="0">
      <sharedItems/>
    </cacheField>
    <cacheField name="Ownership Info" numFmtId="1">
      <sharedItems/>
    </cacheField>
    <cacheField name="EMI Duration (Years)" numFmtId="3">
      <sharedItems/>
    </cacheField>
    <cacheField name="NPER (months)" numFmtId="0">
      <sharedItems containsSemiMixedTypes="0" containsString="0" containsNumber="1" containsInteger="1" minValue="-1" maxValue="18"/>
    </cacheField>
    <cacheField name="Principal Amount (Rs.)" numFmtId="3">
      <sharedItems containsSemiMixedTypes="0" containsString="0" containsNumber="1" containsInteger="1" minValue="321440" maxValue="1124000"/>
    </cacheField>
    <cacheField name="EMI End Year" numFmtId="1">
      <sharedItems containsMixedTypes="1" containsNumber="1" containsInteger="1" minValue="2011" maxValue="2022"/>
    </cacheField>
    <cacheField name="EMI (Rs.)" numFmtId="3">
      <sharedItems containsSemiMixedTypes="0" containsString="0" containsNumber="1" minValue="0" maxValue="28778.198841140133"/>
    </cacheField>
    <cacheField name="Vehicle Capacity (tons)" numFmtId="0">
      <sharedItems containsSemiMixedTypes="0" containsString="0" containsNumber="1" minValue="0.75" maxValue="6.8"/>
    </cacheField>
    <cacheField name="Driver Salary (Rs.)" numFmtId="168">
      <sharedItems containsSemiMixedTypes="0" containsString="0" containsNumber="1" containsInteger="1" minValue="13000" maxValue="13000"/>
    </cacheField>
    <cacheField name="Loaders" numFmtId="0">
      <sharedItems containsSemiMixedTypes="0" containsString="0" containsNumber="1" containsInteger="1" minValue="1" maxValue="2"/>
    </cacheField>
    <cacheField name="Loader Salary (Rs.)" numFmtId="3">
      <sharedItems containsSemiMixedTypes="0" containsString="0" containsNumber="1" containsInteger="1" minValue="11900" maxValue="23800"/>
    </cacheField>
    <cacheField name="Manpower Cost (Rs.)" numFmtId="3">
      <sharedItems containsSemiMixedTypes="0" containsString="0" containsNumber="1" containsInteger="1" minValue="24900" maxValue="36800"/>
    </cacheField>
    <cacheField name="Column1" numFmtId="169">
      <sharedItems containsMixedTypes="1" containsNumber="1" containsInteger="1" minValue="0" maxValue="0"/>
    </cacheField>
    <cacheField name="Price (Market Owned)" numFmtId="2">
      <sharedItems containsSemiMixedTypes="0" containsString="0" containsNumber="1" containsInteger="1" minValue="0" maxValue="68000"/>
    </cacheField>
    <cacheField name="Vehicle Cost (Rs.)" numFmtId="2">
      <sharedItems containsSemiMixedTypes="0" containsString="0" containsNumber="1" minValue="9866.6666666666661" maxValue="84680"/>
    </cacheField>
    <cacheField name="Total Cost (Rs.)" numFmtId="2">
      <sharedItems containsSemiMixedTypes="0" containsString="0" containsNumber="1" minValue="34766.666666666664" maxValue="189480" count="22">
        <n v="73085.473922027159"/>
        <n v="45770.442583003707"/>
        <n v="173480"/>
        <n v="79223.237176473616"/>
        <n v="52116.326592078796"/>
        <n v="46995.650641697997"/>
        <n v="43552.807530309175"/>
        <n v="106713.33333333334"/>
        <n v="87124.865507806797"/>
        <n v="68923.95866634851"/>
        <n v="35322.857142857145"/>
        <n v="34766.666666666664"/>
        <n v="36713.333333333336"/>
        <n v="55565.71428571429"/>
        <n v="46073.119165107484"/>
        <n v="53480"/>
        <n v="134713.33333333334"/>
        <n v="145565.71428571429"/>
        <n v="141713.33333333334"/>
        <n v="50070.104482306633"/>
        <n v="84042.218585677561"/>
        <n v="189480"/>
      </sharedItems>
    </cacheField>
    <cacheField name="Total Cost of Vehicle (Rs.)" numFmtId="168">
      <sharedItems containsString="0" containsBlank="1" containsNumber="1" minValue="9866.6666666666661" maxValue="124872.06135062892" count="25">
        <n v="57155.916505030866"/>
        <m/>
        <n v="76680"/>
        <n v="42423.237176473616"/>
        <n v="27216.326592078796"/>
        <n v="22095.650641697994"/>
        <n v="18652.807530309175"/>
        <n v="46813.333333333336"/>
        <n v="124872.06135062892"/>
        <n v="10422.857142857143"/>
        <n v="74547.195842822126"/>
        <n v="9866.6666666666661"/>
        <n v="11813.333333333334"/>
        <n v="18765.714285714286"/>
        <n v="52969.6729520628"/>
        <n v="75392.728473153984"/>
        <n v="27102.857142857141"/>
        <n v="71236.190476190473"/>
        <n v="63765.714285714283"/>
        <n v="64313.333333333336"/>
        <n v="39029.659925412132"/>
        <n v="113462.47578116821"/>
        <n v="23626.666666666668"/>
        <n v="47242.218585677561"/>
        <n v="84680"/>
      </sharedItems>
    </cacheField>
    <cacheField name="Total Cost Calc (Rs.)" numFmtId="2">
      <sharedItems containsSemiMixedTypes="0" containsString="0" containsNumber="1" minValue="9866.6666666666661" maxValue="124872.06135062892"/>
    </cacheField>
    <cacheField name="Profit (Rs.)" numFmtId="2">
      <sharedItems containsString="0" containsBlank="1" containsNumber="1" minValue="-87416.061350628908" maxValue="204323.14285714284" count="52">
        <n v="-12217.916505030866"/>
        <m/>
        <n v="68588"/>
        <n v="67121.762823526384"/>
        <n v="64054.673407921204"/>
        <n v="-35915.650641697997"/>
        <n v="-18831.807530309175"/>
        <n v="-45223.333333333343"/>
        <n v="65727.192469690825"/>
        <n v="-87416.061350628908"/>
        <n v="89061.142857142855"/>
        <n v="-7281.195842822126"/>
        <n v="-54640.807530309175"/>
        <n v="-25369.807530309175"/>
        <n v="-18383.666666666664"/>
        <n v="-5116.3265920787962"/>
        <n v="-29437.333333333336"/>
        <n v="96271.28571428571"/>
        <n v="-34482.237176473616"/>
        <n v="175602.3270479372"/>
        <n v="29939.666666666664"/>
        <n v="74821.271526846016"/>
        <n v="123081.19246969082"/>
        <n v="77429.333333333343"/>
        <n v="93865.349358302003"/>
        <n v="14736.666666666664"/>
        <n v="11384.142857142855"/>
        <n v="-20115.333333333336"/>
        <n v="-25889.333333333336"/>
        <n v="-29778.807530309175"/>
        <n v="21507.673407921204"/>
        <n v="74394.28571428571"/>
        <n v="-27214.333333333336"/>
        <n v="-83449.190476190473"/>
        <n v="13680.192469690825"/>
        <n v="204323.14285714284"/>
        <n v="-74394.71428571429"/>
        <n v="-22354.857142857145"/>
        <n v="110070.33333333334"/>
        <n v="-3452.333333333343"/>
        <n v="-29034.857142857145"/>
        <n v="-64747.659925412125"/>
        <n v="-17437.237176473616"/>
        <n v="-20915.326592078796"/>
        <n v="-4376.3333333333358"/>
        <n v="-8434.8075303091755"/>
        <n v="-48337.475781168207"/>
        <n v="98.333333333328483"/>
        <n v="-23159.218585677561"/>
        <n v="-31497.650641697997"/>
        <n v="-32443.650641697997"/>
        <n v="-86386"/>
      </sharedItems>
    </cacheField>
    <cacheField name="Profit Calc (Rs.)" numFmtId="2">
      <sharedItems containsSemiMixedTypes="0" containsString="0" containsNumber="1" minValue="-87416.061350628908" maxValue="204323.14285714284"/>
    </cacheField>
    <cacheField name="Status of BP" numFmtId="2">
      <sharedItems count="3">
        <s v="Underpaid"/>
        <s v="Overpaid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1332"/>
    <s v="VAP1332"/>
    <n v="112"/>
    <s v="AGARWAL SUGANDHA AMIT"/>
    <x v="0"/>
    <d v="2018-08-13T00:00:00"/>
    <n v="71234"/>
    <s v="EMI (3 yrs)"/>
    <n v="2018"/>
    <x v="0"/>
    <s v="AMD"/>
    <s v="Ahmedabad"/>
    <s v="Eicher 14"/>
    <n v="8"/>
    <n v="200"/>
    <n v="14400"/>
    <n v="2280"/>
    <s v="Eicher 14"/>
    <s v="EMI"/>
    <s v="3 "/>
    <n v="0"/>
    <n v="603200"/>
    <n v="2021"/>
    <n v="19605.473922027155"/>
    <n v="2.5"/>
    <n v="13000"/>
    <n v="2"/>
    <n v="23800"/>
    <n v="36800"/>
    <n v="0"/>
    <n v="0"/>
    <n v="36285.473922027159"/>
    <x v="0"/>
    <x v="0"/>
    <n v="57155.916505030866"/>
    <x v="0"/>
    <n v="-12217.916505030866"/>
    <x v="0"/>
  </r>
  <r>
    <n v="1332"/>
    <s v="VAP1332"/>
    <n v="112"/>
    <s v="AGARWAL SUGANDHA AMIT"/>
    <x v="0"/>
    <d v="2018-08-13T00:00:00"/>
    <n v="71231"/>
    <s v="EMI (3 yrs)"/>
    <n v="2017"/>
    <x v="0"/>
    <s v="AMD"/>
    <s v="Ahmedabad"/>
    <s v="Tata Ace"/>
    <n v="14"/>
    <n v="114.28571428571429"/>
    <n v="8228.5714285714294"/>
    <n v="2194.2857142857142"/>
    <s v="Tata Ace"/>
    <s v="EMI"/>
    <s v="3 "/>
    <n v="1"/>
    <n v="321440"/>
    <n v="2020"/>
    <n v="10447.585440146566"/>
    <n v="0.75"/>
    <n v="13000"/>
    <n v="1"/>
    <n v="11900"/>
    <n v="24900"/>
    <n v="0"/>
    <n v="0"/>
    <n v="20870.442583003707"/>
    <x v="1"/>
    <x v="1"/>
    <n v="57155.916505030866"/>
    <x v="1"/>
    <n v="-12217.916505030866"/>
    <x v="0"/>
  </r>
  <r>
    <n v="1070"/>
    <s v="VAP1070"/>
    <n v="112"/>
    <s v="Amit Ramesh Agarwal"/>
    <x v="1"/>
    <d v="2017-06-19T00:00:00"/>
    <n v="71234"/>
    <s v="Market (60000)"/>
    <n v="2006"/>
    <x v="0"/>
    <s v="AMD"/>
    <s v="Ahmedabad"/>
    <s v="Eicher 14"/>
    <n v="8"/>
    <n v="200"/>
    <n v="14400"/>
    <n v="2280"/>
    <s v="Eicher 14"/>
    <s v="Mar"/>
    <s v="Not EMI"/>
    <n v="11"/>
    <n v="603200"/>
    <s v="Not EMI"/>
    <n v="0"/>
    <n v="2.5"/>
    <n v="13000"/>
    <n v="2"/>
    <n v="23800"/>
    <n v="36800"/>
    <s v="60000"/>
    <n v="60000"/>
    <n v="76680"/>
    <x v="2"/>
    <x v="2"/>
    <n v="76680"/>
    <x v="2"/>
    <n v="68588"/>
    <x v="1"/>
  </r>
  <r>
    <n v="1061"/>
    <s v="AMD1061"/>
    <n v="113"/>
    <s v="ASHISH SAXENA"/>
    <x v="2"/>
    <d v="2017-04-28T00:00:00"/>
    <n v="71235"/>
    <s v="EMI (4 yrs)"/>
    <n v="2008"/>
    <x v="1"/>
    <s v="AMD"/>
    <s v="Ahmedabad"/>
    <s v="Eicher 17"/>
    <n v="7"/>
    <n v="228.57142857142858"/>
    <n v="16457.142857142859"/>
    <n v="2308.5714285714284"/>
    <s v="Eicher 17"/>
    <s v="EMI"/>
    <s v="4 "/>
    <n v="9"/>
    <n v="924000"/>
    <n v="2012"/>
    <n v="23657.522890759326"/>
    <n v="4.5"/>
    <n v="13000"/>
    <n v="2"/>
    <n v="23800"/>
    <n v="36800"/>
    <n v="0"/>
    <n v="0"/>
    <n v="42423.237176473616"/>
    <x v="3"/>
    <x v="3"/>
    <n v="42423.237176473616"/>
    <x v="3"/>
    <n v="67121.762823526384"/>
    <x v="1"/>
  </r>
  <r>
    <n v="1363"/>
    <s v="GNC1363"/>
    <n v="114"/>
    <s v="Ashok Kumar"/>
    <x v="3"/>
    <d v="2018-08-20T00:00:00"/>
    <n v="71243"/>
    <s v="EMI (4 yrs)"/>
    <n v="2013"/>
    <x v="2"/>
    <s v="AMD"/>
    <s v="Ahmedabad"/>
    <s v="Mahindra"/>
    <n v="12"/>
    <n v="133.33333333333334"/>
    <n v="9600"/>
    <n v="2213.3333333333335"/>
    <s v="Mahindra"/>
    <s v="EMI"/>
    <s v="4 "/>
    <n v="5"/>
    <n v="601600"/>
    <n v="2017"/>
    <n v="15402.993258745464"/>
    <n v="1.5"/>
    <n v="13000"/>
    <n v="1"/>
    <n v="11900"/>
    <n v="24900"/>
    <n v="0"/>
    <n v="0"/>
    <n v="27216.326592078796"/>
    <x v="4"/>
    <x v="4"/>
    <n v="27216.326592078796"/>
    <x v="4"/>
    <n v="64054.673407921204"/>
    <x v="1"/>
  </r>
  <r>
    <n v="1296"/>
    <s v="AMD1296"/>
    <n v="115"/>
    <s v="BELIM RIYAZUDDIN MEHBOOBBHAI"/>
    <x v="4"/>
    <d v="2018-06-28T00:00:00"/>
    <n v="71249"/>
    <s v="EMI (4 yrs)"/>
    <n v="2018"/>
    <x v="3"/>
    <s v="AMD"/>
    <s v="Ahmedabad"/>
    <s v="AL Dost"/>
    <n v="12"/>
    <n v="133.33333333333334"/>
    <n v="9600"/>
    <n v="2213.3333333333335"/>
    <s v="AL Dost"/>
    <s v="EMI"/>
    <s v="4 "/>
    <n v="0"/>
    <n v="401600"/>
    <n v="2022"/>
    <n v="10282.31730836466"/>
    <n v="1.25"/>
    <n v="13000"/>
    <n v="1"/>
    <n v="11900"/>
    <n v="24900"/>
    <n v="0"/>
    <n v="0"/>
    <n v="22095.650641697994"/>
    <x v="5"/>
    <x v="5"/>
    <n v="22095.650641697994"/>
    <x v="5"/>
    <n v="-35915.650641697997"/>
    <x v="0"/>
  </r>
  <r>
    <n v="1324"/>
    <s v="AMD1324"/>
    <n v="115"/>
    <s v="Bharat madhusing lodha"/>
    <x v="5"/>
    <d v="2018-07-19T00:00:00"/>
    <n v="71231"/>
    <s v="EMI (4 yrs)"/>
    <n v="2017"/>
    <x v="3"/>
    <s v="AMD"/>
    <s v="Ahmedabad"/>
    <s v="Tata Ace"/>
    <n v="14"/>
    <n v="114.28571428571429"/>
    <n v="8228.5714285714294"/>
    <n v="2194.2857142857142"/>
    <s v="Tata Ace"/>
    <s v="EMI"/>
    <s v="4 "/>
    <n v="1"/>
    <n v="321440"/>
    <n v="2021"/>
    <n v="8229.9503874520324"/>
    <n v="0.75"/>
    <n v="13000"/>
    <n v="1"/>
    <n v="11900"/>
    <n v="24900"/>
    <n v="0"/>
    <n v="0"/>
    <n v="18652.807530309175"/>
    <x v="6"/>
    <x v="6"/>
    <n v="18652.807530309175"/>
    <x v="6"/>
    <n v="-18831.807530309175"/>
    <x v="0"/>
  </r>
  <r>
    <n v="1203"/>
    <s v="BDQ1203"/>
    <n v="116"/>
    <s v="Chauhan navneet kumar"/>
    <x v="6"/>
    <d v="2018-04-07T00:00:00"/>
    <n v="71243"/>
    <s v="Market (35000)"/>
    <n v="2017"/>
    <x v="4"/>
    <s v="AMD"/>
    <s v="Ahmedabad"/>
    <s v="Mahindra"/>
    <n v="12"/>
    <n v="133.33333333333334"/>
    <n v="9600"/>
    <n v="2213.3333333333335"/>
    <s v="Mahindra"/>
    <s v="Mar"/>
    <s v="Not EMI"/>
    <n v="1"/>
    <n v="601600"/>
    <s v="Not EMI"/>
    <n v="0"/>
    <n v="1.5"/>
    <n v="13000"/>
    <n v="1"/>
    <n v="11900"/>
    <n v="24900"/>
    <s v="35000"/>
    <n v="35000"/>
    <n v="46813.333333333336"/>
    <x v="7"/>
    <x v="7"/>
    <n v="46813.333333333336"/>
    <x v="7"/>
    <n v="-45223.333333333343"/>
    <x v="0"/>
  </r>
  <r>
    <n v="1336"/>
    <s v="JGA1336"/>
    <n v="117"/>
    <s v="DENISH B. BAVARIYA"/>
    <x v="7"/>
    <d v="2018-08-03T00:00:00"/>
    <n v="71231"/>
    <s v="EMI (4 yrs)"/>
    <n v="2014"/>
    <x v="5"/>
    <s v="AMD"/>
    <s v="Ahmedabad"/>
    <s v="Tata Ace"/>
    <n v="14"/>
    <n v="114.28571428571429"/>
    <n v="8228.5714285714294"/>
    <n v="2194.2857142857142"/>
    <s v="Tata Ace"/>
    <s v="EMI"/>
    <s v="4 "/>
    <n v="4"/>
    <n v="321440"/>
    <n v="2018"/>
    <n v="8229.9503874520324"/>
    <n v="0.75"/>
    <n v="13000"/>
    <n v="1"/>
    <n v="11900"/>
    <n v="24900"/>
    <n v="0"/>
    <n v="0"/>
    <n v="18652.807530309175"/>
    <x v="6"/>
    <x v="6"/>
    <n v="18652.807530309175"/>
    <x v="8"/>
    <n v="65727.192469690825"/>
    <x v="1"/>
  </r>
  <r>
    <n v="1107"/>
    <s v="STV1107"/>
    <n v="118"/>
    <s v="Devendar Vanga"/>
    <x v="8"/>
    <d v="2017-09-26T00:00:00"/>
    <n v="71237"/>
    <s v="EMI (4 yrs)"/>
    <n v="2017"/>
    <x v="6"/>
    <s v="AMD"/>
    <s v="Ahmedabad"/>
    <s v="22 Ft"/>
    <n v="6"/>
    <n v="266.66666666666669"/>
    <n v="19200"/>
    <n v="2346.666666666667"/>
    <s v="22 Ft"/>
    <s v="EMI"/>
    <s v="4 "/>
    <n v="0"/>
    <n v="1124000"/>
    <n v="2021"/>
    <n v="28778.198841140133"/>
    <n v="6.8"/>
    <n v="13000"/>
    <n v="2"/>
    <n v="23800"/>
    <n v="36800"/>
    <n v="0"/>
    <n v="0"/>
    <n v="50324.865507806797"/>
    <x v="8"/>
    <x v="8"/>
    <n v="124872.06135062892"/>
    <x v="9"/>
    <n v="-87416.061350628908"/>
    <x v="0"/>
  </r>
  <r>
    <n v="1107"/>
    <s v="STV1107"/>
    <n v="118"/>
    <s v="Devendar Vanga"/>
    <x v="8"/>
    <d v="2017-09-26T00:00:00"/>
    <n v="71234"/>
    <s v="EMI (4 yrs)"/>
    <n v="2017"/>
    <x v="6"/>
    <s v="AMD"/>
    <s v="Ahmedabad"/>
    <s v="Eicher 14"/>
    <n v="8"/>
    <n v="200"/>
    <n v="14400"/>
    <n v="2280"/>
    <s v="Eicher 14"/>
    <s v="EMI"/>
    <s v="4 "/>
    <n v="0"/>
    <n v="603200"/>
    <n v="2021"/>
    <n v="15443.958666348513"/>
    <n v="2.5"/>
    <n v="13000"/>
    <n v="2"/>
    <n v="23800"/>
    <n v="36800"/>
    <n v="0"/>
    <n v="0"/>
    <n v="32123.958666348513"/>
    <x v="9"/>
    <x v="1"/>
    <n v="124872.06135062892"/>
    <x v="1"/>
    <n v="-87416.061350628908"/>
    <x v="0"/>
  </r>
  <r>
    <n v="1107"/>
    <s v="STV1107"/>
    <n v="118"/>
    <s v="Devendar Vanga"/>
    <x v="8"/>
    <d v="2017-09-26T00:00:00"/>
    <n v="71235"/>
    <s v="EMI (4 yrs)"/>
    <n v="2017"/>
    <x v="6"/>
    <s v="AMD"/>
    <s v="Ahmedabad"/>
    <s v="Eicher 17"/>
    <n v="7"/>
    <n v="228.57142857142858"/>
    <n v="16457.142857142859"/>
    <n v="2308.5714285714284"/>
    <s v="Eicher 17"/>
    <s v="EMI"/>
    <s v="4 "/>
    <n v="0"/>
    <n v="924000"/>
    <n v="2021"/>
    <n v="23657.522890759326"/>
    <n v="4.5"/>
    <n v="13000"/>
    <n v="2"/>
    <n v="23800"/>
    <n v="36800"/>
    <n v="0"/>
    <n v="0"/>
    <n v="42423.237176473616"/>
    <x v="3"/>
    <x v="1"/>
    <n v="124872.06135062892"/>
    <x v="1"/>
    <n v="-87416.061350628908"/>
    <x v="0"/>
  </r>
  <r>
    <n v="1318"/>
    <s v="BDQ1318"/>
    <n v="116"/>
    <s v="Devendra r. mistry"/>
    <x v="9"/>
    <d v="2018-07-16T00:00:00"/>
    <n v="71231"/>
    <s v="Owned"/>
    <n v="2010"/>
    <x v="4"/>
    <s v="AMD"/>
    <s v="Ahmedabad"/>
    <s v="Tata Ace"/>
    <n v="14"/>
    <n v="114.28571428571429"/>
    <n v="8228.5714285714294"/>
    <n v="2194.2857142857142"/>
    <s v="Tata Ace"/>
    <s v="Own"/>
    <s v="Not EMI"/>
    <n v="8"/>
    <n v="321440"/>
    <s v="Not EMI"/>
    <n v="0"/>
    <n v="0.75"/>
    <n v="13000"/>
    <n v="1"/>
    <n v="11900"/>
    <n v="24900"/>
    <n v="0"/>
    <n v="0"/>
    <n v="10422.857142857143"/>
    <x v="10"/>
    <x v="9"/>
    <n v="10422.857142857143"/>
    <x v="10"/>
    <n v="89061.142857142855"/>
    <x v="1"/>
  </r>
  <r>
    <n v="1057"/>
    <s v="AMD1057"/>
    <n v="119"/>
    <s v="Dharmendra Sharma"/>
    <x v="10"/>
    <d v="2017-04-11T00:00:00"/>
    <n v="71236"/>
    <s v="EMI (4 yrs)"/>
    <n v="2018"/>
    <x v="7"/>
    <s v="AMD"/>
    <s v="Ahmedabad"/>
    <s v="Eicher 19"/>
    <n v="7"/>
    <n v="228.57142857142858"/>
    <n v="16457.142857142859"/>
    <n v="2308.5714285714284"/>
    <s v="Eicher 19"/>
    <s v="EMI"/>
    <s v="4 "/>
    <n v="-1"/>
    <n v="924000"/>
    <n v="2022"/>
    <n v="23657.522890759326"/>
    <n v="6.5"/>
    <n v="13000"/>
    <n v="2"/>
    <n v="23800"/>
    <n v="36800"/>
    <n v="0"/>
    <n v="0"/>
    <n v="42423.237176473616"/>
    <x v="3"/>
    <x v="10"/>
    <n v="74547.195842822126"/>
    <x v="11"/>
    <n v="-7281.195842822126"/>
    <x v="0"/>
  </r>
  <r>
    <n v="1057"/>
    <s v="AMD1057"/>
    <n v="119"/>
    <s v="Dharmendra Sharma"/>
    <x v="10"/>
    <d v="2017-04-11T00:00:00"/>
    <n v="71234"/>
    <s v="EMI (4 yrs)"/>
    <n v="2018"/>
    <x v="7"/>
    <s v="AMD"/>
    <s v="Ahmedabad"/>
    <s v="Eicher 14"/>
    <n v="8"/>
    <n v="200"/>
    <n v="14400"/>
    <n v="2280"/>
    <s v="Eicher 14"/>
    <s v="EMI"/>
    <s v="4 "/>
    <n v="-1"/>
    <n v="603200"/>
    <n v="2022"/>
    <n v="15443.958666348513"/>
    <n v="2.5"/>
    <n v="13000"/>
    <n v="2"/>
    <n v="23800"/>
    <n v="36800"/>
    <n v="0"/>
    <n v="0"/>
    <n v="32123.958666348513"/>
    <x v="9"/>
    <x v="1"/>
    <n v="74547.195842822126"/>
    <x v="1"/>
    <n v="-7281.195842822126"/>
    <x v="0"/>
  </r>
  <r>
    <n v="1275"/>
    <s v="AMD1275"/>
    <n v="120"/>
    <s v="DINESHBHAI MOHANBHAI SOLANKI"/>
    <x v="11"/>
    <d v="2018-06-14T00:00:00"/>
    <n v="71231"/>
    <s v="EMI (4 yrs)"/>
    <n v="2014"/>
    <x v="8"/>
    <s v="AMD"/>
    <s v="Ahmedabad"/>
    <s v="Tata Ace"/>
    <n v="14"/>
    <n v="114.28571428571429"/>
    <n v="8228.5714285714294"/>
    <n v="2194.2857142857142"/>
    <s v="Tata Ace"/>
    <s v="EMI"/>
    <s v="4 "/>
    <n v="4"/>
    <n v="321440"/>
    <n v="2018"/>
    <n v="8229.9503874520324"/>
    <n v="0.75"/>
    <n v="13000"/>
    <n v="1"/>
    <n v="11900"/>
    <n v="24900"/>
    <n v="0"/>
    <n v="0"/>
    <n v="18652.807530309175"/>
    <x v="6"/>
    <x v="6"/>
    <n v="18652.807530309175"/>
    <x v="12"/>
    <n v="-54640.807530309175"/>
    <x v="0"/>
  </r>
  <r>
    <n v="1339"/>
    <s v="VAP1339"/>
    <n v="112"/>
    <s v="EKTA AGARWAL"/>
    <x v="12"/>
    <d v="2018-08-13T00:00:00"/>
    <n v="71231"/>
    <s v="EMI (4 yrs)"/>
    <n v="2018"/>
    <x v="0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0"/>
    <n v="18652.807530309175"/>
    <x v="6"/>
    <x v="6"/>
    <n v="18652.807530309175"/>
    <x v="13"/>
    <n v="-25369.807530309175"/>
    <x v="0"/>
  </r>
  <r>
    <n v="1334"/>
    <s v="RAJ1334"/>
    <n v="121"/>
    <s v="FAIZILA Theba"/>
    <x v="13"/>
    <d v="2018-08-11T00:00:00"/>
    <n v="71246"/>
    <s v="Owned"/>
    <n v="2012"/>
    <x v="9"/>
    <s v="AMD"/>
    <s v="Ahmedabad"/>
    <s v="Super ace"/>
    <n v="15"/>
    <n v="106.66666666666667"/>
    <n v="7680"/>
    <n v="2186.6666666666665"/>
    <s v="Super ace"/>
    <s v="Own"/>
    <s v="Not EMI"/>
    <n v="6"/>
    <n v="441600"/>
    <s v="Not EMI"/>
    <n v="0"/>
    <n v="1.2"/>
    <n v="13000"/>
    <n v="1"/>
    <n v="11900"/>
    <n v="24900"/>
    <n v="0"/>
    <n v="0"/>
    <n v="9866.6666666666661"/>
    <x v="11"/>
    <x v="11"/>
    <n v="9866.6666666666661"/>
    <x v="14"/>
    <n v="-18383.666666666664"/>
    <x v="0"/>
  </r>
  <r>
    <n v="1377"/>
    <s v="GNC1377"/>
    <n v="114"/>
    <s v="GAJRAJSINGH B RATHOD"/>
    <x v="14"/>
    <d v="2018-08-20T00:00:00"/>
    <n v="71243"/>
    <s v="EMI (4 yrs)"/>
    <n v="2014"/>
    <x v="2"/>
    <s v="AMD"/>
    <s v="Ahmedabad"/>
    <s v="Mahindra"/>
    <n v="12"/>
    <n v="133.33333333333334"/>
    <n v="9600"/>
    <n v="2213.3333333333335"/>
    <s v="Mahindra"/>
    <s v="EMI"/>
    <s v="4 "/>
    <n v="4"/>
    <n v="601600"/>
    <n v="2018"/>
    <n v="15402.993258745464"/>
    <n v="1.5"/>
    <n v="13000"/>
    <n v="1"/>
    <n v="11900"/>
    <n v="24900"/>
    <n v="0"/>
    <n v="0"/>
    <n v="27216.326592078796"/>
    <x v="4"/>
    <x v="4"/>
    <n v="27216.326592078796"/>
    <x v="15"/>
    <n v="-5116.3265920787962"/>
    <x v="0"/>
  </r>
  <r>
    <n v="1209"/>
    <s v="BVC1209"/>
    <n v="122"/>
    <s v="GOHIL RAGHUVIRSINH R"/>
    <x v="15"/>
    <d v="2018-04-17T00:00:00"/>
    <n v="71243"/>
    <s v="Owned"/>
    <n v="2012"/>
    <x v="10"/>
    <s v="AMD"/>
    <s v="Ahmedabad"/>
    <s v="Mahindra"/>
    <n v="12"/>
    <n v="133.33333333333334"/>
    <n v="9600"/>
    <n v="2213.3333333333335"/>
    <s v="Mahindra"/>
    <s v="Own"/>
    <s v="Not EMI"/>
    <n v="6"/>
    <n v="601600"/>
    <s v="Not EMI"/>
    <n v="0"/>
    <n v="1.5"/>
    <n v="13000"/>
    <n v="1"/>
    <n v="11900"/>
    <n v="24900"/>
    <n v="0"/>
    <n v="0"/>
    <n v="11813.333333333334"/>
    <x v="12"/>
    <x v="12"/>
    <n v="11813.333333333334"/>
    <x v="16"/>
    <n v="-29437.333333333336"/>
    <x v="0"/>
  </r>
  <r>
    <n v="1143"/>
    <s v="AMD1143"/>
    <n v="113"/>
    <s v="Gulamhusen Mohamad Ghanchi"/>
    <x v="16"/>
    <d v="2018-01-01T00:00:00"/>
    <n v="71235"/>
    <s v="Owned"/>
    <n v="2002"/>
    <x v="1"/>
    <s v="AMD"/>
    <s v="Ahmedabad"/>
    <s v="Eicher 17"/>
    <n v="7"/>
    <n v="228.57142857142858"/>
    <n v="16457.142857142859"/>
    <n v="2308.5714285714284"/>
    <s v="Eicher 17"/>
    <s v="Own"/>
    <s v="Not EMI"/>
    <n v="16"/>
    <n v="924000"/>
    <s v="Not EMI"/>
    <n v="0"/>
    <n v="4.5"/>
    <n v="13000"/>
    <n v="2"/>
    <n v="23800"/>
    <n v="36800"/>
    <n v="0"/>
    <n v="0"/>
    <n v="18765.714285714286"/>
    <x v="13"/>
    <x v="13"/>
    <n v="18765.714285714286"/>
    <x v="17"/>
    <n v="96271.28571428571"/>
    <x v="1"/>
  </r>
  <r>
    <n v="1259"/>
    <s v="AMD1259"/>
    <n v="113"/>
    <s v="GULZAR F MEMON"/>
    <x v="17"/>
    <d v="2018-05-31T00:00:00"/>
    <n v="71236"/>
    <s v="EMI (4 yrs)"/>
    <n v="2014"/>
    <x v="1"/>
    <s v="AMD"/>
    <s v="Ahmedabad"/>
    <s v="Eicher 19"/>
    <n v="7"/>
    <n v="228.57142857142858"/>
    <n v="16457.142857142859"/>
    <n v="2308.5714285714284"/>
    <s v="Eicher 19"/>
    <s v="EMI"/>
    <s v="4 "/>
    <n v="4"/>
    <n v="924000"/>
    <n v="2018"/>
    <n v="23657.522890759326"/>
    <n v="6.5"/>
    <n v="13000"/>
    <n v="2"/>
    <n v="23800"/>
    <n v="36800"/>
    <n v="0"/>
    <n v="0"/>
    <n v="42423.237176473616"/>
    <x v="3"/>
    <x v="3"/>
    <n v="42423.237176473616"/>
    <x v="18"/>
    <n v="-34482.237176473616"/>
    <x v="0"/>
  </r>
  <r>
    <n v="1022"/>
    <s v="JGA1022"/>
    <n v="117"/>
    <s v="Hardik Patel"/>
    <x v="18"/>
    <d v="2016-10-24T00:00:00"/>
    <n v="71234"/>
    <s v="EMI (4 yrs)"/>
    <n v="2015"/>
    <x v="5"/>
    <s v="AMD"/>
    <s v="Ahmedabad"/>
    <s v="Eicher 14"/>
    <n v="8"/>
    <n v="200"/>
    <n v="14400"/>
    <n v="2280"/>
    <s v="Eicher 14"/>
    <s v="EMI"/>
    <s v="4 "/>
    <n v="1"/>
    <n v="603200"/>
    <n v="2019"/>
    <n v="15443.958666348513"/>
    <n v="2.5"/>
    <n v="13000"/>
    <n v="2"/>
    <n v="23800"/>
    <n v="36800"/>
    <n v="0"/>
    <n v="0"/>
    <n v="32123.958666348513"/>
    <x v="9"/>
    <x v="14"/>
    <n v="52969.6729520628"/>
    <x v="19"/>
    <n v="175602.3270479372"/>
    <x v="1"/>
  </r>
  <r>
    <n v="1022"/>
    <s v="JGA1022"/>
    <n v="117"/>
    <s v="Hardik Patel"/>
    <x v="18"/>
    <d v="2016-10-24T00:00:00"/>
    <n v="71231"/>
    <s v="Owned"/>
    <n v="2011"/>
    <x v="5"/>
    <s v="AMD"/>
    <s v="Ahmedabad"/>
    <s v="Tata Ace"/>
    <n v="14"/>
    <n v="114.28571428571429"/>
    <n v="8228.5714285714294"/>
    <n v="2194.2857142857142"/>
    <s v="Tata Ace"/>
    <s v="Own"/>
    <s v="Not EMI"/>
    <n v="5"/>
    <n v="321440"/>
    <s v="Not EMI"/>
    <n v="0"/>
    <n v="0.75"/>
    <n v="13000"/>
    <n v="1"/>
    <n v="11900"/>
    <n v="24900"/>
    <n v="0"/>
    <n v="0"/>
    <n v="10422.857142857143"/>
    <x v="10"/>
    <x v="1"/>
    <n v="52969.6729520628"/>
    <x v="1"/>
    <n v="175602.3270479372"/>
    <x v="1"/>
  </r>
  <r>
    <n v="1022"/>
    <s v="JGA1022"/>
    <n v="117"/>
    <s v="Hardik Patel"/>
    <x v="18"/>
    <d v="2016-10-24T00:00:00"/>
    <n v="71231"/>
    <s v="Owned"/>
    <n v="2012"/>
    <x v="5"/>
    <s v="AMD"/>
    <s v="Ahmedabad"/>
    <s v="Tata Ace"/>
    <n v="14"/>
    <n v="114.28571428571429"/>
    <n v="8228.5714285714294"/>
    <n v="2194.2857142857142"/>
    <s v="Tata Ace"/>
    <s v="Own"/>
    <s v="Not EMI"/>
    <n v="4"/>
    <n v="321440"/>
    <s v="Not EMI"/>
    <n v="0"/>
    <n v="0.75"/>
    <n v="13000"/>
    <n v="1"/>
    <n v="11900"/>
    <n v="24900"/>
    <n v="0"/>
    <n v="0"/>
    <n v="10422.857142857143"/>
    <x v="10"/>
    <x v="1"/>
    <n v="52969.6729520628"/>
    <x v="1"/>
    <n v="175602.3270479372"/>
    <x v="1"/>
  </r>
  <r>
    <n v="1217"/>
    <s v="RAJ1217"/>
    <n v="121"/>
    <s v="Harun Abdul Bhai Theba"/>
    <x v="19"/>
    <d v="2018-05-01T00:00:00"/>
    <n v="71243"/>
    <s v="Owned"/>
    <n v="2013"/>
    <x v="9"/>
    <s v="AMD"/>
    <s v="Ahmedabad"/>
    <s v="Mahindra"/>
    <n v="12"/>
    <n v="133.33333333333334"/>
    <n v="9600"/>
    <n v="2213.3333333333335"/>
    <s v="Mahindra"/>
    <s v="Own"/>
    <s v="Not EMI"/>
    <n v="5"/>
    <n v="601600"/>
    <s v="Not EMI"/>
    <n v="0"/>
    <n v="1.5"/>
    <n v="13000"/>
    <n v="1"/>
    <n v="11900"/>
    <n v="24900"/>
    <n v="0"/>
    <n v="0"/>
    <n v="11813.333333333334"/>
    <x v="12"/>
    <x v="12"/>
    <n v="11813.333333333334"/>
    <x v="20"/>
    <n v="29939.666666666664"/>
    <x v="1"/>
  </r>
  <r>
    <n v="1223"/>
    <s v="BDQ1223"/>
    <n v="116"/>
    <s v="Inderkumar moolchand gupta"/>
    <x v="20"/>
    <d v="2018-04-30T00:00:00"/>
    <n v="71234"/>
    <s v="EMI (4 yrs)"/>
    <n v="2016"/>
    <x v="4"/>
    <s v="AMD"/>
    <s v="Ahmedabad"/>
    <s v="Eicher 14"/>
    <n v="8"/>
    <n v="200"/>
    <n v="14400"/>
    <n v="2280"/>
    <s v="Eicher 14"/>
    <s v="EMI"/>
    <s v="4 "/>
    <n v="2"/>
    <n v="603200"/>
    <n v="2020"/>
    <n v="15443.958666348513"/>
    <n v="2.5"/>
    <n v="13000"/>
    <n v="2"/>
    <n v="23800"/>
    <n v="36800"/>
    <n v="0"/>
    <n v="0"/>
    <n v="32123.958666348513"/>
    <x v="9"/>
    <x v="15"/>
    <n v="75392.728473153984"/>
    <x v="21"/>
    <n v="74821.271526846016"/>
    <x v="1"/>
  </r>
  <r>
    <n v="1223"/>
    <s v="BDQ1223"/>
    <n v="116"/>
    <s v="Inderkumar moolchand gupta"/>
    <x v="20"/>
    <d v="2018-04-30T00:00:00"/>
    <n v="71249"/>
    <s v="EMI (4 yrs)"/>
    <n v="2017"/>
    <x v="4"/>
    <s v="AMD"/>
    <s v="Ahmedabad"/>
    <s v="AL Dost"/>
    <n v="12"/>
    <n v="133.33333333333334"/>
    <n v="9600"/>
    <n v="2213.3333333333335"/>
    <s v="AL Dost"/>
    <s v="EMI"/>
    <s v="4 "/>
    <n v="1"/>
    <n v="401600"/>
    <n v="2021"/>
    <n v="10282.31730836466"/>
    <n v="1.25"/>
    <n v="13000"/>
    <n v="1"/>
    <n v="11900"/>
    <n v="24900"/>
    <n v="0"/>
    <n v="0"/>
    <n v="22095.650641697994"/>
    <x v="5"/>
    <x v="1"/>
    <n v="75392.728473153984"/>
    <x v="1"/>
    <n v="74821.271526846016"/>
    <x v="1"/>
  </r>
  <r>
    <n v="1223"/>
    <s v="BDQ1223"/>
    <n v="116"/>
    <s v="Inderkumar moolchand gupta"/>
    <x v="20"/>
    <d v="2018-04-30T00:00:00"/>
    <n v="71246"/>
    <s v="EMI (4 yrs)"/>
    <n v="2017"/>
    <x v="4"/>
    <s v="AMD"/>
    <s v="Ahmedabad"/>
    <s v="Super ace"/>
    <n v="15"/>
    <n v="106.66666666666667"/>
    <n v="7680"/>
    <n v="2186.6666666666665"/>
    <s v="Super ace"/>
    <s v="EMI"/>
    <s v="4 "/>
    <n v="1"/>
    <n v="441600"/>
    <n v="2021"/>
    <n v="11306.45249844082"/>
    <n v="1.2"/>
    <n v="13000"/>
    <n v="1"/>
    <n v="11900"/>
    <n v="24900"/>
    <n v="0"/>
    <n v="0"/>
    <n v="21173.119165107484"/>
    <x v="14"/>
    <x v="1"/>
    <n v="75392.728473153984"/>
    <x v="1"/>
    <n v="74821.271526846016"/>
    <x v="1"/>
  </r>
  <r>
    <n v="1075"/>
    <s v="BDQ1075"/>
    <n v="116"/>
    <s v="Karan Mistry_Delivery"/>
    <x v="21"/>
    <d v="2018-07-25T00:00:00"/>
    <n v="71231"/>
    <s v="EMI (4 yrs)"/>
    <n v="2018"/>
    <x v="4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0"/>
    <n v="18652.807530309175"/>
    <x v="6"/>
    <x v="6"/>
    <n v="18652.807530309175"/>
    <x v="22"/>
    <n v="123081.19246969082"/>
    <x v="1"/>
  </r>
  <r>
    <n v="1074"/>
    <s v="BDQ1074"/>
    <n v="116"/>
    <s v="Karan Mistry_Pickup"/>
    <x v="22"/>
    <d v="2017-07-03T00:00:00"/>
    <n v="71246"/>
    <s v="Owned"/>
    <n v="2014"/>
    <x v="4"/>
    <s v="AMD"/>
    <s v="Ahmedabad"/>
    <s v="Super ace"/>
    <n v="15"/>
    <n v="106.66666666666667"/>
    <n v="7680"/>
    <n v="2186.6666666666665"/>
    <s v="Super ace"/>
    <s v="Own"/>
    <s v="Not EMI"/>
    <n v="3"/>
    <n v="441600"/>
    <s v="Not EMI"/>
    <n v="0"/>
    <n v="1.2"/>
    <n v="13000"/>
    <n v="1"/>
    <n v="11900"/>
    <n v="24900"/>
    <n v="0"/>
    <n v="0"/>
    <n v="9866.6666666666661"/>
    <x v="11"/>
    <x v="11"/>
    <n v="9866.6666666666661"/>
    <x v="23"/>
    <n v="77429.333333333343"/>
    <x v="1"/>
  </r>
  <r>
    <n v="1319"/>
    <s v="AMD1319"/>
    <n v="113"/>
    <s v="LALAJI BHAI THAKOR"/>
    <x v="23"/>
    <d v="2018-07-13T00:00:00"/>
    <n v="71249"/>
    <s v="EMI (4 yrs)"/>
    <n v="2017"/>
    <x v="1"/>
    <s v="AMD"/>
    <s v="Ahmedabad"/>
    <s v="AL Dost"/>
    <n v="12"/>
    <n v="133.33333333333334"/>
    <n v="9600"/>
    <n v="2213.3333333333335"/>
    <s v="AL Dost"/>
    <s v="EMI"/>
    <s v="4 "/>
    <n v="1"/>
    <n v="401600"/>
    <n v="2021"/>
    <n v="10282.31730836466"/>
    <n v="1.25"/>
    <n v="13000"/>
    <n v="1"/>
    <n v="11900"/>
    <n v="24900"/>
    <n v="0"/>
    <n v="0"/>
    <n v="22095.650641697994"/>
    <x v="5"/>
    <x v="5"/>
    <n v="22095.650641697994"/>
    <x v="24"/>
    <n v="93865.349358302003"/>
    <x v="1"/>
  </r>
  <r>
    <n v="1298"/>
    <s v="AKV1298"/>
    <n v="123"/>
    <s v="MAMATA PAL"/>
    <x v="24"/>
    <d v="2018-06-28T00:00:00"/>
    <n v="71249"/>
    <s v="Owned"/>
    <n v="2014"/>
    <x v="11"/>
    <s v="AMD"/>
    <s v="Ahmedabad"/>
    <s v="AL Dost"/>
    <n v="12"/>
    <n v="133.33333333333334"/>
    <n v="9600"/>
    <n v="2213.3333333333335"/>
    <s v="AL Dost"/>
    <s v="Own"/>
    <s v="Not EMI"/>
    <n v="4"/>
    <n v="401600"/>
    <s v="Not EMI"/>
    <n v="0"/>
    <n v="1.25"/>
    <n v="13000"/>
    <n v="1"/>
    <n v="11900"/>
    <n v="24900"/>
    <n v="0"/>
    <n v="0"/>
    <n v="11813.333333333334"/>
    <x v="12"/>
    <x v="12"/>
    <n v="11813.333333333334"/>
    <x v="25"/>
    <n v="14736.666666666664"/>
    <x v="1"/>
  </r>
  <r>
    <n v="1146"/>
    <s v="STV1146"/>
    <n v="118"/>
    <s v="MANISHA PRAVIN PATIL"/>
    <x v="25"/>
    <d v="2018-01-09T00:00:00"/>
    <n v="71234"/>
    <s v="Owned"/>
    <n v="2000"/>
    <x v="6"/>
    <s v="AMD"/>
    <s v="Ahmedabad"/>
    <s v="Eicher 14"/>
    <n v="8"/>
    <n v="200"/>
    <n v="14400"/>
    <n v="2280"/>
    <s v="Eicher 14"/>
    <s v="Own"/>
    <s v="Not EMI"/>
    <n v="18"/>
    <n v="603200"/>
    <s v="Not EMI"/>
    <n v="0"/>
    <n v="2.5"/>
    <n v="13000"/>
    <n v="2"/>
    <n v="23800"/>
    <n v="36800"/>
    <n v="0"/>
    <n v="0"/>
    <n v="16680"/>
    <x v="15"/>
    <x v="16"/>
    <n v="27102.857142857141"/>
    <x v="26"/>
    <n v="11384.142857142855"/>
    <x v="1"/>
  </r>
  <r>
    <n v="1146"/>
    <s v="STV1146"/>
    <n v="118"/>
    <s v="MANISHA PRAVIN PATIL"/>
    <x v="25"/>
    <d v="2018-01-09T00:00:00"/>
    <n v="71231"/>
    <s v="Owned"/>
    <n v="2014"/>
    <x v="6"/>
    <s v="AMD"/>
    <s v="Ahmedabad"/>
    <s v="Tata Ace"/>
    <n v="14"/>
    <n v="114.28571428571429"/>
    <n v="8228.5714285714294"/>
    <n v="2194.2857142857142"/>
    <s v="Tata Ace"/>
    <s v="Own"/>
    <s v="Not EMI"/>
    <n v="4"/>
    <n v="321440"/>
    <s v="Not EMI"/>
    <n v="0"/>
    <n v="0.75"/>
    <n v="13000"/>
    <n v="1"/>
    <n v="11900"/>
    <n v="24900"/>
    <n v="0"/>
    <n v="0"/>
    <n v="10422.857142857143"/>
    <x v="10"/>
    <x v="1"/>
    <n v="27102.857142857141"/>
    <x v="1"/>
    <n v="11384.142857142855"/>
    <x v="1"/>
  </r>
  <r>
    <n v="1342"/>
    <s v="BDQ1342"/>
    <n v="116"/>
    <s v="Meenakshi Gupta"/>
    <x v="26"/>
    <d v="2018-08-09T00:00:00"/>
    <n v="71249"/>
    <s v="Owned"/>
    <n v="2014"/>
    <x v="4"/>
    <s v="AMD"/>
    <s v="Ahmedabad"/>
    <s v="AL Dost"/>
    <n v="12"/>
    <n v="133.33333333333334"/>
    <n v="9600"/>
    <n v="2213.3333333333335"/>
    <s v="AL Dost"/>
    <s v="Own"/>
    <s v="Not EMI"/>
    <n v="4"/>
    <n v="401600"/>
    <s v="Not EMI"/>
    <n v="0"/>
    <n v="1.25"/>
    <n v="13000"/>
    <n v="1"/>
    <n v="11900"/>
    <n v="24900"/>
    <n v="0"/>
    <n v="0"/>
    <n v="11813.333333333334"/>
    <x v="12"/>
    <x v="12"/>
    <n v="11813.333333333334"/>
    <x v="27"/>
    <n v="-20115.333333333336"/>
    <x v="0"/>
  </r>
  <r>
    <n v="1317"/>
    <s v="STV1317"/>
    <n v="118"/>
    <s v="mo. Farukh"/>
    <x v="27"/>
    <d v="2018-07-12T00:00:00"/>
    <n v="71249"/>
    <s v="Owned"/>
    <n v="2012"/>
    <x v="6"/>
    <s v="AMD"/>
    <s v="Ahmedabad"/>
    <s v="AL Dost"/>
    <n v="12"/>
    <n v="133.33333333333334"/>
    <n v="9600"/>
    <n v="2213.3333333333335"/>
    <s v="AL Dost"/>
    <s v="Own"/>
    <s v="Not EMI"/>
    <n v="6"/>
    <n v="401600"/>
    <s v="Not EMI"/>
    <n v="0"/>
    <n v="1.25"/>
    <n v="13000"/>
    <n v="1"/>
    <n v="11900"/>
    <n v="24900"/>
    <n v="0"/>
    <n v="0"/>
    <n v="11813.333333333334"/>
    <x v="12"/>
    <x v="12"/>
    <n v="11813.333333333334"/>
    <x v="28"/>
    <n v="-25889.333333333336"/>
    <x v="0"/>
  </r>
  <r>
    <n v="1364"/>
    <s v="GNC1364"/>
    <n v="114"/>
    <s v="MOINUDDIN R SHAIKH"/>
    <x v="28"/>
    <d v="2018-08-30T00:00:00"/>
    <n v="71231"/>
    <s v="EMI (4 yrs)"/>
    <n v="2014"/>
    <x v="2"/>
    <s v="AMD"/>
    <s v="Ahmedabad"/>
    <s v="Tata Ace"/>
    <n v="14"/>
    <n v="114.28571428571429"/>
    <n v="8228.5714285714294"/>
    <n v="2194.2857142857142"/>
    <s v="Tata Ace"/>
    <s v="EMI"/>
    <s v="4 "/>
    <n v="4"/>
    <n v="321440"/>
    <n v="2018"/>
    <n v="8229.9503874520324"/>
    <n v="0.75"/>
    <n v="13000"/>
    <n v="1"/>
    <n v="11900"/>
    <n v="24900"/>
    <n v="0"/>
    <n v="0"/>
    <n v="18652.807530309175"/>
    <x v="6"/>
    <x v="6"/>
    <n v="18652.807530309175"/>
    <x v="29"/>
    <n v="-29778.807530309175"/>
    <x v="0"/>
  </r>
  <r>
    <n v="1335"/>
    <s v="AMD1335"/>
    <n v="115"/>
    <s v="MUKESHBHAI RAJABHAI BHARWAD"/>
    <x v="29"/>
    <d v="2018-08-13T00:00:00"/>
    <n v="71243"/>
    <s v="EMI (4 yrs)"/>
    <n v="2010"/>
    <x v="3"/>
    <s v="AMD"/>
    <s v="Ahmedabad"/>
    <s v="Mahindra"/>
    <n v="12"/>
    <n v="133.33333333333334"/>
    <n v="9600"/>
    <n v="2213.3333333333335"/>
    <s v="Mahindra"/>
    <s v="EMI"/>
    <s v="4 "/>
    <n v="8"/>
    <n v="601600"/>
    <n v="2014"/>
    <n v="15402.993258745464"/>
    <n v="1.5"/>
    <n v="13000"/>
    <n v="1"/>
    <n v="11900"/>
    <n v="24900"/>
    <n v="0"/>
    <n v="0"/>
    <n v="27216.326592078796"/>
    <x v="4"/>
    <x v="4"/>
    <n v="27216.326592078796"/>
    <x v="30"/>
    <n v="21507.673407921204"/>
    <x v="1"/>
  </r>
  <r>
    <n v="1289"/>
    <s v="AMD1289"/>
    <n v="113"/>
    <s v="MULIYA TOFIKHUSEN HABIBBHAI"/>
    <x v="30"/>
    <d v="2018-06-28T00:00:00"/>
    <n v="71235"/>
    <s v="Owned"/>
    <n v="2004"/>
    <x v="1"/>
    <s v="AMD"/>
    <s v="Ahmedabad"/>
    <s v="Eicher 17"/>
    <n v="7"/>
    <n v="228.57142857142858"/>
    <n v="16457.142857142859"/>
    <n v="2308.5714285714284"/>
    <s v="Eicher 17"/>
    <s v="Own"/>
    <s v="Not EMI"/>
    <n v="14"/>
    <n v="924000"/>
    <s v="Not EMI"/>
    <n v="0"/>
    <n v="4.5"/>
    <n v="13000"/>
    <n v="2"/>
    <n v="23800"/>
    <n v="36800"/>
    <n v="0"/>
    <n v="0"/>
    <n v="18765.714285714286"/>
    <x v="13"/>
    <x v="13"/>
    <n v="18765.714285714286"/>
    <x v="31"/>
    <n v="74394.28571428571"/>
    <x v="1"/>
  </r>
  <r>
    <n v="1327"/>
    <s v="BDQ1327"/>
    <n v="116"/>
    <s v="OD Maheshbhai Bhikhabhai"/>
    <x v="31"/>
    <d v="2018-07-23T00:00:00"/>
    <n v="71249"/>
    <s v="Owned"/>
    <n v="2012"/>
    <x v="4"/>
    <s v="AMD"/>
    <s v="Ahmedabad"/>
    <s v="AL Dost"/>
    <n v="12"/>
    <n v="133.33333333333334"/>
    <n v="9600"/>
    <n v="2213.3333333333335"/>
    <s v="AL Dost"/>
    <s v="Own"/>
    <s v="Not EMI"/>
    <n v="6"/>
    <n v="401600"/>
    <s v="Not EMI"/>
    <n v="0"/>
    <n v="1.25"/>
    <n v="13000"/>
    <n v="1"/>
    <n v="11900"/>
    <n v="24900"/>
    <n v="0"/>
    <n v="0"/>
    <n v="11813.333333333334"/>
    <x v="12"/>
    <x v="12"/>
    <n v="11813.333333333334"/>
    <x v="32"/>
    <n v="-27214.333333333336"/>
    <x v="0"/>
  </r>
  <r>
    <n v="1042"/>
    <s v="RAJ1042"/>
    <n v="121"/>
    <s v="Patani Salim Gafarbhai"/>
    <x v="32"/>
    <d v="2017-02-04T00:00:00"/>
    <n v="71231"/>
    <s v="Owned"/>
    <n v="2012"/>
    <x v="9"/>
    <s v="AMD"/>
    <s v="Ahmedabad"/>
    <s v="Tata Ace"/>
    <n v="14"/>
    <n v="114.28571428571429"/>
    <n v="8228.5714285714294"/>
    <n v="2194.2857142857142"/>
    <s v="Tata Ace"/>
    <s v="Own"/>
    <s v="Not EMI"/>
    <n v="5"/>
    <n v="321440"/>
    <s v="Not EMI"/>
    <n v="0"/>
    <n v="0.75"/>
    <n v="13000"/>
    <n v="1"/>
    <n v="11900"/>
    <n v="24900"/>
    <n v="0"/>
    <n v="0"/>
    <n v="10422.857142857143"/>
    <x v="10"/>
    <x v="17"/>
    <n v="71236.190476190473"/>
    <x v="33"/>
    <n v="-83449.190476190473"/>
    <x v="0"/>
  </r>
  <r>
    <n v="1042"/>
    <s v="RAJ1042"/>
    <n v="121"/>
    <s v="Patani Salim Gafarbhai"/>
    <x v="32"/>
    <d v="2017-02-04T00:00:00"/>
    <n v="71232"/>
    <s v="Market (49000)"/>
    <n v="2009"/>
    <x v="9"/>
    <s v="AMD"/>
    <s v="Ahmedabad"/>
    <s v="Pickup"/>
    <n v="12"/>
    <n v="133.33333333333334"/>
    <n v="9600"/>
    <n v="2213.3333333333335"/>
    <s v="Pickup"/>
    <s v="Mar"/>
    <s v="Not EMI"/>
    <n v="8"/>
    <n v="521680"/>
    <s v="Not EMI"/>
    <n v="0"/>
    <n v="1.5"/>
    <n v="13000"/>
    <n v="1"/>
    <n v="11900"/>
    <n v="24900"/>
    <s v="49000"/>
    <n v="49000"/>
    <n v="60813.333333333336"/>
    <x v="16"/>
    <x v="1"/>
    <n v="71236.190476190473"/>
    <x v="1"/>
    <n v="-83449.190476190473"/>
    <x v="0"/>
  </r>
  <r>
    <n v="1302"/>
    <s v="AMD1302"/>
    <n v="115"/>
    <s v="PATHAN PARVEZBHAI"/>
    <x v="33"/>
    <d v="2018-07-03T00:00:00"/>
    <n v="71231"/>
    <s v="EMI (4 yrs)"/>
    <n v="2018"/>
    <x v="3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0"/>
    <n v="18652.807530309175"/>
    <x v="6"/>
    <x v="6"/>
    <n v="18652.807530309175"/>
    <x v="34"/>
    <n v="13680.192469690825"/>
    <x v="1"/>
  </r>
  <r>
    <n v="1229"/>
    <s v="STV1229"/>
    <n v="118"/>
    <s v="Pravin Patil"/>
    <x v="34"/>
    <d v="2018-05-07T00:00:00"/>
    <n v="71231"/>
    <s v="Owned"/>
    <n v="2015"/>
    <x v="6"/>
    <s v="AMD"/>
    <s v="Ahmedabad"/>
    <s v="Tata Ace"/>
    <n v="14"/>
    <n v="114.28571428571429"/>
    <n v="8228.5714285714294"/>
    <n v="2194.2857142857142"/>
    <s v="Tata Ace"/>
    <s v="Own"/>
    <s v="Not EMI"/>
    <n v="3"/>
    <n v="321440"/>
    <s v="Not EMI"/>
    <n v="0"/>
    <n v="0.75"/>
    <n v="13000"/>
    <n v="1"/>
    <n v="11900"/>
    <n v="24900"/>
    <n v="0"/>
    <n v="0"/>
    <n v="10422.857142857143"/>
    <x v="10"/>
    <x v="9"/>
    <n v="10422.857142857143"/>
    <x v="35"/>
    <n v="204323.14285714284"/>
    <x v="1"/>
  </r>
  <r>
    <n v="1031"/>
    <s v="AMD1031"/>
    <n v="113"/>
    <s v="Pravin Thakor"/>
    <x v="35"/>
    <d v="2016-11-11T00:00:00"/>
    <n v="71235"/>
    <s v="Market (45000)"/>
    <n v="2014"/>
    <x v="1"/>
    <s v="AMD"/>
    <s v="Ahmedabad"/>
    <s v="Eicher 17"/>
    <n v="7"/>
    <n v="228.57142857142858"/>
    <n v="16457.142857142859"/>
    <n v="2308.5714285714284"/>
    <s v="Eicher 17"/>
    <s v="Mar"/>
    <s v="Not EMI"/>
    <n v="2"/>
    <n v="924000"/>
    <s v="Not EMI"/>
    <n v="0"/>
    <n v="4.5"/>
    <n v="13000"/>
    <n v="2"/>
    <n v="23800"/>
    <n v="36800"/>
    <s v="45000"/>
    <n v="45000"/>
    <n v="63765.71428571429"/>
    <x v="17"/>
    <x v="18"/>
    <n v="63765.714285714283"/>
    <x v="36"/>
    <n v="-74394.71428571429"/>
    <x v="0"/>
  </r>
  <r>
    <n v="1357"/>
    <s v="GNC1357"/>
    <n v="114"/>
    <s v="RAJENDRASINH L CHAVDA"/>
    <x v="36"/>
    <d v="2018-08-20T00:00:00"/>
    <n v="71231"/>
    <s v="Owned"/>
    <n v="2012"/>
    <x v="2"/>
    <s v="AMD"/>
    <s v="Ahmedabad"/>
    <s v="Tata Ace"/>
    <n v="14"/>
    <n v="114.28571428571429"/>
    <n v="8228.5714285714294"/>
    <n v="2194.2857142857142"/>
    <s v="Tata Ace"/>
    <s v="Own"/>
    <s v="Not EMI"/>
    <n v="6"/>
    <n v="321440"/>
    <s v="Not EMI"/>
    <n v="0"/>
    <n v="0.75"/>
    <n v="13000"/>
    <n v="1"/>
    <n v="11900"/>
    <n v="24900"/>
    <n v="0"/>
    <n v="0"/>
    <n v="10422.857142857143"/>
    <x v="10"/>
    <x v="9"/>
    <n v="10422.857142857143"/>
    <x v="37"/>
    <n v="-22354.857142857145"/>
    <x v="0"/>
  </r>
  <r>
    <n v="1328"/>
    <s v="BDQ1328"/>
    <n v="116"/>
    <s v="Rajesh Kumar Misra_Delivery"/>
    <x v="37"/>
    <d v="2018-08-06T00:00:00"/>
    <n v="71246"/>
    <s v="Owned"/>
    <n v="2014"/>
    <x v="4"/>
    <s v="AMD"/>
    <s v="Ahmedabad"/>
    <s v="Super ace"/>
    <n v="15"/>
    <n v="106.66666666666667"/>
    <n v="7680"/>
    <n v="2186.6666666666665"/>
    <s v="Super ace"/>
    <s v="Own"/>
    <s v="Not EMI"/>
    <n v="4"/>
    <n v="441600"/>
    <s v="Not EMI"/>
    <n v="0"/>
    <n v="1.2"/>
    <n v="13000"/>
    <n v="1"/>
    <n v="11900"/>
    <n v="24900"/>
    <n v="0"/>
    <n v="0"/>
    <n v="9866.6666666666661"/>
    <x v="11"/>
    <x v="11"/>
    <n v="9866.6666666666661"/>
    <x v="38"/>
    <n v="110070.33333333334"/>
    <x v="1"/>
  </r>
  <r>
    <n v="1329"/>
    <s v="BDQ1329"/>
    <n v="116"/>
    <s v="Rajesh Kumar Misra_Pickup"/>
    <x v="38"/>
    <d v="2018-08-06T00:00:00"/>
    <n v="71249"/>
    <s v="Market (52500)"/>
    <n v="2013"/>
    <x v="4"/>
    <s v="AMD"/>
    <s v="Ahmedabad"/>
    <s v="AL Dost"/>
    <n v="12"/>
    <n v="133.33333333333334"/>
    <n v="9600"/>
    <n v="2213.3333333333335"/>
    <s v="AL Dost"/>
    <s v="Mar"/>
    <s v="Not EMI"/>
    <n v="5"/>
    <n v="401600"/>
    <s v="Not EMI"/>
    <n v="0"/>
    <n v="1.25"/>
    <n v="13000"/>
    <n v="1"/>
    <n v="11900"/>
    <n v="24900"/>
    <s v="52500"/>
    <n v="52500"/>
    <n v="64313.333333333336"/>
    <x v="18"/>
    <x v="19"/>
    <n v="64313.333333333336"/>
    <x v="39"/>
    <n v="-3452.333333333343"/>
    <x v="0"/>
  </r>
  <r>
    <n v="1344"/>
    <s v="JND1344"/>
    <n v="124"/>
    <s v="RAKIB GULAMKADAR BLOCH"/>
    <x v="39"/>
    <d v="2018-08-20T00:00:00"/>
    <n v="71231"/>
    <s v="Owned"/>
    <n v="2010"/>
    <x v="12"/>
    <s v="AMD"/>
    <s v="Ahmedabad"/>
    <s v="Tata Ace"/>
    <n v="14"/>
    <n v="114.28571428571429"/>
    <n v="8228.5714285714294"/>
    <n v="2194.2857142857142"/>
    <s v="Tata Ace"/>
    <s v="Own"/>
    <s v="Not EMI"/>
    <n v="8"/>
    <n v="321440"/>
    <s v="Not EMI"/>
    <n v="0"/>
    <n v="0.75"/>
    <n v="13000"/>
    <n v="1"/>
    <n v="11900"/>
    <n v="24900"/>
    <n v="0"/>
    <n v="0"/>
    <n v="10422.857142857143"/>
    <x v="10"/>
    <x v="9"/>
    <n v="10422.857142857143"/>
    <x v="40"/>
    <n v="-29034.857142857145"/>
    <x v="0"/>
  </r>
  <r>
    <n v="1240"/>
    <s v="MSH1240"/>
    <n v="125"/>
    <s v="SADHU RAM KARGWAL"/>
    <x v="40"/>
    <d v="2018-05-24T00:00:00"/>
    <n v="71243"/>
    <s v="EMI (4 yrs)"/>
    <n v="2018"/>
    <x v="13"/>
    <s v="AMD"/>
    <s v="Ahmedabad"/>
    <s v="Mahindra"/>
    <n v="12"/>
    <n v="133.33333333333334"/>
    <n v="9600"/>
    <n v="2213.3333333333335"/>
    <s v="Mahindra"/>
    <s v="EMI"/>
    <s v="4 "/>
    <n v="0"/>
    <n v="601600"/>
    <n v="2022"/>
    <n v="15402.993258745464"/>
    <n v="1.5"/>
    <n v="13000"/>
    <n v="1"/>
    <n v="11900"/>
    <n v="24900"/>
    <n v="0"/>
    <n v="0"/>
    <n v="27216.326592078796"/>
    <x v="4"/>
    <x v="20"/>
    <n v="39029.659925412132"/>
    <x v="41"/>
    <n v="-64747.659925412125"/>
    <x v="0"/>
  </r>
  <r>
    <n v="1240"/>
    <s v="MSH1240"/>
    <n v="125"/>
    <s v="SADHU RAM KARGWAL"/>
    <x v="40"/>
    <d v="2018-05-24T00:00:00"/>
    <n v="71243"/>
    <s v="Owned"/>
    <n v="2017"/>
    <x v="13"/>
    <s v="AMD"/>
    <s v="Ahmedabad"/>
    <s v="Mahindra"/>
    <n v="12"/>
    <n v="133.33333333333334"/>
    <n v="9600"/>
    <n v="2213.3333333333335"/>
    <s v="Mahindra"/>
    <s v="Own"/>
    <s v="Not EMI"/>
    <n v="1"/>
    <n v="601600"/>
    <s v="Not EMI"/>
    <n v="0"/>
    <n v="1.5"/>
    <n v="13000"/>
    <n v="1"/>
    <n v="11900"/>
    <n v="24900"/>
    <n v="0"/>
    <n v="0"/>
    <n v="11813.333333333334"/>
    <x v="12"/>
    <x v="1"/>
    <n v="39029.659925412132"/>
    <x v="1"/>
    <n v="-64747.659925412125"/>
    <x v="0"/>
  </r>
  <r>
    <n v="1237"/>
    <s v="AMD1237"/>
    <n v="113"/>
    <s v="SANDEEP KUMAR"/>
    <x v="41"/>
    <d v="2018-05-21T00:00:00"/>
    <n v="71235"/>
    <s v="EMI (4 yrs)"/>
    <n v="2007"/>
    <x v="1"/>
    <s v="AMD"/>
    <s v="Ahmedabad"/>
    <s v="Eicher 17"/>
    <n v="7"/>
    <n v="228.57142857142858"/>
    <n v="16457.142857142859"/>
    <n v="2308.5714285714284"/>
    <s v="Eicher 17"/>
    <s v="EMI"/>
    <s v="4 "/>
    <n v="11"/>
    <n v="924000"/>
    <n v="2011"/>
    <n v="23657.522890759326"/>
    <n v="4.5"/>
    <n v="13000"/>
    <n v="2"/>
    <n v="23800"/>
    <n v="36800"/>
    <n v="0"/>
    <n v="0"/>
    <n v="42423.237176473616"/>
    <x v="3"/>
    <x v="3"/>
    <n v="42423.237176473616"/>
    <x v="42"/>
    <n v="-17437.237176473616"/>
    <x v="0"/>
  </r>
  <r>
    <n v="1338"/>
    <s v="AMD1338"/>
    <n v="115"/>
    <s v="SHEKH JENULABEDEEN BADRUDIN"/>
    <x v="42"/>
    <d v="2018-08-18T00:00:00"/>
    <n v="71243"/>
    <s v="EMI (4 yrs)"/>
    <n v="2018"/>
    <x v="3"/>
    <s v="AMD"/>
    <s v="Ahmedabad"/>
    <s v="Mahindra"/>
    <n v="12"/>
    <n v="133.33333333333334"/>
    <n v="9600"/>
    <n v="2213.3333333333335"/>
    <s v="Mahindra"/>
    <s v="EMI"/>
    <s v="4 "/>
    <n v="0"/>
    <n v="601600"/>
    <n v="2022"/>
    <n v="15402.993258745464"/>
    <n v="1.5"/>
    <n v="13000"/>
    <n v="1"/>
    <n v="11900"/>
    <n v="24900"/>
    <n v="0"/>
    <n v="0"/>
    <n v="27216.326592078796"/>
    <x v="4"/>
    <x v="4"/>
    <n v="27216.326592078796"/>
    <x v="43"/>
    <n v="-20915.326592078796"/>
    <x v="0"/>
  </r>
  <r>
    <n v="1367"/>
    <s v="BDQ1367"/>
    <n v="116"/>
    <s v="Shekh Seemabanu Mohammad"/>
    <x v="43"/>
    <d v="2018-08-21T00:00:00"/>
    <n v="71249"/>
    <s v="Owned"/>
    <n v="2013"/>
    <x v="4"/>
    <s v="AMD"/>
    <s v="Ahmedabad"/>
    <s v="AL Dost"/>
    <n v="12"/>
    <n v="133.33333333333334"/>
    <n v="9600"/>
    <n v="2213.3333333333335"/>
    <s v="AL Dost"/>
    <s v="Own"/>
    <s v="Not EMI"/>
    <n v="5"/>
    <n v="401600"/>
    <s v="Not EMI"/>
    <n v="0"/>
    <n v="1.25"/>
    <n v="13000"/>
    <n v="1"/>
    <n v="11900"/>
    <n v="24900"/>
    <n v="0"/>
    <n v="0"/>
    <n v="11813.333333333334"/>
    <x v="12"/>
    <x v="12"/>
    <n v="11813.333333333334"/>
    <x v="44"/>
    <n v="-4376.3333333333358"/>
    <x v="0"/>
  </r>
  <r>
    <n v="1299"/>
    <s v="STV1299"/>
    <n v="118"/>
    <s v="Siddhant Subhash Borse"/>
    <x v="44"/>
    <d v="2018-07-02T00:00:00"/>
    <n v="71231"/>
    <s v="EMI (4 yrs)"/>
    <n v="2018"/>
    <x v="6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0"/>
    <n v="18652.807530309175"/>
    <x v="6"/>
    <x v="6"/>
    <n v="18652.807530309175"/>
    <x v="45"/>
    <n v="-8434.8075303091755"/>
    <x v="0"/>
  </r>
  <r>
    <n v="1330"/>
    <s v="AMD1330"/>
    <n v="115"/>
    <s v="SURESHBHAI RAJABHAI BHARWAD"/>
    <x v="45"/>
    <d v="2018-08-13T00:00:00"/>
    <n v="71232"/>
    <s v="EMI (4 yrs)"/>
    <n v="2017"/>
    <x v="3"/>
    <s v="AMD"/>
    <s v="Ahmedabad"/>
    <s v="Pickup"/>
    <n v="12"/>
    <n v="133.33333333333334"/>
    <n v="9600"/>
    <n v="2213.3333333333335"/>
    <s v="Pickup"/>
    <s v="EMI"/>
    <s v="4 "/>
    <n v="1"/>
    <n v="521680"/>
    <n v="2021"/>
    <n v="13356.771148973296"/>
    <n v="1.5"/>
    <n v="13000"/>
    <n v="1"/>
    <n v="11900"/>
    <n v="24900"/>
    <n v="0"/>
    <n v="0"/>
    <n v="25170.10448230663"/>
    <x v="19"/>
    <x v="21"/>
    <n v="113462.47578116821"/>
    <x v="46"/>
    <n v="-48337.475781168207"/>
    <x v="0"/>
  </r>
  <r>
    <n v="1330"/>
    <s v="AMD1330"/>
    <n v="115"/>
    <s v="SURESHBHAI RAJABHAI BHARWAD"/>
    <x v="45"/>
    <d v="2018-08-13T00:00:00"/>
    <n v="71231"/>
    <s v="EMI (4 yrs)"/>
    <n v="2018"/>
    <x v="3"/>
    <s v="AMD"/>
    <s v="Ahmedabad"/>
    <s v="Tata Ace"/>
    <n v="14"/>
    <n v="114.28571428571429"/>
    <n v="8228.5714285714294"/>
    <n v="2194.2857142857142"/>
    <s v="Tata Ace"/>
    <s v="EMI"/>
    <s v="4 "/>
    <n v="0"/>
    <n v="321440"/>
    <n v="2022"/>
    <n v="8229.9503874520324"/>
    <n v="0.75"/>
    <n v="13000"/>
    <n v="1"/>
    <n v="11900"/>
    <n v="24900"/>
    <n v="0"/>
    <n v="0"/>
    <n v="18652.807530309175"/>
    <x v="6"/>
    <x v="1"/>
    <n v="113462.47578116821"/>
    <x v="1"/>
    <n v="-48337.475781168207"/>
    <x v="0"/>
  </r>
  <r>
    <n v="1330"/>
    <s v="AMD1330"/>
    <n v="115"/>
    <s v="SURESHBHAI RAJABHAI BHARWAD"/>
    <x v="45"/>
    <d v="2018-08-13T00:00:00"/>
    <n v="71235"/>
    <s v="EMI (4 yrs)"/>
    <n v="2018"/>
    <x v="3"/>
    <s v="AMD"/>
    <s v="Ahmedabad"/>
    <s v="Eicher 17"/>
    <n v="7"/>
    <n v="228.57142857142858"/>
    <n v="16457.142857142859"/>
    <n v="2308.5714285714284"/>
    <s v="Eicher 17"/>
    <s v="EMI"/>
    <s v="4 "/>
    <n v="0"/>
    <n v="924000"/>
    <n v="2022"/>
    <n v="23657.522890759326"/>
    <n v="4.5"/>
    <n v="13000"/>
    <n v="2"/>
    <n v="23800"/>
    <n v="36800"/>
    <n v="0"/>
    <n v="0"/>
    <n v="42423.237176473616"/>
    <x v="3"/>
    <x v="1"/>
    <n v="113462.47578116821"/>
    <x v="1"/>
    <n v="-48337.475781168207"/>
    <x v="0"/>
  </r>
  <r>
    <n v="1330"/>
    <s v="AMD1330"/>
    <n v="115"/>
    <s v="SURESHBHAI RAJABHAI BHARWAD"/>
    <x v="45"/>
    <d v="2018-08-13T00:00:00"/>
    <n v="71243"/>
    <s v="EMI (4 yrs)"/>
    <n v="2017"/>
    <x v="3"/>
    <s v="AMD"/>
    <s v="Ahmedabad"/>
    <s v="Mahindra"/>
    <n v="12"/>
    <n v="133.33333333333334"/>
    <n v="9600"/>
    <n v="2213.3333333333335"/>
    <s v="Mahindra"/>
    <s v="EMI"/>
    <s v="4 "/>
    <n v="1"/>
    <n v="601600"/>
    <n v="2021"/>
    <n v="15402.993258745464"/>
    <n v="1.5"/>
    <n v="13000"/>
    <n v="1"/>
    <n v="11900"/>
    <n v="24900"/>
    <n v="0"/>
    <n v="0"/>
    <n v="27216.326592078796"/>
    <x v="4"/>
    <x v="1"/>
    <n v="113462.47578116821"/>
    <x v="1"/>
    <n v="-48337.475781168207"/>
    <x v="0"/>
  </r>
  <r>
    <n v="1331"/>
    <s v="AMD1331"/>
    <n v="119"/>
    <s v="SWAPNIL PANDEY_BP"/>
    <x v="46"/>
    <d v="2018-08-09T00:00:00"/>
    <n v="71243"/>
    <s v="Owned"/>
    <n v="2018"/>
    <x v="7"/>
    <s v="AMD"/>
    <s v="Ahmedabad"/>
    <s v="Mahindra"/>
    <n v="12"/>
    <n v="133.33333333333334"/>
    <n v="9600"/>
    <n v="2213.3333333333335"/>
    <s v="Mahindra"/>
    <s v="Own"/>
    <s v="Not EMI"/>
    <n v="0"/>
    <n v="601600"/>
    <s v="Not EMI"/>
    <n v="0"/>
    <n v="1.5"/>
    <n v="13000"/>
    <n v="1"/>
    <n v="11900"/>
    <n v="24900"/>
    <n v="0"/>
    <n v="0"/>
    <n v="11813.333333333334"/>
    <x v="12"/>
    <x v="22"/>
    <n v="23626.666666666668"/>
    <x v="47"/>
    <n v="98.333333333328483"/>
    <x v="2"/>
  </r>
  <r>
    <n v="1331"/>
    <s v="AMD1331"/>
    <n v="119"/>
    <s v="SWAPNIL PANDEY_BP"/>
    <x v="46"/>
    <d v="2018-08-09T00:00:00"/>
    <n v="71243"/>
    <s v="Owned"/>
    <n v="2005"/>
    <x v="7"/>
    <s v="AMD"/>
    <s v="Ahmedabad"/>
    <s v="Mahindra"/>
    <n v="12"/>
    <n v="133.33333333333334"/>
    <n v="9600"/>
    <n v="2213.3333333333335"/>
    <s v="Mahindra"/>
    <s v="Own"/>
    <s v="Not EMI"/>
    <n v="13"/>
    <n v="601600"/>
    <s v="Not EMI"/>
    <n v="0"/>
    <n v="1.5"/>
    <n v="13000"/>
    <n v="1"/>
    <n v="11900"/>
    <n v="24900"/>
    <n v="0"/>
    <n v="0"/>
    <n v="11813.333333333334"/>
    <x v="12"/>
    <x v="1"/>
    <n v="23626.666666666668"/>
    <x v="1"/>
    <n v="98.333333333328483"/>
    <x v="2"/>
  </r>
  <r>
    <n v="1105"/>
    <s v="VAP1105"/>
    <n v="112"/>
    <s v="VIKAS AGARWAL"/>
    <x v="47"/>
    <d v="2017-09-16T00:00:00"/>
    <n v="71238"/>
    <s v="EMI (4 yrs)"/>
    <n v="2008"/>
    <x v="0"/>
    <s v="AMD"/>
    <s v="Ahmedabad"/>
    <s v="Eicher 20"/>
    <n v="6"/>
    <n v="266.66666666666669"/>
    <n v="19200"/>
    <n v="2346.666666666667"/>
    <s v="Eicher 20"/>
    <s v="EMI"/>
    <s v="4 "/>
    <n v="9"/>
    <n v="1003600"/>
    <n v="2012"/>
    <n v="25695.55191901089"/>
    <n v="6.5"/>
    <n v="13000"/>
    <n v="2"/>
    <n v="23800"/>
    <n v="36800"/>
    <n v="0"/>
    <n v="0"/>
    <n v="47242.218585677561"/>
    <x v="20"/>
    <x v="23"/>
    <n v="47242.218585677561"/>
    <x v="48"/>
    <n v="-23159.218585677561"/>
    <x v="0"/>
  </r>
  <r>
    <n v="1104"/>
    <s v="AMD1104"/>
    <n v="120"/>
    <s v="VIRENDRA SOLANKI"/>
    <x v="48"/>
    <d v="2017-09-15T00:00:00"/>
    <n v="71249"/>
    <s v="EMI (4 yrs)"/>
    <n v="2017"/>
    <x v="8"/>
    <s v="AMD"/>
    <s v="Ahmedabad"/>
    <s v="AL Dost"/>
    <n v="12"/>
    <n v="133.33333333333334"/>
    <n v="9600"/>
    <n v="2213.3333333333335"/>
    <s v="AL Dost"/>
    <s v="EMI"/>
    <s v="4 "/>
    <n v="0"/>
    <n v="401600"/>
    <n v="2021"/>
    <n v="10282.31730836466"/>
    <n v="1.25"/>
    <n v="13000"/>
    <n v="1"/>
    <n v="11900"/>
    <n v="24900"/>
    <n v="0"/>
    <n v="0"/>
    <n v="22095.650641697994"/>
    <x v="5"/>
    <x v="5"/>
    <n v="22095.650641697994"/>
    <x v="49"/>
    <n v="-31497.650641697997"/>
    <x v="0"/>
  </r>
  <r>
    <n v="1171"/>
    <s v="AMD1171"/>
    <n v="120"/>
    <s v="Visharad Chauhan"/>
    <x v="49"/>
    <d v="2018-03-07T00:00:00"/>
    <n v="71249"/>
    <s v="EMI (4 yrs)"/>
    <n v="2017"/>
    <x v="8"/>
    <s v="AMD"/>
    <s v="Ahmedabad"/>
    <s v="AL Dost"/>
    <n v="12"/>
    <n v="133.33333333333334"/>
    <n v="9600"/>
    <n v="2213.3333333333335"/>
    <s v="AL Dost"/>
    <s v="EMI"/>
    <s v="4 "/>
    <n v="1"/>
    <n v="401600"/>
    <n v="2021"/>
    <n v="10282.31730836466"/>
    <n v="1.25"/>
    <n v="13000"/>
    <n v="1"/>
    <n v="11900"/>
    <n v="24900"/>
    <n v="0"/>
    <n v="0"/>
    <n v="22095.650641697994"/>
    <x v="5"/>
    <x v="5"/>
    <n v="22095.650641697994"/>
    <x v="50"/>
    <n v="-32443.650641697997"/>
    <x v="0"/>
  </r>
  <r>
    <n v="1151"/>
    <s v="BDQ1151"/>
    <n v="116"/>
    <s v="ZAINULSHA.M.DIWAN"/>
    <x v="50"/>
    <d v="2018-01-20T00:00:00"/>
    <n v="71234"/>
    <s v="Market (68000)"/>
    <n v="2013"/>
    <x v="4"/>
    <s v="AMD"/>
    <s v="Ahmedabad"/>
    <s v="Eicher 14"/>
    <n v="8"/>
    <n v="200"/>
    <n v="14400"/>
    <n v="2280"/>
    <s v="Eicher 14"/>
    <s v="Mar"/>
    <s v="Not EMI"/>
    <n v="5"/>
    <n v="603200"/>
    <s v="Not EMI"/>
    <n v="0"/>
    <n v="2.5"/>
    <n v="13000"/>
    <n v="2"/>
    <n v="23800"/>
    <n v="36800"/>
    <s v="68000"/>
    <n v="68000"/>
    <n v="84680"/>
    <x v="21"/>
    <x v="24"/>
    <n v="84680"/>
    <x v="51"/>
    <n v="-8638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DDDDA-D0CF-416C-8589-7E4D261C8FD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A5:B19" firstHeaderRow="1" firstDataRow="1" firstDataCol="1"/>
  <pivotFields count="38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5">
        <item x="1"/>
        <item x="7"/>
        <item x="11"/>
        <item x="10"/>
        <item x="2"/>
        <item x="5"/>
        <item x="12"/>
        <item x="13"/>
        <item x="9"/>
        <item x="3"/>
        <item x="8"/>
        <item x="6"/>
        <item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numFmtId="1" outline="0" showAll="0"/>
    <pivotField compact="0" numFmtId="167" outline="0" showAll="0"/>
    <pivotField compact="0" numFmtId="166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23">
        <item x="11"/>
        <item x="10"/>
        <item x="12"/>
        <item x="6"/>
        <item x="1"/>
        <item x="14"/>
        <item x="5"/>
        <item x="19"/>
        <item x="4"/>
        <item x="15"/>
        <item x="13"/>
        <item x="9"/>
        <item x="0"/>
        <item x="3"/>
        <item x="20"/>
        <item x="8"/>
        <item x="7"/>
        <item x="16"/>
        <item x="18"/>
        <item x="17"/>
        <item x="2"/>
        <item x="21"/>
        <item t="default"/>
      </items>
    </pivotField>
    <pivotField compact="0" outline="0" showAll="0">
      <items count="26">
        <item x="11"/>
        <item x="9"/>
        <item x="12"/>
        <item x="6"/>
        <item x="13"/>
        <item x="5"/>
        <item x="22"/>
        <item x="16"/>
        <item x="4"/>
        <item x="20"/>
        <item x="3"/>
        <item x="7"/>
        <item x="23"/>
        <item x="14"/>
        <item x="0"/>
        <item x="18"/>
        <item x="19"/>
        <item x="17"/>
        <item x="10"/>
        <item x="15"/>
        <item x="2"/>
        <item x="24"/>
        <item x="21"/>
        <item x="8"/>
        <item x="1"/>
        <item t="default"/>
      </items>
    </pivotField>
    <pivotField compact="0" numFmtId="2" outline="0" showAll="0"/>
    <pivotField dataField="1" compact="0" numFmtId="168" outline="0" showAll="0">
      <items count="53">
        <item x="9"/>
        <item x="51"/>
        <item x="33"/>
        <item x="36"/>
        <item x="41"/>
        <item x="12"/>
        <item x="46"/>
        <item x="7"/>
        <item x="5"/>
        <item x="18"/>
        <item x="50"/>
        <item x="49"/>
        <item x="29"/>
        <item x="16"/>
        <item x="40"/>
        <item x="32"/>
        <item x="28"/>
        <item x="13"/>
        <item x="48"/>
        <item x="37"/>
        <item x="43"/>
        <item x="27"/>
        <item x="6"/>
        <item x="14"/>
        <item x="42"/>
        <item x="0"/>
        <item x="45"/>
        <item x="11"/>
        <item x="15"/>
        <item x="44"/>
        <item x="39"/>
        <item x="47"/>
        <item x="26"/>
        <item x="34"/>
        <item x="25"/>
        <item x="30"/>
        <item x="20"/>
        <item x="4"/>
        <item x="8"/>
        <item x="3"/>
        <item x="2"/>
        <item x="31"/>
        <item x="21"/>
        <item x="23"/>
        <item x="10"/>
        <item x="24"/>
        <item x="17"/>
        <item x="38"/>
        <item x="22"/>
        <item x="19"/>
        <item x="35"/>
        <item x="1"/>
        <item t="default"/>
      </items>
    </pivotField>
    <pivotField compact="0" numFmtId="2" outline="0" showAll="0"/>
    <pivotField compact="0" outline="0" showAll="0">
      <items count="4">
        <item x="2"/>
        <item x="1"/>
        <item x="0"/>
        <item t="default"/>
      </items>
    </pivotField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Sum of Profit (Rs.)" fld="35" baseField="9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formats count="8">
    <format dxfId="9">
      <pivotArea type="all" dataOnly="0" outline="0" fieldPosition="0"/>
    </format>
    <format dxfId="8">
      <pivotArea outline="0" collapsedLevelsAreSubtotals="1" fieldPosition="0"/>
    </format>
    <format dxfId="7">
      <pivotArea field="37" type="button" dataOnly="0" labelOnly="1" outline="0"/>
    </format>
    <format dxfId="6">
      <pivotArea field="4" type="button" dataOnly="0" labelOnly="1" outline="0"/>
    </format>
    <format dxfId="5">
      <pivotArea dataOnly="0" labelOnly="1" outline="0" axis="axisValues" fieldPosition="0"/>
    </format>
    <format dxfId="4">
      <pivotArea field="37" type="button" dataOnly="0" labelOnly="1" outline="0"/>
    </format>
    <format dxfId="3">
      <pivotArea field="4" type="button" dataOnly="0" labelOnly="1" outline="0"/>
    </format>
    <format dxfId="2">
      <pivotArea dataOnly="0" labelOnly="1" outline="0" axis="axisValues" fieldPosition="0"/>
    </format>
  </formats>
  <pivotTableStyleInfo name="PivotStyleMedium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0D9-FA5E-410C-B3D4-66A0844A71F0}">
  <sheetPr>
    <tabColor rgb="FFCC0000"/>
    <outlinePr summaryBelow="0" summaryRight="0"/>
  </sheetPr>
  <dimension ref="A1:AY74"/>
  <sheetViews>
    <sheetView showGridLines="0" zoomScale="68" zoomScaleNormal="68" workbookViewId="0">
      <pane xSplit="9" ySplit="4" topLeftCell="J5" activePane="bottomRight" state="frozen"/>
      <selection pane="topRight" activeCell="I1" sqref="I1"/>
      <selection pane="bottomLeft" activeCell="A5" sqref="A5"/>
      <selection pane="bottomRight" activeCell="AN17" sqref="AN17"/>
    </sheetView>
  </sheetViews>
  <sheetFormatPr defaultColWidth="12.5703125" defaultRowHeight="15.75" customHeight="1" x14ac:dyDescent="0.2"/>
  <cols>
    <col min="1" max="1" width="9.42578125" bestFit="1" customWidth="1"/>
    <col min="2" max="2" width="13.7109375" bestFit="1" customWidth="1"/>
    <col min="3" max="3" width="15.42578125" bestFit="1" customWidth="1"/>
    <col min="4" max="4" width="42.5703125" hidden="1" customWidth="1"/>
    <col min="5" max="5" width="34.140625" bestFit="1" customWidth="1"/>
    <col min="6" max="6" width="24" bestFit="1" customWidth="1"/>
    <col min="7" max="7" width="23.42578125" bestFit="1" customWidth="1"/>
    <col min="8" max="8" width="23.28515625" bestFit="1" customWidth="1"/>
    <col min="9" max="9" width="34" bestFit="1" customWidth="1"/>
    <col min="10" max="10" width="21.5703125" bestFit="1" customWidth="1"/>
    <col min="11" max="11" width="19.140625" bestFit="1" customWidth="1"/>
    <col min="12" max="12" width="13.42578125" bestFit="1" customWidth="1"/>
    <col min="13" max="13" width="19.42578125" bestFit="1" customWidth="1"/>
    <col min="14" max="14" width="20.85546875" bestFit="1" customWidth="1"/>
    <col min="15" max="15" width="26.28515625" bestFit="1" customWidth="1"/>
    <col min="16" max="16" width="21.85546875" bestFit="1" customWidth="1"/>
    <col min="17" max="17" width="26.85546875" bestFit="1" customWidth="1"/>
    <col min="18" max="18" width="22.28515625" bestFit="1" customWidth="1"/>
    <col min="19" max="19" width="22" bestFit="1" customWidth="1"/>
    <col min="20" max="20" width="29.42578125" bestFit="1" customWidth="1"/>
    <col min="21" max="21" width="22" bestFit="1" customWidth="1"/>
    <col min="22" max="22" width="32.28515625" bestFit="1" customWidth="1"/>
    <col min="23" max="23" width="19.42578125" bestFit="1" customWidth="1"/>
    <col min="24" max="24" width="15.85546875" bestFit="1" customWidth="1"/>
    <col min="25" max="25" width="33.7109375" bestFit="1" customWidth="1"/>
    <col min="26" max="26" width="26.28515625" bestFit="1" customWidth="1"/>
    <col min="27" max="27" width="12.7109375" bestFit="1" customWidth="1"/>
    <col min="28" max="28" width="28" bestFit="1" customWidth="1"/>
    <col min="29" max="29" width="29.7109375" bestFit="1" customWidth="1"/>
    <col min="30" max="30" width="10.85546875" hidden="1" customWidth="1"/>
    <col min="31" max="31" width="30.85546875" bestFit="1" customWidth="1"/>
    <col min="32" max="32" width="26.28515625" bestFit="1" customWidth="1"/>
    <col min="33" max="33" width="22.7109375" bestFit="1" customWidth="1"/>
    <col min="34" max="34" width="26.5703125" bestFit="1" customWidth="1"/>
    <col min="35" max="35" width="20.140625" hidden="1" customWidth="1"/>
    <col min="36" max="36" width="16.28515625" customWidth="1"/>
    <col min="37" max="37" width="22.85546875" hidden="1" customWidth="1"/>
    <col min="38" max="38" width="18.7109375" bestFit="1" customWidth="1"/>
  </cols>
  <sheetData>
    <row r="1" spans="1:51" ht="12.75" x14ac:dyDescent="0.2">
      <c r="A1" s="9"/>
      <c r="B1" s="9"/>
      <c r="C1" s="9"/>
      <c r="D1" s="9"/>
      <c r="E1" s="9"/>
      <c r="F1" s="9"/>
      <c r="G1" s="9"/>
      <c r="H1" s="9"/>
      <c r="I1" s="9"/>
      <c r="J1" s="68" t="s">
        <v>159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E1" s="68" t="s">
        <v>158</v>
      </c>
      <c r="AF1" s="68"/>
      <c r="AG1" s="68"/>
      <c r="AH1" s="68" t="s">
        <v>161</v>
      </c>
      <c r="AI1" s="68"/>
      <c r="AJ1" s="68"/>
      <c r="AK1" s="1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ht="12.75" x14ac:dyDescent="0.2">
      <c r="A2" s="9"/>
      <c r="B2" s="9"/>
      <c r="C2" s="9"/>
      <c r="D2" s="9"/>
      <c r="E2" s="9"/>
      <c r="F2" s="9"/>
      <c r="G2" s="9"/>
      <c r="H2" s="9"/>
      <c r="I2" s="9"/>
      <c r="J2" s="76" t="s">
        <v>154</v>
      </c>
      <c r="K2" s="71"/>
      <c r="L2" s="71"/>
      <c r="M2" s="71"/>
      <c r="N2" s="71"/>
      <c r="O2" s="71"/>
      <c r="P2" s="71"/>
      <c r="Q2" s="7" t="s">
        <v>157</v>
      </c>
      <c r="R2" s="77" t="s">
        <v>156</v>
      </c>
      <c r="S2" s="71"/>
      <c r="T2" s="71"/>
      <c r="U2" s="71"/>
      <c r="V2" s="71"/>
      <c r="W2" s="71"/>
      <c r="X2" s="71"/>
      <c r="Y2" s="70" t="s">
        <v>155</v>
      </c>
      <c r="Z2" s="71"/>
      <c r="AA2" s="71"/>
      <c r="AB2" s="71"/>
      <c r="AC2" s="71"/>
      <c r="AE2" s="69" t="s">
        <v>154</v>
      </c>
      <c r="AF2" s="69"/>
      <c r="AG2" s="69"/>
      <c r="AH2" s="69"/>
      <c r="AI2" s="69"/>
      <c r="AJ2" s="69"/>
      <c r="AK2" s="3"/>
    </row>
    <row r="3" spans="1:51" ht="12.75" x14ac:dyDescent="0.2">
      <c r="A3" s="9"/>
      <c r="B3" s="9"/>
      <c r="C3" s="9"/>
      <c r="D3" s="9"/>
      <c r="E3" s="9"/>
      <c r="F3" s="9"/>
      <c r="G3" s="9"/>
      <c r="H3" s="9"/>
      <c r="I3" s="9"/>
      <c r="J3" s="74" t="s">
        <v>144</v>
      </c>
      <c r="K3" s="73"/>
      <c r="L3" s="73"/>
      <c r="M3" s="73"/>
      <c r="N3" s="8" t="s">
        <v>143</v>
      </c>
      <c r="O3" s="74" t="s">
        <v>142</v>
      </c>
      <c r="P3" s="73"/>
      <c r="Q3" s="7" t="s">
        <v>153</v>
      </c>
      <c r="R3" s="72" t="s">
        <v>152</v>
      </c>
      <c r="S3" s="73"/>
      <c r="T3" s="72" t="s">
        <v>151</v>
      </c>
      <c r="U3" s="73"/>
      <c r="V3" s="6" t="s">
        <v>150</v>
      </c>
      <c r="W3" s="5" t="s">
        <v>149</v>
      </c>
      <c r="X3" s="5" t="s">
        <v>148</v>
      </c>
      <c r="Y3" s="4" t="s">
        <v>147</v>
      </c>
      <c r="Z3" s="4"/>
      <c r="AA3" s="75" t="s">
        <v>146</v>
      </c>
      <c r="AB3" s="73"/>
      <c r="AC3" s="4" t="s">
        <v>145</v>
      </c>
      <c r="AE3" s="3" t="s">
        <v>144</v>
      </c>
      <c r="AF3" s="3" t="s">
        <v>143</v>
      </c>
      <c r="AG3" s="3" t="s">
        <v>142</v>
      </c>
      <c r="AH3" s="3" t="s">
        <v>144</v>
      </c>
      <c r="AI3" s="3"/>
      <c r="AJ3" s="3" t="s">
        <v>143</v>
      </c>
      <c r="AK3" s="3"/>
    </row>
    <row r="4" spans="1:51" ht="15.75" customHeight="1" x14ac:dyDescent="0.25">
      <c r="A4" s="14" t="s">
        <v>141</v>
      </c>
      <c r="B4" s="14" t="s">
        <v>140</v>
      </c>
      <c r="C4" s="14" t="s">
        <v>139</v>
      </c>
      <c r="D4" s="14" t="s">
        <v>138</v>
      </c>
      <c r="E4" s="14" t="s">
        <v>160</v>
      </c>
      <c r="F4" s="14" t="s">
        <v>137</v>
      </c>
      <c r="G4" s="14" t="s">
        <v>136</v>
      </c>
      <c r="H4" s="14" t="s">
        <v>135</v>
      </c>
      <c r="I4" s="14" t="s">
        <v>134</v>
      </c>
      <c r="J4" s="15" t="s">
        <v>133</v>
      </c>
      <c r="K4" s="15" t="s">
        <v>132</v>
      </c>
      <c r="L4" s="15" t="s">
        <v>131</v>
      </c>
      <c r="M4" s="15" t="s">
        <v>130</v>
      </c>
      <c r="N4" s="15" t="s">
        <v>129</v>
      </c>
      <c r="O4" s="15" t="s">
        <v>128</v>
      </c>
      <c r="P4" s="15" t="s">
        <v>127</v>
      </c>
      <c r="Q4" s="16" t="s">
        <v>126</v>
      </c>
      <c r="R4" s="17" t="s">
        <v>125</v>
      </c>
      <c r="S4" s="17" t="s">
        <v>124</v>
      </c>
      <c r="T4" s="17" t="s">
        <v>123</v>
      </c>
      <c r="U4" s="17" t="s">
        <v>122</v>
      </c>
      <c r="V4" s="17" t="s">
        <v>121</v>
      </c>
      <c r="W4" s="17" t="s">
        <v>120</v>
      </c>
      <c r="X4" s="17" t="s">
        <v>119</v>
      </c>
      <c r="Y4" s="18" t="s">
        <v>118</v>
      </c>
      <c r="Z4" s="18" t="s">
        <v>117</v>
      </c>
      <c r="AA4" s="18" t="s">
        <v>116</v>
      </c>
      <c r="AB4" s="18" t="s">
        <v>115</v>
      </c>
      <c r="AC4" s="18" t="s">
        <v>114</v>
      </c>
      <c r="AD4" s="19" t="s">
        <v>166</v>
      </c>
      <c r="AE4" s="12" t="s">
        <v>113</v>
      </c>
      <c r="AF4" s="12" t="s">
        <v>112</v>
      </c>
      <c r="AG4" s="12" t="s">
        <v>111</v>
      </c>
      <c r="AH4" s="20" t="s">
        <v>184</v>
      </c>
      <c r="AI4" s="20" t="s">
        <v>167</v>
      </c>
      <c r="AJ4" s="20" t="s">
        <v>162</v>
      </c>
      <c r="AK4" s="21" t="s">
        <v>168</v>
      </c>
      <c r="AL4" s="21" t="s">
        <v>163</v>
      </c>
    </row>
    <row r="5" spans="1:51" ht="15.75" customHeight="1" x14ac:dyDescent="0.25">
      <c r="A5" s="22">
        <v>1332</v>
      </c>
      <c r="B5" s="22" t="s">
        <v>110</v>
      </c>
      <c r="C5" s="22">
        <v>112</v>
      </c>
      <c r="D5" s="22" t="s">
        <v>109</v>
      </c>
      <c r="E5" s="22" t="str">
        <f>PROPER(D5)</f>
        <v>Agarwal Sugandha Amit</v>
      </c>
      <c r="F5" s="23">
        <v>43325</v>
      </c>
      <c r="G5" s="22">
        <v>71234</v>
      </c>
      <c r="H5" s="22" t="s">
        <v>108</v>
      </c>
      <c r="I5" s="22">
        <v>2018</v>
      </c>
      <c r="J5" s="22" t="str">
        <f>INDEX([1]location!$B$2:$B$29,MATCH(C5,[1]location!$A$2:$A$29,0))</f>
        <v>Vapi</v>
      </c>
      <c r="K5" s="22" t="str">
        <f>INDEX([1]location!$C$2:$C$29,MATCH(C5,[1]location!$A$2:$A$29,0))</f>
        <v>AMD</v>
      </c>
      <c r="L5" s="22" t="str">
        <f>INDEX([1]location!$D$2:$D$29,MATCH(C5,[1]location!$A$2:$A$29,0))</f>
        <v>Ahmedabad</v>
      </c>
      <c r="M5" s="22" t="str">
        <f>INDEX([2]vehicle_details!$B$2:$B$21,MATCH(G5,[2]vehicle_details!$A$2:$A$21,0))</f>
        <v>Eicher 14</v>
      </c>
      <c r="N5" s="24">
        <f>INDEX([3]vehicle_mileage!$C$2:$C$21,MATCH(M5,[3]vehicle_mileage!$A$2:$A$21,0))</f>
        <v>8</v>
      </c>
      <c r="O5" s="25">
        <f>1600/N5</f>
        <v>200</v>
      </c>
      <c r="P5" s="26">
        <f>O5*72</f>
        <v>14400</v>
      </c>
      <c r="Q5" s="26">
        <f>INDEX([4]maintenance!$E$2:$E$21,MATCH(M5,[4]maintenance!$A$2:$A$21,0))</f>
        <v>2280</v>
      </c>
      <c r="R5" s="22" t="str">
        <f>INDEX([5]vehicle_details!$B$2:$B$21,MATCH(G5,[5]vehicle_details!$A$2:$A$21,0))</f>
        <v>Eicher 14</v>
      </c>
      <c r="S5" s="24" t="str">
        <f>LEFT(H5,3)</f>
        <v>EMI</v>
      </c>
      <c r="T5" s="27" t="str">
        <f>IF(LEFT(H5, 3)="EMI", MID(H5, 6, FIND(" yrs", H5) - 5), IF(H5="Owned", "Not EMI", IF(H5="Market", "Not EMI","Not EMI")))</f>
        <v xml:space="preserve">3 </v>
      </c>
      <c r="U5" s="22">
        <f>YEAR(F5)-I5</f>
        <v>0</v>
      </c>
      <c r="V5" s="27">
        <f>INDEX([5]vehicle_details!$H$2:$H$21,MATCH(G5,[5]vehicle_details!A$2:A$21,0))</f>
        <v>603200</v>
      </c>
      <c r="W5" s="24">
        <f>IFERROR(I5+T5,"Not EMI")</f>
        <v>2021</v>
      </c>
      <c r="X5" s="27">
        <f>IFERROR(-(PMT(10.5%/12,T5*12,V5)),0)</f>
        <v>19605.473922027155</v>
      </c>
      <c r="Y5" s="22">
        <f>INDEX([2]vehicle_details!$C$2:$C$21,MATCH(G5,[2]vehicle_details!$A$2:$A$21,0))</f>
        <v>2.5</v>
      </c>
      <c r="Z5" s="28">
        <f>13000</f>
        <v>13000</v>
      </c>
      <c r="AA5" s="22">
        <f>IF(Y5&lt;2, 1,2)</f>
        <v>2</v>
      </c>
      <c r="AB5" s="27">
        <f>AA5*11900</f>
        <v>23800</v>
      </c>
      <c r="AC5" s="27">
        <f>AB5+Z5</f>
        <v>36800</v>
      </c>
      <c r="AD5" s="29">
        <f>IF(LEFT(H5, 3)="EMI", 0, IF(H5="Owned", 0, IF(LEFT(H5, 6)="Market", MID(H5, FIND("(", H5) + 1, FIND(")", H5) - FIND("(", H5) - 1), "")))</f>
        <v>0</v>
      </c>
      <c r="AE5" s="26">
        <v>0</v>
      </c>
      <c r="AF5" s="26">
        <f>AE5+X5+Q5+P5</f>
        <v>36285.473922027159</v>
      </c>
      <c r="AG5" s="26">
        <f>AF5+AC5+'Cost Sheet'!$AE5</f>
        <v>73085.473922027159</v>
      </c>
      <c r="AH5" s="64">
        <f>INDEX([6]Payouts!$G$4:$G$54,MATCH('Cost Sheet'!$A5,[6]Payouts!$A$4:$A$54,0))</f>
        <v>57155.916505030866</v>
      </c>
      <c r="AI5" s="26">
        <f>INDEX([6]Payouts!$G$4:$G$54,MATCH('Cost Sheet'!$A5,[6]Payouts!$A$4:$A$54,0))</f>
        <v>57155.916505030866</v>
      </c>
      <c r="AJ5" s="58">
        <f>INDEX([6]Payouts!$I$4:$I$54,MATCH(A5,[6]Payouts!$A$4:$A$54,0))</f>
        <v>-12217.916505030866</v>
      </c>
      <c r="AK5" s="49">
        <f>INDEX([6]Payouts!$I$4:$I$54,MATCH(A5,[6]Payouts!$A$4:$A$54,0))</f>
        <v>-12217.916505030866</v>
      </c>
      <c r="AL5" s="30" t="str">
        <f xml:space="preserve"> IF( ((AK5/AI5 )*100) &lt; 0, "Underpaid", IF( AND(((AK5/AI5 )*100) &gt;0, ((AK5/AI5 )*100) &lt;25), "Normal", IF(((AK5/AI5 )*100) &gt;= 25, "Overpaid","ERROR")))</f>
        <v>Underpaid</v>
      </c>
    </row>
    <row r="6" spans="1:51" ht="15.75" customHeight="1" x14ac:dyDescent="0.25">
      <c r="A6" s="31">
        <v>1332</v>
      </c>
      <c r="B6" s="31" t="s">
        <v>110</v>
      </c>
      <c r="C6" s="31">
        <v>112</v>
      </c>
      <c r="D6" s="31" t="s">
        <v>109</v>
      </c>
      <c r="E6" s="31" t="str">
        <f t="shared" ref="E6:E69" si="0">PROPER(D6)</f>
        <v>Agarwal Sugandha Amit</v>
      </c>
      <c r="F6" s="32">
        <v>43325</v>
      </c>
      <c r="G6" s="31">
        <v>71231</v>
      </c>
      <c r="H6" s="31" t="s">
        <v>108</v>
      </c>
      <c r="I6" s="31">
        <v>2017</v>
      </c>
      <c r="J6" s="31" t="str">
        <f>INDEX([1]location!$B$2:$B$29,MATCH(C6,[1]location!$A$2:$A$29,0))</f>
        <v>Vapi</v>
      </c>
      <c r="K6" s="31" t="str">
        <f>INDEX([1]location!$C$2:$C$29,MATCH(C6,[1]location!$A$2:$A$29,0))</f>
        <v>AMD</v>
      </c>
      <c r="L6" s="31" t="str">
        <f>INDEX([1]location!$D$2:$D$29,MATCH(C6,[1]location!$A$2:$A$29,0))</f>
        <v>Ahmedabad</v>
      </c>
      <c r="M6" s="31" t="str">
        <f>INDEX([2]vehicle_details!$B$2:$B$21,MATCH(G6,[2]vehicle_details!$A$2:$A$21,0))</f>
        <v>Tata Ace</v>
      </c>
      <c r="N6" s="33">
        <f>INDEX([3]vehicle_mileage!$C$2:$C$21,MATCH(M6,[3]vehicle_mileage!$A$2:$A$21,0))</f>
        <v>14</v>
      </c>
      <c r="O6" s="34">
        <f t="shared" ref="O6:O69" si="1">1600/N6</f>
        <v>114.28571428571429</v>
      </c>
      <c r="P6" s="35">
        <f t="shared" ref="P6:P69" si="2">O6*72</f>
        <v>8228.5714285714294</v>
      </c>
      <c r="Q6" s="35">
        <f>INDEX([4]maintenance!$E$2:$E$21,MATCH(M6,[4]maintenance!$A$2:$A$21,0))</f>
        <v>2194.2857142857142</v>
      </c>
      <c r="R6" s="31" t="str">
        <f>INDEX([5]vehicle_details!$B$2:$B$21,MATCH(G6,[5]vehicle_details!$A$2:$A$21,0))</f>
        <v>Tata Ace</v>
      </c>
      <c r="S6" s="33" t="str">
        <f t="shared" ref="S6:S69" si="3">LEFT(H6,3)</f>
        <v>EMI</v>
      </c>
      <c r="T6" s="36" t="str">
        <f t="shared" ref="T6:T69" si="4">IF(LEFT(H6, 3)="EMI", MID(H6, 6, FIND(" yrs", H6) - 5), IF(H6="Owned", "Not EMI", IF(H6="Market", "Not EMI","Not EMI")))</f>
        <v xml:space="preserve">3 </v>
      </c>
      <c r="U6" s="31">
        <f t="shared" ref="U6:U69" si="5">YEAR(F6)-I6</f>
        <v>1</v>
      </c>
      <c r="V6" s="36">
        <f>INDEX([5]vehicle_details!$H$2:$H$21,MATCH(G6,[5]vehicle_details!A$2:A$21,0))</f>
        <v>321440</v>
      </c>
      <c r="W6" s="33">
        <f t="shared" ref="W6:W69" si="6">IFERROR(I6+T6,"Not EMI")</f>
        <v>2020</v>
      </c>
      <c r="X6" s="36">
        <f t="shared" ref="X6:X69" si="7">IFERROR(-(PMT(10.5%/12,T6*12,V6)),0)</f>
        <v>10447.585440146566</v>
      </c>
      <c r="Y6" s="31">
        <f>INDEX([2]vehicle_details!$C$2:$C$21,MATCH(G6,[2]vehicle_details!$A$2:$A$21,0))</f>
        <v>0.75</v>
      </c>
      <c r="Z6" s="37">
        <f>13000</f>
        <v>13000</v>
      </c>
      <c r="AA6" s="31">
        <f>IF(Y6&lt;2, 1,2)</f>
        <v>1</v>
      </c>
      <c r="AB6" s="36">
        <f t="shared" ref="AB6:AB69" si="8">AA6*11900</f>
        <v>11900</v>
      </c>
      <c r="AC6" s="36">
        <f t="shared" ref="AC6:AC69" si="9">AB6+Z6</f>
        <v>24900</v>
      </c>
      <c r="AD6" s="38">
        <f t="shared" ref="AD6:AD69" si="10">IF(LEFT(H6, 3)="EMI", 0, IF(H6="Owned", 0, IF(LEFT(H6, 6)="Market", MID(H6, FIND("(", H6) + 1, FIND(")", H6) - FIND("(", H6) - 1), "")))</f>
        <v>0</v>
      </c>
      <c r="AE6" s="35">
        <v>0</v>
      </c>
      <c r="AF6" s="35">
        <f t="shared" ref="AF6:AF69" si="11">AE6+X6+Q6+P6</f>
        <v>20870.442583003707</v>
      </c>
      <c r="AG6" s="35">
        <f>AF6+AC6+'Cost Sheet'!$AE6</f>
        <v>45770.442583003707</v>
      </c>
      <c r="AH6" s="66"/>
      <c r="AI6" s="52">
        <f>INDEX([6]Payouts!$G$4:$G$54,MATCH('Cost Sheet'!$A6,[6]Payouts!$A$4:$A$54,0))</f>
        <v>57155.916505030866</v>
      </c>
      <c r="AJ6" s="59"/>
      <c r="AK6" s="50">
        <f>INDEX([6]Payouts!$I$4:$I$54,MATCH(A6,[6]Payouts!$A$4:$A$54,0))</f>
        <v>-12217.916505030866</v>
      </c>
      <c r="AL6" s="54" t="str">
        <f t="shared" ref="AL6:AL69" si="12" xml:space="preserve"> IF( ((AK6/AI6 )*100) &lt; 0, "Underpaid", IF( AND(((AK6/AI6 )*100) &gt;0, ((AK6/AI6 )*100) &lt;25), "Normal", IF(((AK6/AI6 )*100) &gt;= 25, "Overpaid","ERROR")))</f>
        <v>Underpaid</v>
      </c>
    </row>
    <row r="7" spans="1:51" ht="15.75" customHeight="1" x14ac:dyDescent="0.25">
      <c r="A7" s="22">
        <v>1070</v>
      </c>
      <c r="B7" s="22" t="s">
        <v>107</v>
      </c>
      <c r="C7" s="22">
        <v>112</v>
      </c>
      <c r="D7" s="22" t="s">
        <v>106</v>
      </c>
      <c r="E7" s="22" t="str">
        <f t="shared" si="0"/>
        <v>Amit Ramesh Agarwal</v>
      </c>
      <c r="F7" s="23">
        <v>42905</v>
      </c>
      <c r="G7" s="22">
        <v>71234</v>
      </c>
      <c r="H7" s="22" t="s">
        <v>105</v>
      </c>
      <c r="I7" s="22">
        <v>2006</v>
      </c>
      <c r="J7" s="22" t="str">
        <f>INDEX([1]location!$B$2:$B$29,MATCH(C7,[1]location!$A$2:$A$29,0))</f>
        <v>Vapi</v>
      </c>
      <c r="K7" s="22" t="str">
        <f>INDEX([1]location!$C$2:$C$29,MATCH(C7,[1]location!$A$2:$A$29,0))</f>
        <v>AMD</v>
      </c>
      <c r="L7" s="22" t="str">
        <f>INDEX([1]location!$D$2:$D$29,MATCH(C7,[1]location!$A$2:$A$29,0))</f>
        <v>Ahmedabad</v>
      </c>
      <c r="M7" s="22" t="str">
        <f>INDEX([2]vehicle_details!$B$2:$B$21,MATCH(G7,[2]vehicle_details!$A$2:$A$21,0))</f>
        <v>Eicher 14</v>
      </c>
      <c r="N7" s="24">
        <f>INDEX([3]vehicle_mileage!$C$2:$C$21,MATCH(M7,[3]vehicle_mileage!$A$2:$A$21,0))</f>
        <v>8</v>
      </c>
      <c r="O7" s="25">
        <f t="shared" si="1"/>
        <v>200</v>
      </c>
      <c r="P7" s="26">
        <f t="shared" si="2"/>
        <v>14400</v>
      </c>
      <c r="Q7" s="26">
        <f>INDEX([4]maintenance!$E$2:$E$21,MATCH(M7,[4]maintenance!$A$2:$A$21,0))</f>
        <v>2280</v>
      </c>
      <c r="R7" s="22" t="str">
        <f>INDEX([5]vehicle_details!$B$2:$B$21,MATCH(G7,[5]vehicle_details!$A$2:$A$21,0))</f>
        <v>Eicher 14</v>
      </c>
      <c r="S7" s="24" t="str">
        <f t="shared" si="3"/>
        <v>Mar</v>
      </c>
      <c r="T7" s="27" t="str">
        <f t="shared" si="4"/>
        <v>Not EMI</v>
      </c>
      <c r="U7" s="22">
        <f t="shared" si="5"/>
        <v>11</v>
      </c>
      <c r="V7" s="27">
        <f>INDEX([5]vehicle_details!$H$2:$H$21,MATCH(G7,[5]vehicle_details!A$2:A$21,0))</f>
        <v>603200</v>
      </c>
      <c r="W7" s="24" t="str">
        <f t="shared" si="6"/>
        <v>Not EMI</v>
      </c>
      <c r="X7" s="27">
        <f t="shared" si="7"/>
        <v>0</v>
      </c>
      <c r="Y7" s="22">
        <f>INDEX([2]vehicle_details!$C$2:$C$21,MATCH(G7,[2]vehicle_details!$A$2:$A$21,0))</f>
        <v>2.5</v>
      </c>
      <c r="Z7" s="28">
        <f>13000</f>
        <v>13000</v>
      </c>
      <c r="AA7" s="22">
        <f t="shared" ref="AA7:AA70" si="13">IF(Y7&lt;2, 1,2)</f>
        <v>2</v>
      </c>
      <c r="AB7" s="27">
        <f t="shared" si="8"/>
        <v>23800</v>
      </c>
      <c r="AC7" s="27">
        <f t="shared" si="9"/>
        <v>36800</v>
      </c>
      <c r="AD7" s="29" t="str">
        <f t="shared" si="10"/>
        <v>60000</v>
      </c>
      <c r="AE7" s="26">
        <v>60000</v>
      </c>
      <c r="AF7" s="26">
        <f t="shared" si="11"/>
        <v>76680</v>
      </c>
      <c r="AG7" s="26">
        <f>AF7+AC7+'Cost Sheet'!$AE7</f>
        <v>173480</v>
      </c>
      <c r="AH7" s="28">
        <f>INDEX([6]Payouts!$G$4:$G$54,MATCH('Cost Sheet'!$A7,[6]Payouts!$A$4:$A$54,0))</f>
        <v>76680</v>
      </c>
      <c r="AI7" s="26">
        <f>INDEX([6]Payouts!$G$4:$G$54,MATCH('Cost Sheet'!$A7,[6]Payouts!$A$4:$A$54,0))</f>
        <v>76680</v>
      </c>
      <c r="AJ7" s="26">
        <f>INDEX([6]Payouts!$I$4:$I$54,MATCH(A7,[6]Payouts!$A$4:$A$54,0))</f>
        <v>68588</v>
      </c>
      <c r="AK7" s="49">
        <f>INDEX([6]Payouts!$I$4:$I$54,MATCH(A7,[6]Payouts!$A$4:$A$54,0))</f>
        <v>68588</v>
      </c>
      <c r="AL7" s="30" t="str">
        <f t="shared" si="12"/>
        <v>Overpaid</v>
      </c>
      <c r="AM7" s="2"/>
      <c r="AN7" s="2"/>
    </row>
    <row r="8" spans="1:51" ht="15.75" customHeight="1" x14ac:dyDescent="0.25">
      <c r="A8" s="31">
        <v>1061</v>
      </c>
      <c r="B8" s="31" t="s">
        <v>104</v>
      </c>
      <c r="C8" s="31">
        <v>113</v>
      </c>
      <c r="D8" s="31" t="s">
        <v>103</v>
      </c>
      <c r="E8" s="31" t="str">
        <f t="shared" si="0"/>
        <v>Ashish Saxena</v>
      </c>
      <c r="F8" s="32">
        <v>42853</v>
      </c>
      <c r="G8" s="31">
        <v>71235</v>
      </c>
      <c r="H8" s="31" t="s">
        <v>3</v>
      </c>
      <c r="I8" s="31">
        <v>2008</v>
      </c>
      <c r="J8" s="31" t="str">
        <f>INDEX([1]location!$B$2:$B$29,MATCH(C8,[1]location!$A$2:$A$29,0))</f>
        <v>Ahmedabad Branch</v>
      </c>
      <c r="K8" s="31" t="str">
        <f>INDEX([1]location!$C$2:$C$29,MATCH(C8,[1]location!$A$2:$A$29,0))</f>
        <v>AMD</v>
      </c>
      <c r="L8" s="31" t="str">
        <f>INDEX([1]location!$D$2:$D$29,MATCH(C8,[1]location!$A$2:$A$29,0))</f>
        <v>Ahmedabad</v>
      </c>
      <c r="M8" s="31" t="str">
        <f>INDEX([2]vehicle_details!$B$2:$B$21,MATCH(G8,[2]vehicle_details!$A$2:$A$21,0))</f>
        <v>Eicher 17</v>
      </c>
      <c r="N8" s="33">
        <f>INDEX([3]vehicle_mileage!$C$2:$C$21,MATCH(M8,[3]vehicle_mileage!$A$2:$A$21,0))</f>
        <v>7</v>
      </c>
      <c r="O8" s="34">
        <f t="shared" si="1"/>
        <v>228.57142857142858</v>
      </c>
      <c r="P8" s="35">
        <f t="shared" si="2"/>
        <v>16457.142857142859</v>
      </c>
      <c r="Q8" s="35">
        <f>INDEX([4]maintenance!$E$2:$E$21,MATCH(M8,[4]maintenance!$A$2:$A$21,0))</f>
        <v>2308.5714285714284</v>
      </c>
      <c r="R8" s="31" t="str">
        <f>INDEX([5]vehicle_details!$B$2:$B$21,MATCH(G8,[5]vehicle_details!$A$2:$A$21,0))</f>
        <v>Eicher 17</v>
      </c>
      <c r="S8" s="33" t="str">
        <f t="shared" si="3"/>
        <v>EMI</v>
      </c>
      <c r="T8" s="36" t="str">
        <f t="shared" si="4"/>
        <v xml:space="preserve">4 </v>
      </c>
      <c r="U8" s="31">
        <f t="shared" si="5"/>
        <v>9</v>
      </c>
      <c r="V8" s="36">
        <f>INDEX([5]vehicle_details!$H$2:$H$21,MATCH(G8,[5]vehicle_details!A$2:A$21,0))</f>
        <v>924000</v>
      </c>
      <c r="W8" s="33">
        <f t="shared" si="6"/>
        <v>2012</v>
      </c>
      <c r="X8" s="36">
        <f t="shared" si="7"/>
        <v>23657.522890759326</v>
      </c>
      <c r="Y8" s="31">
        <f>INDEX([2]vehicle_details!$C$2:$C$21,MATCH(G8,[2]vehicle_details!$A$2:$A$21,0))</f>
        <v>4.5</v>
      </c>
      <c r="Z8" s="37">
        <f>13000</f>
        <v>13000</v>
      </c>
      <c r="AA8" s="31">
        <f t="shared" si="13"/>
        <v>2</v>
      </c>
      <c r="AB8" s="36">
        <f t="shared" si="8"/>
        <v>23800</v>
      </c>
      <c r="AC8" s="36">
        <f t="shared" si="9"/>
        <v>36800</v>
      </c>
      <c r="AD8" s="38">
        <f t="shared" si="10"/>
        <v>0</v>
      </c>
      <c r="AE8" s="35">
        <v>0</v>
      </c>
      <c r="AF8" s="35">
        <f t="shared" si="11"/>
        <v>42423.237176473616</v>
      </c>
      <c r="AG8" s="35">
        <f>AF8+AC8+'Cost Sheet'!$AE8</f>
        <v>79223.237176473616</v>
      </c>
      <c r="AH8" s="37">
        <f>INDEX([6]Payouts!$G$4:$G$54,MATCH('Cost Sheet'!$A8,[6]Payouts!$A$4:$A$54,0))</f>
        <v>42423.237176473616</v>
      </c>
      <c r="AI8" s="52">
        <f>INDEX([6]Payouts!$G$4:$G$54,MATCH('Cost Sheet'!$A8,[6]Payouts!$A$4:$A$54,0))</f>
        <v>42423.237176473616</v>
      </c>
      <c r="AJ8" s="52">
        <f>INDEX([6]Payouts!$I$4:$I$54,MATCH(A8,[6]Payouts!$A$4:$A$54,0))</f>
        <v>67121.762823526384</v>
      </c>
      <c r="AK8" s="50">
        <f>INDEX([6]Payouts!$I$4:$I$54,MATCH(A8,[6]Payouts!$A$4:$A$54,0))</f>
        <v>67121.762823526384</v>
      </c>
      <c r="AL8" s="54" t="str">
        <f t="shared" si="12"/>
        <v>Overpaid</v>
      </c>
      <c r="AM8" s="2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5.75" customHeight="1" x14ac:dyDescent="0.25">
      <c r="A9" s="22">
        <v>1363</v>
      </c>
      <c r="B9" s="22" t="s">
        <v>102</v>
      </c>
      <c r="C9" s="22">
        <v>114</v>
      </c>
      <c r="D9" s="22" t="s">
        <v>101</v>
      </c>
      <c r="E9" s="22" t="str">
        <f t="shared" si="0"/>
        <v>Ashok Kumar</v>
      </c>
      <c r="F9" s="23">
        <v>43332</v>
      </c>
      <c r="G9" s="22">
        <v>71243</v>
      </c>
      <c r="H9" s="22" t="s">
        <v>3</v>
      </c>
      <c r="I9" s="22">
        <v>2013</v>
      </c>
      <c r="J9" s="22" t="str">
        <f>INDEX([1]location!$B$2:$B$29,MATCH(C9,[1]location!$A$2:$A$29,0))</f>
        <v>Gandhi Nager</v>
      </c>
      <c r="K9" s="22" t="str">
        <f>INDEX([1]location!$C$2:$C$29,MATCH(C9,[1]location!$A$2:$A$29,0))</f>
        <v>AMD</v>
      </c>
      <c r="L9" s="22" t="str">
        <f>INDEX([1]location!$D$2:$D$29,MATCH(C9,[1]location!$A$2:$A$29,0))</f>
        <v>Ahmedabad</v>
      </c>
      <c r="M9" s="22" t="str">
        <f>INDEX([2]vehicle_details!$B$2:$B$21,MATCH(G9,[2]vehicle_details!$A$2:$A$21,0))</f>
        <v>Mahindra</v>
      </c>
      <c r="N9" s="24">
        <f>INDEX([3]vehicle_mileage!$C$2:$C$21,MATCH(M9,[3]vehicle_mileage!$A$2:$A$21,0))</f>
        <v>12</v>
      </c>
      <c r="O9" s="25">
        <f t="shared" si="1"/>
        <v>133.33333333333334</v>
      </c>
      <c r="P9" s="26">
        <f t="shared" si="2"/>
        <v>9600</v>
      </c>
      <c r="Q9" s="26">
        <f>INDEX([4]maintenance!$E$2:$E$21,MATCH(M9,[4]maintenance!$A$2:$A$21,0))</f>
        <v>2213.3333333333335</v>
      </c>
      <c r="R9" s="22" t="str">
        <f>INDEX([5]vehicle_details!$B$2:$B$21,MATCH(G9,[5]vehicle_details!$A$2:$A$21,0))</f>
        <v>Mahindra</v>
      </c>
      <c r="S9" s="24" t="str">
        <f t="shared" si="3"/>
        <v>EMI</v>
      </c>
      <c r="T9" s="27" t="str">
        <f t="shared" si="4"/>
        <v xml:space="preserve">4 </v>
      </c>
      <c r="U9" s="22">
        <f t="shared" si="5"/>
        <v>5</v>
      </c>
      <c r="V9" s="27">
        <f>INDEX([5]vehicle_details!$H$2:$H$21,MATCH(G9,[5]vehicle_details!A$2:A$21,0))</f>
        <v>601600</v>
      </c>
      <c r="W9" s="24">
        <f t="shared" si="6"/>
        <v>2017</v>
      </c>
      <c r="X9" s="27">
        <f t="shared" si="7"/>
        <v>15402.993258745464</v>
      </c>
      <c r="Y9" s="22">
        <f>INDEX([2]vehicle_details!$C$2:$C$21,MATCH(G9,[2]vehicle_details!$A$2:$A$21,0))</f>
        <v>1.5</v>
      </c>
      <c r="Z9" s="28">
        <f>13000</f>
        <v>13000</v>
      </c>
      <c r="AA9" s="22">
        <f t="shared" si="13"/>
        <v>1</v>
      </c>
      <c r="AB9" s="27">
        <f t="shared" si="8"/>
        <v>11900</v>
      </c>
      <c r="AC9" s="27">
        <f t="shared" si="9"/>
        <v>24900</v>
      </c>
      <c r="AD9" s="29">
        <f t="shared" si="10"/>
        <v>0</v>
      </c>
      <c r="AE9" s="26">
        <v>0</v>
      </c>
      <c r="AF9" s="26">
        <f t="shared" si="11"/>
        <v>27216.326592078796</v>
      </c>
      <c r="AG9" s="26">
        <f>AF9+AC9+'Cost Sheet'!$AE9</f>
        <v>52116.326592078796</v>
      </c>
      <c r="AH9" s="28">
        <f>INDEX([6]Payouts!$G$4:$G$54,MATCH('Cost Sheet'!$A9,[6]Payouts!$A$4:$A$54,0))</f>
        <v>27216.326592078796</v>
      </c>
      <c r="AI9" s="26">
        <f>INDEX([6]Payouts!$G$4:$G$54,MATCH('Cost Sheet'!$A9,[6]Payouts!$A$4:$A$54,0))</f>
        <v>27216.326592078796</v>
      </c>
      <c r="AJ9" s="26">
        <f>INDEX([6]Payouts!$I$4:$I$54,MATCH(A9,[6]Payouts!$A$4:$A$54,0))</f>
        <v>64054.673407921204</v>
      </c>
      <c r="AK9" s="49">
        <f>INDEX([6]Payouts!$I$4:$I$54,MATCH(A9,[6]Payouts!$A$4:$A$54,0))</f>
        <v>64054.673407921204</v>
      </c>
      <c r="AL9" s="30" t="str">
        <f t="shared" si="12"/>
        <v>Overpaid</v>
      </c>
      <c r="AM9" s="2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15.75" customHeight="1" x14ac:dyDescent="0.25">
      <c r="A10" s="31">
        <v>1296</v>
      </c>
      <c r="B10" s="31" t="s">
        <v>100</v>
      </c>
      <c r="C10" s="31">
        <v>115</v>
      </c>
      <c r="D10" s="31" t="s">
        <v>99</v>
      </c>
      <c r="E10" s="31" t="str">
        <f t="shared" si="0"/>
        <v>Belim Riyazuddin Mehboobbhai</v>
      </c>
      <c r="F10" s="32">
        <v>43279</v>
      </c>
      <c r="G10" s="31">
        <v>71249</v>
      </c>
      <c r="H10" s="31" t="s">
        <v>3</v>
      </c>
      <c r="I10" s="31">
        <v>2018</v>
      </c>
      <c r="J10" s="31" t="str">
        <f>INDEX([1]location!$B$2:$B$29,MATCH(C10,[1]location!$A$2:$A$29,0))</f>
        <v>Rampura Branch</v>
      </c>
      <c r="K10" s="31" t="str">
        <f>INDEX([1]location!$C$2:$C$29,MATCH(C10,[1]location!$A$2:$A$29,0))</f>
        <v>AMD</v>
      </c>
      <c r="L10" s="31" t="str">
        <f>INDEX([1]location!$D$2:$D$29,MATCH(C10,[1]location!$A$2:$A$29,0))</f>
        <v>Ahmedabad</v>
      </c>
      <c r="M10" s="31" t="str">
        <f>INDEX([2]vehicle_details!$B$2:$B$21,MATCH(G10,[2]vehicle_details!$A$2:$A$21,0))</f>
        <v>AL Dost</v>
      </c>
      <c r="N10" s="33">
        <f>INDEX([3]vehicle_mileage!$C$2:$C$21,MATCH(M10,[3]vehicle_mileage!$A$2:$A$21,0))</f>
        <v>12</v>
      </c>
      <c r="O10" s="34">
        <f t="shared" si="1"/>
        <v>133.33333333333334</v>
      </c>
      <c r="P10" s="35">
        <f t="shared" si="2"/>
        <v>9600</v>
      </c>
      <c r="Q10" s="35">
        <f>INDEX([4]maintenance!$E$2:$E$21,MATCH(M10,[4]maintenance!$A$2:$A$21,0))</f>
        <v>2213.3333333333335</v>
      </c>
      <c r="R10" s="31" t="str">
        <f>INDEX([5]vehicle_details!$B$2:$B$21,MATCH(G10,[5]vehicle_details!$A$2:$A$21,0))</f>
        <v>AL Dost</v>
      </c>
      <c r="S10" s="33" t="str">
        <f t="shared" si="3"/>
        <v>EMI</v>
      </c>
      <c r="T10" s="36" t="str">
        <f t="shared" si="4"/>
        <v xml:space="preserve">4 </v>
      </c>
      <c r="U10" s="31">
        <f t="shared" si="5"/>
        <v>0</v>
      </c>
      <c r="V10" s="36">
        <f>INDEX([5]vehicle_details!$H$2:$H$21,MATCH(G10,[5]vehicle_details!A$2:A$21,0))</f>
        <v>401600</v>
      </c>
      <c r="W10" s="33">
        <f t="shared" si="6"/>
        <v>2022</v>
      </c>
      <c r="X10" s="36">
        <f t="shared" si="7"/>
        <v>10282.31730836466</v>
      </c>
      <c r="Y10" s="31">
        <f>INDEX([2]vehicle_details!$C$2:$C$21,MATCH(G10,[2]vehicle_details!$A$2:$A$21,0))</f>
        <v>1.25</v>
      </c>
      <c r="Z10" s="37">
        <f>13000</f>
        <v>13000</v>
      </c>
      <c r="AA10" s="31">
        <f t="shared" si="13"/>
        <v>1</v>
      </c>
      <c r="AB10" s="36">
        <f t="shared" si="8"/>
        <v>11900</v>
      </c>
      <c r="AC10" s="36">
        <f t="shared" si="9"/>
        <v>24900</v>
      </c>
      <c r="AD10" s="38">
        <f t="shared" si="10"/>
        <v>0</v>
      </c>
      <c r="AE10" s="35">
        <v>0</v>
      </c>
      <c r="AF10" s="35">
        <f t="shared" si="11"/>
        <v>22095.650641697994</v>
      </c>
      <c r="AG10" s="35">
        <f>AF10+AC10+'Cost Sheet'!$AE10</f>
        <v>46995.650641697997</v>
      </c>
      <c r="AH10" s="37">
        <f>INDEX([6]Payouts!$G$4:$G$54,MATCH('Cost Sheet'!$A10,[6]Payouts!$A$4:$A$54,0))</f>
        <v>22095.650641697994</v>
      </c>
      <c r="AI10" s="52">
        <f>INDEX([6]Payouts!$G$4:$G$54,MATCH('Cost Sheet'!$A10,[6]Payouts!$A$4:$A$54,0))</f>
        <v>22095.650641697994</v>
      </c>
      <c r="AJ10" s="52">
        <f>INDEX([6]Payouts!$I$4:$I$54,MATCH(A10,[6]Payouts!$A$4:$A$54,0))</f>
        <v>-35915.650641697997</v>
      </c>
      <c r="AK10" s="50">
        <f>INDEX([6]Payouts!$I$4:$I$54,MATCH(A10,[6]Payouts!$A$4:$A$54,0))</f>
        <v>-35915.650641697997</v>
      </c>
      <c r="AL10" s="54" t="str">
        <f t="shared" si="12"/>
        <v>Underpaid</v>
      </c>
      <c r="AM10" s="2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customHeight="1" x14ac:dyDescent="0.25">
      <c r="A11" s="22">
        <v>1324</v>
      </c>
      <c r="B11" s="22" t="s">
        <v>98</v>
      </c>
      <c r="C11" s="22">
        <v>115</v>
      </c>
      <c r="D11" s="22" t="s">
        <v>97</v>
      </c>
      <c r="E11" s="22" t="str">
        <f t="shared" si="0"/>
        <v>Bharat Madhusing Lodha</v>
      </c>
      <c r="F11" s="23">
        <v>43300</v>
      </c>
      <c r="G11" s="22">
        <v>71231</v>
      </c>
      <c r="H11" s="22" t="s">
        <v>3</v>
      </c>
      <c r="I11" s="22">
        <v>2017</v>
      </c>
      <c r="J11" s="22" t="str">
        <f>INDEX([1]location!$B$2:$B$29,MATCH(C11,[1]location!$A$2:$A$29,0))</f>
        <v>Rampura Branch</v>
      </c>
      <c r="K11" s="22" t="str">
        <f>INDEX([1]location!$C$2:$C$29,MATCH(C11,[1]location!$A$2:$A$29,0))</f>
        <v>AMD</v>
      </c>
      <c r="L11" s="22" t="str">
        <f>INDEX([1]location!$D$2:$D$29,MATCH(C11,[1]location!$A$2:$A$29,0))</f>
        <v>Ahmedabad</v>
      </c>
      <c r="M11" s="22" t="str">
        <f>INDEX([2]vehicle_details!$B$2:$B$21,MATCH(G11,[2]vehicle_details!$A$2:$A$21,0))</f>
        <v>Tata Ace</v>
      </c>
      <c r="N11" s="24">
        <f>INDEX([3]vehicle_mileage!$C$2:$C$21,MATCH(M11,[3]vehicle_mileage!$A$2:$A$21,0))</f>
        <v>14</v>
      </c>
      <c r="O11" s="25">
        <f t="shared" si="1"/>
        <v>114.28571428571429</v>
      </c>
      <c r="P11" s="26">
        <f t="shared" si="2"/>
        <v>8228.5714285714294</v>
      </c>
      <c r="Q11" s="26">
        <f>INDEX([4]maintenance!$E$2:$E$21,MATCH(M11,[4]maintenance!$A$2:$A$21,0))</f>
        <v>2194.2857142857142</v>
      </c>
      <c r="R11" s="22" t="str">
        <f>INDEX([5]vehicle_details!$B$2:$B$21,MATCH(G11,[5]vehicle_details!$A$2:$A$21,0))</f>
        <v>Tata Ace</v>
      </c>
      <c r="S11" s="24" t="str">
        <f t="shared" si="3"/>
        <v>EMI</v>
      </c>
      <c r="T11" s="27" t="str">
        <f t="shared" si="4"/>
        <v xml:space="preserve">4 </v>
      </c>
      <c r="U11" s="22">
        <f t="shared" si="5"/>
        <v>1</v>
      </c>
      <c r="V11" s="27">
        <f>INDEX([5]vehicle_details!$H$2:$H$21,MATCH(G11,[5]vehicle_details!A$2:A$21,0))</f>
        <v>321440</v>
      </c>
      <c r="W11" s="24">
        <f t="shared" si="6"/>
        <v>2021</v>
      </c>
      <c r="X11" s="27">
        <f t="shared" si="7"/>
        <v>8229.9503874520324</v>
      </c>
      <c r="Y11" s="22">
        <f>INDEX([2]vehicle_details!$C$2:$C$21,MATCH(G11,[2]vehicle_details!$A$2:$A$21,0))</f>
        <v>0.75</v>
      </c>
      <c r="Z11" s="28">
        <f>13000</f>
        <v>13000</v>
      </c>
      <c r="AA11" s="22">
        <f t="shared" si="13"/>
        <v>1</v>
      </c>
      <c r="AB11" s="27">
        <f t="shared" si="8"/>
        <v>11900</v>
      </c>
      <c r="AC11" s="27">
        <f t="shared" si="9"/>
        <v>24900</v>
      </c>
      <c r="AD11" s="29">
        <f t="shared" si="10"/>
        <v>0</v>
      </c>
      <c r="AE11" s="26">
        <v>0</v>
      </c>
      <c r="AF11" s="26">
        <f t="shared" si="11"/>
        <v>18652.807530309175</v>
      </c>
      <c r="AG11" s="26">
        <f>AF11+AC11+'Cost Sheet'!$AE11</f>
        <v>43552.807530309175</v>
      </c>
      <c r="AH11" s="28">
        <f>INDEX([6]Payouts!$G$4:$G$54,MATCH('Cost Sheet'!$A11,[6]Payouts!$A$4:$A$54,0))</f>
        <v>18652.807530309175</v>
      </c>
      <c r="AI11" s="26">
        <f>INDEX([6]Payouts!$G$4:$G$54,MATCH('Cost Sheet'!$A11,[6]Payouts!$A$4:$A$54,0))</f>
        <v>18652.807530309175</v>
      </c>
      <c r="AJ11" s="26">
        <f>INDEX([6]Payouts!$I$4:$I$54,MATCH(A11,[6]Payouts!$A$4:$A$54,0))</f>
        <v>-18831.807530309175</v>
      </c>
      <c r="AK11" s="49">
        <f>INDEX([6]Payouts!$I$4:$I$54,MATCH(A11,[6]Payouts!$A$4:$A$54,0))</f>
        <v>-18831.807530309175</v>
      </c>
      <c r="AL11" s="30" t="str">
        <f t="shared" si="12"/>
        <v>Underpaid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customHeight="1" x14ac:dyDescent="0.25">
      <c r="A12" s="31">
        <v>1203</v>
      </c>
      <c r="B12" s="31" t="s">
        <v>96</v>
      </c>
      <c r="C12" s="31">
        <v>116</v>
      </c>
      <c r="D12" s="31" t="s">
        <v>95</v>
      </c>
      <c r="E12" s="31" t="str">
        <f t="shared" si="0"/>
        <v>Chauhan Navneet Kumar</v>
      </c>
      <c r="F12" s="32">
        <v>43197</v>
      </c>
      <c r="G12" s="31">
        <v>71243</v>
      </c>
      <c r="H12" s="31" t="s">
        <v>94</v>
      </c>
      <c r="I12" s="31">
        <v>2017</v>
      </c>
      <c r="J12" s="31" t="str">
        <f>INDEX([1]location!$B$2:$B$29,MATCH(C12,[1]location!$A$2:$A$29,0))</f>
        <v>Vadodara</v>
      </c>
      <c r="K12" s="31" t="str">
        <f>INDEX([1]location!$C$2:$C$29,MATCH(C12,[1]location!$A$2:$A$29,0))</f>
        <v>AMD</v>
      </c>
      <c r="L12" s="31" t="str">
        <f>INDEX([1]location!$D$2:$D$29,MATCH(C12,[1]location!$A$2:$A$29,0))</f>
        <v>Ahmedabad</v>
      </c>
      <c r="M12" s="31" t="str">
        <f>INDEX([2]vehicle_details!$B$2:$B$21,MATCH(G12,[2]vehicle_details!$A$2:$A$21,0))</f>
        <v>Mahindra</v>
      </c>
      <c r="N12" s="33">
        <f>INDEX([3]vehicle_mileage!$C$2:$C$21,MATCH(M12,[3]vehicle_mileage!$A$2:$A$21,0))</f>
        <v>12</v>
      </c>
      <c r="O12" s="34">
        <f t="shared" si="1"/>
        <v>133.33333333333334</v>
      </c>
      <c r="P12" s="35">
        <f t="shared" si="2"/>
        <v>9600</v>
      </c>
      <c r="Q12" s="35">
        <f>INDEX([4]maintenance!$E$2:$E$21,MATCH(M12,[4]maintenance!$A$2:$A$21,0))</f>
        <v>2213.3333333333335</v>
      </c>
      <c r="R12" s="31" t="str">
        <f>INDEX([5]vehicle_details!$B$2:$B$21,MATCH(G12,[5]vehicle_details!$A$2:$A$21,0))</f>
        <v>Mahindra</v>
      </c>
      <c r="S12" s="33" t="str">
        <f t="shared" si="3"/>
        <v>Mar</v>
      </c>
      <c r="T12" s="36" t="str">
        <f t="shared" si="4"/>
        <v>Not EMI</v>
      </c>
      <c r="U12" s="31">
        <f t="shared" si="5"/>
        <v>1</v>
      </c>
      <c r="V12" s="36">
        <f>INDEX([5]vehicle_details!$H$2:$H$21,MATCH(G12,[5]vehicle_details!A$2:A$21,0))</f>
        <v>601600</v>
      </c>
      <c r="W12" s="33" t="str">
        <f t="shared" si="6"/>
        <v>Not EMI</v>
      </c>
      <c r="X12" s="36">
        <f t="shared" si="7"/>
        <v>0</v>
      </c>
      <c r="Y12" s="31">
        <f>INDEX([2]vehicle_details!$C$2:$C$21,MATCH(G12,[2]vehicle_details!$A$2:$A$21,0))</f>
        <v>1.5</v>
      </c>
      <c r="Z12" s="37">
        <f>13000</f>
        <v>13000</v>
      </c>
      <c r="AA12" s="31">
        <f t="shared" si="13"/>
        <v>1</v>
      </c>
      <c r="AB12" s="36">
        <f t="shared" si="8"/>
        <v>11900</v>
      </c>
      <c r="AC12" s="36">
        <f t="shared" si="9"/>
        <v>24900</v>
      </c>
      <c r="AD12" s="38" t="str">
        <f t="shared" si="10"/>
        <v>35000</v>
      </c>
      <c r="AE12" s="35">
        <v>35000</v>
      </c>
      <c r="AF12" s="35">
        <f t="shared" si="11"/>
        <v>46813.333333333336</v>
      </c>
      <c r="AG12" s="35">
        <f>AF12+AC12+'Cost Sheet'!$AE12</f>
        <v>106713.33333333334</v>
      </c>
      <c r="AH12" s="37">
        <f>INDEX([6]Payouts!$G$4:$G$54,MATCH('Cost Sheet'!$A12,[6]Payouts!$A$4:$A$54,0))</f>
        <v>46813.333333333336</v>
      </c>
      <c r="AI12" s="52">
        <f>INDEX([6]Payouts!$G$4:$G$54,MATCH('Cost Sheet'!$A12,[6]Payouts!$A$4:$A$54,0))</f>
        <v>46813.333333333336</v>
      </c>
      <c r="AJ12" s="52">
        <f>INDEX([6]Payouts!$I$4:$I$54,MATCH(A12,[6]Payouts!$A$4:$A$54,0))</f>
        <v>-45223.333333333343</v>
      </c>
      <c r="AK12" s="50">
        <f>INDEX([6]Payouts!$I$4:$I$54,MATCH(A12,[6]Payouts!$A$4:$A$54,0))</f>
        <v>-45223.333333333343</v>
      </c>
      <c r="AL12" s="54" t="str">
        <f t="shared" si="12"/>
        <v>Underpaid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customHeight="1" x14ac:dyDescent="0.25">
      <c r="A13" s="22">
        <v>1336</v>
      </c>
      <c r="B13" s="22" t="s">
        <v>93</v>
      </c>
      <c r="C13" s="22">
        <v>117</v>
      </c>
      <c r="D13" s="22" t="s">
        <v>92</v>
      </c>
      <c r="E13" s="22" t="str">
        <f t="shared" si="0"/>
        <v>Denish B. Bavariya</v>
      </c>
      <c r="F13" s="23">
        <v>43315</v>
      </c>
      <c r="G13" s="22">
        <v>71231</v>
      </c>
      <c r="H13" s="22" t="s">
        <v>3</v>
      </c>
      <c r="I13" s="22">
        <v>2014</v>
      </c>
      <c r="J13" s="22" t="str">
        <f>INDEX([1]location!$B$2:$B$29,MATCH(C13,[1]location!$A$2:$A$29,0))</f>
        <v>Jamnager</v>
      </c>
      <c r="K13" s="22" t="str">
        <f>INDEX([1]location!$C$2:$C$29,MATCH(C13,[1]location!$A$2:$A$29,0))</f>
        <v>AMD</v>
      </c>
      <c r="L13" s="22" t="str">
        <f>INDEX([1]location!$D$2:$D$29,MATCH(C13,[1]location!$A$2:$A$29,0))</f>
        <v>Ahmedabad</v>
      </c>
      <c r="M13" s="22" t="str">
        <f>INDEX([2]vehicle_details!$B$2:$B$21,MATCH(G13,[2]vehicle_details!$A$2:$A$21,0))</f>
        <v>Tata Ace</v>
      </c>
      <c r="N13" s="24">
        <f>INDEX([3]vehicle_mileage!$C$2:$C$21,MATCH(M13,[3]vehicle_mileage!$A$2:$A$21,0))</f>
        <v>14</v>
      </c>
      <c r="O13" s="25">
        <f t="shared" si="1"/>
        <v>114.28571428571429</v>
      </c>
      <c r="P13" s="26">
        <f t="shared" si="2"/>
        <v>8228.5714285714294</v>
      </c>
      <c r="Q13" s="26">
        <f>INDEX([4]maintenance!$E$2:$E$21,MATCH(M13,[4]maintenance!$A$2:$A$21,0))</f>
        <v>2194.2857142857142</v>
      </c>
      <c r="R13" s="22" t="str">
        <f>INDEX([5]vehicle_details!$B$2:$B$21,MATCH(G13,[5]vehicle_details!$A$2:$A$21,0))</f>
        <v>Tata Ace</v>
      </c>
      <c r="S13" s="24" t="str">
        <f t="shared" si="3"/>
        <v>EMI</v>
      </c>
      <c r="T13" s="27" t="str">
        <f t="shared" si="4"/>
        <v xml:space="preserve">4 </v>
      </c>
      <c r="U13" s="22">
        <f t="shared" si="5"/>
        <v>4</v>
      </c>
      <c r="V13" s="27">
        <f>INDEX([5]vehicle_details!$H$2:$H$21,MATCH(G13,[5]vehicle_details!A$2:A$21,0))</f>
        <v>321440</v>
      </c>
      <c r="W13" s="24">
        <f t="shared" si="6"/>
        <v>2018</v>
      </c>
      <c r="X13" s="27">
        <f t="shared" si="7"/>
        <v>8229.9503874520324</v>
      </c>
      <c r="Y13" s="22">
        <f>INDEX([2]vehicle_details!$C$2:$C$21,MATCH(G13,[2]vehicle_details!$A$2:$A$21,0))</f>
        <v>0.75</v>
      </c>
      <c r="Z13" s="28">
        <f>13000</f>
        <v>13000</v>
      </c>
      <c r="AA13" s="22">
        <f t="shared" si="13"/>
        <v>1</v>
      </c>
      <c r="AB13" s="27">
        <f t="shared" si="8"/>
        <v>11900</v>
      </c>
      <c r="AC13" s="27">
        <f t="shared" si="9"/>
        <v>24900</v>
      </c>
      <c r="AD13" s="29">
        <f t="shared" si="10"/>
        <v>0</v>
      </c>
      <c r="AE13" s="26">
        <v>0</v>
      </c>
      <c r="AF13" s="26">
        <f t="shared" si="11"/>
        <v>18652.807530309175</v>
      </c>
      <c r="AG13" s="26">
        <f>AF13+AC13+'Cost Sheet'!$AE13</f>
        <v>43552.807530309175</v>
      </c>
      <c r="AH13" s="28">
        <f>INDEX([6]Payouts!$G$4:$G$54,MATCH('Cost Sheet'!$A13,[6]Payouts!$A$4:$A$54,0))</f>
        <v>18652.807530309175</v>
      </c>
      <c r="AI13" s="26">
        <f>INDEX([6]Payouts!$G$4:$G$54,MATCH('Cost Sheet'!$A13,[6]Payouts!$A$4:$A$54,0))</f>
        <v>18652.807530309175</v>
      </c>
      <c r="AJ13" s="26">
        <f>INDEX([6]Payouts!$I$4:$I$54,MATCH(A13,[6]Payouts!$A$4:$A$54,0))</f>
        <v>65727.192469690825</v>
      </c>
      <c r="AK13" s="49">
        <f>INDEX([6]Payouts!$I$4:$I$54,MATCH(A13,[6]Payouts!$A$4:$A$54,0))</f>
        <v>65727.192469690825</v>
      </c>
      <c r="AL13" s="30" t="str">
        <f t="shared" si="12"/>
        <v>Overpaid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customHeight="1" x14ac:dyDescent="0.25">
      <c r="A14" s="31">
        <v>1107</v>
      </c>
      <c r="B14" s="31" t="s">
        <v>91</v>
      </c>
      <c r="C14" s="31">
        <v>118</v>
      </c>
      <c r="D14" s="31" t="s">
        <v>90</v>
      </c>
      <c r="E14" s="31" t="str">
        <f t="shared" si="0"/>
        <v>Devendar Vanga</v>
      </c>
      <c r="F14" s="32">
        <v>43004</v>
      </c>
      <c r="G14" s="31">
        <v>71237</v>
      </c>
      <c r="H14" s="31" t="s">
        <v>3</v>
      </c>
      <c r="I14" s="31">
        <v>2017</v>
      </c>
      <c r="J14" s="31" t="str">
        <f>INDEX([1]location!$B$2:$B$29,MATCH(C14,[1]location!$A$2:$A$29,0))</f>
        <v>Surat</v>
      </c>
      <c r="K14" s="31" t="str">
        <f>INDEX([1]location!$C$2:$C$29,MATCH(C14,[1]location!$A$2:$A$29,0))</f>
        <v>AMD</v>
      </c>
      <c r="L14" s="31" t="str">
        <f>INDEX([1]location!$D$2:$D$29,MATCH(C14,[1]location!$A$2:$A$29,0))</f>
        <v>Ahmedabad</v>
      </c>
      <c r="M14" s="31" t="str">
        <f>INDEX([2]vehicle_details!$B$2:$B$21,MATCH(G14,[2]vehicle_details!$A$2:$A$21,0))</f>
        <v>22 Ft</v>
      </c>
      <c r="N14" s="33">
        <f>INDEX([3]vehicle_mileage!$C$2:$C$21,MATCH(M14,[3]vehicle_mileage!$A$2:$A$21,0))</f>
        <v>6</v>
      </c>
      <c r="O14" s="34">
        <f t="shared" si="1"/>
        <v>266.66666666666669</v>
      </c>
      <c r="P14" s="35">
        <f t="shared" si="2"/>
        <v>19200</v>
      </c>
      <c r="Q14" s="35">
        <f>INDEX([4]maintenance!$E$2:$E$21,MATCH(M14,[4]maintenance!$A$2:$A$21,0))</f>
        <v>2346.666666666667</v>
      </c>
      <c r="R14" s="31" t="str">
        <f>INDEX([5]vehicle_details!$B$2:$B$21,MATCH(G14,[5]vehicle_details!$A$2:$A$21,0))</f>
        <v>22 Ft</v>
      </c>
      <c r="S14" s="33" t="str">
        <f t="shared" si="3"/>
        <v>EMI</v>
      </c>
      <c r="T14" s="36" t="str">
        <f t="shared" si="4"/>
        <v xml:space="preserve">4 </v>
      </c>
      <c r="U14" s="31">
        <f t="shared" si="5"/>
        <v>0</v>
      </c>
      <c r="V14" s="36">
        <f>INDEX([5]vehicle_details!$H$2:$H$21,MATCH(G14,[5]vehicle_details!A$2:A$21,0))</f>
        <v>1124000</v>
      </c>
      <c r="W14" s="33">
        <f t="shared" si="6"/>
        <v>2021</v>
      </c>
      <c r="X14" s="36">
        <f t="shared" si="7"/>
        <v>28778.198841140133</v>
      </c>
      <c r="Y14" s="31">
        <f>INDEX([2]vehicle_details!$C$2:$C$21,MATCH(G14,[2]vehicle_details!$A$2:$A$21,0))</f>
        <v>6.8</v>
      </c>
      <c r="Z14" s="37">
        <f>13000</f>
        <v>13000</v>
      </c>
      <c r="AA14" s="31">
        <f t="shared" si="13"/>
        <v>2</v>
      </c>
      <c r="AB14" s="36">
        <f t="shared" si="8"/>
        <v>23800</v>
      </c>
      <c r="AC14" s="36">
        <f t="shared" si="9"/>
        <v>36800</v>
      </c>
      <c r="AD14" s="38">
        <f t="shared" si="10"/>
        <v>0</v>
      </c>
      <c r="AE14" s="35">
        <v>0</v>
      </c>
      <c r="AF14" s="35">
        <f t="shared" si="11"/>
        <v>50324.865507806797</v>
      </c>
      <c r="AG14" s="35">
        <f>AF14+AC14+'Cost Sheet'!$AE14</f>
        <v>87124.865507806797</v>
      </c>
      <c r="AH14" s="56">
        <f>INDEX([6]Payouts!$G$4:$G$54,MATCH('Cost Sheet'!$A14,[6]Payouts!$A$4:$A$54,0))</f>
        <v>124872.06135062892</v>
      </c>
      <c r="AI14" s="52">
        <f>INDEX([6]Payouts!$G$4:$G$54,MATCH('Cost Sheet'!$A14,[6]Payouts!$A$4:$A$54,0))</f>
        <v>124872.06135062892</v>
      </c>
      <c r="AJ14" s="60">
        <f>INDEX([6]Payouts!$I$4:$I$54,MATCH(A14,[6]Payouts!$A$4:$A$54,0))</f>
        <v>-87416.061350628908</v>
      </c>
      <c r="AK14" s="50">
        <f>INDEX([6]Payouts!$I$4:$I$54,MATCH(A14,[6]Payouts!$A$4:$A$54,0))</f>
        <v>-87416.061350628908</v>
      </c>
      <c r="AL14" s="54" t="str">
        <f t="shared" si="12"/>
        <v>Underpaid</v>
      </c>
    </row>
    <row r="15" spans="1:51" ht="15.75" customHeight="1" x14ac:dyDescent="0.25">
      <c r="A15" s="22">
        <v>1107</v>
      </c>
      <c r="B15" s="22" t="s">
        <v>91</v>
      </c>
      <c r="C15" s="22">
        <v>118</v>
      </c>
      <c r="D15" s="22" t="s">
        <v>90</v>
      </c>
      <c r="E15" s="22" t="str">
        <f t="shared" si="0"/>
        <v>Devendar Vanga</v>
      </c>
      <c r="F15" s="23">
        <v>43004</v>
      </c>
      <c r="G15" s="22">
        <v>71234</v>
      </c>
      <c r="H15" s="22" t="s">
        <v>3</v>
      </c>
      <c r="I15" s="22">
        <v>2017</v>
      </c>
      <c r="J15" s="22" t="str">
        <f>INDEX([1]location!$B$2:$B$29,MATCH(C15,[1]location!$A$2:$A$29,0))</f>
        <v>Surat</v>
      </c>
      <c r="K15" s="22" t="str">
        <f>INDEX([1]location!$C$2:$C$29,MATCH(C15,[1]location!$A$2:$A$29,0))</f>
        <v>AMD</v>
      </c>
      <c r="L15" s="22" t="str">
        <f>INDEX([1]location!$D$2:$D$29,MATCH(C15,[1]location!$A$2:$A$29,0))</f>
        <v>Ahmedabad</v>
      </c>
      <c r="M15" s="22" t="str">
        <f>INDEX([2]vehicle_details!$B$2:$B$21,MATCH(G15,[2]vehicle_details!$A$2:$A$21,0))</f>
        <v>Eicher 14</v>
      </c>
      <c r="N15" s="24">
        <f>INDEX([3]vehicle_mileage!$C$2:$C$21,MATCH(M15,[3]vehicle_mileage!$A$2:$A$21,0))</f>
        <v>8</v>
      </c>
      <c r="O15" s="25">
        <f t="shared" si="1"/>
        <v>200</v>
      </c>
      <c r="P15" s="26">
        <f t="shared" si="2"/>
        <v>14400</v>
      </c>
      <c r="Q15" s="26">
        <f>INDEX([4]maintenance!$E$2:$E$21,MATCH(M15,[4]maintenance!$A$2:$A$21,0))</f>
        <v>2280</v>
      </c>
      <c r="R15" s="22" t="str">
        <f>INDEX([5]vehicle_details!$B$2:$B$21,MATCH(G15,[5]vehicle_details!$A$2:$A$21,0))</f>
        <v>Eicher 14</v>
      </c>
      <c r="S15" s="24" t="str">
        <f t="shared" si="3"/>
        <v>EMI</v>
      </c>
      <c r="T15" s="27" t="str">
        <f t="shared" si="4"/>
        <v xml:space="preserve">4 </v>
      </c>
      <c r="U15" s="22">
        <f t="shared" si="5"/>
        <v>0</v>
      </c>
      <c r="V15" s="27">
        <f>INDEX([5]vehicle_details!$H$2:$H$21,MATCH(G15,[5]vehicle_details!A$2:A$21,0))</f>
        <v>603200</v>
      </c>
      <c r="W15" s="24">
        <f t="shared" si="6"/>
        <v>2021</v>
      </c>
      <c r="X15" s="27">
        <f t="shared" si="7"/>
        <v>15443.958666348513</v>
      </c>
      <c r="Y15" s="22">
        <f>INDEX([2]vehicle_details!$C$2:$C$21,MATCH(G15,[2]vehicle_details!$A$2:$A$21,0))</f>
        <v>2.5</v>
      </c>
      <c r="Z15" s="28">
        <f>13000</f>
        <v>13000</v>
      </c>
      <c r="AA15" s="22">
        <f t="shared" si="13"/>
        <v>2</v>
      </c>
      <c r="AB15" s="27">
        <f t="shared" si="8"/>
        <v>23800</v>
      </c>
      <c r="AC15" s="27">
        <f t="shared" si="9"/>
        <v>36800</v>
      </c>
      <c r="AD15" s="29">
        <f t="shared" si="10"/>
        <v>0</v>
      </c>
      <c r="AE15" s="26">
        <v>0</v>
      </c>
      <c r="AF15" s="26">
        <f t="shared" si="11"/>
        <v>32123.958666348513</v>
      </c>
      <c r="AG15" s="26">
        <f>AF15+AC15+'Cost Sheet'!$AE15</f>
        <v>68923.95866634851</v>
      </c>
      <c r="AH15" s="67"/>
      <c r="AI15" s="26">
        <f>INDEX([6]Payouts!$G$4:$G$54,MATCH('Cost Sheet'!$A15,[6]Payouts!$A$4:$A$54,0))</f>
        <v>124872.06135062892</v>
      </c>
      <c r="AJ15" s="61"/>
      <c r="AK15" s="49">
        <f>INDEX([6]Payouts!$I$4:$I$54,MATCH(A15,[6]Payouts!$A$4:$A$54,0))</f>
        <v>-87416.061350628908</v>
      </c>
      <c r="AL15" s="30" t="str">
        <f t="shared" si="12"/>
        <v>Underpaid</v>
      </c>
    </row>
    <row r="16" spans="1:51" ht="15.75" customHeight="1" x14ac:dyDescent="0.25">
      <c r="A16" s="31">
        <v>1107</v>
      </c>
      <c r="B16" s="31" t="s">
        <v>91</v>
      </c>
      <c r="C16" s="31">
        <v>118</v>
      </c>
      <c r="D16" s="31" t="s">
        <v>90</v>
      </c>
      <c r="E16" s="31" t="str">
        <f t="shared" si="0"/>
        <v>Devendar Vanga</v>
      </c>
      <c r="F16" s="32">
        <v>43004</v>
      </c>
      <c r="G16" s="31">
        <v>71235</v>
      </c>
      <c r="H16" s="31" t="s">
        <v>3</v>
      </c>
      <c r="I16" s="31">
        <v>2017</v>
      </c>
      <c r="J16" s="31" t="str">
        <f>INDEX([1]location!$B$2:$B$29,MATCH(C16,[1]location!$A$2:$A$29,0))</f>
        <v>Surat</v>
      </c>
      <c r="K16" s="31" t="str">
        <f>INDEX([1]location!$C$2:$C$29,MATCH(C16,[1]location!$A$2:$A$29,0))</f>
        <v>AMD</v>
      </c>
      <c r="L16" s="31" t="str">
        <f>INDEX([1]location!$D$2:$D$29,MATCH(C16,[1]location!$A$2:$A$29,0))</f>
        <v>Ahmedabad</v>
      </c>
      <c r="M16" s="31" t="str">
        <f>INDEX([2]vehicle_details!$B$2:$B$21,MATCH(G16,[2]vehicle_details!$A$2:$A$21,0))</f>
        <v>Eicher 17</v>
      </c>
      <c r="N16" s="33">
        <f>INDEX([3]vehicle_mileage!$C$2:$C$21,MATCH(M16,[3]vehicle_mileage!$A$2:$A$21,0))</f>
        <v>7</v>
      </c>
      <c r="O16" s="34">
        <f t="shared" si="1"/>
        <v>228.57142857142858</v>
      </c>
      <c r="P16" s="35">
        <f t="shared" si="2"/>
        <v>16457.142857142859</v>
      </c>
      <c r="Q16" s="35">
        <f>INDEX([4]maintenance!$E$2:$E$21,MATCH(M16,[4]maintenance!$A$2:$A$21,0))</f>
        <v>2308.5714285714284</v>
      </c>
      <c r="R16" s="31" t="str">
        <f>INDEX([5]vehicle_details!$B$2:$B$21,MATCH(G16,[5]vehicle_details!$A$2:$A$21,0))</f>
        <v>Eicher 17</v>
      </c>
      <c r="S16" s="33" t="str">
        <f t="shared" si="3"/>
        <v>EMI</v>
      </c>
      <c r="T16" s="36" t="str">
        <f t="shared" si="4"/>
        <v xml:space="preserve">4 </v>
      </c>
      <c r="U16" s="31">
        <f t="shared" si="5"/>
        <v>0</v>
      </c>
      <c r="V16" s="36">
        <f>INDEX([5]vehicle_details!$H$2:$H$21,MATCH(G16,[5]vehicle_details!A$2:A$21,0))</f>
        <v>924000</v>
      </c>
      <c r="W16" s="33">
        <f t="shared" si="6"/>
        <v>2021</v>
      </c>
      <c r="X16" s="36">
        <f t="shared" si="7"/>
        <v>23657.522890759326</v>
      </c>
      <c r="Y16" s="31">
        <f>INDEX([2]vehicle_details!$C$2:$C$21,MATCH(G16,[2]vehicle_details!$A$2:$A$21,0))</f>
        <v>4.5</v>
      </c>
      <c r="Z16" s="37">
        <f>13000</f>
        <v>13000</v>
      </c>
      <c r="AA16" s="31">
        <f t="shared" si="13"/>
        <v>2</v>
      </c>
      <c r="AB16" s="36">
        <f t="shared" si="8"/>
        <v>23800</v>
      </c>
      <c r="AC16" s="36">
        <f t="shared" si="9"/>
        <v>36800</v>
      </c>
      <c r="AD16" s="38">
        <f t="shared" si="10"/>
        <v>0</v>
      </c>
      <c r="AE16" s="35">
        <v>0</v>
      </c>
      <c r="AF16" s="35">
        <f t="shared" si="11"/>
        <v>42423.237176473616</v>
      </c>
      <c r="AG16" s="35">
        <f>AF16+AC16+'Cost Sheet'!$AE16</f>
        <v>79223.237176473616</v>
      </c>
      <c r="AH16" s="57"/>
      <c r="AI16" s="52">
        <f>INDEX([6]Payouts!$G$4:$G$54,MATCH('Cost Sheet'!$A16,[6]Payouts!$A$4:$A$54,0))</f>
        <v>124872.06135062892</v>
      </c>
      <c r="AJ16" s="62"/>
      <c r="AK16" s="50">
        <f>INDEX([6]Payouts!$I$4:$I$54,MATCH(A16,[6]Payouts!$A$4:$A$54,0))</f>
        <v>-87416.061350628908</v>
      </c>
      <c r="AL16" s="54" t="str">
        <f t="shared" si="12"/>
        <v>Underpaid</v>
      </c>
    </row>
    <row r="17" spans="1:38" ht="15.75" customHeight="1" x14ac:dyDescent="0.25">
      <c r="A17" s="22">
        <v>1318</v>
      </c>
      <c r="B17" s="22" t="s">
        <v>89</v>
      </c>
      <c r="C17" s="22">
        <v>116</v>
      </c>
      <c r="D17" s="22" t="s">
        <v>88</v>
      </c>
      <c r="E17" s="22" t="str">
        <f t="shared" si="0"/>
        <v>Devendra R. Mistry</v>
      </c>
      <c r="F17" s="23">
        <v>43297</v>
      </c>
      <c r="G17" s="22">
        <v>71231</v>
      </c>
      <c r="H17" s="22" t="s">
        <v>10</v>
      </c>
      <c r="I17" s="22">
        <v>2010</v>
      </c>
      <c r="J17" s="22" t="str">
        <f>INDEX([1]location!$B$2:$B$29,MATCH(C17,[1]location!$A$2:$A$29,0))</f>
        <v>Vadodara</v>
      </c>
      <c r="K17" s="22" t="str">
        <f>INDEX([1]location!$C$2:$C$29,MATCH(C17,[1]location!$A$2:$A$29,0))</f>
        <v>AMD</v>
      </c>
      <c r="L17" s="22" t="str">
        <f>INDEX([1]location!$D$2:$D$29,MATCH(C17,[1]location!$A$2:$A$29,0))</f>
        <v>Ahmedabad</v>
      </c>
      <c r="M17" s="22" t="str">
        <f>INDEX([2]vehicle_details!$B$2:$B$21,MATCH(G17,[2]vehicle_details!$A$2:$A$21,0))</f>
        <v>Tata Ace</v>
      </c>
      <c r="N17" s="24">
        <f>INDEX([3]vehicle_mileage!$C$2:$C$21,MATCH(M17,[3]vehicle_mileage!$A$2:$A$21,0))</f>
        <v>14</v>
      </c>
      <c r="O17" s="25">
        <f t="shared" si="1"/>
        <v>114.28571428571429</v>
      </c>
      <c r="P17" s="26">
        <f t="shared" si="2"/>
        <v>8228.5714285714294</v>
      </c>
      <c r="Q17" s="26">
        <f>INDEX([4]maintenance!$E$2:$E$21,MATCH(M17,[4]maintenance!$A$2:$A$21,0))</f>
        <v>2194.2857142857142</v>
      </c>
      <c r="R17" s="22" t="str">
        <f>INDEX([5]vehicle_details!$B$2:$B$21,MATCH(G17,[5]vehicle_details!$A$2:$A$21,0))</f>
        <v>Tata Ace</v>
      </c>
      <c r="S17" s="24" t="str">
        <f t="shared" si="3"/>
        <v>Own</v>
      </c>
      <c r="T17" s="27" t="str">
        <f t="shared" si="4"/>
        <v>Not EMI</v>
      </c>
      <c r="U17" s="22">
        <f t="shared" si="5"/>
        <v>8</v>
      </c>
      <c r="V17" s="27">
        <f>INDEX([5]vehicle_details!$H$2:$H$21,MATCH(G17,[5]vehicle_details!A$2:A$21,0))</f>
        <v>321440</v>
      </c>
      <c r="W17" s="24" t="str">
        <f t="shared" si="6"/>
        <v>Not EMI</v>
      </c>
      <c r="X17" s="27">
        <f t="shared" si="7"/>
        <v>0</v>
      </c>
      <c r="Y17" s="22">
        <f>INDEX([2]vehicle_details!$C$2:$C$21,MATCH(G17,[2]vehicle_details!$A$2:$A$21,0))</f>
        <v>0.75</v>
      </c>
      <c r="Z17" s="28">
        <f>13000</f>
        <v>13000</v>
      </c>
      <c r="AA17" s="22">
        <f t="shared" si="13"/>
        <v>1</v>
      </c>
      <c r="AB17" s="27">
        <f t="shared" si="8"/>
        <v>11900</v>
      </c>
      <c r="AC17" s="27">
        <f t="shared" si="9"/>
        <v>24900</v>
      </c>
      <c r="AD17" s="29">
        <f t="shared" si="10"/>
        <v>0</v>
      </c>
      <c r="AE17" s="26">
        <v>0</v>
      </c>
      <c r="AF17" s="26">
        <f t="shared" si="11"/>
        <v>10422.857142857143</v>
      </c>
      <c r="AG17" s="26">
        <f>AF17+AC17+'Cost Sheet'!$AE17</f>
        <v>35322.857142857145</v>
      </c>
      <c r="AH17" s="28">
        <f>INDEX([6]Payouts!$G$4:$G$54,MATCH('Cost Sheet'!$A17,[6]Payouts!$A$4:$A$54,0))</f>
        <v>10422.857142857143</v>
      </c>
      <c r="AI17" s="26">
        <f>INDEX([6]Payouts!$G$4:$G$54,MATCH('Cost Sheet'!$A17,[6]Payouts!$A$4:$A$54,0))</f>
        <v>10422.857142857143</v>
      </c>
      <c r="AJ17" s="26">
        <f>INDEX([6]Payouts!$I$4:$I$54,MATCH(A17,[6]Payouts!$A$4:$A$54,0))</f>
        <v>89061.142857142855</v>
      </c>
      <c r="AK17" s="49">
        <f>INDEX([6]Payouts!$I$4:$I$54,MATCH(A17,[6]Payouts!$A$4:$A$54,0))</f>
        <v>89061.142857142855</v>
      </c>
      <c r="AL17" s="30" t="str">
        <f t="shared" si="12"/>
        <v>Overpaid</v>
      </c>
    </row>
    <row r="18" spans="1:38" ht="15.75" customHeight="1" x14ac:dyDescent="0.25">
      <c r="A18" s="31">
        <v>1057</v>
      </c>
      <c r="B18" s="31" t="s">
        <v>87</v>
      </c>
      <c r="C18" s="31">
        <v>119</v>
      </c>
      <c r="D18" s="31" t="s">
        <v>86</v>
      </c>
      <c r="E18" s="31" t="str">
        <f t="shared" si="0"/>
        <v>Dharmendra Sharma</v>
      </c>
      <c r="F18" s="32">
        <v>42836</v>
      </c>
      <c r="G18" s="31">
        <v>71236</v>
      </c>
      <c r="H18" s="31" t="s">
        <v>3</v>
      </c>
      <c r="I18" s="31">
        <v>2018</v>
      </c>
      <c r="J18" s="31" t="str">
        <f>INDEX([1]location!$B$2:$B$29,MATCH(C18,[1]location!$A$2:$A$29,0))</f>
        <v>Ahmmedabad City</v>
      </c>
      <c r="K18" s="31" t="str">
        <f>INDEX([1]location!$C$2:$C$29,MATCH(C18,[1]location!$A$2:$A$29,0))</f>
        <v>AMD</v>
      </c>
      <c r="L18" s="31" t="str">
        <f>INDEX([1]location!$D$2:$D$29,MATCH(C18,[1]location!$A$2:$A$29,0))</f>
        <v>Ahmedabad</v>
      </c>
      <c r="M18" s="31" t="str">
        <f>INDEX([2]vehicle_details!$B$2:$B$21,MATCH(G18,[2]vehicle_details!$A$2:$A$21,0))</f>
        <v>Eicher 19</v>
      </c>
      <c r="N18" s="33">
        <f>INDEX([3]vehicle_mileage!$C$2:$C$21,MATCH(M18,[3]vehicle_mileage!$A$2:$A$21,0))</f>
        <v>7</v>
      </c>
      <c r="O18" s="34">
        <f t="shared" si="1"/>
        <v>228.57142857142858</v>
      </c>
      <c r="P18" s="35">
        <f t="shared" si="2"/>
        <v>16457.142857142859</v>
      </c>
      <c r="Q18" s="35">
        <f>INDEX([4]maintenance!$E$2:$E$21,MATCH(M18,[4]maintenance!$A$2:$A$21,0))</f>
        <v>2308.5714285714284</v>
      </c>
      <c r="R18" s="31" t="str">
        <f>INDEX([5]vehicle_details!$B$2:$B$21,MATCH(G18,[5]vehicle_details!$A$2:$A$21,0))</f>
        <v>Eicher 19</v>
      </c>
      <c r="S18" s="33" t="str">
        <f t="shared" si="3"/>
        <v>EMI</v>
      </c>
      <c r="T18" s="36" t="str">
        <f t="shared" si="4"/>
        <v xml:space="preserve">4 </v>
      </c>
      <c r="U18" s="31">
        <f t="shared" si="5"/>
        <v>-1</v>
      </c>
      <c r="V18" s="36">
        <f>INDEX([5]vehicle_details!$H$2:$H$21,MATCH(G18,[5]vehicle_details!A$2:A$21,0))</f>
        <v>924000</v>
      </c>
      <c r="W18" s="33">
        <f t="shared" si="6"/>
        <v>2022</v>
      </c>
      <c r="X18" s="36">
        <f t="shared" si="7"/>
        <v>23657.522890759326</v>
      </c>
      <c r="Y18" s="31">
        <f>INDEX([2]vehicle_details!$C$2:$C$21,MATCH(G18,[2]vehicle_details!$A$2:$A$21,0))</f>
        <v>6.5</v>
      </c>
      <c r="Z18" s="37">
        <f>13000</f>
        <v>13000</v>
      </c>
      <c r="AA18" s="31">
        <f t="shared" si="13"/>
        <v>2</v>
      </c>
      <c r="AB18" s="36">
        <f t="shared" si="8"/>
        <v>23800</v>
      </c>
      <c r="AC18" s="36">
        <f t="shared" si="9"/>
        <v>36800</v>
      </c>
      <c r="AD18" s="38">
        <f t="shared" si="10"/>
        <v>0</v>
      </c>
      <c r="AE18" s="35">
        <v>0</v>
      </c>
      <c r="AF18" s="35">
        <f t="shared" si="11"/>
        <v>42423.237176473616</v>
      </c>
      <c r="AG18" s="35">
        <f>AF18+AC18+'Cost Sheet'!$AE18</f>
        <v>79223.237176473616</v>
      </c>
      <c r="AH18" s="64">
        <f>INDEX([6]Payouts!$G$4:$G$54,MATCH('Cost Sheet'!$A18,[6]Payouts!$A$4:$A$54,0))</f>
        <v>74547.195842822126</v>
      </c>
      <c r="AI18" s="52">
        <f>INDEX([6]Payouts!$G$4:$G$54,MATCH('Cost Sheet'!$A18,[6]Payouts!$A$4:$A$54,0))</f>
        <v>74547.195842822126</v>
      </c>
      <c r="AJ18" s="58">
        <f>INDEX([6]Payouts!$I$4:$I$54,MATCH(A18,[6]Payouts!$A$4:$A$54,0))</f>
        <v>-7281.195842822126</v>
      </c>
      <c r="AK18" s="50">
        <f>INDEX([6]Payouts!$I$4:$I$54,MATCH(A18,[6]Payouts!$A$4:$A$54,0))</f>
        <v>-7281.195842822126</v>
      </c>
      <c r="AL18" s="54" t="str">
        <f t="shared" si="12"/>
        <v>Underpaid</v>
      </c>
    </row>
    <row r="19" spans="1:38" ht="15.75" customHeight="1" x14ac:dyDescent="0.25">
      <c r="A19" s="22">
        <v>1057</v>
      </c>
      <c r="B19" s="22" t="s">
        <v>87</v>
      </c>
      <c r="C19" s="22">
        <v>119</v>
      </c>
      <c r="D19" s="22" t="s">
        <v>86</v>
      </c>
      <c r="E19" s="22" t="str">
        <f t="shared" si="0"/>
        <v>Dharmendra Sharma</v>
      </c>
      <c r="F19" s="23">
        <v>42836</v>
      </c>
      <c r="G19" s="22">
        <v>71234</v>
      </c>
      <c r="H19" s="22" t="s">
        <v>3</v>
      </c>
      <c r="I19" s="22">
        <v>2018</v>
      </c>
      <c r="J19" s="22" t="str">
        <f>INDEX([1]location!$B$2:$B$29,MATCH(C19,[1]location!$A$2:$A$29,0))</f>
        <v>Ahmmedabad City</v>
      </c>
      <c r="K19" s="22" t="str">
        <f>INDEX([1]location!$C$2:$C$29,MATCH(C19,[1]location!$A$2:$A$29,0))</f>
        <v>AMD</v>
      </c>
      <c r="L19" s="22" t="str">
        <f>INDEX([1]location!$D$2:$D$29,MATCH(C19,[1]location!$A$2:$A$29,0))</f>
        <v>Ahmedabad</v>
      </c>
      <c r="M19" s="22" t="str">
        <f>INDEX([2]vehicle_details!$B$2:$B$21,MATCH(G19,[2]vehicle_details!$A$2:$A$21,0))</f>
        <v>Eicher 14</v>
      </c>
      <c r="N19" s="24">
        <f>INDEX([3]vehicle_mileage!$C$2:$C$21,MATCH(M19,[3]vehicle_mileage!$A$2:$A$21,0))</f>
        <v>8</v>
      </c>
      <c r="O19" s="25">
        <f t="shared" si="1"/>
        <v>200</v>
      </c>
      <c r="P19" s="26">
        <f t="shared" si="2"/>
        <v>14400</v>
      </c>
      <c r="Q19" s="26">
        <f>INDEX([4]maintenance!$E$2:$E$21,MATCH(M19,[4]maintenance!$A$2:$A$21,0))</f>
        <v>2280</v>
      </c>
      <c r="R19" s="22" t="str">
        <f>INDEX([5]vehicle_details!$B$2:$B$21,MATCH(G19,[5]vehicle_details!$A$2:$A$21,0))</f>
        <v>Eicher 14</v>
      </c>
      <c r="S19" s="24" t="str">
        <f t="shared" si="3"/>
        <v>EMI</v>
      </c>
      <c r="T19" s="27" t="str">
        <f t="shared" si="4"/>
        <v xml:space="preserve">4 </v>
      </c>
      <c r="U19" s="22">
        <f t="shared" si="5"/>
        <v>-1</v>
      </c>
      <c r="V19" s="27">
        <f>INDEX([5]vehicle_details!$H$2:$H$21,MATCH(G19,[5]vehicle_details!A$2:A$21,0))</f>
        <v>603200</v>
      </c>
      <c r="W19" s="24">
        <f t="shared" si="6"/>
        <v>2022</v>
      </c>
      <c r="X19" s="27">
        <f t="shared" si="7"/>
        <v>15443.958666348513</v>
      </c>
      <c r="Y19" s="22">
        <f>INDEX([2]vehicle_details!$C$2:$C$21,MATCH(G19,[2]vehicle_details!$A$2:$A$21,0))</f>
        <v>2.5</v>
      </c>
      <c r="Z19" s="28">
        <f>13000</f>
        <v>13000</v>
      </c>
      <c r="AA19" s="22">
        <f t="shared" si="13"/>
        <v>2</v>
      </c>
      <c r="AB19" s="27">
        <f t="shared" si="8"/>
        <v>23800</v>
      </c>
      <c r="AC19" s="27">
        <f t="shared" si="9"/>
        <v>36800</v>
      </c>
      <c r="AD19" s="29">
        <f t="shared" si="10"/>
        <v>0</v>
      </c>
      <c r="AE19" s="26">
        <v>0</v>
      </c>
      <c r="AF19" s="26">
        <f t="shared" si="11"/>
        <v>32123.958666348513</v>
      </c>
      <c r="AG19" s="26">
        <f>AF19+AC19+'Cost Sheet'!$AE19</f>
        <v>68923.95866634851</v>
      </c>
      <c r="AH19" s="66"/>
      <c r="AI19" s="26">
        <f>INDEX([6]Payouts!$G$4:$G$54,MATCH('Cost Sheet'!$A19,[6]Payouts!$A$4:$A$54,0))</f>
        <v>74547.195842822126</v>
      </c>
      <c r="AJ19" s="59"/>
      <c r="AK19" s="49">
        <f>INDEX([6]Payouts!$I$4:$I$54,MATCH(A19,[6]Payouts!$A$4:$A$54,0))</f>
        <v>-7281.195842822126</v>
      </c>
      <c r="AL19" s="30" t="str">
        <f t="shared" si="12"/>
        <v>Underpaid</v>
      </c>
    </row>
    <row r="20" spans="1:38" ht="15.75" customHeight="1" x14ac:dyDescent="0.25">
      <c r="A20" s="31">
        <v>1275</v>
      </c>
      <c r="B20" s="31" t="s">
        <v>85</v>
      </c>
      <c r="C20" s="31">
        <v>120</v>
      </c>
      <c r="D20" s="31" t="s">
        <v>84</v>
      </c>
      <c r="E20" s="31" t="str">
        <f t="shared" si="0"/>
        <v>Dineshbhai Mohanbhai Solanki</v>
      </c>
      <c r="F20" s="32">
        <v>43265</v>
      </c>
      <c r="G20" s="31">
        <v>71231</v>
      </c>
      <c r="H20" s="31" t="s">
        <v>3</v>
      </c>
      <c r="I20" s="31">
        <v>2014</v>
      </c>
      <c r="J20" s="31" t="str">
        <f>INDEX([1]location!$B$2:$B$29,MATCH(C20,[1]location!$A$2:$A$29,0))</f>
        <v>Sanand</v>
      </c>
      <c r="K20" s="31" t="str">
        <f>INDEX([1]location!$C$2:$C$29,MATCH(C20,[1]location!$A$2:$A$29,0))</f>
        <v>AMD</v>
      </c>
      <c r="L20" s="31" t="str">
        <f>INDEX([1]location!$D$2:$D$29,MATCH(C20,[1]location!$A$2:$A$29,0))</f>
        <v>Ahmedabad</v>
      </c>
      <c r="M20" s="31" t="str">
        <f>INDEX([2]vehicle_details!$B$2:$B$21,MATCH(G20,[2]vehicle_details!$A$2:$A$21,0))</f>
        <v>Tata Ace</v>
      </c>
      <c r="N20" s="33">
        <f>INDEX([3]vehicle_mileage!$C$2:$C$21,MATCH(M20,[3]vehicle_mileage!$A$2:$A$21,0))</f>
        <v>14</v>
      </c>
      <c r="O20" s="34">
        <f t="shared" si="1"/>
        <v>114.28571428571429</v>
      </c>
      <c r="P20" s="35">
        <f t="shared" si="2"/>
        <v>8228.5714285714294</v>
      </c>
      <c r="Q20" s="35">
        <f>INDEX([4]maintenance!$E$2:$E$21,MATCH(M20,[4]maintenance!$A$2:$A$21,0))</f>
        <v>2194.2857142857142</v>
      </c>
      <c r="R20" s="31" t="str">
        <f>INDEX([5]vehicle_details!$B$2:$B$21,MATCH(G20,[5]vehicle_details!$A$2:$A$21,0))</f>
        <v>Tata Ace</v>
      </c>
      <c r="S20" s="33" t="str">
        <f t="shared" si="3"/>
        <v>EMI</v>
      </c>
      <c r="T20" s="36" t="str">
        <f t="shared" si="4"/>
        <v xml:space="preserve">4 </v>
      </c>
      <c r="U20" s="31">
        <f t="shared" si="5"/>
        <v>4</v>
      </c>
      <c r="V20" s="36">
        <f>INDEX([5]vehicle_details!$H$2:$H$21,MATCH(G20,[5]vehicle_details!A$2:A$21,0))</f>
        <v>321440</v>
      </c>
      <c r="W20" s="33">
        <f t="shared" si="6"/>
        <v>2018</v>
      </c>
      <c r="X20" s="36">
        <f t="shared" si="7"/>
        <v>8229.9503874520324</v>
      </c>
      <c r="Y20" s="31">
        <f>INDEX([2]vehicle_details!$C$2:$C$21,MATCH(G20,[2]vehicle_details!$A$2:$A$21,0))</f>
        <v>0.75</v>
      </c>
      <c r="Z20" s="37">
        <f>13000</f>
        <v>13000</v>
      </c>
      <c r="AA20" s="31">
        <f t="shared" si="13"/>
        <v>1</v>
      </c>
      <c r="AB20" s="36">
        <f t="shared" si="8"/>
        <v>11900</v>
      </c>
      <c r="AC20" s="36">
        <f t="shared" si="9"/>
        <v>24900</v>
      </c>
      <c r="AD20" s="38">
        <f t="shared" si="10"/>
        <v>0</v>
      </c>
      <c r="AE20" s="35">
        <v>0</v>
      </c>
      <c r="AF20" s="35">
        <f t="shared" si="11"/>
        <v>18652.807530309175</v>
      </c>
      <c r="AG20" s="35">
        <f>AF20+AC20+'Cost Sheet'!$AE20</f>
        <v>43552.807530309175</v>
      </c>
      <c r="AH20" s="37">
        <f>INDEX([6]Payouts!$G$4:$G$54,MATCH('Cost Sheet'!$A20,[6]Payouts!$A$4:$A$54,0))</f>
        <v>18652.807530309175</v>
      </c>
      <c r="AI20" s="52">
        <f>INDEX([6]Payouts!$G$4:$G$54,MATCH('Cost Sheet'!$A20,[6]Payouts!$A$4:$A$54,0))</f>
        <v>18652.807530309175</v>
      </c>
      <c r="AJ20" s="52">
        <f>INDEX([6]Payouts!$I$4:$I$54,MATCH(A20,[6]Payouts!$A$4:$A$54,0))</f>
        <v>-54640.807530309175</v>
      </c>
      <c r="AK20" s="50">
        <f>INDEX([6]Payouts!$I$4:$I$54,MATCH(A20,[6]Payouts!$A$4:$A$54,0))</f>
        <v>-54640.807530309175</v>
      </c>
      <c r="AL20" s="54" t="str">
        <f t="shared" si="12"/>
        <v>Underpaid</v>
      </c>
    </row>
    <row r="21" spans="1:38" ht="15.75" customHeight="1" x14ac:dyDescent="0.25">
      <c r="A21" s="22">
        <v>1339</v>
      </c>
      <c r="B21" s="22" t="s">
        <v>83</v>
      </c>
      <c r="C21" s="22">
        <v>112</v>
      </c>
      <c r="D21" s="22" t="s">
        <v>82</v>
      </c>
      <c r="E21" s="22" t="str">
        <f t="shared" si="0"/>
        <v>Ekta Agarwal</v>
      </c>
      <c r="F21" s="23">
        <v>43325</v>
      </c>
      <c r="G21" s="22">
        <v>71231</v>
      </c>
      <c r="H21" s="22" t="s">
        <v>3</v>
      </c>
      <c r="I21" s="22">
        <v>2018</v>
      </c>
      <c r="J21" s="22" t="str">
        <f>INDEX([1]location!$B$2:$B$29,MATCH(C21,[1]location!$A$2:$A$29,0))</f>
        <v>Vapi</v>
      </c>
      <c r="K21" s="22" t="str">
        <f>INDEX([1]location!$C$2:$C$29,MATCH(C21,[1]location!$A$2:$A$29,0))</f>
        <v>AMD</v>
      </c>
      <c r="L21" s="22" t="str">
        <f>INDEX([1]location!$D$2:$D$29,MATCH(C21,[1]location!$A$2:$A$29,0))</f>
        <v>Ahmedabad</v>
      </c>
      <c r="M21" s="22" t="str">
        <f>INDEX([2]vehicle_details!$B$2:$B$21,MATCH(G21,[2]vehicle_details!$A$2:$A$21,0))</f>
        <v>Tata Ace</v>
      </c>
      <c r="N21" s="24">
        <f>INDEX([3]vehicle_mileage!$C$2:$C$21,MATCH(M21,[3]vehicle_mileage!$A$2:$A$21,0))</f>
        <v>14</v>
      </c>
      <c r="O21" s="25">
        <f t="shared" si="1"/>
        <v>114.28571428571429</v>
      </c>
      <c r="P21" s="26">
        <f t="shared" si="2"/>
        <v>8228.5714285714294</v>
      </c>
      <c r="Q21" s="26">
        <f>INDEX([4]maintenance!$E$2:$E$21,MATCH(M21,[4]maintenance!$A$2:$A$21,0))</f>
        <v>2194.2857142857142</v>
      </c>
      <c r="R21" s="22" t="str">
        <f>INDEX([5]vehicle_details!$B$2:$B$21,MATCH(G21,[5]vehicle_details!$A$2:$A$21,0))</f>
        <v>Tata Ace</v>
      </c>
      <c r="S21" s="24" t="str">
        <f t="shared" si="3"/>
        <v>EMI</v>
      </c>
      <c r="T21" s="27" t="str">
        <f t="shared" si="4"/>
        <v xml:space="preserve">4 </v>
      </c>
      <c r="U21" s="22">
        <f t="shared" si="5"/>
        <v>0</v>
      </c>
      <c r="V21" s="27">
        <f>INDEX([5]vehicle_details!$H$2:$H$21,MATCH(G21,[5]vehicle_details!A$2:A$21,0))</f>
        <v>321440</v>
      </c>
      <c r="W21" s="24">
        <f t="shared" si="6"/>
        <v>2022</v>
      </c>
      <c r="X21" s="27">
        <f t="shared" si="7"/>
        <v>8229.9503874520324</v>
      </c>
      <c r="Y21" s="22">
        <f>INDEX([2]vehicle_details!$C$2:$C$21,MATCH(G21,[2]vehicle_details!$A$2:$A$21,0))</f>
        <v>0.75</v>
      </c>
      <c r="Z21" s="28">
        <f>13000</f>
        <v>13000</v>
      </c>
      <c r="AA21" s="22">
        <f t="shared" si="13"/>
        <v>1</v>
      </c>
      <c r="AB21" s="27">
        <f t="shared" si="8"/>
        <v>11900</v>
      </c>
      <c r="AC21" s="27">
        <f t="shared" si="9"/>
        <v>24900</v>
      </c>
      <c r="AD21" s="29">
        <f t="shared" si="10"/>
        <v>0</v>
      </c>
      <c r="AE21" s="26">
        <v>0</v>
      </c>
      <c r="AF21" s="26">
        <f t="shared" si="11"/>
        <v>18652.807530309175</v>
      </c>
      <c r="AG21" s="26">
        <f>AF21+AC21+'Cost Sheet'!$AE21</f>
        <v>43552.807530309175</v>
      </c>
      <c r="AH21" s="28">
        <f>INDEX([6]Payouts!$G$4:$G$54,MATCH('Cost Sheet'!$A21,[6]Payouts!$A$4:$A$54,0))</f>
        <v>18652.807530309175</v>
      </c>
      <c r="AI21" s="26">
        <f>INDEX([6]Payouts!$G$4:$G$54,MATCH('Cost Sheet'!$A21,[6]Payouts!$A$4:$A$54,0))</f>
        <v>18652.807530309175</v>
      </c>
      <c r="AJ21" s="26">
        <f>INDEX([6]Payouts!$I$4:$I$54,MATCH(A21,[6]Payouts!$A$4:$A$54,0))</f>
        <v>-25369.807530309175</v>
      </c>
      <c r="AK21" s="49">
        <f>INDEX([6]Payouts!$I$4:$I$54,MATCH(A21,[6]Payouts!$A$4:$A$54,0))</f>
        <v>-25369.807530309175</v>
      </c>
      <c r="AL21" s="30" t="str">
        <f t="shared" si="12"/>
        <v>Underpaid</v>
      </c>
    </row>
    <row r="22" spans="1:38" ht="15.75" customHeight="1" x14ac:dyDescent="0.25">
      <c r="A22" s="31">
        <v>1334</v>
      </c>
      <c r="B22" s="31" t="s">
        <v>81</v>
      </c>
      <c r="C22" s="31">
        <v>121</v>
      </c>
      <c r="D22" s="31" t="s">
        <v>80</v>
      </c>
      <c r="E22" s="31" t="str">
        <f t="shared" si="0"/>
        <v>Faizila Theba</v>
      </c>
      <c r="F22" s="32">
        <v>43323</v>
      </c>
      <c r="G22" s="31">
        <v>71246</v>
      </c>
      <c r="H22" s="31" t="s">
        <v>10</v>
      </c>
      <c r="I22" s="31">
        <v>2012</v>
      </c>
      <c r="J22" s="31" t="str">
        <f>INDEX([1]location!$B$2:$B$29,MATCH(C22,[1]location!$A$2:$A$29,0))</f>
        <v>Rajkot</v>
      </c>
      <c r="K22" s="31" t="str">
        <f>INDEX([1]location!$C$2:$C$29,MATCH(C22,[1]location!$A$2:$A$29,0))</f>
        <v>AMD</v>
      </c>
      <c r="L22" s="31" t="str">
        <f>INDEX([1]location!$D$2:$D$29,MATCH(C22,[1]location!$A$2:$A$29,0))</f>
        <v>Ahmedabad</v>
      </c>
      <c r="M22" s="31" t="str">
        <f>INDEX([2]vehicle_details!$B$2:$B$21,MATCH(G22,[2]vehicle_details!$A$2:$A$21,0))</f>
        <v>Super ace</v>
      </c>
      <c r="N22" s="33">
        <f>INDEX([3]vehicle_mileage!$C$2:$C$21,MATCH(M22,[3]vehicle_mileage!$A$2:$A$21,0))</f>
        <v>15</v>
      </c>
      <c r="O22" s="34">
        <f t="shared" si="1"/>
        <v>106.66666666666667</v>
      </c>
      <c r="P22" s="35">
        <f t="shared" si="2"/>
        <v>7680</v>
      </c>
      <c r="Q22" s="35">
        <f>INDEX([4]maintenance!$E$2:$E$21,MATCH(M22,[4]maintenance!$A$2:$A$21,0))</f>
        <v>2186.6666666666665</v>
      </c>
      <c r="R22" s="31" t="str">
        <f>INDEX([5]vehicle_details!$B$2:$B$21,MATCH(G22,[5]vehicle_details!$A$2:$A$21,0))</f>
        <v>Super ace</v>
      </c>
      <c r="S22" s="33" t="str">
        <f t="shared" si="3"/>
        <v>Own</v>
      </c>
      <c r="T22" s="36" t="str">
        <f t="shared" si="4"/>
        <v>Not EMI</v>
      </c>
      <c r="U22" s="31">
        <f t="shared" si="5"/>
        <v>6</v>
      </c>
      <c r="V22" s="36">
        <f>INDEX([5]vehicle_details!$H$2:$H$21,MATCH(G22,[5]vehicle_details!A$2:A$21,0))</f>
        <v>441600</v>
      </c>
      <c r="W22" s="33" t="str">
        <f t="shared" si="6"/>
        <v>Not EMI</v>
      </c>
      <c r="X22" s="36">
        <f t="shared" si="7"/>
        <v>0</v>
      </c>
      <c r="Y22" s="31">
        <f>INDEX([2]vehicle_details!$C$2:$C$21,MATCH(G22,[2]vehicle_details!$A$2:$A$21,0))</f>
        <v>1.2</v>
      </c>
      <c r="Z22" s="37">
        <f>13000</f>
        <v>13000</v>
      </c>
      <c r="AA22" s="31">
        <f t="shared" si="13"/>
        <v>1</v>
      </c>
      <c r="AB22" s="36">
        <f t="shared" si="8"/>
        <v>11900</v>
      </c>
      <c r="AC22" s="36">
        <f t="shared" si="9"/>
        <v>24900</v>
      </c>
      <c r="AD22" s="38">
        <f t="shared" si="10"/>
        <v>0</v>
      </c>
      <c r="AE22" s="35">
        <v>0</v>
      </c>
      <c r="AF22" s="35">
        <f t="shared" si="11"/>
        <v>9866.6666666666661</v>
      </c>
      <c r="AG22" s="35">
        <f>AF22+AC22+'Cost Sheet'!$AE22</f>
        <v>34766.666666666664</v>
      </c>
      <c r="AH22" s="37">
        <f>INDEX([6]Payouts!$G$4:$G$54,MATCH('Cost Sheet'!$A22,[6]Payouts!$A$4:$A$54,0))</f>
        <v>9866.6666666666661</v>
      </c>
      <c r="AI22" s="52">
        <f>INDEX([6]Payouts!$G$4:$G$54,MATCH('Cost Sheet'!$A22,[6]Payouts!$A$4:$A$54,0))</f>
        <v>9866.6666666666661</v>
      </c>
      <c r="AJ22" s="52">
        <f>INDEX([6]Payouts!$I$4:$I$54,MATCH(A22,[6]Payouts!$A$4:$A$54,0))</f>
        <v>-18383.666666666664</v>
      </c>
      <c r="AK22" s="50">
        <f>INDEX([6]Payouts!$I$4:$I$54,MATCH(A22,[6]Payouts!$A$4:$A$54,0))</f>
        <v>-18383.666666666664</v>
      </c>
      <c r="AL22" s="54" t="str">
        <f t="shared" si="12"/>
        <v>Underpaid</v>
      </c>
    </row>
    <row r="23" spans="1:38" ht="15.75" customHeight="1" x14ac:dyDescent="0.25">
      <c r="A23" s="22">
        <v>1377</v>
      </c>
      <c r="B23" s="22" t="s">
        <v>79</v>
      </c>
      <c r="C23" s="22">
        <v>114</v>
      </c>
      <c r="D23" s="22" t="s">
        <v>78</v>
      </c>
      <c r="E23" s="22" t="str">
        <f t="shared" si="0"/>
        <v>Gajrajsingh B Rathod</v>
      </c>
      <c r="F23" s="23">
        <v>43332</v>
      </c>
      <c r="G23" s="22">
        <v>71243</v>
      </c>
      <c r="H23" s="22" t="s">
        <v>3</v>
      </c>
      <c r="I23" s="22">
        <v>2014</v>
      </c>
      <c r="J23" s="22" t="str">
        <f>INDEX([1]location!$B$2:$B$29,MATCH(C23,[1]location!$A$2:$A$29,0))</f>
        <v>Gandhi Nager</v>
      </c>
      <c r="K23" s="22" t="str">
        <f>INDEX([1]location!$C$2:$C$29,MATCH(C23,[1]location!$A$2:$A$29,0))</f>
        <v>AMD</v>
      </c>
      <c r="L23" s="22" t="str">
        <f>INDEX([1]location!$D$2:$D$29,MATCH(C23,[1]location!$A$2:$A$29,0))</f>
        <v>Ahmedabad</v>
      </c>
      <c r="M23" s="22" t="str">
        <f>INDEX([2]vehicle_details!$B$2:$B$21,MATCH(G23,[2]vehicle_details!$A$2:$A$21,0))</f>
        <v>Mahindra</v>
      </c>
      <c r="N23" s="24">
        <f>INDEX([3]vehicle_mileage!$C$2:$C$21,MATCH(M23,[3]vehicle_mileage!$A$2:$A$21,0))</f>
        <v>12</v>
      </c>
      <c r="O23" s="25">
        <f t="shared" si="1"/>
        <v>133.33333333333334</v>
      </c>
      <c r="P23" s="26">
        <f t="shared" si="2"/>
        <v>9600</v>
      </c>
      <c r="Q23" s="26">
        <f>INDEX([4]maintenance!$E$2:$E$21,MATCH(M23,[4]maintenance!$A$2:$A$21,0))</f>
        <v>2213.3333333333335</v>
      </c>
      <c r="R23" s="22" t="str">
        <f>INDEX([5]vehicle_details!$B$2:$B$21,MATCH(G23,[5]vehicle_details!$A$2:$A$21,0))</f>
        <v>Mahindra</v>
      </c>
      <c r="S23" s="24" t="str">
        <f t="shared" si="3"/>
        <v>EMI</v>
      </c>
      <c r="T23" s="27" t="str">
        <f t="shared" si="4"/>
        <v xml:space="preserve">4 </v>
      </c>
      <c r="U23" s="22">
        <f t="shared" si="5"/>
        <v>4</v>
      </c>
      <c r="V23" s="27">
        <f>INDEX([5]vehicle_details!$H$2:$H$21,MATCH(G23,[5]vehicle_details!A$2:A$21,0))</f>
        <v>601600</v>
      </c>
      <c r="W23" s="24">
        <f t="shared" si="6"/>
        <v>2018</v>
      </c>
      <c r="X23" s="27">
        <f t="shared" si="7"/>
        <v>15402.993258745464</v>
      </c>
      <c r="Y23" s="22">
        <f>INDEX([2]vehicle_details!$C$2:$C$21,MATCH(G23,[2]vehicle_details!$A$2:$A$21,0))</f>
        <v>1.5</v>
      </c>
      <c r="Z23" s="28">
        <f>13000</f>
        <v>13000</v>
      </c>
      <c r="AA23" s="22">
        <f t="shared" si="13"/>
        <v>1</v>
      </c>
      <c r="AB23" s="27">
        <f t="shared" si="8"/>
        <v>11900</v>
      </c>
      <c r="AC23" s="27">
        <f t="shared" si="9"/>
        <v>24900</v>
      </c>
      <c r="AD23" s="29">
        <f t="shared" si="10"/>
        <v>0</v>
      </c>
      <c r="AE23" s="26">
        <v>0</v>
      </c>
      <c r="AF23" s="26">
        <f t="shared" si="11"/>
        <v>27216.326592078796</v>
      </c>
      <c r="AG23" s="26">
        <f>AF23+AC23+'Cost Sheet'!$AE23</f>
        <v>52116.326592078796</v>
      </c>
      <c r="AH23" s="28">
        <f>INDEX([6]Payouts!$G$4:$G$54,MATCH('Cost Sheet'!$A23,[6]Payouts!$A$4:$A$54,0))</f>
        <v>27216.326592078796</v>
      </c>
      <c r="AI23" s="26">
        <f>INDEX([6]Payouts!$G$4:$G$54,MATCH('Cost Sheet'!$A23,[6]Payouts!$A$4:$A$54,0))</f>
        <v>27216.326592078796</v>
      </c>
      <c r="AJ23" s="26">
        <f>INDEX([6]Payouts!$I$4:$I$54,MATCH(A23,[6]Payouts!$A$4:$A$54,0))</f>
        <v>-5116.3265920787962</v>
      </c>
      <c r="AK23" s="49">
        <f>INDEX([6]Payouts!$I$4:$I$54,MATCH(A23,[6]Payouts!$A$4:$A$54,0))</f>
        <v>-5116.3265920787962</v>
      </c>
      <c r="AL23" s="30" t="str">
        <f t="shared" si="12"/>
        <v>Underpaid</v>
      </c>
    </row>
    <row r="24" spans="1:38" ht="15.75" customHeight="1" x14ac:dyDescent="0.25">
      <c r="A24" s="31">
        <v>1209</v>
      </c>
      <c r="B24" s="31" t="s">
        <v>77</v>
      </c>
      <c r="C24" s="31">
        <v>122</v>
      </c>
      <c r="D24" s="31" t="s">
        <v>76</v>
      </c>
      <c r="E24" s="31" t="str">
        <f t="shared" si="0"/>
        <v>Gohil Raghuvirsinh R</v>
      </c>
      <c r="F24" s="32">
        <v>43207</v>
      </c>
      <c r="G24" s="31">
        <v>71243</v>
      </c>
      <c r="H24" s="31" t="s">
        <v>10</v>
      </c>
      <c r="I24" s="31">
        <v>2012</v>
      </c>
      <c r="J24" s="31" t="str">
        <f>INDEX([1]location!$B$2:$B$29,MATCH(C24,[1]location!$A$2:$A$29,0))</f>
        <v>Bhavnager</v>
      </c>
      <c r="K24" s="31" t="str">
        <f>INDEX([1]location!$C$2:$C$29,MATCH(C24,[1]location!$A$2:$A$29,0))</f>
        <v>AMD</v>
      </c>
      <c r="L24" s="31" t="str">
        <f>INDEX([1]location!$D$2:$D$29,MATCH(C24,[1]location!$A$2:$A$29,0))</f>
        <v>Ahmedabad</v>
      </c>
      <c r="M24" s="31" t="str">
        <f>INDEX([2]vehicle_details!$B$2:$B$21,MATCH(G24,[2]vehicle_details!$A$2:$A$21,0))</f>
        <v>Mahindra</v>
      </c>
      <c r="N24" s="33">
        <f>INDEX([3]vehicle_mileage!$C$2:$C$21,MATCH(M24,[3]vehicle_mileage!$A$2:$A$21,0))</f>
        <v>12</v>
      </c>
      <c r="O24" s="34">
        <f t="shared" si="1"/>
        <v>133.33333333333334</v>
      </c>
      <c r="P24" s="35">
        <f t="shared" si="2"/>
        <v>9600</v>
      </c>
      <c r="Q24" s="35">
        <f>INDEX([4]maintenance!$E$2:$E$21,MATCH(M24,[4]maintenance!$A$2:$A$21,0))</f>
        <v>2213.3333333333335</v>
      </c>
      <c r="R24" s="31" t="str">
        <f>INDEX([5]vehicle_details!$B$2:$B$21,MATCH(G24,[5]vehicle_details!$A$2:$A$21,0))</f>
        <v>Mahindra</v>
      </c>
      <c r="S24" s="33" t="str">
        <f t="shared" si="3"/>
        <v>Own</v>
      </c>
      <c r="T24" s="36" t="str">
        <f t="shared" si="4"/>
        <v>Not EMI</v>
      </c>
      <c r="U24" s="31">
        <f t="shared" si="5"/>
        <v>6</v>
      </c>
      <c r="V24" s="36">
        <f>INDEX([5]vehicle_details!$H$2:$H$21,MATCH(G24,[5]vehicle_details!A$2:A$21,0))</f>
        <v>601600</v>
      </c>
      <c r="W24" s="33" t="str">
        <f t="shared" si="6"/>
        <v>Not EMI</v>
      </c>
      <c r="X24" s="36">
        <f t="shared" si="7"/>
        <v>0</v>
      </c>
      <c r="Y24" s="31">
        <f>INDEX([2]vehicle_details!$C$2:$C$21,MATCH(G24,[2]vehicle_details!$A$2:$A$21,0))</f>
        <v>1.5</v>
      </c>
      <c r="Z24" s="37">
        <f>13000</f>
        <v>13000</v>
      </c>
      <c r="AA24" s="31">
        <f t="shared" si="13"/>
        <v>1</v>
      </c>
      <c r="AB24" s="36">
        <f t="shared" si="8"/>
        <v>11900</v>
      </c>
      <c r="AC24" s="36">
        <f t="shared" si="9"/>
        <v>24900</v>
      </c>
      <c r="AD24" s="38">
        <f t="shared" si="10"/>
        <v>0</v>
      </c>
      <c r="AE24" s="35">
        <v>0</v>
      </c>
      <c r="AF24" s="35">
        <f t="shared" si="11"/>
        <v>11813.333333333334</v>
      </c>
      <c r="AG24" s="35">
        <f>AF24+AC24+'Cost Sheet'!$AE24</f>
        <v>36713.333333333336</v>
      </c>
      <c r="AH24" s="37">
        <f>INDEX([6]Payouts!$G$4:$G$54,MATCH('Cost Sheet'!$A24,[6]Payouts!$A$4:$A$54,0))</f>
        <v>11813.333333333334</v>
      </c>
      <c r="AI24" s="52">
        <f>INDEX([6]Payouts!$G$4:$G$54,MATCH('Cost Sheet'!$A24,[6]Payouts!$A$4:$A$54,0))</f>
        <v>11813.333333333334</v>
      </c>
      <c r="AJ24" s="52">
        <f>INDEX([6]Payouts!$I$4:$I$54,MATCH(A24,[6]Payouts!$A$4:$A$54,0))</f>
        <v>-29437.333333333336</v>
      </c>
      <c r="AK24" s="50">
        <f>INDEX([6]Payouts!$I$4:$I$54,MATCH(A24,[6]Payouts!$A$4:$A$54,0))</f>
        <v>-29437.333333333336</v>
      </c>
      <c r="AL24" s="54" t="str">
        <f t="shared" si="12"/>
        <v>Underpaid</v>
      </c>
    </row>
    <row r="25" spans="1:38" ht="15.75" customHeight="1" x14ac:dyDescent="0.25">
      <c r="A25" s="22">
        <v>1143</v>
      </c>
      <c r="B25" s="22" t="s">
        <v>75</v>
      </c>
      <c r="C25" s="22">
        <v>113</v>
      </c>
      <c r="D25" s="22" t="s">
        <v>74</v>
      </c>
      <c r="E25" s="22" t="str">
        <f t="shared" si="0"/>
        <v>Gulamhusen Mohamad Ghanchi</v>
      </c>
      <c r="F25" s="23">
        <v>43101</v>
      </c>
      <c r="G25" s="22">
        <v>71235</v>
      </c>
      <c r="H25" s="22" t="s">
        <v>10</v>
      </c>
      <c r="I25" s="22">
        <v>2002</v>
      </c>
      <c r="J25" s="22" t="str">
        <f>INDEX([1]location!$B$2:$B$29,MATCH(C25,[1]location!$A$2:$A$29,0))</f>
        <v>Ahmedabad Branch</v>
      </c>
      <c r="K25" s="22" t="str">
        <f>INDEX([1]location!$C$2:$C$29,MATCH(C25,[1]location!$A$2:$A$29,0))</f>
        <v>AMD</v>
      </c>
      <c r="L25" s="22" t="str">
        <f>INDEX([1]location!$D$2:$D$29,MATCH(C25,[1]location!$A$2:$A$29,0))</f>
        <v>Ahmedabad</v>
      </c>
      <c r="M25" s="22" t="str">
        <f>INDEX([2]vehicle_details!$B$2:$B$21,MATCH(G25,[2]vehicle_details!$A$2:$A$21,0))</f>
        <v>Eicher 17</v>
      </c>
      <c r="N25" s="24">
        <f>INDEX([3]vehicle_mileage!$C$2:$C$21,MATCH(M25,[3]vehicle_mileage!$A$2:$A$21,0))</f>
        <v>7</v>
      </c>
      <c r="O25" s="25">
        <f t="shared" si="1"/>
        <v>228.57142857142858</v>
      </c>
      <c r="P25" s="26">
        <f t="shared" si="2"/>
        <v>16457.142857142859</v>
      </c>
      <c r="Q25" s="26">
        <f>INDEX([4]maintenance!$E$2:$E$21,MATCH(M25,[4]maintenance!$A$2:$A$21,0))</f>
        <v>2308.5714285714284</v>
      </c>
      <c r="R25" s="22" t="str">
        <f>INDEX([5]vehicle_details!$B$2:$B$21,MATCH(G25,[5]vehicle_details!$A$2:$A$21,0))</f>
        <v>Eicher 17</v>
      </c>
      <c r="S25" s="24" t="str">
        <f t="shared" si="3"/>
        <v>Own</v>
      </c>
      <c r="T25" s="27" t="str">
        <f t="shared" si="4"/>
        <v>Not EMI</v>
      </c>
      <c r="U25" s="22">
        <f t="shared" si="5"/>
        <v>16</v>
      </c>
      <c r="V25" s="27">
        <f>INDEX([5]vehicle_details!$H$2:$H$21,MATCH(G25,[5]vehicle_details!A$2:A$21,0))</f>
        <v>924000</v>
      </c>
      <c r="W25" s="24" t="str">
        <f t="shared" si="6"/>
        <v>Not EMI</v>
      </c>
      <c r="X25" s="27">
        <f t="shared" si="7"/>
        <v>0</v>
      </c>
      <c r="Y25" s="22">
        <f>INDEX([2]vehicle_details!$C$2:$C$21,MATCH(G25,[2]vehicle_details!$A$2:$A$21,0))</f>
        <v>4.5</v>
      </c>
      <c r="Z25" s="28">
        <f>13000</f>
        <v>13000</v>
      </c>
      <c r="AA25" s="22">
        <f t="shared" si="13"/>
        <v>2</v>
      </c>
      <c r="AB25" s="27">
        <f t="shared" si="8"/>
        <v>23800</v>
      </c>
      <c r="AC25" s="27">
        <f t="shared" si="9"/>
        <v>36800</v>
      </c>
      <c r="AD25" s="29">
        <f t="shared" si="10"/>
        <v>0</v>
      </c>
      <c r="AE25" s="26">
        <v>0</v>
      </c>
      <c r="AF25" s="26">
        <f t="shared" si="11"/>
        <v>18765.714285714286</v>
      </c>
      <c r="AG25" s="26">
        <f>AF25+AC25+'Cost Sheet'!$AE25</f>
        <v>55565.71428571429</v>
      </c>
      <c r="AH25" s="28">
        <f>INDEX([6]Payouts!$G$4:$G$54,MATCH('Cost Sheet'!$A25,[6]Payouts!$A$4:$A$54,0))</f>
        <v>18765.714285714286</v>
      </c>
      <c r="AI25" s="26">
        <f>INDEX([6]Payouts!$G$4:$G$54,MATCH('Cost Sheet'!$A25,[6]Payouts!$A$4:$A$54,0))</f>
        <v>18765.714285714286</v>
      </c>
      <c r="AJ25" s="26">
        <f>INDEX([6]Payouts!$I$4:$I$54,MATCH(A25,[6]Payouts!$A$4:$A$54,0))</f>
        <v>96271.28571428571</v>
      </c>
      <c r="AK25" s="49">
        <f>INDEX([6]Payouts!$I$4:$I$54,MATCH(A25,[6]Payouts!$A$4:$A$54,0))</f>
        <v>96271.28571428571</v>
      </c>
      <c r="AL25" s="30" t="str">
        <f t="shared" si="12"/>
        <v>Overpaid</v>
      </c>
    </row>
    <row r="26" spans="1:38" ht="15" x14ac:dyDescent="0.25">
      <c r="A26" s="31">
        <v>1259</v>
      </c>
      <c r="B26" s="31" t="s">
        <v>73</v>
      </c>
      <c r="C26" s="31">
        <v>113</v>
      </c>
      <c r="D26" s="31" t="s">
        <v>72</v>
      </c>
      <c r="E26" s="31" t="str">
        <f t="shared" si="0"/>
        <v>Gulzar F Memon</v>
      </c>
      <c r="F26" s="32">
        <v>43251</v>
      </c>
      <c r="G26" s="31">
        <v>71236</v>
      </c>
      <c r="H26" s="31" t="s">
        <v>3</v>
      </c>
      <c r="I26" s="31">
        <v>2014</v>
      </c>
      <c r="J26" s="31" t="str">
        <f>INDEX([1]location!$B$2:$B$29,MATCH(C26,[1]location!$A$2:$A$29,0))</f>
        <v>Ahmedabad Branch</v>
      </c>
      <c r="K26" s="31" t="str">
        <f>INDEX([1]location!$C$2:$C$29,MATCH(C26,[1]location!$A$2:$A$29,0))</f>
        <v>AMD</v>
      </c>
      <c r="L26" s="31" t="str">
        <f>INDEX([1]location!$D$2:$D$29,MATCH(C26,[1]location!$A$2:$A$29,0))</f>
        <v>Ahmedabad</v>
      </c>
      <c r="M26" s="31" t="str">
        <f>INDEX([2]vehicle_details!$B$2:$B$21,MATCH(G26,[2]vehicle_details!$A$2:$A$21,0))</f>
        <v>Eicher 19</v>
      </c>
      <c r="N26" s="33">
        <f>INDEX([3]vehicle_mileage!$C$2:$C$21,MATCH(M26,[3]vehicle_mileage!$A$2:$A$21,0))</f>
        <v>7</v>
      </c>
      <c r="O26" s="34">
        <f t="shared" si="1"/>
        <v>228.57142857142858</v>
      </c>
      <c r="P26" s="35">
        <f t="shared" si="2"/>
        <v>16457.142857142859</v>
      </c>
      <c r="Q26" s="35">
        <f>INDEX([4]maintenance!$E$2:$E$21,MATCH(M26,[4]maintenance!$A$2:$A$21,0))</f>
        <v>2308.5714285714284</v>
      </c>
      <c r="R26" s="31" t="str">
        <f>INDEX([5]vehicle_details!$B$2:$B$21,MATCH(G26,[5]vehicle_details!$A$2:$A$21,0))</f>
        <v>Eicher 19</v>
      </c>
      <c r="S26" s="33" t="str">
        <f t="shared" si="3"/>
        <v>EMI</v>
      </c>
      <c r="T26" s="36" t="str">
        <f t="shared" si="4"/>
        <v xml:space="preserve">4 </v>
      </c>
      <c r="U26" s="31">
        <f t="shared" si="5"/>
        <v>4</v>
      </c>
      <c r="V26" s="36">
        <f>INDEX([5]vehicle_details!$H$2:$H$21,MATCH(G26,[5]vehicle_details!A$2:A$21,0))</f>
        <v>924000</v>
      </c>
      <c r="W26" s="33">
        <f t="shared" si="6"/>
        <v>2018</v>
      </c>
      <c r="X26" s="36">
        <f t="shared" si="7"/>
        <v>23657.522890759326</v>
      </c>
      <c r="Y26" s="31">
        <f>INDEX([2]vehicle_details!$C$2:$C$21,MATCH(G26,[2]vehicle_details!$A$2:$A$21,0))</f>
        <v>6.5</v>
      </c>
      <c r="Z26" s="37">
        <f>13000</f>
        <v>13000</v>
      </c>
      <c r="AA26" s="31">
        <f t="shared" si="13"/>
        <v>2</v>
      </c>
      <c r="AB26" s="36">
        <f t="shared" si="8"/>
        <v>23800</v>
      </c>
      <c r="AC26" s="36">
        <f t="shared" si="9"/>
        <v>36800</v>
      </c>
      <c r="AD26" s="38">
        <f t="shared" si="10"/>
        <v>0</v>
      </c>
      <c r="AE26" s="35">
        <v>0</v>
      </c>
      <c r="AF26" s="35">
        <f t="shared" si="11"/>
        <v>42423.237176473616</v>
      </c>
      <c r="AG26" s="35">
        <f>AF26+AC26+'Cost Sheet'!$AE26</f>
        <v>79223.237176473616</v>
      </c>
      <c r="AH26" s="37">
        <f>INDEX([6]Payouts!$G$4:$G$54,MATCH('Cost Sheet'!$A26,[6]Payouts!$A$4:$A$54,0))</f>
        <v>42423.237176473616</v>
      </c>
      <c r="AI26" s="52">
        <f>INDEX([6]Payouts!$G$4:$G$54,MATCH('Cost Sheet'!$A26,[6]Payouts!$A$4:$A$54,0))</f>
        <v>42423.237176473616</v>
      </c>
      <c r="AJ26" s="52">
        <f>INDEX([6]Payouts!$I$4:$I$54,MATCH(A26,[6]Payouts!$A$4:$A$54,0))</f>
        <v>-34482.237176473616</v>
      </c>
      <c r="AK26" s="50">
        <f>INDEX([6]Payouts!$I$4:$I$54,MATCH(A26,[6]Payouts!$A$4:$A$54,0))</f>
        <v>-34482.237176473616</v>
      </c>
      <c r="AL26" s="54" t="str">
        <f t="shared" si="12"/>
        <v>Underpaid</v>
      </c>
    </row>
    <row r="27" spans="1:38" ht="15" x14ac:dyDescent="0.25">
      <c r="A27" s="22">
        <v>1022</v>
      </c>
      <c r="B27" s="22" t="s">
        <v>71</v>
      </c>
      <c r="C27" s="22">
        <v>117</v>
      </c>
      <c r="D27" s="22" t="s">
        <v>70</v>
      </c>
      <c r="E27" s="22" t="str">
        <f t="shared" si="0"/>
        <v>Hardik Patel</v>
      </c>
      <c r="F27" s="39">
        <v>42667</v>
      </c>
      <c r="G27" s="22">
        <v>71234</v>
      </c>
      <c r="H27" s="22" t="s">
        <v>3</v>
      </c>
      <c r="I27" s="22">
        <v>2015</v>
      </c>
      <c r="J27" s="22" t="str">
        <f>INDEX([1]location!$B$2:$B$29,MATCH(C27,[1]location!$A$2:$A$29,0))</f>
        <v>Jamnager</v>
      </c>
      <c r="K27" s="22" t="str">
        <f>INDEX([1]location!$C$2:$C$29,MATCH(C27,[1]location!$A$2:$A$29,0))</f>
        <v>AMD</v>
      </c>
      <c r="L27" s="22" t="str">
        <f>INDEX([1]location!$D$2:$D$29,MATCH(C27,[1]location!$A$2:$A$29,0))</f>
        <v>Ahmedabad</v>
      </c>
      <c r="M27" s="22" t="str">
        <f>INDEX([2]vehicle_details!$B$2:$B$21,MATCH(G27,[2]vehicle_details!$A$2:$A$21,0))</f>
        <v>Eicher 14</v>
      </c>
      <c r="N27" s="24">
        <f>INDEX([3]vehicle_mileage!$C$2:$C$21,MATCH(M27,[3]vehicle_mileage!$A$2:$A$21,0))</f>
        <v>8</v>
      </c>
      <c r="O27" s="25">
        <f t="shared" si="1"/>
        <v>200</v>
      </c>
      <c r="P27" s="26">
        <f t="shared" si="2"/>
        <v>14400</v>
      </c>
      <c r="Q27" s="26">
        <f>INDEX([4]maintenance!$E$2:$E$21,MATCH(M27,[4]maintenance!$A$2:$A$21,0))</f>
        <v>2280</v>
      </c>
      <c r="R27" s="22" t="str">
        <f>INDEX([5]vehicle_details!$B$2:$B$21,MATCH(G27,[5]vehicle_details!$A$2:$A$21,0))</f>
        <v>Eicher 14</v>
      </c>
      <c r="S27" s="24" t="str">
        <f t="shared" si="3"/>
        <v>EMI</v>
      </c>
      <c r="T27" s="27" t="str">
        <f t="shared" si="4"/>
        <v xml:space="preserve">4 </v>
      </c>
      <c r="U27" s="22">
        <f t="shared" si="5"/>
        <v>1</v>
      </c>
      <c r="V27" s="27">
        <f>INDEX([5]vehicle_details!$H$2:$H$21,MATCH(G27,[5]vehicle_details!A$2:A$21,0))</f>
        <v>603200</v>
      </c>
      <c r="W27" s="24">
        <f t="shared" si="6"/>
        <v>2019</v>
      </c>
      <c r="X27" s="27">
        <f t="shared" si="7"/>
        <v>15443.958666348513</v>
      </c>
      <c r="Y27" s="22">
        <f>INDEX([2]vehicle_details!$C$2:$C$21,MATCH(G27,[2]vehicle_details!$A$2:$A$21,0))</f>
        <v>2.5</v>
      </c>
      <c r="Z27" s="28">
        <f>13000</f>
        <v>13000</v>
      </c>
      <c r="AA27" s="22">
        <f t="shared" si="13"/>
        <v>2</v>
      </c>
      <c r="AB27" s="27">
        <f t="shared" si="8"/>
        <v>23800</v>
      </c>
      <c r="AC27" s="27">
        <f t="shared" si="9"/>
        <v>36800</v>
      </c>
      <c r="AD27" s="29">
        <f t="shared" si="10"/>
        <v>0</v>
      </c>
      <c r="AE27" s="26">
        <v>0</v>
      </c>
      <c r="AF27" s="26">
        <f t="shared" si="11"/>
        <v>32123.958666348513</v>
      </c>
      <c r="AG27" s="26">
        <f>AF27+AC27+'Cost Sheet'!$AE27</f>
        <v>68923.95866634851</v>
      </c>
      <c r="AH27" s="56">
        <f>INDEX([6]Payouts!$G$4:$G$54,MATCH('Cost Sheet'!$A27,[6]Payouts!$A$4:$A$54,0))</f>
        <v>52969.6729520628</v>
      </c>
      <c r="AI27" s="26">
        <f>INDEX([6]Payouts!$G$4:$G$54,MATCH('Cost Sheet'!$A27,[6]Payouts!$A$4:$A$54,0))</f>
        <v>52969.6729520628</v>
      </c>
      <c r="AJ27" s="60">
        <f>INDEX([6]Payouts!$I$4:$I$54,MATCH(A27,[6]Payouts!$A$4:$A$54,0))</f>
        <v>175602.3270479372</v>
      </c>
      <c r="AK27" s="49">
        <f>INDEX([6]Payouts!$I$4:$I$54,MATCH(A27,[6]Payouts!$A$4:$A$54,0))</f>
        <v>175602.3270479372</v>
      </c>
      <c r="AL27" s="30" t="str">
        <f t="shared" si="12"/>
        <v>Overpaid</v>
      </c>
    </row>
    <row r="28" spans="1:38" ht="15" x14ac:dyDescent="0.25">
      <c r="A28" s="31">
        <v>1022</v>
      </c>
      <c r="B28" s="31" t="s">
        <v>71</v>
      </c>
      <c r="C28" s="31">
        <v>117</v>
      </c>
      <c r="D28" s="31" t="s">
        <v>70</v>
      </c>
      <c r="E28" s="31" t="str">
        <f t="shared" si="0"/>
        <v>Hardik Patel</v>
      </c>
      <c r="F28" s="40">
        <v>42667</v>
      </c>
      <c r="G28" s="31">
        <v>71231</v>
      </c>
      <c r="H28" s="31" t="s">
        <v>10</v>
      </c>
      <c r="I28" s="31">
        <v>2011</v>
      </c>
      <c r="J28" s="31" t="str">
        <f>INDEX([1]location!$B$2:$B$29,MATCH(C28,[1]location!$A$2:$A$29,0))</f>
        <v>Jamnager</v>
      </c>
      <c r="K28" s="31" t="str">
        <f>INDEX([1]location!$C$2:$C$29,MATCH(C28,[1]location!$A$2:$A$29,0))</f>
        <v>AMD</v>
      </c>
      <c r="L28" s="31" t="str">
        <f>INDEX([1]location!$D$2:$D$29,MATCH(C28,[1]location!$A$2:$A$29,0))</f>
        <v>Ahmedabad</v>
      </c>
      <c r="M28" s="31" t="str">
        <f>INDEX([2]vehicle_details!$B$2:$B$21,MATCH(G28,[2]vehicle_details!$A$2:$A$21,0))</f>
        <v>Tata Ace</v>
      </c>
      <c r="N28" s="33">
        <f>INDEX([3]vehicle_mileage!$C$2:$C$21,MATCH(M28,[3]vehicle_mileage!$A$2:$A$21,0))</f>
        <v>14</v>
      </c>
      <c r="O28" s="34">
        <f t="shared" si="1"/>
        <v>114.28571428571429</v>
      </c>
      <c r="P28" s="35">
        <f t="shared" si="2"/>
        <v>8228.5714285714294</v>
      </c>
      <c r="Q28" s="35">
        <f>INDEX([4]maintenance!$E$2:$E$21,MATCH(M28,[4]maintenance!$A$2:$A$21,0))</f>
        <v>2194.2857142857142</v>
      </c>
      <c r="R28" s="31" t="str">
        <f>INDEX([5]vehicle_details!$B$2:$B$21,MATCH(G28,[5]vehicle_details!$A$2:$A$21,0))</f>
        <v>Tata Ace</v>
      </c>
      <c r="S28" s="33" t="str">
        <f t="shared" si="3"/>
        <v>Own</v>
      </c>
      <c r="T28" s="36" t="str">
        <f t="shared" si="4"/>
        <v>Not EMI</v>
      </c>
      <c r="U28" s="31">
        <f t="shared" si="5"/>
        <v>5</v>
      </c>
      <c r="V28" s="36">
        <f>INDEX([5]vehicle_details!$H$2:$H$21,MATCH(G28,[5]vehicle_details!A$2:A$21,0))</f>
        <v>321440</v>
      </c>
      <c r="W28" s="33" t="str">
        <f t="shared" si="6"/>
        <v>Not EMI</v>
      </c>
      <c r="X28" s="36">
        <f t="shared" si="7"/>
        <v>0</v>
      </c>
      <c r="Y28" s="31">
        <f>INDEX([2]vehicle_details!$C$2:$C$21,MATCH(G28,[2]vehicle_details!$A$2:$A$21,0))</f>
        <v>0.75</v>
      </c>
      <c r="Z28" s="37">
        <f>13000</f>
        <v>13000</v>
      </c>
      <c r="AA28" s="31">
        <f t="shared" si="13"/>
        <v>1</v>
      </c>
      <c r="AB28" s="36">
        <f t="shared" si="8"/>
        <v>11900</v>
      </c>
      <c r="AC28" s="36">
        <f t="shared" si="9"/>
        <v>24900</v>
      </c>
      <c r="AD28" s="38">
        <f t="shared" si="10"/>
        <v>0</v>
      </c>
      <c r="AE28" s="35">
        <v>0</v>
      </c>
      <c r="AF28" s="35">
        <f t="shared" si="11"/>
        <v>10422.857142857143</v>
      </c>
      <c r="AG28" s="35">
        <f>AF28+AC28+'Cost Sheet'!$AE28</f>
        <v>35322.857142857145</v>
      </c>
      <c r="AH28" s="67"/>
      <c r="AI28" s="52">
        <f>INDEX([6]Payouts!$G$4:$G$54,MATCH('Cost Sheet'!$A28,[6]Payouts!$A$4:$A$54,0))</f>
        <v>52969.6729520628</v>
      </c>
      <c r="AJ28" s="61"/>
      <c r="AK28" s="50">
        <f>INDEX([6]Payouts!$I$4:$I$54,MATCH(A28,[6]Payouts!$A$4:$A$54,0))</f>
        <v>175602.3270479372</v>
      </c>
      <c r="AL28" s="54" t="str">
        <f t="shared" si="12"/>
        <v>Overpaid</v>
      </c>
    </row>
    <row r="29" spans="1:38" ht="15" x14ac:dyDescent="0.25">
      <c r="A29" s="22">
        <v>1022</v>
      </c>
      <c r="B29" s="22" t="s">
        <v>71</v>
      </c>
      <c r="C29" s="22">
        <v>117</v>
      </c>
      <c r="D29" s="22" t="s">
        <v>70</v>
      </c>
      <c r="E29" s="22" t="str">
        <f t="shared" si="0"/>
        <v>Hardik Patel</v>
      </c>
      <c r="F29" s="39">
        <v>42667</v>
      </c>
      <c r="G29" s="22">
        <v>71231</v>
      </c>
      <c r="H29" s="22" t="s">
        <v>10</v>
      </c>
      <c r="I29" s="22">
        <v>2012</v>
      </c>
      <c r="J29" s="22" t="str">
        <f>INDEX([1]location!$B$2:$B$29,MATCH(C29,[1]location!$A$2:$A$29,0))</f>
        <v>Jamnager</v>
      </c>
      <c r="K29" s="22" t="str">
        <f>INDEX([1]location!$C$2:$C$29,MATCH(C29,[1]location!$A$2:$A$29,0))</f>
        <v>AMD</v>
      </c>
      <c r="L29" s="22" t="str">
        <f>INDEX([1]location!$D$2:$D$29,MATCH(C29,[1]location!$A$2:$A$29,0))</f>
        <v>Ahmedabad</v>
      </c>
      <c r="M29" s="22" t="str">
        <f>INDEX([2]vehicle_details!$B$2:$B$21,MATCH(G29,[2]vehicle_details!$A$2:$A$21,0))</f>
        <v>Tata Ace</v>
      </c>
      <c r="N29" s="24">
        <f>INDEX([3]vehicle_mileage!$C$2:$C$21,MATCH(M29,[3]vehicle_mileage!$A$2:$A$21,0))</f>
        <v>14</v>
      </c>
      <c r="O29" s="25">
        <f t="shared" si="1"/>
        <v>114.28571428571429</v>
      </c>
      <c r="P29" s="26">
        <f t="shared" si="2"/>
        <v>8228.5714285714294</v>
      </c>
      <c r="Q29" s="26">
        <f>INDEX([4]maintenance!$E$2:$E$21,MATCH(M29,[4]maintenance!$A$2:$A$21,0))</f>
        <v>2194.2857142857142</v>
      </c>
      <c r="R29" s="22" t="str">
        <f>INDEX([5]vehicle_details!$B$2:$B$21,MATCH(G29,[5]vehicle_details!$A$2:$A$21,0))</f>
        <v>Tata Ace</v>
      </c>
      <c r="S29" s="24" t="str">
        <f t="shared" si="3"/>
        <v>Own</v>
      </c>
      <c r="T29" s="27" t="str">
        <f t="shared" si="4"/>
        <v>Not EMI</v>
      </c>
      <c r="U29" s="22">
        <f t="shared" si="5"/>
        <v>4</v>
      </c>
      <c r="V29" s="27">
        <f>INDEX([5]vehicle_details!$H$2:$H$21,MATCH(G29,[5]vehicle_details!A$2:A$21,0))</f>
        <v>321440</v>
      </c>
      <c r="W29" s="24" t="str">
        <f t="shared" si="6"/>
        <v>Not EMI</v>
      </c>
      <c r="X29" s="27">
        <f t="shared" si="7"/>
        <v>0</v>
      </c>
      <c r="Y29" s="22">
        <f>INDEX([2]vehicle_details!$C$2:$C$21,MATCH(G29,[2]vehicle_details!$A$2:$A$21,0))</f>
        <v>0.75</v>
      </c>
      <c r="Z29" s="28">
        <f>13000</f>
        <v>13000</v>
      </c>
      <c r="AA29" s="22">
        <f t="shared" si="13"/>
        <v>1</v>
      </c>
      <c r="AB29" s="27">
        <f t="shared" si="8"/>
        <v>11900</v>
      </c>
      <c r="AC29" s="27">
        <f t="shared" si="9"/>
        <v>24900</v>
      </c>
      <c r="AD29" s="29">
        <f t="shared" si="10"/>
        <v>0</v>
      </c>
      <c r="AE29" s="26">
        <v>0</v>
      </c>
      <c r="AF29" s="26">
        <f t="shared" si="11"/>
        <v>10422.857142857143</v>
      </c>
      <c r="AG29" s="26">
        <f>AF29+AC29+'Cost Sheet'!$AE29</f>
        <v>35322.857142857145</v>
      </c>
      <c r="AH29" s="57"/>
      <c r="AI29" s="26">
        <f>INDEX([6]Payouts!$G$4:$G$54,MATCH('Cost Sheet'!$A29,[6]Payouts!$A$4:$A$54,0))</f>
        <v>52969.6729520628</v>
      </c>
      <c r="AJ29" s="62"/>
      <c r="AK29" s="49">
        <f>INDEX([6]Payouts!$I$4:$I$54,MATCH(A29,[6]Payouts!$A$4:$A$54,0))</f>
        <v>175602.3270479372</v>
      </c>
      <c r="AL29" s="30" t="str">
        <f t="shared" si="12"/>
        <v>Overpaid</v>
      </c>
    </row>
    <row r="30" spans="1:38" ht="15" x14ac:dyDescent="0.25">
      <c r="A30" s="31">
        <v>1217</v>
      </c>
      <c r="B30" s="31" t="s">
        <v>69</v>
      </c>
      <c r="C30" s="31">
        <v>121</v>
      </c>
      <c r="D30" s="31" t="s">
        <v>68</v>
      </c>
      <c r="E30" s="31" t="str">
        <f t="shared" si="0"/>
        <v>Harun Abdul Bhai Theba</v>
      </c>
      <c r="F30" s="32">
        <v>43221</v>
      </c>
      <c r="G30" s="31">
        <v>71243</v>
      </c>
      <c r="H30" s="31" t="s">
        <v>10</v>
      </c>
      <c r="I30" s="31">
        <v>2013</v>
      </c>
      <c r="J30" s="31" t="str">
        <f>INDEX([1]location!$B$2:$B$29,MATCH(C30,[1]location!$A$2:$A$29,0))</f>
        <v>Rajkot</v>
      </c>
      <c r="K30" s="31" t="str">
        <f>INDEX([1]location!$C$2:$C$29,MATCH(C30,[1]location!$A$2:$A$29,0))</f>
        <v>AMD</v>
      </c>
      <c r="L30" s="31" t="str">
        <f>INDEX([1]location!$D$2:$D$29,MATCH(C30,[1]location!$A$2:$A$29,0))</f>
        <v>Ahmedabad</v>
      </c>
      <c r="M30" s="31" t="str">
        <f>INDEX([2]vehicle_details!$B$2:$B$21,MATCH(G30,[2]vehicle_details!$A$2:$A$21,0))</f>
        <v>Mahindra</v>
      </c>
      <c r="N30" s="33">
        <f>INDEX([3]vehicle_mileage!$C$2:$C$21,MATCH(M30,[3]vehicle_mileage!$A$2:$A$21,0))</f>
        <v>12</v>
      </c>
      <c r="O30" s="34">
        <f t="shared" si="1"/>
        <v>133.33333333333334</v>
      </c>
      <c r="P30" s="35">
        <f t="shared" si="2"/>
        <v>9600</v>
      </c>
      <c r="Q30" s="35">
        <f>INDEX([4]maintenance!$E$2:$E$21,MATCH(M30,[4]maintenance!$A$2:$A$21,0))</f>
        <v>2213.3333333333335</v>
      </c>
      <c r="R30" s="31" t="str">
        <f>INDEX([5]vehicle_details!$B$2:$B$21,MATCH(G30,[5]vehicle_details!$A$2:$A$21,0))</f>
        <v>Mahindra</v>
      </c>
      <c r="S30" s="33" t="str">
        <f t="shared" si="3"/>
        <v>Own</v>
      </c>
      <c r="T30" s="36" t="str">
        <f t="shared" si="4"/>
        <v>Not EMI</v>
      </c>
      <c r="U30" s="31">
        <f t="shared" si="5"/>
        <v>5</v>
      </c>
      <c r="V30" s="36">
        <f>INDEX([5]vehicle_details!$H$2:$H$21,MATCH(G30,[5]vehicle_details!A$2:A$21,0))</f>
        <v>601600</v>
      </c>
      <c r="W30" s="33" t="str">
        <f t="shared" si="6"/>
        <v>Not EMI</v>
      </c>
      <c r="X30" s="36">
        <f t="shared" si="7"/>
        <v>0</v>
      </c>
      <c r="Y30" s="31">
        <f>INDEX([2]vehicle_details!$C$2:$C$21,MATCH(G30,[2]vehicle_details!$A$2:$A$21,0))</f>
        <v>1.5</v>
      </c>
      <c r="Z30" s="37">
        <f>13000</f>
        <v>13000</v>
      </c>
      <c r="AA30" s="31">
        <f t="shared" si="13"/>
        <v>1</v>
      </c>
      <c r="AB30" s="36">
        <f t="shared" si="8"/>
        <v>11900</v>
      </c>
      <c r="AC30" s="36">
        <f t="shared" si="9"/>
        <v>24900</v>
      </c>
      <c r="AD30" s="38">
        <f t="shared" si="10"/>
        <v>0</v>
      </c>
      <c r="AE30" s="35">
        <v>0</v>
      </c>
      <c r="AF30" s="35">
        <f t="shared" si="11"/>
        <v>11813.333333333334</v>
      </c>
      <c r="AG30" s="35">
        <f>AF30+AC30+'Cost Sheet'!$AE30</f>
        <v>36713.333333333336</v>
      </c>
      <c r="AH30" s="37">
        <f>INDEX([6]Payouts!$G$4:$G$54,MATCH('Cost Sheet'!$A30,[6]Payouts!$A$4:$A$54,0))</f>
        <v>11813.333333333334</v>
      </c>
      <c r="AI30" s="52">
        <f>INDEX([6]Payouts!$G$4:$G$54,MATCH('Cost Sheet'!$A30,[6]Payouts!$A$4:$A$54,0))</f>
        <v>11813.333333333334</v>
      </c>
      <c r="AJ30" s="52">
        <f>INDEX([6]Payouts!$I$4:$I$54,MATCH(A30,[6]Payouts!$A$4:$A$54,0))</f>
        <v>29939.666666666664</v>
      </c>
      <c r="AK30" s="50">
        <f>INDEX([6]Payouts!$I$4:$I$54,MATCH(A30,[6]Payouts!$A$4:$A$54,0))</f>
        <v>29939.666666666664</v>
      </c>
      <c r="AL30" s="54" t="str">
        <f t="shared" si="12"/>
        <v>Overpaid</v>
      </c>
    </row>
    <row r="31" spans="1:38" ht="15" x14ac:dyDescent="0.25">
      <c r="A31" s="22">
        <v>1223</v>
      </c>
      <c r="B31" s="22" t="s">
        <v>67</v>
      </c>
      <c r="C31" s="22">
        <v>116</v>
      </c>
      <c r="D31" s="22" t="s">
        <v>66</v>
      </c>
      <c r="E31" s="22" t="str">
        <f t="shared" si="0"/>
        <v>Inderkumar Moolchand Gupta</v>
      </c>
      <c r="F31" s="23">
        <v>43220</v>
      </c>
      <c r="G31" s="22">
        <v>71234</v>
      </c>
      <c r="H31" s="22" t="s">
        <v>3</v>
      </c>
      <c r="I31" s="22">
        <v>2016</v>
      </c>
      <c r="J31" s="22" t="str">
        <f>INDEX([1]location!$B$2:$B$29,MATCH(C31,[1]location!$A$2:$A$29,0))</f>
        <v>Vadodara</v>
      </c>
      <c r="K31" s="22" t="str">
        <f>INDEX([1]location!$C$2:$C$29,MATCH(C31,[1]location!$A$2:$A$29,0))</f>
        <v>AMD</v>
      </c>
      <c r="L31" s="22" t="str">
        <f>INDEX([1]location!$D$2:$D$29,MATCH(C31,[1]location!$A$2:$A$29,0))</f>
        <v>Ahmedabad</v>
      </c>
      <c r="M31" s="22" t="str">
        <f>INDEX([2]vehicle_details!$B$2:$B$21,MATCH(G31,[2]vehicle_details!$A$2:$A$21,0))</f>
        <v>Eicher 14</v>
      </c>
      <c r="N31" s="24">
        <f>INDEX([3]vehicle_mileage!$C$2:$C$21,MATCH(M31,[3]vehicle_mileage!$A$2:$A$21,0))</f>
        <v>8</v>
      </c>
      <c r="O31" s="25">
        <f t="shared" si="1"/>
        <v>200</v>
      </c>
      <c r="P31" s="26">
        <f t="shared" si="2"/>
        <v>14400</v>
      </c>
      <c r="Q31" s="26">
        <f>INDEX([4]maintenance!$E$2:$E$21,MATCH(M31,[4]maintenance!$A$2:$A$21,0))</f>
        <v>2280</v>
      </c>
      <c r="R31" s="22" t="str">
        <f>INDEX([5]vehicle_details!$B$2:$B$21,MATCH(G31,[5]vehicle_details!$A$2:$A$21,0))</f>
        <v>Eicher 14</v>
      </c>
      <c r="S31" s="24" t="str">
        <f t="shared" si="3"/>
        <v>EMI</v>
      </c>
      <c r="T31" s="27" t="str">
        <f t="shared" si="4"/>
        <v xml:space="preserve">4 </v>
      </c>
      <c r="U31" s="22">
        <f t="shared" si="5"/>
        <v>2</v>
      </c>
      <c r="V31" s="27">
        <f>INDEX([5]vehicle_details!$H$2:$H$21,MATCH(G31,[5]vehicle_details!A$2:A$21,0))</f>
        <v>603200</v>
      </c>
      <c r="W31" s="24">
        <f t="shared" si="6"/>
        <v>2020</v>
      </c>
      <c r="X31" s="27">
        <f t="shared" si="7"/>
        <v>15443.958666348513</v>
      </c>
      <c r="Y31" s="22">
        <f>INDEX([2]vehicle_details!$C$2:$C$21,MATCH(G31,[2]vehicle_details!$A$2:$A$21,0))</f>
        <v>2.5</v>
      </c>
      <c r="Z31" s="28">
        <f>13000</f>
        <v>13000</v>
      </c>
      <c r="AA31" s="22">
        <f t="shared" si="13"/>
        <v>2</v>
      </c>
      <c r="AB31" s="27">
        <f t="shared" si="8"/>
        <v>23800</v>
      </c>
      <c r="AC31" s="27">
        <f t="shared" si="9"/>
        <v>36800</v>
      </c>
      <c r="AD31" s="29">
        <f t="shared" si="10"/>
        <v>0</v>
      </c>
      <c r="AE31" s="26">
        <v>0</v>
      </c>
      <c r="AF31" s="26">
        <f t="shared" si="11"/>
        <v>32123.958666348513</v>
      </c>
      <c r="AG31" s="26">
        <f>AF31+AC31+'Cost Sheet'!$AE31</f>
        <v>68923.95866634851</v>
      </c>
      <c r="AH31" s="64">
        <f>INDEX([6]Payouts!$G$4:$G$54,MATCH('Cost Sheet'!$A31,[6]Payouts!$A$4:$A$54,0))</f>
        <v>75392.728473153984</v>
      </c>
      <c r="AI31" s="26">
        <f>INDEX([6]Payouts!$G$4:$G$54,MATCH('Cost Sheet'!$A31,[6]Payouts!$A$4:$A$54,0))</f>
        <v>75392.728473153984</v>
      </c>
      <c r="AJ31" s="58">
        <f>INDEX([6]Payouts!$I$4:$I$54,MATCH(A31,[6]Payouts!$A$4:$A$54,0))</f>
        <v>74821.271526846016</v>
      </c>
      <c r="AK31" s="49">
        <f>INDEX([6]Payouts!$I$4:$I$54,MATCH(A31,[6]Payouts!$A$4:$A$54,0))</f>
        <v>74821.271526846016</v>
      </c>
      <c r="AL31" s="30" t="str">
        <f t="shared" si="12"/>
        <v>Overpaid</v>
      </c>
    </row>
    <row r="32" spans="1:38" ht="15" x14ac:dyDescent="0.25">
      <c r="A32" s="31">
        <v>1223</v>
      </c>
      <c r="B32" s="31" t="s">
        <v>67</v>
      </c>
      <c r="C32" s="31">
        <v>116</v>
      </c>
      <c r="D32" s="31" t="s">
        <v>66</v>
      </c>
      <c r="E32" s="31" t="str">
        <f t="shared" si="0"/>
        <v>Inderkumar Moolchand Gupta</v>
      </c>
      <c r="F32" s="32">
        <v>43220</v>
      </c>
      <c r="G32" s="31">
        <v>71249</v>
      </c>
      <c r="H32" s="31" t="s">
        <v>3</v>
      </c>
      <c r="I32" s="31">
        <v>2017</v>
      </c>
      <c r="J32" s="31" t="str">
        <f>INDEX([1]location!$B$2:$B$29,MATCH(C32,[1]location!$A$2:$A$29,0))</f>
        <v>Vadodara</v>
      </c>
      <c r="K32" s="31" t="str">
        <f>INDEX([1]location!$C$2:$C$29,MATCH(C32,[1]location!$A$2:$A$29,0))</f>
        <v>AMD</v>
      </c>
      <c r="L32" s="31" t="str">
        <f>INDEX([1]location!$D$2:$D$29,MATCH(C32,[1]location!$A$2:$A$29,0))</f>
        <v>Ahmedabad</v>
      </c>
      <c r="M32" s="31" t="str">
        <f>INDEX([2]vehicle_details!$B$2:$B$21,MATCH(G32,[2]vehicle_details!$A$2:$A$21,0))</f>
        <v>AL Dost</v>
      </c>
      <c r="N32" s="33">
        <f>INDEX([3]vehicle_mileage!$C$2:$C$21,MATCH(M32,[3]vehicle_mileage!$A$2:$A$21,0))</f>
        <v>12</v>
      </c>
      <c r="O32" s="34">
        <f t="shared" si="1"/>
        <v>133.33333333333334</v>
      </c>
      <c r="P32" s="35">
        <f t="shared" si="2"/>
        <v>9600</v>
      </c>
      <c r="Q32" s="35">
        <f>INDEX([4]maintenance!$E$2:$E$21,MATCH(M32,[4]maintenance!$A$2:$A$21,0))</f>
        <v>2213.3333333333335</v>
      </c>
      <c r="R32" s="31" t="str">
        <f>INDEX([5]vehicle_details!$B$2:$B$21,MATCH(G32,[5]vehicle_details!$A$2:$A$21,0))</f>
        <v>AL Dost</v>
      </c>
      <c r="S32" s="33" t="str">
        <f t="shared" si="3"/>
        <v>EMI</v>
      </c>
      <c r="T32" s="36" t="str">
        <f t="shared" si="4"/>
        <v xml:space="preserve">4 </v>
      </c>
      <c r="U32" s="31">
        <f t="shared" si="5"/>
        <v>1</v>
      </c>
      <c r="V32" s="36">
        <f>INDEX([5]vehicle_details!$H$2:$H$21,MATCH(G32,[5]vehicle_details!A$2:A$21,0))</f>
        <v>401600</v>
      </c>
      <c r="W32" s="33">
        <f t="shared" si="6"/>
        <v>2021</v>
      </c>
      <c r="X32" s="36">
        <f t="shared" si="7"/>
        <v>10282.31730836466</v>
      </c>
      <c r="Y32" s="31">
        <f>INDEX([2]vehicle_details!$C$2:$C$21,MATCH(G32,[2]vehicle_details!$A$2:$A$21,0))</f>
        <v>1.25</v>
      </c>
      <c r="Z32" s="37">
        <f>13000</f>
        <v>13000</v>
      </c>
      <c r="AA32" s="31">
        <f t="shared" si="13"/>
        <v>1</v>
      </c>
      <c r="AB32" s="36">
        <f t="shared" si="8"/>
        <v>11900</v>
      </c>
      <c r="AC32" s="36">
        <f t="shared" si="9"/>
        <v>24900</v>
      </c>
      <c r="AD32" s="38">
        <f t="shared" si="10"/>
        <v>0</v>
      </c>
      <c r="AE32" s="35">
        <v>0</v>
      </c>
      <c r="AF32" s="35">
        <f t="shared" si="11"/>
        <v>22095.650641697994</v>
      </c>
      <c r="AG32" s="35">
        <f>AF32+AC32+'Cost Sheet'!$AE32</f>
        <v>46995.650641697997</v>
      </c>
      <c r="AH32" s="65"/>
      <c r="AI32" s="52">
        <f>INDEX([6]Payouts!$G$4:$G$54,MATCH('Cost Sheet'!$A32,[6]Payouts!$A$4:$A$54,0))</f>
        <v>75392.728473153984</v>
      </c>
      <c r="AJ32" s="63"/>
      <c r="AK32" s="50">
        <f>INDEX([6]Payouts!$I$4:$I$54,MATCH(A32,[6]Payouts!$A$4:$A$54,0))</f>
        <v>74821.271526846016</v>
      </c>
      <c r="AL32" s="54" t="str">
        <f t="shared" si="12"/>
        <v>Overpaid</v>
      </c>
    </row>
    <row r="33" spans="1:38" ht="15" x14ac:dyDescent="0.25">
      <c r="A33" s="22">
        <v>1223</v>
      </c>
      <c r="B33" s="22" t="s">
        <v>67</v>
      </c>
      <c r="C33" s="22">
        <v>116</v>
      </c>
      <c r="D33" s="22" t="s">
        <v>66</v>
      </c>
      <c r="E33" s="22" t="str">
        <f t="shared" si="0"/>
        <v>Inderkumar Moolchand Gupta</v>
      </c>
      <c r="F33" s="23">
        <v>43220</v>
      </c>
      <c r="G33" s="22">
        <v>71246</v>
      </c>
      <c r="H33" s="22" t="s">
        <v>3</v>
      </c>
      <c r="I33" s="22">
        <v>2017</v>
      </c>
      <c r="J33" s="22" t="str">
        <f>INDEX([1]location!$B$2:$B$29,MATCH(C33,[1]location!$A$2:$A$29,0))</f>
        <v>Vadodara</v>
      </c>
      <c r="K33" s="22" t="str">
        <f>INDEX([1]location!$C$2:$C$29,MATCH(C33,[1]location!$A$2:$A$29,0))</f>
        <v>AMD</v>
      </c>
      <c r="L33" s="22" t="str">
        <f>INDEX([1]location!$D$2:$D$29,MATCH(C33,[1]location!$A$2:$A$29,0))</f>
        <v>Ahmedabad</v>
      </c>
      <c r="M33" s="22" t="str">
        <f>INDEX([2]vehicle_details!$B$2:$B$21,MATCH(G33,[2]vehicle_details!$A$2:$A$21,0))</f>
        <v>Super ace</v>
      </c>
      <c r="N33" s="24">
        <f>INDEX([3]vehicle_mileage!$C$2:$C$21,MATCH(M33,[3]vehicle_mileage!$A$2:$A$21,0))</f>
        <v>15</v>
      </c>
      <c r="O33" s="25">
        <f t="shared" si="1"/>
        <v>106.66666666666667</v>
      </c>
      <c r="P33" s="26">
        <f t="shared" si="2"/>
        <v>7680</v>
      </c>
      <c r="Q33" s="26">
        <f>INDEX([4]maintenance!$E$2:$E$21,MATCH(M33,[4]maintenance!$A$2:$A$21,0))</f>
        <v>2186.6666666666665</v>
      </c>
      <c r="R33" s="22" t="str">
        <f>INDEX([5]vehicle_details!$B$2:$B$21,MATCH(G33,[5]vehicle_details!$A$2:$A$21,0))</f>
        <v>Super ace</v>
      </c>
      <c r="S33" s="24" t="str">
        <f t="shared" si="3"/>
        <v>EMI</v>
      </c>
      <c r="T33" s="27" t="str">
        <f t="shared" si="4"/>
        <v xml:space="preserve">4 </v>
      </c>
      <c r="U33" s="22">
        <f t="shared" si="5"/>
        <v>1</v>
      </c>
      <c r="V33" s="27">
        <f>INDEX([5]vehicle_details!$H$2:$H$21,MATCH(G33,[5]vehicle_details!A$2:A$21,0))</f>
        <v>441600</v>
      </c>
      <c r="W33" s="24">
        <f t="shared" si="6"/>
        <v>2021</v>
      </c>
      <c r="X33" s="27">
        <f t="shared" si="7"/>
        <v>11306.45249844082</v>
      </c>
      <c r="Y33" s="22">
        <f>INDEX([2]vehicle_details!$C$2:$C$21,MATCH(G33,[2]vehicle_details!$A$2:$A$21,0))</f>
        <v>1.2</v>
      </c>
      <c r="Z33" s="28">
        <f>13000</f>
        <v>13000</v>
      </c>
      <c r="AA33" s="22">
        <f t="shared" si="13"/>
        <v>1</v>
      </c>
      <c r="AB33" s="27">
        <f t="shared" si="8"/>
        <v>11900</v>
      </c>
      <c r="AC33" s="27">
        <f t="shared" si="9"/>
        <v>24900</v>
      </c>
      <c r="AD33" s="29">
        <f t="shared" si="10"/>
        <v>0</v>
      </c>
      <c r="AE33" s="26">
        <v>0</v>
      </c>
      <c r="AF33" s="26">
        <f t="shared" si="11"/>
        <v>21173.119165107484</v>
      </c>
      <c r="AG33" s="26">
        <f>AF33+AC33+'Cost Sheet'!$AE33</f>
        <v>46073.119165107484</v>
      </c>
      <c r="AH33" s="66"/>
      <c r="AI33" s="26">
        <f>INDEX([6]Payouts!$G$4:$G$54,MATCH('Cost Sheet'!$A33,[6]Payouts!$A$4:$A$54,0))</f>
        <v>75392.728473153984</v>
      </c>
      <c r="AJ33" s="59"/>
      <c r="AK33" s="49">
        <f>INDEX([6]Payouts!$I$4:$I$54,MATCH(A33,[6]Payouts!$A$4:$A$54,0))</f>
        <v>74821.271526846016</v>
      </c>
      <c r="AL33" s="30" t="str">
        <f t="shared" si="12"/>
        <v>Overpaid</v>
      </c>
    </row>
    <row r="34" spans="1:38" ht="15" x14ac:dyDescent="0.25">
      <c r="A34" s="31">
        <v>1075</v>
      </c>
      <c r="B34" s="31" t="s">
        <v>65</v>
      </c>
      <c r="C34" s="31">
        <v>116</v>
      </c>
      <c r="D34" s="31" t="s">
        <v>64</v>
      </c>
      <c r="E34" s="31" t="str">
        <f t="shared" si="0"/>
        <v>Karan Mistry_Delivery</v>
      </c>
      <c r="F34" s="32">
        <v>43306</v>
      </c>
      <c r="G34" s="31">
        <v>71231</v>
      </c>
      <c r="H34" s="31" t="s">
        <v>3</v>
      </c>
      <c r="I34" s="31">
        <v>2018</v>
      </c>
      <c r="J34" s="31" t="str">
        <f>INDEX([1]location!$B$2:$B$29,MATCH(C34,[1]location!$A$2:$A$29,0))</f>
        <v>Vadodara</v>
      </c>
      <c r="K34" s="31" t="str">
        <f>INDEX([1]location!$C$2:$C$29,MATCH(C34,[1]location!$A$2:$A$29,0))</f>
        <v>AMD</v>
      </c>
      <c r="L34" s="31" t="str">
        <f>INDEX([1]location!$D$2:$D$29,MATCH(C34,[1]location!$A$2:$A$29,0))</f>
        <v>Ahmedabad</v>
      </c>
      <c r="M34" s="31" t="str">
        <f>INDEX([2]vehicle_details!$B$2:$B$21,MATCH(G34,[2]vehicle_details!$A$2:$A$21,0))</f>
        <v>Tata Ace</v>
      </c>
      <c r="N34" s="33">
        <f>INDEX([3]vehicle_mileage!$C$2:$C$21,MATCH(M34,[3]vehicle_mileage!$A$2:$A$21,0))</f>
        <v>14</v>
      </c>
      <c r="O34" s="34">
        <f t="shared" si="1"/>
        <v>114.28571428571429</v>
      </c>
      <c r="P34" s="35">
        <f t="shared" si="2"/>
        <v>8228.5714285714294</v>
      </c>
      <c r="Q34" s="35">
        <f>INDEX([4]maintenance!$E$2:$E$21,MATCH(M34,[4]maintenance!$A$2:$A$21,0))</f>
        <v>2194.2857142857142</v>
      </c>
      <c r="R34" s="31" t="str">
        <f>INDEX([5]vehicle_details!$B$2:$B$21,MATCH(G34,[5]vehicle_details!$A$2:$A$21,0))</f>
        <v>Tata Ace</v>
      </c>
      <c r="S34" s="33" t="str">
        <f t="shared" si="3"/>
        <v>EMI</v>
      </c>
      <c r="T34" s="36" t="str">
        <f t="shared" si="4"/>
        <v xml:space="preserve">4 </v>
      </c>
      <c r="U34" s="31">
        <f t="shared" si="5"/>
        <v>0</v>
      </c>
      <c r="V34" s="36">
        <f>INDEX([5]vehicle_details!$H$2:$H$21,MATCH(G34,[5]vehicle_details!A$2:A$21,0))</f>
        <v>321440</v>
      </c>
      <c r="W34" s="33">
        <f t="shared" si="6"/>
        <v>2022</v>
      </c>
      <c r="X34" s="36">
        <f t="shared" si="7"/>
        <v>8229.9503874520324</v>
      </c>
      <c r="Y34" s="31">
        <f>INDEX([2]vehicle_details!$C$2:$C$21,MATCH(G34,[2]vehicle_details!$A$2:$A$21,0))</f>
        <v>0.75</v>
      </c>
      <c r="Z34" s="37">
        <f>13000</f>
        <v>13000</v>
      </c>
      <c r="AA34" s="31">
        <f t="shared" si="13"/>
        <v>1</v>
      </c>
      <c r="AB34" s="36">
        <f t="shared" si="8"/>
        <v>11900</v>
      </c>
      <c r="AC34" s="36">
        <f t="shared" si="9"/>
        <v>24900</v>
      </c>
      <c r="AD34" s="38">
        <f t="shared" si="10"/>
        <v>0</v>
      </c>
      <c r="AE34" s="35">
        <v>0</v>
      </c>
      <c r="AF34" s="35">
        <f t="shared" si="11"/>
        <v>18652.807530309175</v>
      </c>
      <c r="AG34" s="35">
        <f>AF34+AC34+'Cost Sheet'!$AE34</f>
        <v>43552.807530309175</v>
      </c>
      <c r="AH34" s="37">
        <f>INDEX([6]Payouts!$G$4:$G$54,MATCH('Cost Sheet'!$A34,[6]Payouts!$A$4:$A$54,0))</f>
        <v>18652.807530309175</v>
      </c>
      <c r="AI34" s="52">
        <f>INDEX([6]Payouts!$G$4:$G$54,MATCH('Cost Sheet'!$A34,[6]Payouts!$A$4:$A$54,0))</f>
        <v>18652.807530309175</v>
      </c>
      <c r="AJ34" s="52">
        <f>INDEX([6]Payouts!$I$4:$I$54,MATCH(A34,[6]Payouts!$A$4:$A$54,0))</f>
        <v>123081.19246969082</v>
      </c>
      <c r="AK34" s="50">
        <f>INDEX([6]Payouts!$I$4:$I$54,MATCH(A34,[6]Payouts!$A$4:$A$54,0))</f>
        <v>123081.19246969082</v>
      </c>
      <c r="AL34" s="54" t="str">
        <f t="shared" si="12"/>
        <v>Overpaid</v>
      </c>
    </row>
    <row r="35" spans="1:38" ht="15" x14ac:dyDescent="0.25">
      <c r="A35" s="22">
        <v>1074</v>
      </c>
      <c r="B35" s="22" t="s">
        <v>63</v>
      </c>
      <c r="C35" s="22">
        <v>116</v>
      </c>
      <c r="D35" s="22" t="s">
        <v>62</v>
      </c>
      <c r="E35" s="22" t="str">
        <f t="shared" si="0"/>
        <v>Karan Mistry_Pickup</v>
      </c>
      <c r="F35" s="23">
        <v>42919</v>
      </c>
      <c r="G35" s="22">
        <v>71246</v>
      </c>
      <c r="H35" s="22" t="s">
        <v>10</v>
      </c>
      <c r="I35" s="22">
        <v>2014</v>
      </c>
      <c r="J35" s="22" t="str">
        <f>INDEX([1]location!$B$2:$B$29,MATCH(C35,[1]location!$A$2:$A$29,0))</f>
        <v>Vadodara</v>
      </c>
      <c r="K35" s="22" t="str">
        <f>INDEX([1]location!$C$2:$C$29,MATCH(C35,[1]location!$A$2:$A$29,0))</f>
        <v>AMD</v>
      </c>
      <c r="L35" s="22" t="str">
        <f>INDEX([1]location!$D$2:$D$29,MATCH(C35,[1]location!$A$2:$A$29,0))</f>
        <v>Ahmedabad</v>
      </c>
      <c r="M35" s="22" t="str">
        <f>INDEX([2]vehicle_details!$B$2:$B$21,MATCH(G35,[2]vehicle_details!$A$2:$A$21,0))</f>
        <v>Super ace</v>
      </c>
      <c r="N35" s="24">
        <f>INDEX([3]vehicle_mileage!$C$2:$C$21,MATCH(M35,[3]vehicle_mileage!$A$2:$A$21,0))</f>
        <v>15</v>
      </c>
      <c r="O35" s="25">
        <f t="shared" si="1"/>
        <v>106.66666666666667</v>
      </c>
      <c r="P35" s="26">
        <f t="shared" si="2"/>
        <v>7680</v>
      </c>
      <c r="Q35" s="26">
        <f>INDEX([4]maintenance!$E$2:$E$21,MATCH(M35,[4]maintenance!$A$2:$A$21,0))</f>
        <v>2186.6666666666665</v>
      </c>
      <c r="R35" s="22" t="str">
        <f>INDEX([5]vehicle_details!$B$2:$B$21,MATCH(G35,[5]vehicle_details!$A$2:$A$21,0))</f>
        <v>Super ace</v>
      </c>
      <c r="S35" s="24" t="str">
        <f t="shared" si="3"/>
        <v>Own</v>
      </c>
      <c r="T35" s="27" t="str">
        <f t="shared" si="4"/>
        <v>Not EMI</v>
      </c>
      <c r="U35" s="22">
        <f t="shared" si="5"/>
        <v>3</v>
      </c>
      <c r="V35" s="27">
        <f>INDEX([5]vehicle_details!$H$2:$H$21,MATCH(G35,[5]vehicle_details!A$2:A$21,0))</f>
        <v>441600</v>
      </c>
      <c r="W35" s="24" t="str">
        <f t="shared" si="6"/>
        <v>Not EMI</v>
      </c>
      <c r="X35" s="27">
        <f t="shared" si="7"/>
        <v>0</v>
      </c>
      <c r="Y35" s="22">
        <f>INDEX([2]vehicle_details!$C$2:$C$21,MATCH(G35,[2]vehicle_details!$A$2:$A$21,0))</f>
        <v>1.2</v>
      </c>
      <c r="Z35" s="28">
        <f>13000</f>
        <v>13000</v>
      </c>
      <c r="AA35" s="22">
        <f t="shared" si="13"/>
        <v>1</v>
      </c>
      <c r="AB35" s="27">
        <f t="shared" si="8"/>
        <v>11900</v>
      </c>
      <c r="AC35" s="27">
        <f t="shared" si="9"/>
        <v>24900</v>
      </c>
      <c r="AD35" s="29">
        <f t="shared" si="10"/>
        <v>0</v>
      </c>
      <c r="AE35" s="26">
        <v>0</v>
      </c>
      <c r="AF35" s="26">
        <f t="shared" si="11"/>
        <v>9866.6666666666661</v>
      </c>
      <c r="AG35" s="26">
        <f>AF35+AC35+'Cost Sheet'!$AE35</f>
        <v>34766.666666666664</v>
      </c>
      <c r="AH35" s="28">
        <f>INDEX([6]Payouts!$G$4:$G$54,MATCH('Cost Sheet'!$A35,[6]Payouts!$A$4:$A$54,0))</f>
        <v>9866.6666666666661</v>
      </c>
      <c r="AI35" s="26">
        <f>INDEX([6]Payouts!$G$4:$G$54,MATCH('Cost Sheet'!$A35,[6]Payouts!$A$4:$A$54,0))</f>
        <v>9866.6666666666661</v>
      </c>
      <c r="AJ35" s="26">
        <f>INDEX([6]Payouts!$I$4:$I$54,MATCH(A35,[6]Payouts!$A$4:$A$54,0))</f>
        <v>77429.333333333343</v>
      </c>
      <c r="AK35" s="49">
        <f>INDEX([6]Payouts!$I$4:$I$54,MATCH(A35,[6]Payouts!$A$4:$A$54,0))</f>
        <v>77429.333333333343</v>
      </c>
      <c r="AL35" s="30" t="str">
        <f t="shared" si="12"/>
        <v>Overpaid</v>
      </c>
    </row>
    <row r="36" spans="1:38" ht="15" x14ac:dyDescent="0.25">
      <c r="A36" s="31">
        <v>1319</v>
      </c>
      <c r="B36" s="31" t="s">
        <v>61</v>
      </c>
      <c r="C36" s="31">
        <v>113</v>
      </c>
      <c r="D36" s="31" t="s">
        <v>60</v>
      </c>
      <c r="E36" s="31" t="str">
        <f t="shared" si="0"/>
        <v>Lalaji Bhai Thakor</v>
      </c>
      <c r="F36" s="32">
        <v>43294</v>
      </c>
      <c r="G36" s="31">
        <v>71249</v>
      </c>
      <c r="H36" s="31" t="s">
        <v>3</v>
      </c>
      <c r="I36" s="31">
        <v>2017</v>
      </c>
      <c r="J36" s="31" t="str">
        <f>INDEX([1]location!$B$2:$B$29,MATCH(C36,[1]location!$A$2:$A$29,0))</f>
        <v>Ahmedabad Branch</v>
      </c>
      <c r="K36" s="31" t="str">
        <f>INDEX([1]location!$C$2:$C$29,MATCH(C36,[1]location!$A$2:$A$29,0))</f>
        <v>AMD</v>
      </c>
      <c r="L36" s="31" t="str">
        <f>INDEX([1]location!$D$2:$D$29,MATCH(C36,[1]location!$A$2:$A$29,0))</f>
        <v>Ahmedabad</v>
      </c>
      <c r="M36" s="31" t="str">
        <f>INDEX([2]vehicle_details!$B$2:$B$21,MATCH(G36,[2]vehicle_details!$A$2:$A$21,0))</f>
        <v>AL Dost</v>
      </c>
      <c r="N36" s="33">
        <f>INDEX([3]vehicle_mileage!$C$2:$C$21,MATCH(M36,[3]vehicle_mileage!$A$2:$A$21,0))</f>
        <v>12</v>
      </c>
      <c r="O36" s="34">
        <f t="shared" si="1"/>
        <v>133.33333333333334</v>
      </c>
      <c r="P36" s="35">
        <f t="shared" si="2"/>
        <v>9600</v>
      </c>
      <c r="Q36" s="35">
        <f>INDEX([4]maintenance!$E$2:$E$21,MATCH(M36,[4]maintenance!$A$2:$A$21,0))</f>
        <v>2213.3333333333335</v>
      </c>
      <c r="R36" s="31" t="str">
        <f>INDEX([5]vehicle_details!$B$2:$B$21,MATCH(G36,[5]vehicle_details!$A$2:$A$21,0))</f>
        <v>AL Dost</v>
      </c>
      <c r="S36" s="33" t="str">
        <f t="shared" si="3"/>
        <v>EMI</v>
      </c>
      <c r="T36" s="36" t="str">
        <f t="shared" si="4"/>
        <v xml:space="preserve">4 </v>
      </c>
      <c r="U36" s="31">
        <f t="shared" si="5"/>
        <v>1</v>
      </c>
      <c r="V36" s="36">
        <f>INDEX([5]vehicle_details!$H$2:$H$21,MATCH(G36,[5]vehicle_details!A$2:A$21,0))</f>
        <v>401600</v>
      </c>
      <c r="W36" s="33">
        <f t="shared" si="6"/>
        <v>2021</v>
      </c>
      <c r="X36" s="36">
        <f t="shared" si="7"/>
        <v>10282.31730836466</v>
      </c>
      <c r="Y36" s="31">
        <f>INDEX([2]vehicle_details!$C$2:$C$21,MATCH(G36,[2]vehicle_details!$A$2:$A$21,0))</f>
        <v>1.25</v>
      </c>
      <c r="Z36" s="37">
        <f>13000</f>
        <v>13000</v>
      </c>
      <c r="AA36" s="31">
        <f t="shared" si="13"/>
        <v>1</v>
      </c>
      <c r="AB36" s="36">
        <f t="shared" si="8"/>
        <v>11900</v>
      </c>
      <c r="AC36" s="36">
        <f t="shared" si="9"/>
        <v>24900</v>
      </c>
      <c r="AD36" s="38">
        <f t="shared" si="10"/>
        <v>0</v>
      </c>
      <c r="AE36" s="35">
        <v>0</v>
      </c>
      <c r="AF36" s="35">
        <f t="shared" si="11"/>
        <v>22095.650641697994</v>
      </c>
      <c r="AG36" s="35">
        <f>AF36+AC36+'Cost Sheet'!$AE36</f>
        <v>46995.650641697997</v>
      </c>
      <c r="AH36" s="37">
        <f>INDEX([6]Payouts!$G$4:$G$54,MATCH('Cost Sheet'!$A36,[6]Payouts!$A$4:$A$54,0))</f>
        <v>22095.650641697994</v>
      </c>
      <c r="AI36" s="52">
        <f>INDEX([6]Payouts!$G$4:$G$54,MATCH('Cost Sheet'!$A36,[6]Payouts!$A$4:$A$54,0))</f>
        <v>22095.650641697994</v>
      </c>
      <c r="AJ36" s="52">
        <f>INDEX([6]Payouts!$I$4:$I$54,MATCH(A36,[6]Payouts!$A$4:$A$54,0))</f>
        <v>93865.349358302003</v>
      </c>
      <c r="AK36" s="50">
        <f>INDEX([6]Payouts!$I$4:$I$54,MATCH(A36,[6]Payouts!$A$4:$A$54,0))</f>
        <v>93865.349358302003</v>
      </c>
      <c r="AL36" s="54" t="str">
        <f t="shared" si="12"/>
        <v>Overpaid</v>
      </c>
    </row>
    <row r="37" spans="1:38" ht="15" x14ac:dyDescent="0.25">
      <c r="A37" s="22">
        <v>1298</v>
      </c>
      <c r="B37" s="22" t="s">
        <v>59</v>
      </c>
      <c r="C37" s="22">
        <v>123</v>
      </c>
      <c r="D37" s="22" t="s">
        <v>58</v>
      </c>
      <c r="E37" s="22" t="str">
        <f t="shared" si="0"/>
        <v>Mamata Pal</v>
      </c>
      <c r="F37" s="23">
        <v>43279</v>
      </c>
      <c r="G37" s="22">
        <v>71249</v>
      </c>
      <c r="H37" s="22" t="s">
        <v>10</v>
      </c>
      <c r="I37" s="22">
        <v>2014</v>
      </c>
      <c r="J37" s="22" t="str">
        <f>INDEX([1]location!$B$2:$B$29,MATCH(C37,[1]location!$A$2:$A$29,0))</f>
        <v>Amreli</v>
      </c>
      <c r="K37" s="22" t="str">
        <f>INDEX([1]location!$C$2:$C$29,MATCH(C37,[1]location!$A$2:$A$29,0))</f>
        <v>AMD</v>
      </c>
      <c r="L37" s="22" t="str">
        <f>INDEX([1]location!$D$2:$D$29,MATCH(C37,[1]location!$A$2:$A$29,0))</f>
        <v>Ahmedabad</v>
      </c>
      <c r="M37" s="22" t="str">
        <f>INDEX([2]vehicle_details!$B$2:$B$21,MATCH(G37,[2]vehicle_details!$A$2:$A$21,0))</f>
        <v>AL Dost</v>
      </c>
      <c r="N37" s="24">
        <f>INDEX([3]vehicle_mileage!$C$2:$C$21,MATCH(M37,[3]vehicle_mileage!$A$2:$A$21,0))</f>
        <v>12</v>
      </c>
      <c r="O37" s="25">
        <f t="shared" si="1"/>
        <v>133.33333333333334</v>
      </c>
      <c r="P37" s="26">
        <f t="shared" si="2"/>
        <v>9600</v>
      </c>
      <c r="Q37" s="26">
        <f>INDEX([4]maintenance!$E$2:$E$21,MATCH(M37,[4]maintenance!$A$2:$A$21,0))</f>
        <v>2213.3333333333335</v>
      </c>
      <c r="R37" s="22" t="str">
        <f>INDEX([5]vehicle_details!$B$2:$B$21,MATCH(G37,[5]vehicle_details!$A$2:$A$21,0))</f>
        <v>AL Dost</v>
      </c>
      <c r="S37" s="24" t="str">
        <f t="shared" si="3"/>
        <v>Own</v>
      </c>
      <c r="T37" s="27" t="str">
        <f t="shared" si="4"/>
        <v>Not EMI</v>
      </c>
      <c r="U37" s="22">
        <f t="shared" si="5"/>
        <v>4</v>
      </c>
      <c r="V37" s="27">
        <f>INDEX([5]vehicle_details!$H$2:$H$21,MATCH(G37,[5]vehicle_details!A$2:A$21,0))</f>
        <v>401600</v>
      </c>
      <c r="W37" s="24" t="str">
        <f t="shared" si="6"/>
        <v>Not EMI</v>
      </c>
      <c r="X37" s="27">
        <f t="shared" si="7"/>
        <v>0</v>
      </c>
      <c r="Y37" s="22">
        <f>INDEX([2]vehicle_details!$C$2:$C$21,MATCH(G37,[2]vehicle_details!$A$2:$A$21,0))</f>
        <v>1.25</v>
      </c>
      <c r="Z37" s="28">
        <f>13000</f>
        <v>13000</v>
      </c>
      <c r="AA37" s="22">
        <f t="shared" si="13"/>
        <v>1</v>
      </c>
      <c r="AB37" s="27">
        <f t="shared" si="8"/>
        <v>11900</v>
      </c>
      <c r="AC37" s="27">
        <f t="shared" si="9"/>
        <v>24900</v>
      </c>
      <c r="AD37" s="29">
        <f t="shared" si="10"/>
        <v>0</v>
      </c>
      <c r="AE37" s="26">
        <v>0</v>
      </c>
      <c r="AF37" s="26">
        <f t="shared" si="11"/>
        <v>11813.333333333334</v>
      </c>
      <c r="AG37" s="26">
        <f>AF37+AC37+'Cost Sheet'!$AE37</f>
        <v>36713.333333333336</v>
      </c>
      <c r="AH37" s="28">
        <f>INDEX([6]Payouts!$G$4:$G$54,MATCH('Cost Sheet'!$A37,[6]Payouts!$A$4:$A$54,0))</f>
        <v>11813.333333333334</v>
      </c>
      <c r="AI37" s="26">
        <f>INDEX([6]Payouts!$G$4:$G$54,MATCH('Cost Sheet'!$A37,[6]Payouts!$A$4:$A$54,0))</f>
        <v>11813.333333333334</v>
      </c>
      <c r="AJ37" s="26">
        <f>INDEX([6]Payouts!$I$4:$I$54,MATCH(A37,[6]Payouts!$A$4:$A$54,0))</f>
        <v>14736.666666666664</v>
      </c>
      <c r="AK37" s="49">
        <f>INDEX([6]Payouts!$I$4:$I$54,MATCH(A37,[6]Payouts!$A$4:$A$54,0))</f>
        <v>14736.666666666664</v>
      </c>
      <c r="AL37" s="30" t="str">
        <f t="shared" si="12"/>
        <v>Overpaid</v>
      </c>
    </row>
    <row r="38" spans="1:38" ht="15" x14ac:dyDescent="0.25">
      <c r="A38" s="31">
        <v>1146</v>
      </c>
      <c r="B38" s="31" t="s">
        <v>57</v>
      </c>
      <c r="C38" s="31">
        <v>118</v>
      </c>
      <c r="D38" s="31" t="s">
        <v>56</v>
      </c>
      <c r="E38" s="31" t="str">
        <f t="shared" si="0"/>
        <v>Manisha Pravin Patil</v>
      </c>
      <c r="F38" s="32">
        <v>43109</v>
      </c>
      <c r="G38" s="31">
        <v>71234</v>
      </c>
      <c r="H38" s="31" t="s">
        <v>10</v>
      </c>
      <c r="I38" s="31">
        <v>2000</v>
      </c>
      <c r="J38" s="31" t="str">
        <f>INDEX([1]location!$B$2:$B$29,MATCH(C38,[1]location!$A$2:$A$29,0))</f>
        <v>Surat</v>
      </c>
      <c r="K38" s="31" t="str">
        <f>INDEX([1]location!$C$2:$C$29,MATCH(C38,[1]location!$A$2:$A$29,0))</f>
        <v>AMD</v>
      </c>
      <c r="L38" s="31" t="str">
        <f>INDEX([1]location!$D$2:$D$29,MATCH(C38,[1]location!$A$2:$A$29,0))</f>
        <v>Ahmedabad</v>
      </c>
      <c r="M38" s="31" t="str">
        <f>INDEX([2]vehicle_details!$B$2:$B$21,MATCH(G38,[2]vehicle_details!$A$2:$A$21,0))</f>
        <v>Eicher 14</v>
      </c>
      <c r="N38" s="33">
        <f>INDEX([3]vehicle_mileage!$C$2:$C$21,MATCH(M38,[3]vehicle_mileage!$A$2:$A$21,0))</f>
        <v>8</v>
      </c>
      <c r="O38" s="34">
        <f t="shared" si="1"/>
        <v>200</v>
      </c>
      <c r="P38" s="35">
        <f t="shared" si="2"/>
        <v>14400</v>
      </c>
      <c r="Q38" s="35">
        <f>INDEX([4]maintenance!$E$2:$E$21,MATCH(M38,[4]maintenance!$A$2:$A$21,0))</f>
        <v>2280</v>
      </c>
      <c r="R38" s="31" t="str">
        <f>INDEX([5]vehicle_details!$B$2:$B$21,MATCH(G38,[5]vehicle_details!$A$2:$A$21,0))</f>
        <v>Eicher 14</v>
      </c>
      <c r="S38" s="33" t="str">
        <f t="shared" si="3"/>
        <v>Own</v>
      </c>
      <c r="T38" s="36" t="str">
        <f t="shared" si="4"/>
        <v>Not EMI</v>
      </c>
      <c r="U38" s="31">
        <f t="shared" si="5"/>
        <v>18</v>
      </c>
      <c r="V38" s="36">
        <f>INDEX([5]vehicle_details!$H$2:$H$21,MATCH(G38,[5]vehicle_details!A$2:A$21,0))</f>
        <v>603200</v>
      </c>
      <c r="W38" s="33" t="str">
        <f t="shared" si="6"/>
        <v>Not EMI</v>
      </c>
      <c r="X38" s="36">
        <f t="shared" si="7"/>
        <v>0</v>
      </c>
      <c r="Y38" s="31">
        <f>INDEX([2]vehicle_details!$C$2:$C$21,MATCH(G38,[2]vehicle_details!$A$2:$A$21,0))</f>
        <v>2.5</v>
      </c>
      <c r="Z38" s="37">
        <f>13000</f>
        <v>13000</v>
      </c>
      <c r="AA38" s="31">
        <f t="shared" si="13"/>
        <v>2</v>
      </c>
      <c r="AB38" s="36">
        <f t="shared" si="8"/>
        <v>23800</v>
      </c>
      <c r="AC38" s="36">
        <f t="shared" si="9"/>
        <v>36800</v>
      </c>
      <c r="AD38" s="38">
        <f t="shared" si="10"/>
        <v>0</v>
      </c>
      <c r="AE38" s="35">
        <v>0</v>
      </c>
      <c r="AF38" s="35">
        <f t="shared" si="11"/>
        <v>16680</v>
      </c>
      <c r="AG38" s="35">
        <f>AF38+AC38+'Cost Sheet'!$AE38</f>
        <v>53480</v>
      </c>
      <c r="AH38" s="56">
        <f>INDEX([6]Payouts!$G$4:$G$54,MATCH('Cost Sheet'!$A38,[6]Payouts!$A$4:$A$54,0))</f>
        <v>27102.857142857141</v>
      </c>
      <c r="AI38" s="52">
        <f>INDEX([6]Payouts!$G$4:$G$54,MATCH('Cost Sheet'!$A38,[6]Payouts!$A$4:$A$54,0))</f>
        <v>27102.857142857141</v>
      </c>
      <c r="AJ38" s="60">
        <f>INDEX([6]Payouts!$I$4:$I$54,MATCH(A38,[6]Payouts!$A$4:$A$54,0))</f>
        <v>11384.142857142855</v>
      </c>
      <c r="AK38" s="50">
        <f>INDEX([6]Payouts!$I$4:$I$54,MATCH(A38,[6]Payouts!$A$4:$A$54,0))</f>
        <v>11384.142857142855</v>
      </c>
      <c r="AL38" s="54" t="str">
        <f t="shared" si="12"/>
        <v>Overpaid</v>
      </c>
    </row>
    <row r="39" spans="1:38" ht="15" x14ac:dyDescent="0.25">
      <c r="A39" s="22">
        <v>1146</v>
      </c>
      <c r="B39" s="22" t="s">
        <v>57</v>
      </c>
      <c r="C39" s="22">
        <v>118</v>
      </c>
      <c r="D39" s="22" t="s">
        <v>56</v>
      </c>
      <c r="E39" s="22" t="str">
        <f t="shared" si="0"/>
        <v>Manisha Pravin Patil</v>
      </c>
      <c r="F39" s="23">
        <v>43109</v>
      </c>
      <c r="G39" s="22">
        <v>71231</v>
      </c>
      <c r="H39" s="22" t="s">
        <v>10</v>
      </c>
      <c r="I39" s="22">
        <v>2014</v>
      </c>
      <c r="J39" s="22" t="str">
        <f>INDEX([1]location!$B$2:$B$29,MATCH(C39,[1]location!$A$2:$A$29,0))</f>
        <v>Surat</v>
      </c>
      <c r="K39" s="22" t="str">
        <f>INDEX([1]location!$C$2:$C$29,MATCH(C39,[1]location!$A$2:$A$29,0))</f>
        <v>AMD</v>
      </c>
      <c r="L39" s="22" t="str">
        <f>INDEX([1]location!$D$2:$D$29,MATCH(C39,[1]location!$A$2:$A$29,0))</f>
        <v>Ahmedabad</v>
      </c>
      <c r="M39" s="22" t="str">
        <f>INDEX([2]vehicle_details!$B$2:$B$21,MATCH(G39,[2]vehicle_details!$A$2:$A$21,0))</f>
        <v>Tata Ace</v>
      </c>
      <c r="N39" s="24">
        <f>INDEX([3]vehicle_mileage!$C$2:$C$21,MATCH(M39,[3]vehicle_mileage!$A$2:$A$21,0))</f>
        <v>14</v>
      </c>
      <c r="O39" s="25">
        <f t="shared" si="1"/>
        <v>114.28571428571429</v>
      </c>
      <c r="P39" s="26">
        <f t="shared" si="2"/>
        <v>8228.5714285714294</v>
      </c>
      <c r="Q39" s="26">
        <f>INDEX([4]maintenance!$E$2:$E$21,MATCH(M39,[4]maintenance!$A$2:$A$21,0))</f>
        <v>2194.2857142857142</v>
      </c>
      <c r="R39" s="22" t="str">
        <f>INDEX([5]vehicle_details!$B$2:$B$21,MATCH(G39,[5]vehicle_details!$A$2:$A$21,0))</f>
        <v>Tata Ace</v>
      </c>
      <c r="S39" s="24" t="str">
        <f t="shared" si="3"/>
        <v>Own</v>
      </c>
      <c r="T39" s="27" t="str">
        <f t="shared" si="4"/>
        <v>Not EMI</v>
      </c>
      <c r="U39" s="22">
        <f t="shared" si="5"/>
        <v>4</v>
      </c>
      <c r="V39" s="27">
        <f>INDEX([5]vehicle_details!$H$2:$H$21,MATCH(G39,[5]vehicle_details!A$2:A$21,0))</f>
        <v>321440</v>
      </c>
      <c r="W39" s="24" t="str">
        <f t="shared" si="6"/>
        <v>Not EMI</v>
      </c>
      <c r="X39" s="27">
        <f t="shared" si="7"/>
        <v>0</v>
      </c>
      <c r="Y39" s="22">
        <f>INDEX([2]vehicle_details!$C$2:$C$21,MATCH(G39,[2]vehicle_details!$A$2:$A$21,0))</f>
        <v>0.75</v>
      </c>
      <c r="Z39" s="28">
        <f>13000</f>
        <v>13000</v>
      </c>
      <c r="AA39" s="22">
        <f t="shared" si="13"/>
        <v>1</v>
      </c>
      <c r="AB39" s="27">
        <f t="shared" si="8"/>
        <v>11900</v>
      </c>
      <c r="AC39" s="27">
        <f t="shared" si="9"/>
        <v>24900</v>
      </c>
      <c r="AD39" s="29">
        <f t="shared" si="10"/>
        <v>0</v>
      </c>
      <c r="AE39" s="26">
        <v>0</v>
      </c>
      <c r="AF39" s="26">
        <f t="shared" si="11"/>
        <v>10422.857142857143</v>
      </c>
      <c r="AG39" s="26">
        <f>AF39+AC39+'Cost Sheet'!$AE39</f>
        <v>35322.857142857145</v>
      </c>
      <c r="AH39" s="57"/>
      <c r="AI39" s="26">
        <f>INDEX([6]Payouts!$G$4:$G$54,MATCH('Cost Sheet'!$A39,[6]Payouts!$A$4:$A$54,0))</f>
        <v>27102.857142857141</v>
      </c>
      <c r="AJ39" s="62"/>
      <c r="AK39" s="49">
        <f>INDEX([6]Payouts!$I$4:$I$54,MATCH(A39,[6]Payouts!$A$4:$A$54,0))</f>
        <v>11384.142857142855</v>
      </c>
      <c r="AL39" s="30" t="str">
        <f t="shared" si="12"/>
        <v>Overpaid</v>
      </c>
    </row>
    <row r="40" spans="1:38" ht="15" x14ac:dyDescent="0.25">
      <c r="A40" s="31">
        <v>1342</v>
      </c>
      <c r="B40" s="31" t="s">
        <v>55</v>
      </c>
      <c r="C40" s="31">
        <v>116</v>
      </c>
      <c r="D40" s="31" t="s">
        <v>54</v>
      </c>
      <c r="E40" s="31" t="str">
        <f t="shared" si="0"/>
        <v>Meenakshi Gupta</v>
      </c>
      <c r="F40" s="32">
        <v>43321</v>
      </c>
      <c r="G40" s="31">
        <v>71249</v>
      </c>
      <c r="H40" s="31" t="s">
        <v>10</v>
      </c>
      <c r="I40" s="31">
        <v>2014</v>
      </c>
      <c r="J40" s="31" t="str">
        <f>INDEX([1]location!$B$2:$B$29,MATCH(C40,[1]location!$A$2:$A$29,0))</f>
        <v>Vadodara</v>
      </c>
      <c r="K40" s="31" t="str">
        <f>INDEX([1]location!$C$2:$C$29,MATCH(C40,[1]location!$A$2:$A$29,0))</f>
        <v>AMD</v>
      </c>
      <c r="L40" s="31" t="str">
        <f>INDEX([1]location!$D$2:$D$29,MATCH(C40,[1]location!$A$2:$A$29,0))</f>
        <v>Ahmedabad</v>
      </c>
      <c r="M40" s="31" t="str">
        <f>INDEX([2]vehicle_details!$B$2:$B$21,MATCH(G40,[2]vehicle_details!$A$2:$A$21,0))</f>
        <v>AL Dost</v>
      </c>
      <c r="N40" s="33">
        <f>INDEX([3]vehicle_mileage!$C$2:$C$21,MATCH(M40,[3]vehicle_mileage!$A$2:$A$21,0))</f>
        <v>12</v>
      </c>
      <c r="O40" s="34">
        <f t="shared" si="1"/>
        <v>133.33333333333334</v>
      </c>
      <c r="P40" s="35">
        <f t="shared" si="2"/>
        <v>9600</v>
      </c>
      <c r="Q40" s="35">
        <f>INDEX([4]maintenance!$E$2:$E$21,MATCH(M40,[4]maintenance!$A$2:$A$21,0))</f>
        <v>2213.3333333333335</v>
      </c>
      <c r="R40" s="31" t="str">
        <f>INDEX([5]vehicle_details!$B$2:$B$21,MATCH(G40,[5]vehicle_details!$A$2:$A$21,0))</f>
        <v>AL Dost</v>
      </c>
      <c r="S40" s="33" t="str">
        <f t="shared" si="3"/>
        <v>Own</v>
      </c>
      <c r="T40" s="36" t="str">
        <f t="shared" si="4"/>
        <v>Not EMI</v>
      </c>
      <c r="U40" s="31">
        <f t="shared" si="5"/>
        <v>4</v>
      </c>
      <c r="V40" s="36">
        <f>INDEX([5]vehicle_details!$H$2:$H$21,MATCH(G40,[5]vehicle_details!A$2:A$21,0))</f>
        <v>401600</v>
      </c>
      <c r="W40" s="33" t="str">
        <f t="shared" si="6"/>
        <v>Not EMI</v>
      </c>
      <c r="X40" s="36">
        <f t="shared" si="7"/>
        <v>0</v>
      </c>
      <c r="Y40" s="31">
        <f>INDEX([2]vehicle_details!$C$2:$C$21,MATCH(G40,[2]vehicle_details!$A$2:$A$21,0))</f>
        <v>1.25</v>
      </c>
      <c r="Z40" s="37">
        <f>13000</f>
        <v>13000</v>
      </c>
      <c r="AA40" s="31">
        <f t="shared" si="13"/>
        <v>1</v>
      </c>
      <c r="AB40" s="36">
        <f t="shared" si="8"/>
        <v>11900</v>
      </c>
      <c r="AC40" s="36">
        <f t="shared" si="9"/>
        <v>24900</v>
      </c>
      <c r="AD40" s="38">
        <f t="shared" si="10"/>
        <v>0</v>
      </c>
      <c r="AE40" s="35">
        <v>0</v>
      </c>
      <c r="AF40" s="35">
        <f t="shared" si="11"/>
        <v>11813.333333333334</v>
      </c>
      <c r="AG40" s="35">
        <f>AF40+AC40+'Cost Sheet'!$AE40</f>
        <v>36713.333333333336</v>
      </c>
      <c r="AH40" s="37">
        <f>INDEX([6]Payouts!$G$4:$G$54,MATCH('Cost Sheet'!$A40,[6]Payouts!$A$4:$A$54,0))</f>
        <v>11813.333333333334</v>
      </c>
      <c r="AI40" s="52">
        <f>INDEX([6]Payouts!$G$4:$G$54,MATCH('Cost Sheet'!$A40,[6]Payouts!$A$4:$A$54,0))</f>
        <v>11813.333333333334</v>
      </c>
      <c r="AJ40" s="52">
        <f>INDEX([6]Payouts!$I$4:$I$54,MATCH(A40,[6]Payouts!$A$4:$A$54,0))</f>
        <v>-20115.333333333336</v>
      </c>
      <c r="AK40" s="50">
        <f>INDEX([6]Payouts!$I$4:$I$54,MATCH(A40,[6]Payouts!$A$4:$A$54,0))</f>
        <v>-20115.333333333336</v>
      </c>
      <c r="AL40" s="54" t="str">
        <f t="shared" si="12"/>
        <v>Underpaid</v>
      </c>
    </row>
    <row r="41" spans="1:38" ht="15" x14ac:dyDescent="0.25">
      <c r="A41" s="22">
        <v>1317</v>
      </c>
      <c r="B41" s="22" t="s">
        <v>53</v>
      </c>
      <c r="C41" s="22">
        <v>118</v>
      </c>
      <c r="D41" s="22" t="s">
        <v>52</v>
      </c>
      <c r="E41" s="22" t="str">
        <f t="shared" si="0"/>
        <v>Mo. Farukh</v>
      </c>
      <c r="F41" s="23">
        <v>43293</v>
      </c>
      <c r="G41" s="22">
        <v>71249</v>
      </c>
      <c r="H41" s="22" t="s">
        <v>10</v>
      </c>
      <c r="I41" s="22">
        <v>2012</v>
      </c>
      <c r="J41" s="22" t="str">
        <f>INDEX([1]location!$B$2:$B$29,MATCH(C41,[1]location!$A$2:$A$29,0))</f>
        <v>Surat</v>
      </c>
      <c r="K41" s="22" t="str">
        <f>INDEX([1]location!$C$2:$C$29,MATCH(C41,[1]location!$A$2:$A$29,0))</f>
        <v>AMD</v>
      </c>
      <c r="L41" s="22" t="str">
        <f>INDEX([1]location!$D$2:$D$29,MATCH(C41,[1]location!$A$2:$A$29,0))</f>
        <v>Ahmedabad</v>
      </c>
      <c r="M41" s="22" t="str">
        <f>INDEX([2]vehicle_details!$B$2:$B$21,MATCH(G41,[2]vehicle_details!$A$2:$A$21,0))</f>
        <v>AL Dost</v>
      </c>
      <c r="N41" s="24">
        <f>INDEX([3]vehicle_mileage!$C$2:$C$21,MATCH(M41,[3]vehicle_mileage!$A$2:$A$21,0))</f>
        <v>12</v>
      </c>
      <c r="O41" s="25">
        <f t="shared" si="1"/>
        <v>133.33333333333334</v>
      </c>
      <c r="P41" s="26">
        <f t="shared" si="2"/>
        <v>9600</v>
      </c>
      <c r="Q41" s="26">
        <f>INDEX([4]maintenance!$E$2:$E$21,MATCH(M41,[4]maintenance!$A$2:$A$21,0))</f>
        <v>2213.3333333333335</v>
      </c>
      <c r="R41" s="22" t="str">
        <f>INDEX([5]vehicle_details!$B$2:$B$21,MATCH(G41,[5]vehicle_details!$A$2:$A$21,0))</f>
        <v>AL Dost</v>
      </c>
      <c r="S41" s="24" t="str">
        <f t="shared" si="3"/>
        <v>Own</v>
      </c>
      <c r="T41" s="27" t="str">
        <f t="shared" si="4"/>
        <v>Not EMI</v>
      </c>
      <c r="U41" s="22">
        <f t="shared" si="5"/>
        <v>6</v>
      </c>
      <c r="V41" s="27">
        <f>INDEX([5]vehicle_details!$H$2:$H$21,MATCH(G41,[5]vehicle_details!A$2:A$21,0))</f>
        <v>401600</v>
      </c>
      <c r="W41" s="24" t="str">
        <f t="shared" si="6"/>
        <v>Not EMI</v>
      </c>
      <c r="X41" s="27">
        <f t="shared" si="7"/>
        <v>0</v>
      </c>
      <c r="Y41" s="22">
        <f>INDEX([2]vehicle_details!$C$2:$C$21,MATCH(G41,[2]vehicle_details!$A$2:$A$21,0))</f>
        <v>1.25</v>
      </c>
      <c r="Z41" s="28">
        <f>13000</f>
        <v>13000</v>
      </c>
      <c r="AA41" s="22">
        <f t="shared" si="13"/>
        <v>1</v>
      </c>
      <c r="AB41" s="27">
        <f t="shared" si="8"/>
        <v>11900</v>
      </c>
      <c r="AC41" s="27">
        <f t="shared" si="9"/>
        <v>24900</v>
      </c>
      <c r="AD41" s="29">
        <f t="shared" si="10"/>
        <v>0</v>
      </c>
      <c r="AE41" s="26">
        <v>0</v>
      </c>
      <c r="AF41" s="26">
        <f t="shared" si="11"/>
        <v>11813.333333333334</v>
      </c>
      <c r="AG41" s="26">
        <f>AF41+AC41+'Cost Sheet'!$AE41</f>
        <v>36713.333333333336</v>
      </c>
      <c r="AH41" s="28">
        <f>INDEX([6]Payouts!$G$4:$G$54,MATCH('Cost Sheet'!$A41,[6]Payouts!$A$4:$A$54,0))</f>
        <v>11813.333333333334</v>
      </c>
      <c r="AI41" s="26">
        <f>INDEX([6]Payouts!$G$4:$G$54,MATCH('Cost Sheet'!$A41,[6]Payouts!$A$4:$A$54,0))</f>
        <v>11813.333333333334</v>
      </c>
      <c r="AJ41" s="26">
        <f>INDEX([6]Payouts!$I$4:$I$54,MATCH(A41,[6]Payouts!$A$4:$A$54,0))</f>
        <v>-25889.333333333336</v>
      </c>
      <c r="AK41" s="49">
        <f>INDEX([6]Payouts!$I$4:$I$54,MATCH(A41,[6]Payouts!$A$4:$A$54,0))</f>
        <v>-25889.333333333336</v>
      </c>
      <c r="AL41" s="30" t="str">
        <f t="shared" si="12"/>
        <v>Underpaid</v>
      </c>
    </row>
    <row r="42" spans="1:38" ht="15" x14ac:dyDescent="0.25">
      <c r="A42" s="31">
        <v>1364</v>
      </c>
      <c r="B42" s="31" t="s">
        <v>51</v>
      </c>
      <c r="C42" s="31">
        <v>114</v>
      </c>
      <c r="D42" s="31" t="s">
        <v>50</v>
      </c>
      <c r="E42" s="31" t="str">
        <f t="shared" si="0"/>
        <v>Moinuddin R Shaikh</v>
      </c>
      <c r="F42" s="32">
        <v>43342</v>
      </c>
      <c r="G42" s="31">
        <v>71231</v>
      </c>
      <c r="H42" s="31" t="s">
        <v>3</v>
      </c>
      <c r="I42" s="31">
        <v>2014</v>
      </c>
      <c r="J42" s="31" t="str">
        <f>INDEX([1]location!$B$2:$B$29,MATCH(C42,[1]location!$A$2:$A$29,0))</f>
        <v>Gandhi Nager</v>
      </c>
      <c r="K42" s="31" t="str">
        <f>INDEX([1]location!$C$2:$C$29,MATCH(C42,[1]location!$A$2:$A$29,0))</f>
        <v>AMD</v>
      </c>
      <c r="L42" s="31" t="str">
        <f>INDEX([1]location!$D$2:$D$29,MATCH(C42,[1]location!$A$2:$A$29,0))</f>
        <v>Ahmedabad</v>
      </c>
      <c r="M42" s="31" t="str">
        <f>INDEX([2]vehicle_details!$B$2:$B$21,MATCH(G42,[2]vehicle_details!$A$2:$A$21,0))</f>
        <v>Tata Ace</v>
      </c>
      <c r="N42" s="33">
        <f>INDEX([3]vehicle_mileage!$C$2:$C$21,MATCH(M42,[3]vehicle_mileage!$A$2:$A$21,0))</f>
        <v>14</v>
      </c>
      <c r="O42" s="34">
        <f t="shared" si="1"/>
        <v>114.28571428571429</v>
      </c>
      <c r="P42" s="35">
        <f t="shared" si="2"/>
        <v>8228.5714285714294</v>
      </c>
      <c r="Q42" s="35">
        <f>INDEX([4]maintenance!$E$2:$E$21,MATCH(M42,[4]maintenance!$A$2:$A$21,0))</f>
        <v>2194.2857142857142</v>
      </c>
      <c r="R42" s="31" t="str">
        <f>INDEX([5]vehicle_details!$B$2:$B$21,MATCH(G42,[5]vehicle_details!$A$2:$A$21,0))</f>
        <v>Tata Ace</v>
      </c>
      <c r="S42" s="33" t="str">
        <f t="shared" si="3"/>
        <v>EMI</v>
      </c>
      <c r="T42" s="36" t="str">
        <f t="shared" si="4"/>
        <v xml:space="preserve">4 </v>
      </c>
      <c r="U42" s="31">
        <f t="shared" si="5"/>
        <v>4</v>
      </c>
      <c r="V42" s="36">
        <f>INDEX([5]vehicle_details!$H$2:$H$21,MATCH(G42,[5]vehicle_details!A$2:A$21,0))</f>
        <v>321440</v>
      </c>
      <c r="W42" s="33">
        <f t="shared" si="6"/>
        <v>2018</v>
      </c>
      <c r="X42" s="36">
        <f t="shared" si="7"/>
        <v>8229.9503874520324</v>
      </c>
      <c r="Y42" s="31">
        <f>INDEX([2]vehicle_details!$C$2:$C$21,MATCH(G42,[2]vehicle_details!$A$2:$A$21,0))</f>
        <v>0.75</v>
      </c>
      <c r="Z42" s="37">
        <f>13000</f>
        <v>13000</v>
      </c>
      <c r="AA42" s="31">
        <f t="shared" si="13"/>
        <v>1</v>
      </c>
      <c r="AB42" s="36">
        <f t="shared" si="8"/>
        <v>11900</v>
      </c>
      <c r="AC42" s="36">
        <f t="shared" si="9"/>
        <v>24900</v>
      </c>
      <c r="AD42" s="38">
        <f t="shared" si="10"/>
        <v>0</v>
      </c>
      <c r="AE42" s="35">
        <v>0</v>
      </c>
      <c r="AF42" s="35">
        <f t="shared" si="11"/>
        <v>18652.807530309175</v>
      </c>
      <c r="AG42" s="35">
        <f>AF42+AC42+'Cost Sheet'!$AE42</f>
        <v>43552.807530309175</v>
      </c>
      <c r="AH42" s="37">
        <f>INDEX([6]Payouts!$G$4:$G$54,MATCH('Cost Sheet'!$A42,[6]Payouts!$A$4:$A$54,0))</f>
        <v>18652.807530309175</v>
      </c>
      <c r="AI42" s="52">
        <f>INDEX([6]Payouts!$G$4:$G$54,MATCH('Cost Sheet'!$A42,[6]Payouts!$A$4:$A$54,0))</f>
        <v>18652.807530309175</v>
      </c>
      <c r="AJ42" s="52">
        <f>INDEX([6]Payouts!$I$4:$I$54,MATCH(A42,[6]Payouts!$A$4:$A$54,0))</f>
        <v>-29778.807530309175</v>
      </c>
      <c r="AK42" s="50">
        <f>INDEX([6]Payouts!$I$4:$I$54,MATCH(A42,[6]Payouts!$A$4:$A$54,0))</f>
        <v>-29778.807530309175</v>
      </c>
      <c r="AL42" s="54" t="str">
        <f t="shared" si="12"/>
        <v>Underpaid</v>
      </c>
    </row>
    <row r="43" spans="1:38" ht="15" x14ac:dyDescent="0.25">
      <c r="A43" s="22">
        <v>1335</v>
      </c>
      <c r="B43" s="22" t="s">
        <v>49</v>
      </c>
      <c r="C43" s="22">
        <v>115</v>
      </c>
      <c r="D43" s="22" t="s">
        <v>48</v>
      </c>
      <c r="E43" s="22" t="str">
        <f t="shared" si="0"/>
        <v>Mukeshbhai Rajabhai Bharwad</v>
      </c>
      <c r="F43" s="23">
        <v>43325</v>
      </c>
      <c r="G43" s="22">
        <v>71243</v>
      </c>
      <c r="H43" s="22" t="s">
        <v>3</v>
      </c>
      <c r="I43" s="22">
        <v>2010</v>
      </c>
      <c r="J43" s="22" t="str">
        <f>INDEX([1]location!$B$2:$B$29,MATCH(C43,[1]location!$A$2:$A$29,0))</f>
        <v>Rampura Branch</v>
      </c>
      <c r="K43" s="22" t="str">
        <f>INDEX([1]location!$C$2:$C$29,MATCH(C43,[1]location!$A$2:$A$29,0))</f>
        <v>AMD</v>
      </c>
      <c r="L43" s="22" t="str">
        <f>INDEX([1]location!$D$2:$D$29,MATCH(C43,[1]location!$A$2:$A$29,0))</f>
        <v>Ahmedabad</v>
      </c>
      <c r="M43" s="22" t="str">
        <f>INDEX([2]vehicle_details!$B$2:$B$21,MATCH(G43,[2]vehicle_details!$A$2:$A$21,0))</f>
        <v>Mahindra</v>
      </c>
      <c r="N43" s="24">
        <f>INDEX([3]vehicle_mileage!$C$2:$C$21,MATCH(M43,[3]vehicle_mileage!$A$2:$A$21,0))</f>
        <v>12</v>
      </c>
      <c r="O43" s="25">
        <f t="shared" si="1"/>
        <v>133.33333333333334</v>
      </c>
      <c r="P43" s="26">
        <f t="shared" si="2"/>
        <v>9600</v>
      </c>
      <c r="Q43" s="26">
        <f>INDEX([4]maintenance!$E$2:$E$21,MATCH(M43,[4]maintenance!$A$2:$A$21,0))</f>
        <v>2213.3333333333335</v>
      </c>
      <c r="R43" s="22" t="str">
        <f>INDEX([5]vehicle_details!$B$2:$B$21,MATCH(G43,[5]vehicle_details!$A$2:$A$21,0))</f>
        <v>Mahindra</v>
      </c>
      <c r="S43" s="24" t="str">
        <f t="shared" si="3"/>
        <v>EMI</v>
      </c>
      <c r="T43" s="27" t="str">
        <f t="shared" si="4"/>
        <v xml:space="preserve">4 </v>
      </c>
      <c r="U43" s="22">
        <f t="shared" si="5"/>
        <v>8</v>
      </c>
      <c r="V43" s="27">
        <f>INDEX([5]vehicle_details!$H$2:$H$21,MATCH(G43,[5]vehicle_details!A$2:A$21,0))</f>
        <v>601600</v>
      </c>
      <c r="W43" s="24">
        <f t="shared" si="6"/>
        <v>2014</v>
      </c>
      <c r="X43" s="27">
        <f t="shared" si="7"/>
        <v>15402.993258745464</v>
      </c>
      <c r="Y43" s="22">
        <f>INDEX([2]vehicle_details!$C$2:$C$21,MATCH(G43,[2]vehicle_details!$A$2:$A$21,0))</f>
        <v>1.5</v>
      </c>
      <c r="Z43" s="28">
        <f>13000</f>
        <v>13000</v>
      </c>
      <c r="AA43" s="22">
        <f t="shared" si="13"/>
        <v>1</v>
      </c>
      <c r="AB43" s="27">
        <f t="shared" si="8"/>
        <v>11900</v>
      </c>
      <c r="AC43" s="27">
        <f t="shared" si="9"/>
        <v>24900</v>
      </c>
      <c r="AD43" s="29">
        <f t="shared" si="10"/>
        <v>0</v>
      </c>
      <c r="AE43" s="26">
        <v>0</v>
      </c>
      <c r="AF43" s="26">
        <f t="shared" si="11"/>
        <v>27216.326592078796</v>
      </c>
      <c r="AG43" s="26">
        <f>AF43+AC43+'Cost Sheet'!$AE43</f>
        <v>52116.326592078796</v>
      </c>
      <c r="AH43" s="28">
        <f>INDEX([6]Payouts!$G$4:$G$54,MATCH('Cost Sheet'!$A43,[6]Payouts!$A$4:$A$54,0))</f>
        <v>27216.326592078796</v>
      </c>
      <c r="AI43" s="26">
        <f>INDEX([6]Payouts!$G$4:$G$54,MATCH('Cost Sheet'!$A43,[6]Payouts!$A$4:$A$54,0))</f>
        <v>27216.326592078796</v>
      </c>
      <c r="AJ43" s="26">
        <f>INDEX([6]Payouts!$I$4:$I$54,MATCH(A43,[6]Payouts!$A$4:$A$54,0))</f>
        <v>21507.673407921204</v>
      </c>
      <c r="AK43" s="49">
        <f>INDEX([6]Payouts!$I$4:$I$54,MATCH(A43,[6]Payouts!$A$4:$A$54,0))</f>
        <v>21507.673407921204</v>
      </c>
      <c r="AL43" s="30" t="str">
        <f t="shared" si="12"/>
        <v>Overpaid</v>
      </c>
    </row>
    <row r="44" spans="1:38" ht="15" x14ac:dyDescent="0.25">
      <c r="A44" s="31">
        <v>1289</v>
      </c>
      <c r="B44" s="31" t="s">
        <v>47</v>
      </c>
      <c r="C44" s="31">
        <v>113</v>
      </c>
      <c r="D44" s="31" t="s">
        <v>46</v>
      </c>
      <c r="E44" s="31" t="str">
        <f t="shared" si="0"/>
        <v>Muliya Tofikhusen Habibbhai</v>
      </c>
      <c r="F44" s="32">
        <v>43279</v>
      </c>
      <c r="G44" s="31">
        <v>71235</v>
      </c>
      <c r="H44" s="31" t="s">
        <v>10</v>
      </c>
      <c r="I44" s="31">
        <v>2004</v>
      </c>
      <c r="J44" s="31" t="str">
        <f>INDEX([1]location!$B$2:$B$29,MATCH(C44,[1]location!$A$2:$A$29,0))</f>
        <v>Ahmedabad Branch</v>
      </c>
      <c r="K44" s="31" t="str">
        <f>INDEX([1]location!$C$2:$C$29,MATCH(C44,[1]location!$A$2:$A$29,0))</f>
        <v>AMD</v>
      </c>
      <c r="L44" s="31" t="str">
        <f>INDEX([1]location!$D$2:$D$29,MATCH(C44,[1]location!$A$2:$A$29,0))</f>
        <v>Ahmedabad</v>
      </c>
      <c r="M44" s="31" t="str">
        <f>INDEX([2]vehicle_details!$B$2:$B$21,MATCH(G44,[2]vehicle_details!$A$2:$A$21,0))</f>
        <v>Eicher 17</v>
      </c>
      <c r="N44" s="33">
        <f>INDEX([3]vehicle_mileage!$C$2:$C$21,MATCH(M44,[3]vehicle_mileage!$A$2:$A$21,0))</f>
        <v>7</v>
      </c>
      <c r="O44" s="34">
        <f t="shared" si="1"/>
        <v>228.57142857142858</v>
      </c>
      <c r="P44" s="35">
        <f t="shared" si="2"/>
        <v>16457.142857142859</v>
      </c>
      <c r="Q44" s="35">
        <f>INDEX([4]maintenance!$E$2:$E$21,MATCH(M44,[4]maintenance!$A$2:$A$21,0))</f>
        <v>2308.5714285714284</v>
      </c>
      <c r="R44" s="31" t="str">
        <f>INDEX([5]vehicle_details!$B$2:$B$21,MATCH(G44,[5]vehicle_details!$A$2:$A$21,0))</f>
        <v>Eicher 17</v>
      </c>
      <c r="S44" s="33" t="str">
        <f t="shared" si="3"/>
        <v>Own</v>
      </c>
      <c r="T44" s="36" t="str">
        <f t="shared" si="4"/>
        <v>Not EMI</v>
      </c>
      <c r="U44" s="31">
        <f t="shared" si="5"/>
        <v>14</v>
      </c>
      <c r="V44" s="36">
        <f>INDEX([5]vehicle_details!$H$2:$H$21,MATCH(G44,[5]vehicle_details!A$2:A$21,0))</f>
        <v>924000</v>
      </c>
      <c r="W44" s="33" t="str">
        <f t="shared" si="6"/>
        <v>Not EMI</v>
      </c>
      <c r="X44" s="36">
        <f t="shared" si="7"/>
        <v>0</v>
      </c>
      <c r="Y44" s="31">
        <f>INDEX([2]vehicle_details!$C$2:$C$21,MATCH(G44,[2]vehicle_details!$A$2:$A$21,0))</f>
        <v>4.5</v>
      </c>
      <c r="Z44" s="37">
        <f>13000</f>
        <v>13000</v>
      </c>
      <c r="AA44" s="31">
        <f t="shared" si="13"/>
        <v>2</v>
      </c>
      <c r="AB44" s="36">
        <f t="shared" si="8"/>
        <v>23800</v>
      </c>
      <c r="AC44" s="36">
        <f t="shared" si="9"/>
        <v>36800</v>
      </c>
      <c r="AD44" s="38">
        <f t="shared" si="10"/>
        <v>0</v>
      </c>
      <c r="AE44" s="35">
        <v>0</v>
      </c>
      <c r="AF44" s="35">
        <f t="shared" si="11"/>
        <v>18765.714285714286</v>
      </c>
      <c r="AG44" s="35">
        <f>AF44+AC44+'Cost Sheet'!$AE44</f>
        <v>55565.71428571429</v>
      </c>
      <c r="AH44" s="37">
        <f>INDEX([6]Payouts!$G$4:$G$54,MATCH('Cost Sheet'!$A44,[6]Payouts!$A$4:$A$54,0))</f>
        <v>18765.714285714286</v>
      </c>
      <c r="AI44" s="52">
        <f>INDEX([6]Payouts!$G$4:$G$54,MATCH('Cost Sheet'!$A44,[6]Payouts!$A$4:$A$54,0))</f>
        <v>18765.714285714286</v>
      </c>
      <c r="AJ44" s="52">
        <f>INDEX([6]Payouts!$I$4:$I$54,MATCH(A44,[6]Payouts!$A$4:$A$54,0))</f>
        <v>74394.28571428571</v>
      </c>
      <c r="AK44" s="50">
        <f>INDEX([6]Payouts!$I$4:$I$54,MATCH(A44,[6]Payouts!$A$4:$A$54,0))</f>
        <v>74394.28571428571</v>
      </c>
      <c r="AL44" s="54" t="str">
        <f t="shared" si="12"/>
        <v>Overpaid</v>
      </c>
    </row>
    <row r="45" spans="1:38" ht="15" x14ac:dyDescent="0.25">
      <c r="A45" s="22">
        <v>1327</v>
      </c>
      <c r="B45" s="22" t="s">
        <v>45</v>
      </c>
      <c r="C45" s="22">
        <v>116</v>
      </c>
      <c r="D45" s="22" t="s">
        <v>44</v>
      </c>
      <c r="E45" s="22" t="str">
        <f t="shared" si="0"/>
        <v>Od Maheshbhai Bhikhabhai</v>
      </c>
      <c r="F45" s="23">
        <v>43304</v>
      </c>
      <c r="G45" s="22">
        <v>71249</v>
      </c>
      <c r="H45" s="22" t="s">
        <v>10</v>
      </c>
      <c r="I45" s="22">
        <v>2012</v>
      </c>
      <c r="J45" s="22" t="str">
        <f>INDEX([1]location!$B$2:$B$29,MATCH(C45,[1]location!$A$2:$A$29,0))</f>
        <v>Vadodara</v>
      </c>
      <c r="K45" s="22" t="str">
        <f>INDEX([1]location!$C$2:$C$29,MATCH(C45,[1]location!$A$2:$A$29,0))</f>
        <v>AMD</v>
      </c>
      <c r="L45" s="22" t="str">
        <f>INDEX([1]location!$D$2:$D$29,MATCH(C45,[1]location!$A$2:$A$29,0))</f>
        <v>Ahmedabad</v>
      </c>
      <c r="M45" s="22" t="str">
        <f>INDEX([2]vehicle_details!$B$2:$B$21,MATCH(G45,[2]vehicle_details!$A$2:$A$21,0))</f>
        <v>AL Dost</v>
      </c>
      <c r="N45" s="24">
        <f>INDEX([3]vehicle_mileage!$C$2:$C$21,MATCH(M45,[3]vehicle_mileage!$A$2:$A$21,0))</f>
        <v>12</v>
      </c>
      <c r="O45" s="25">
        <f t="shared" si="1"/>
        <v>133.33333333333334</v>
      </c>
      <c r="P45" s="26">
        <f t="shared" si="2"/>
        <v>9600</v>
      </c>
      <c r="Q45" s="26">
        <f>INDEX([4]maintenance!$E$2:$E$21,MATCH(M45,[4]maintenance!$A$2:$A$21,0))</f>
        <v>2213.3333333333335</v>
      </c>
      <c r="R45" s="22" t="str">
        <f>INDEX([5]vehicle_details!$B$2:$B$21,MATCH(G45,[5]vehicle_details!$A$2:$A$21,0))</f>
        <v>AL Dost</v>
      </c>
      <c r="S45" s="24" t="str">
        <f t="shared" si="3"/>
        <v>Own</v>
      </c>
      <c r="T45" s="27" t="str">
        <f t="shared" si="4"/>
        <v>Not EMI</v>
      </c>
      <c r="U45" s="22">
        <f t="shared" si="5"/>
        <v>6</v>
      </c>
      <c r="V45" s="27">
        <f>INDEX([5]vehicle_details!$H$2:$H$21,MATCH(G45,[5]vehicle_details!A$2:A$21,0))</f>
        <v>401600</v>
      </c>
      <c r="W45" s="24" t="str">
        <f t="shared" si="6"/>
        <v>Not EMI</v>
      </c>
      <c r="X45" s="27">
        <f t="shared" si="7"/>
        <v>0</v>
      </c>
      <c r="Y45" s="22">
        <f>INDEX([2]vehicle_details!$C$2:$C$21,MATCH(G45,[2]vehicle_details!$A$2:$A$21,0))</f>
        <v>1.25</v>
      </c>
      <c r="Z45" s="28">
        <f>13000</f>
        <v>13000</v>
      </c>
      <c r="AA45" s="22">
        <f t="shared" si="13"/>
        <v>1</v>
      </c>
      <c r="AB45" s="27">
        <f t="shared" si="8"/>
        <v>11900</v>
      </c>
      <c r="AC45" s="27">
        <f t="shared" si="9"/>
        <v>24900</v>
      </c>
      <c r="AD45" s="29">
        <f t="shared" si="10"/>
        <v>0</v>
      </c>
      <c r="AE45" s="26">
        <v>0</v>
      </c>
      <c r="AF45" s="26">
        <f t="shared" si="11"/>
        <v>11813.333333333334</v>
      </c>
      <c r="AG45" s="26">
        <f>AF45+AC45+'Cost Sheet'!$AE45</f>
        <v>36713.333333333336</v>
      </c>
      <c r="AH45" s="28">
        <f>INDEX([6]Payouts!$G$4:$G$54,MATCH('Cost Sheet'!$A45,[6]Payouts!$A$4:$A$54,0))</f>
        <v>11813.333333333334</v>
      </c>
      <c r="AI45" s="26">
        <f>INDEX([6]Payouts!$G$4:$G$54,MATCH('Cost Sheet'!$A45,[6]Payouts!$A$4:$A$54,0))</f>
        <v>11813.333333333334</v>
      </c>
      <c r="AJ45" s="26">
        <f>INDEX([6]Payouts!$I$4:$I$54,MATCH(A45,[6]Payouts!$A$4:$A$54,0))</f>
        <v>-27214.333333333336</v>
      </c>
      <c r="AK45" s="49">
        <f>INDEX([6]Payouts!$I$4:$I$54,MATCH(A45,[6]Payouts!$A$4:$A$54,0))</f>
        <v>-27214.333333333336</v>
      </c>
      <c r="AL45" s="30" t="str">
        <f t="shared" si="12"/>
        <v>Underpaid</v>
      </c>
    </row>
    <row r="46" spans="1:38" ht="15" x14ac:dyDescent="0.25">
      <c r="A46" s="31">
        <v>1042</v>
      </c>
      <c r="B46" s="31" t="s">
        <v>43</v>
      </c>
      <c r="C46" s="31">
        <v>121</v>
      </c>
      <c r="D46" s="31" t="s">
        <v>42</v>
      </c>
      <c r="E46" s="31" t="str">
        <f t="shared" si="0"/>
        <v>Patani Salim Gafarbhai</v>
      </c>
      <c r="F46" s="32">
        <v>42770</v>
      </c>
      <c r="G46" s="31">
        <v>71231</v>
      </c>
      <c r="H46" s="31" t="s">
        <v>10</v>
      </c>
      <c r="I46" s="31">
        <v>2012</v>
      </c>
      <c r="J46" s="31" t="str">
        <f>INDEX([1]location!$B$2:$B$29,MATCH(C46,[1]location!$A$2:$A$29,0))</f>
        <v>Rajkot</v>
      </c>
      <c r="K46" s="31" t="str">
        <f>INDEX([1]location!$C$2:$C$29,MATCH(C46,[1]location!$A$2:$A$29,0))</f>
        <v>AMD</v>
      </c>
      <c r="L46" s="31" t="str">
        <f>INDEX([1]location!$D$2:$D$29,MATCH(C46,[1]location!$A$2:$A$29,0))</f>
        <v>Ahmedabad</v>
      </c>
      <c r="M46" s="31" t="str">
        <f>INDEX([2]vehicle_details!$B$2:$B$21,MATCH(G46,[2]vehicle_details!$A$2:$A$21,0))</f>
        <v>Tata Ace</v>
      </c>
      <c r="N46" s="33">
        <f>INDEX([3]vehicle_mileage!$C$2:$C$21,MATCH(M46,[3]vehicle_mileage!$A$2:$A$21,0))</f>
        <v>14</v>
      </c>
      <c r="O46" s="34">
        <f t="shared" si="1"/>
        <v>114.28571428571429</v>
      </c>
      <c r="P46" s="35">
        <f t="shared" si="2"/>
        <v>8228.5714285714294</v>
      </c>
      <c r="Q46" s="35">
        <f>INDEX([4]maintenance!$E$2:$E$21,MATCH(M46,[4]maintenance!$A$2:$A$21,0))</f>
        <v>2194.2857142857142</v>
      </c>
      <c r="R46" s="31" t="str">
        <f>INDEX([5]vehicle_details!$B$2:$B$21,MATCH(G46,[5]vehicle_details!$A$2:$A$21,0))</f>
        <v>Tata Ace</v>
      </c>
      <c r="S46" s="33" t="str">
        <f t="shared" si="3"/>
        <v>Own</v>
      </c>
      <c r="T46" s="36" t="str">
        <f t="shared" si="4"/>
        <v>Not EMI</v>
      </c>
      <c r="U46" s="31">
        <f t="shared" si="5"/>
        <v>5</v>
      </c>
      <c r="V46" s="36">
        <f>INDEX([5]vehicle_details!$H$2:$H$21,MATCH(G46,[5]vehicle_details!A$2:A$21,0))</f>
        <v>321440</v>
      </c>
      <c r="W46" s="33" t="str">
        <f t="shared" si="6"/>
        <v>Not EMI</v>
      </c>
      <c r="X46" s="36">
        <f t="shared" si="7"/>
        <v>0</v>
      </c>
      <c r="Y46" s="31">
        <f>INDEX([2]vehicle_details!$C$2:$C$21,MATCH(G46,[2]vehicle_details!$A$2:$A$21,0))</f>
        <v>0.75</v>
      </c>
      <c r="Z46" s="37">
        <f>13000</f>
        <v>13000</v>
      </c>
      <c r="AA46" s="31">
        <f t="shared" si="13"/>
        <v>1</v>
      </c>
      <c r="AB46" s="36">
        <f t="shared" si="8"/>
        <v>11900</v>
      </c>
      <c r="AC46" s="36">
        <f t="shared" si="9"/>
        <v>24900</v>
      </c>
      <c r="AD46" s="38">
        <f t="shared" si="10"/>
        <v>0</v>
      </c>
      <c r="AE46" s="35">
        <v>0</v>
      </c>
      <c r="AF46" s="35">
        <f t="shared" si="11"/>
        <v>10422.857142857143</v>
      </c>
      <c r="AG46" s="35">
        <f>AF46+AC46+'Cost Sheet'!$AE46</f>
        <v>35322.857142857145</v>
      </c>
      <c r="AH46" s="64">
        <f>INDEX([6]Payouts!$G$4:$G$54,MATCH('Cost Sheet'!$A46,[6]Payouts!$A$4:$A$54,0))</f>
        <v>71236.190476190473</v>
      </c>
      <c r="AI46" s="52">
        <f>INDEX([6]Payouts!$G$4:$G$54,MATCH('Cost Sheet'!$A46,[6]Payouts!$A$4:$A$54,0))</f>
        <v>71236.190476190473</v>
      </c>
      <c r="AJ46" s="58">
        <f>INDEX([6]Payouts!$I$4:$I$54,MATCH(A46,[6]Payouts!$A$4:$A$54,0))</f>
        <v>-83449.190476190473</v>
      </c>
      <c r="AK46" s="50">
        <f>INDEX([6]Payouts!$I$4:$I$54,MATCH(A46,[6]Payouts!$A$4:$A$54,0))</f>
        <v>-83449.190476190473</v>
      </c>
      <c r="AL46" s="54" t="str">
        <f t="shared" si="12"/>
        <v>Underpaid</v>
      </c>
    </row>
    <row r="47" spans="1:38" ht="15" x14ac:dyDescent="0.25">
      <c r="A47" s="22">
        <v>1042</v>
      </c>
      <c r="B47" s="22" t="s">
        <v>43</v>
      </c>
      <c r="C47" s="22">
        <v>121</v>
      </c>
      <c r="D47" s="22" t="s">
        <v>42</v>
      </c>
      <c r="E47" s="22" t="str">
        <f t="shared" si="0"/>
        <v>Patani Salim Gafarbhai</v>
      </c>
      <c r="F47" s="23">
        <v>42770</v>
      </c>
      <c r="G47" s="22">
        <v>71232</v>
      </c>
      <c r="H47" s="22" t="s">
        <v>41</v>
      </c>
      <c r="I47" s="22">
        <v>2009</v>
      </c>
      <c r="J47" s="22" t="str">
        <f>INDEX([1]location!$B$2:$B$29,MATCH(C47,[1]location!$A$2:$A$29,0))</f>
        <v>Rajkot</v>
      </c>
      <c r="K47" s="22" t="str">
        <f>INDEX([1]location!$C$2:$C$29,MATCH(C47,[1]location!$A$2:$A$29,0))</f>
        <v>AMD</v>
      </c>
      <c r="L47" s="22" t="str">
        <f>INDEX([1]location!$D$2:$D$29,MATCH(C47,[1]location!$A$2:$A$29,0))</f>
        <v>Ahmedabad</v>
      </c>
      <c r="M47" s="22" t="str">
        <f>INDEX([2]vehicle_details!$B$2:$B$21,MATCH(G47,[2]vehicle_details!$A$2:$A$21,0))</f>
        <v>Pickup</v>
      </c>
      <c r="N47" s="24">
        <f>INDEX([3]vehicle_mileage!$C$2:$C$21,MATCH(M47,[3]vehicle_mileage!$A$2:$A$21,0))</f>
        <v>12</v>
      </c>
      <c r="O47" s="25">
        <f t="shared" si="1"/>
        <v>133.33333333333334</v>
      </c>
      <c r="P47" s="26">
        <f t="shared" si="2"/>
        <v>9600</v>
      </c>
      <c r="Q47" s="26">
        <f>INDEX([4]maintenance!$E$2:$E$21,MATCH(M47,[4]maintenance!$A$2:$A$21,0))</f>
        <v>2213.3333333333335</v>
      </c>
      <c r="R47" s="22" t="str">
        <f>INDEX([5]vehicle_details!$B$2:$B$21,MATCH(G47,[5]vehicle_details!$A$2:$A$21,0))</f>
        <v>Pickup</v>
      </c>
      <c r="S47" s="24" t="str">
        <f t="shared" si="3"/>
        <v>Mar</v>
      </c>
      <c r="T47" s="27" t="str">
        <f t="shared" si="4"/>
        <v>Not EMI</v>
      </c>
      <c r="U47" s="22">
        <f t="shared" si="5"/>
        <v>8</v>
      </c>
      <c r="V47" s="27">
        <f>INDEX([5]vehicle_details!$H$2:$H$21,MATCH(G47,[5]vehicle_details!A$2:A$21,0))</f>
        <v>521680</v>
      </c>
      <c r="W47" s="24" t="str">
        <f t="shared" si="6"/>
        <v>Not EMI</v>
      </c>
      <c r="X47" s="27">
        <f t="shared" si="7"/>
        <v>0</v>
      </c>
      <c r="Y47" s="22">
        <f>INDEX([2]vehicle_details!$C$2:$C$21,MATCH(G47,[2]vehicle_details!$A$2:$A$21,0))</f>
        <v>1.5</v>
      </c>
      <c r="Z47" s="28">
        <f>13000</f>
        <v>13000</v>
      </c>
      <c r="AA47" s="22">
        <f t="shared" si="13"/>
        <v>1</v>
      </c>
      <c r="AB47" s="27">
        <f t="shared" si="8"/>
        <v>11900</v>
      </c>
      <c r="AC47" s="27">
        <f t="shared" si="9"/>
        <v>24900</v>
      </c>
      <c r="AD47" s="29" t="str">
        <f t="shared" si="10"/>
        <v>49000</v>
      </c>
      <c r="AE47" s="26">
        <v>49000</v>
      </c>
      <c r="AF47" s="26">
        <f t="shared" si="11"/>
        <v>60813.333333333336</v>
      </c>
      <c r="AG47" s="26">
        <f>AF47+AC47+'Cost Sheet'!$AE47</f>
        <v>134713.33333333334</v>
      </c>
      <c r="AH47" s="65"/>
      <c r="AI47" s="26">
        <f>INDEX([6]Payouts!$G$4:$G$54,MATCH('Cost Sheet'!$A47,[6]Payouts!$A$4:$A$54,0))</f>
        <v>71236.190476190473</v>
      </c>
      <c r="AJ47" s="59"/>
      <c r="AK47" s="49">
        <f>INDEX([6]Payouts!$I$4:$I$54,MATCH(A47,[6]Payouts!$A$4:$A$54,0))</f>
        <v>-83449.190476190473</v>
      </c>
      <c r="AL47" s="30" t="str">
        <f t="shared" si="12"/>
        <v>Underpaid</v>
      </c>
    </row>
    <row r="48" spans="1:38" ht="15" x14ac:dyDescent="0.25">
      <c r="A48" s="31">
        <v>1302</v>
      </c>
      <c r="B48" s="31" t="s">
        <v>40</v>
      </c>
      <c r="C48" s="31">
        <v>115</v>
      </c>
      <c r="D48" s="31" t="s">
        <v>39</v>
      </c>
      <c r="E48" s="31" t="str">
        <f t="shared" si="0"/>
        <v>Pathan Parvezbhai</v>
      </c>
      <c r="F48" s="32">
        <v>43284</v>
      </c>
      <c r="G48" s="31">
        <v>71231</v>
      </c>
      <c r="H48" s="31" t="s">
        <v>3</v>
      </c>
      <c r="I48" s="31">
        <v>2018</v>
      </c>
      <c r="J48" s="31" t="str">
        <f>INDEX([1]location!$B$2:$B$29,MATCH(C48,[1]location!$A$2:$A$29,0))</f>
        <v>Rampura Branch</v>
      </c>
      <c r="K48" s="31" t="str">
        <f>INDEX([1]location!$C$2:$C$29,MATCH(C48,[1]location!$A$2:$A$29,0))</f>
        <v>AMD</v>
      </c>
      <c r="L48" s="31" t="str">
        <f>INDEX([1]location!$D$2:$D$29,MATCH(C48,[1]location!$A$2:$A$29,0))</f>
        <v>Ahmedabad</v>
      </c>
      <c r="M48" s="31" t="str">
        <f>INDEX([2]vehicle_details!$B$2:$B$21,MATCH(G48,[2]vehicle_details!$A$2:$A$21,0))</f>
        <v>Tata Ace</v>
      </c>
      <c r="N48" s="33">
        <f>INDEX([3]vehicle_mileage!$C$2:$C$21,MATCH(M48,[3]vehicle_mileage!$A$2:$A$21,0))</f>
        <v>14</v>
      </c>
      <c r="O48" s="34">
        <f t="shared" si="1"/>
        <v>114.28571428571429</v>
      </c>
      <c r="P48" s="35">
        <f t="shared" si="2"/>
        <v>8228.5714285714294</v>
      </c>
      <c r="Q48" s="35">
        <f>INDEX([4]maintenance!$E$2:$E$21,MATCH(M48,[4]maintenance!$A$2:$A$21,0))</f>
        <v>2194.2857142857142</v>
      </c>
      <c r="R48" s="31" t="str">
        <f>INDEX([5]vehicle_details!$B$2:$B$21,MATCH(G48,[5]vehicle_details!$A$2:$A$21,0))</f>
        <v>Tata Ace</v>
      </c>
      <c r="S48" s="33" t="str">
        <f t="shared" si="3"/>
        <v>EMI</v>
      </c>
      <c r="T48" s="36" t="str">
        <f t="shared" si="4"/>
        <v xml:space="preserve">4 </v>
      </c>
      <c r="U48" s="31">
        <f t="shared" si="5"/>
        <v>0</v>
      </c>
      <c r="V48" s="36">
        <f>INDEX([5]vehicle_details!$H$2:$H$21,MATCH(G48,[5]vehicle_details!A$2:A$21,0))</f>
        <v>321440</v>
      </c>
      <c r="W48" s="33">
        <f t="shared" si="6"/>
        <v>2022</v>
      </c>
      <c r="X48" s="36">
        <f t="shared" si="7"/>
        <v>8229.9503874520324</v>
      </c>
      <c r="Y48" s="31">
        <f>INDEX([2]vehicle_details!$C$2:$C$21,MATCH(G48,[2]vehicle_details!$A$2:$A$21,0))</f>
        <v>0.75</v>
      </c>
      <c r="Z48" s="37">
        <f>13000</f>
        <v>13000</v>
      </c>
      <c r="AA48" s="31">
        <f t="shared" si="13"/>
        <v>1</v>
      </c>
      <c r="AB48" s="36">
        <f t="shared" si="8"/>
        <v>11900</v>
      </c>
      <c r="AC48" s="36">
        <f t="shared" si="9"/>
        <v>24900</v>
      </c>
      <c r="AD48" s="38">
        <f t="shared" si="10"/>
        <v>0</v>
      </c>
      <c r="AE48" s="35">
        <v>0</v>
      </c>
      <c r="AF48" s="35">
        <f t="shared" si="11"/>
        <v>18652.807530309175</v>
      </c>
      <c r="AG48" s="35">
        <f>AF48+AC48+'Cost Sheet'!$AE48</f>
        <v>43552.807530309175</v>
      </c>
      <c r="AH48" s="37">
        <f>INDEX([6]Payouts!$G$4:$G$54,MATCH('Cost Sheet'!$A48,[6]Payouts!$A$4:$A$54,0))</f>
        <v>18652.807530309175</v>
      </c>
      <c r="AI48" s="52">
        <f>INDEX([6]Payouts!$G$4:$G$54,MATCH('Cost Sheet'!$A48,[6]Payouts!$A$4:$A$54,0))</f>
        <v>18652.807530309175</v>
      </c>
      <c r="AJ48" s="52">
        <f>INDEX([6]Payouts!$I$4:$I$54,MATCH(A48,[6]Payouts!$A$4:$A$54,0))</f>
        <v>13680.192469690825</v>
      </c>
      <c r="AK48" s="50">
        <f>INDEX([6]Payouts!$I$4:$I$54,MATCH(A48,[6]Payouts!$A$4:$A$54,0))</f>
        <v>13680.192469690825</v>
      </c>
      <c r="AL48" s="54" t="str">
        <f t="shared" si="12"/>
        <v>Overpaid</v>
      </c>
    </row>
    <row r="49" spans="1:38" ht="15" x14ac:dyDescent="0.25">
      <c r="A49" s="22">
        <v>1229</v>
      </c>
      <c r="B49" s="22" t="s">
        <v>38</v>
      </c>
      <c r="C49" s="22">
        <v>118</v>
      </c>
      <c r="D49" s="22" t="s">
        <v>37</v>
      </c>
      <c r="E49" s="22" t="str">
        <f t="shared" si="0"/>
        <v>Pravin Patil</v>
      </c>
      <c r="F49" s="23">
        <v>43227</v>
      </c>
      <c r="G49" s="22">
        <v>71231</v>
      </c>
      <c r="H49" s="22" t="s">
        <v>10</v>
      </c>
      <c r="I49" s="22">
        <v>2015</v>
      </c>
      <c r="J49" s="22" t="str">
        <f>INDEX([1]location!$B$2:$B$29,MATCH(C49,[1]location!$A$2:$A$29,0))</f>
        <v>Surat</v>
      </c>
      <c r="K49" s="22" t="str">
        <f>INDEX([1]location!$C$2:$C$29,MATCH(C49,[1]location!$A$2:$A$29,0))</f>
        <v>AMD</v>
      </c>
      <c r="L49" s="22" t="str">
        <f>INDEX([1]location!$D$2:$D$29,MATCH(C49,[1]location!$A$2:$A$29,0))</f>
        <v>Ahmedabad</v>
      </c>
      <c r="M49" s="22" t="str">
        <f>INDEX([2]vehicle_details!$B$2:$B$21,MATCH(G49,[2]vehicle_details!$A$2:$A$21,0))</f>
        <v>Tata Ace</v>
      </c>
      <c r="N49" s="24">
        <f>INDEX([3]vehicle_mileage!$C$2:$C$21,MATCH(M49,[3]vehicle_mileage!$A$2:$A$21,0))</f>
        <v>14</v>
      </c>
      <c r="O49" s="25">
        <f t="shared" si="1"/>
        <v>114.28571428571429</v>
      </c>
      <c r="P49" s="26">
        <f t="shared" si="2"/>
        <v>8228.5714285714294</v>
      </c>
      <c r="Q49" s="26">
        <f>INDEX([4]maintenance!$E$2:$E$21,MATCH(M49,[4]maintenance!$A$2:$A$21,0))</f>
        <v>2194.2857142857142</v>
      </c>
      <c r="R49" s="22" t="str">
        <f>INDEX([5]vehicle_details!$B$2:$B$21,MATCH(G49,[5]vehicle_details!$A$2:$A$21,0))</f>
        <v>Tata Ace</v>
      </c>
      <c r="S49" s="24" t="str">
        <f t="shared" si="3"/>
        <v>Own</v>
      </c>
      <c r="T49" s="27" t="str">
        <f t="shared" si="4"/>
        <v>Not EMI</v>
      </c>
      <c r="U49" s="22">
        <f t="shared" si="5"/>
        <v>3</v>
      </c>
      <c r="V49" s="27">
        <f>INDEX([5]vehicle_details!$H$2:$H$21,MATCH(G49,[5]vehicle_details!A$2:A$21,0))</f>
        <v>321440</v>
      </c>
      <c r="W49" s="24" t="str">
        <f t="shared" si="6"/>
        <v>Not EMI</v>
      </c>
      <c r="X49" s="27">
        <f t="shared" si="7"/>
        <v>0</v>
      </c>
      <c r="Y49" s="22">
        <f>INDEX([2]vehicle_details!$C$2:$C$21,MATCH(G49,[2]vehicle_details!$A$2:$A$21,0))</f>
        <v>0.75</v>
      </c>
      <c r="Z49" s="28">
        <f>13000</f>
        <v>13000</v>
      </c>
      <c r="AA49" s="22">
        <f t="shared" si="13"/>
        <v>1</v>
      </c>
      <c r="AB49" s="27">
        <f t="shared" si="8"/>
        <v>11900</v>
      </c>
      <c r="AC49" s="27">
        <f t="shared" si="9"/>
        <v>24900</v>
      </c>
      <c r="AD49" s="29">
        <f t="shared" si="10"/>
        <v>0</v>
      </c>
      <c r="AE49" s="26">
        <v>0</v>
      </c>
      <c r="AF49" s="26">
        <f t="shared" si="11"/>
        <v>10422.857142857143</v>
      </c>
      <c r="AG49" s="26">
        <f>AF49+AC49+'Cost Sheet'!$AE49</f>
        <v>35322.857142857145</v>
      </c>
      <c r="AH49" s="28">
        <f>INDEX([6]Payouts!$G$4:$G$54,MATCH('Cost Sheet'!$A49,[6]Payouts!$A$4:$A$54,0))</f>
        <v>10422.857142857143</v>
      </c>
      <c r="AI49" s="26">
        <f>INDEX([6]Payouts!$G$4:$G$54,MATCH('Cost Sheet'!$A49,[6]Payouts!$A$4:$A$54,0))</f>
        <v>10422.857142857143</v>
      </c>
      <c r="AJ49" s="26">
        <f>INDEX([6]Payouts!$I$4:$I$54,MATCH(A49,[6]Payouts!$A$4:$A$54,0))</f>
        <v>204323.14285714284</v>
      </c>
      <c r="AK49" s="49">
        <f>INDEX([6]Payouts!$I$4:$I$54,MATCH(A49,[6]Payouts!$A$4:$A$54,0))</f>
        <v>204323.14285714284</v>
      </c>
      <c r="AL49" s="30" t="str">
        <f t="shared" si="12"/>
        <v>Overpaid</v>
      </c>
    </row>
    <row r="50" spans="1:38" ht="15" x14ac:dyDescent="0.25">
      <c r="A50" s="31">
        <v>1031</v>
      </c>
      <c r="B50" s="31" t="s">
        <v>36</v>
      </c>
      <c r="C50" s="31">
        <v>113</v>
      </c>
      <c r="D50" s="31" t="s">
        <v>35</v>
      </c>
      <c r="E50" s="31" t="str">
        <f t="shared" si="0"/>
        <v>Pravin Thakor</v>
      </c>
      <c r="F50" s="40">
        <v>42685</v>
      </c>
      <c r="G50" s="31">
        <v>71235</v>
      </c>
      <c r="H50" s="31" t="s">
        <v>34</v>
      </c>
      <c r="I50" s="31">
        <v>2014</v>
      </c>
      <c r="J50" s="31" t="str">
        <f>INDEX([1]location!$B$2:$B$29,MATCH(C50,[1]location!$A$2:$A$29,0))</f>
        <v>Ahmedabad Branch</v>
      </c>
      <c r="K50" s="31" t="str">
        <f>INDEX([1]location!$C$2:$C$29,MATCH(C50,[1]location!$A$2:$A$29,0))</f>
        <v>AMD</v>
      </c>
      <c r="L50" s="31" t="str">
        <f>INDEX([1]location!$D$2:$D$29,MATCH(C50,[1]location!$A$2:$A$29,0))</f>
        <v>Ahmedabad</v>
      </c>
      <c r="M50" s="31" t="str">
        <f>INDEX([2]vehicle_details!$B$2:$B$21,MATCH(G50,[2]vehicle_details!$A$2:$A$21,0))</f>
        <v>Eicher 17</v>
      </c>
      <c r="N50" s="33">
        <f>INDEX([3]vehicle_mileage!$C$2:$C$21,MATCH(M50,[3]vehicle_mileage!$A$2:$A$21,0))</f>
        <v>7</v>
      </c>
      <c r="O50" s="34">
        <f t="shared" si="1"/>
        <v>228.57142857142858</v>
      </c>
      <c r="P50" s="35">
        <f t="shared" si="2"/>
        <v>16457.142857142859</v>
      </c>
      <c r="Q50" s="35">
        <f>INDEX([4]maintenance!$E$2:$E$21,MATCH(M50,[4]maintenance!$A$2:$A$21,0))</f>
        <v>2308.5714285714284</v>
      </c>
      <c r="R50" s="31" t="str">
        <f>INDEX([5]vehicle_details!$B$2:$B$21,MATCH(G50,[5]vehicle_details!$A$2:$A$21,0))</f>
        <v>Eicher 17</v>
      </c>
      <c r="S50" s="33" t="str">
        <f t="shared" si="3"/>
        <v>Mar</v>
      </c>
      <c r="T50" s="36" t="str">
        <f t="shared" si="4"/>
        <v>Not EMI</v>
      </c>
      <c r="U50" s="31">
        <f t="shared" si="5"/>
        <v>2</v>
      </c>
      <c r="V50" s="36">
        <f>INDEX([5]vehicle_details!$H$2:$H$21,MATCH(G50,[5]vehicle_details!A$2:A$21,0))</f>
        <v>924000</v>
      </c>
      <c r="W50" s="33" t="str">
        <f t="shared" si="6"/>
        <v>Not EMI</v>
      </c>
      <c r="X50" s="36">
        <f t="shared" si="7"/>
        <v>0</v>
      </c>
      <c r="Y50" s="31">
        <f>INDEX([2]vehicle_details!$C$2:$C$21,MATCH(G50,[2]vehicle_details!$A$2:$A$21,0))</f>
        <v>4.5</v>
      </c>
      <c r="Z50" s="37">
        <f>13000</f>
        <v>13000</v>
      </c>
      <c r="AA50" s="31">
        <f t="shared" si="13"/>
        <v>2</v>
      </c>
      <c r="AB50" s="36">
        <f t="shared" si="8"/>
        <v>23800</v>
      </c>
      <c r="AC50" s="36">
        <f t="shared" si="9"/>
        <v>36800</v>
      </c>
      <c r="AD50" s="38" t="str">
        <f t="shared" si="10"/>
        <v>45000</v>
      </c>
      <c r="AE50" s="35">
        <v>45000</v>
      </c>
      <c r="AF50" s="35">
        <f t="shared" si="11"/>
        <v>63765.71428571429</v>
      </c>
      <c r="AG50" s="35">
        <f>AF50+AC50+'Cost Sheet'!$AE50</f>
        <v>145565.71428571429</v>
      </c>
      <c r="AH50" s="37">
        <f>INDEX([6]Payouts!$G$4:$G$54,MATCH('Cost Sheet'!$A50,[6]Payouts!$A$4:$A$54,0))</f>
        <v>63765.714285714283</v>
      </c>
      <c r="AI50" s="52">
        <f>INDEX([6]Payouts!$G$4:$G$54,MATCH('Cost Sheet'!$A50,[6]Payouts!$A$4:$A$54,0))</f>
        <v>63765.714285714283</v>
      </c>
      <c r="AJ50" s="52">
        <f>INDEX([6]Payouts!$I$4:$I$54,MATCH(A50,[6]Payouts!$A$4:$A$54,0))</f>
        <v>-74394.71428571429</v>
      </c>
      <c r="AK50" s="50">
        <f>INDEX([6]Payouts!$I$4:$I$54,MATCH(A50,[6]Payouts!$A$4:$A$54,0))</f>
        <v>-74394.71428571429</v>
      </c>
      <c r="AL50" s="54" t="str">
        <f t="shared" si="12"/>
        <v>Underpaid</v>
      </c>
    </row>
    <row r="51" spans="1:38" ht="15" x14ac:dyDescent="0.25">
      <c r="A51" s="22">
        <v>1357</v>
      </c>
      <c r="B51" s="22" t="s">
        <v>33</v>
      </c>
      <c r="C51" s="22">
        <v>114</v>
      </c>
      <c r="D51" s="22" t="s">
        <v>32</v>
      </c>
      <c r="E51" s="22" t="str">
        <f t="shared" si="0"/>
        <v>Rajendrasinh L Chavda</v>
      </c>
      <c r="F51" s="23">
        <v>43332</v>
      </c>
      <c r="G51" s="22">
        <v>71231</v>
      </c>
      <c r="H51" s="22" t="s">
        <v>10</v>
      </c>
      <c r="I51" s="22">
        <v>2012</v>
      </c>
      <c r="J51" s="22" t="str">
        <f>INDEX([1]location!$B$2:$B$29,MATCH(C51,[1]location!$A$2:$A$29,0))</f>
        <v>Gandhi Nager</v>
      </c>
      <c r="K51" s="22" t="str">
        <f>INDEX([1]location!$C$2:$C$29,MATCH(C51,[1]location!$A$2:$A$29,0))</f>
        <v>AMD</v>
      </c>
      <c r="L51" s="22" t="str">
        <f>INDEX([1]location!$D$2:$D$29,MATCH(C51,[1]location!$A$2:$A$29,0))</f>
        <v>Ahmedabad</v>
      </c>
      <c r="M51" s="22" t="str">
        <f>INDEX([2]vehicle_details!$B$2:$B$21,MATCH(G51,[2]vehicle_details!$A$2:$A$21,0))</f>
        <v>Tata Ace</v>
      </c>
      <c r="N51" s="24">
        <f>INDEX([3]vehicle_mileage!$C$2:$C$21,MATCH(M51,[3]vehicle_mileage!$A$2:$A$21,0))</f>
        <v>14</v>
      </c>
      <c r="O51" s="25">
        <f t="shared" si="1"/>
        <v>114.28571428571429</v>
      </c>
      <c r="P51" s="26">
        <f t="shared" si="2"/>
        <v>8228.5714285714294</v>
      </c>
      <c r="Q51" s="26">
        <f>INDEX([4]maintenance!$E$2:$E$21,MATCH(M51,[4]maintenance!$A$2:$A$21,0))</f>
        <v>2194.2857142857142</v>
      </c>
      <c r="R51" s="22" t="str">
        <f>INDEX([5]vehicle_details!$B$2:$B$21,MATCH(G51,[5]vehicle_details!$A$2:$A$21,0))</f>
        <v>Tata Ace</v>
      </c>
      <c r="S51" s="24" t="str">
        <f t="shared" si="3"/>
        <v>Own</v>
      </c>
      <c r="T51" s="27" t="str">
        <f t="shared" si="4"/>
        <v>Not EMI</v>
      </c>
      <c r="U51" s="22">
        <f t="shared" si="5"/>
        <v>6</v>
      </c>
      <c r="V51" s="27">
        <f>INDEX([5]vehicle_details!$H$2:$H$21,MATCH(G51,[5]vehicle_details!A$2:A$21,0))</f>
        <v>321440</v>
      </c>
      <c r="W51" s="24" t="str">
        <f t="shared" si="6"/>
        <v>Not EMI</v>
      </c>
      <c r="X51" s="27">
        <f t="shared" si="7"/>
        <v>0</v>
      </c>
      <c r="Y51" s="22">
        <f>INDEX([2]vehicle_details!$C$2:$C$21,MATCH(G51,[2]vehicle_details!$A$2:$A$21,0))</f>
        <v>0.75</v>
      </c>
      <c r="Z51" s="28">
        <f>13000</f>
        <v>13000</v>
      </c>
      <c r="AA51" s="22">
        <f t="shared" si="13"/>
        <v>1</v>
      </c>
      <c r="AB51" s="27">
        <f t="shared" si="8"/>
        <v>11900</v>
      </c>
      <c r="AC51" s="27">
        <f t="shared" si="9"/>
        <v>24900</v>
      </c>
      <c r="AD51" s="29">
        <f t="shared" si="10"/>
        <v>0</v>
      </c>
      <c r="AE51" s="26">
        <v>0</v>
      </c>
      <c r="AF51" s="26">
        <f t="shared" si="11"/>
        <v>10422.857142857143</v>
      </c>
      <c r="AG51" s="26">
        <f>AF51+AC51+'Cost Sheet'!$AE51</f>
        <v>35322.857142857145</v>
      </c>
      <c r="AH51" s="28">
        <f>INDEX([6]Payouts!$G$4:$G$54,MATCH('Cost Sheet'!$A51,[6]Payouts!$A$4:$A$54,0))</f>
        <v>10422.857142857143</v>
      </c>
      <c r="AI51" s="26">
        <f>INDEX([6]Payouts!$G$4:$G$54,MATCH('Cost Sheet'!$A51,[6]Payouts!$A$4:$A$54,0))</f>
        <v>10422.857142857143</v>
      </c>
      <c r="AJ51" s="26">
        <f>INDEX([6]Payouts!$I$4:$I$54,MATCH(A51,[6]Payouts!$A$4:$A$54,0))</f>
        <v>-22354.857142857145</v>
      </c>
      <c r="AK51" s="49">
        <f>INDEX([6]Payouts!$I$4:$I$54,MATCH(A51,[6]Payouts!$A$4:$A$54,0))</f>
        <v>-22354.857142857145</v>
      </c>
      <c r="AL51" s="30" t="str">
        <f t="shared" si="12"/>
        <v>Underpaid</v>
      </c>
    </row>
    <row r="52" spans="1:38" ht="15" x14ac:dyDescent="0.25">
      <c r="A52" s="31">
        <v>1328</v>
      </c>
      <c r="B52" s="31" t="s">
        <v>31</v>
      </c>
      <c r="C52" s="31">
        <v>116</v>
      </c>
      <c r="D52" s="31" t="s">
        <v>30</v>
      </c>
      <c r="E52" s="31" t="str">
        <f t="shared" si="0"/>
        <v>Rajesh Kumar Misra_Delivery</v>
      </c>
      <c r="F52" s="32">
        <v>43318</v>
      </c>
      <c r="G52" s="31">
        <v>71246</v>
      </c>
      <c r="H52" s="31" t="s">
        <v>10</v>
      </c>
      <c r="I52" s="31">
        <v>2014</v>
      </c>
      <c r="J52" s="31" t="str">
        <f>INDEX([1]location!$B$2:$B$29,MATCH(C52,[1]location!$A$2:$A$29,0))</f>
        <v>Vadodara</v>
      </c>
      <c r="K52" s="31" t="str">
        <f>INDEX([1]location!$C$2:$C$29,MATCH(C52,[1]location!$A$2:$A$29,0))</f>
        <v>AMD</v>
      </c>
      <c r="L52" s="31" t="str">
        <f>INDEX([1]location!$D$2:$D$29,MATCH(C52,[1]location!$A$2:$A$29,0))</f>
        <v>Ahmedabad</v>
      </c>
      <c r="M52" s="31" t="str">
        <f>INDEX([2]vehicle_details!$B$2:$B$21,MATCH(G52,[2]vehicle_details!$A$2:$A$21,0))</f>
        <v>Super ace</v>
      </c>
      <c r="N52" s="33">
        <f>INDEX([3]vehicle_mileage!$C$2:$C$21,MATCH(M52,[3]vehicle_mileage!$A$2:$A$21,0))</f>
        <v>15</v>
      </c>
      <c r="O52" s="34">
        <f t="shared" si="1"/>
        <v>106.66666666666667</v>
      </c>
      <c r="P52" s="35">
        <f t="shared" si="2"/>
        <v>7680</v>
      </c>
      <c r="Q52" s="35">
        <f>INDEX([4]maintenance!$E$2:$E$21,MATCH(M52,[4]maintenance!$A$2:$A$21,0))</f>
        <v>2186.6666666666665</v>
      </c>
      <c r="R52" s="31" t="str">
        <f>INDEX([5]vehicle_details!$B$2:$B$21,MATCH(G52,[5]vehicle_details!$A$2:$A$21,0))</f>
        <v>Super ace</v>
      </c>
      <c r="S52" s="33" t="str">
        <f t="shared" si="3"/>
        <v>Own</v>
      </c>
      <c r="T52" s="36" t="str">
        <f t="shared" si="4"/>
        <v>Not EMI</v>
      </c>
      <c r="U52" s="31">
        <f t="shared" si="5"/>
        <v>4</v>
      </c>
      <c r="V52" s="36">
        <f>INDEX([5]vehicle_details!$H$2:$H$21,MATCH(G52,[5]vehicle_details!A$2:A$21,0))</f>
        <v>441600</v>
      </c>
      <c r="W52" s="33" t="str">
        <f t="shared" si="6"/>
        <v>Not EMI</v>
      </c>
      <c r="X52" s="36">
        <f t="shared" si="7"/>
        <v>0</v>
      </c>
      <c r="Y52" s="31">
        <f>INDEX([2]vehicle_details!$C$2:$C$21,MATCH(G52,[2]vehicle_details!$A$2:$A$21,0))</f>
        <v>1.2</v>
      </c>
      <c r="Z52" s="37">
        <f>13000</f>
        <v>13000</v>
      </c>
      <c r="AA52" s="31">
        <f t="shared" si="13"/>
        <v>1</v>
      </c>
      <c r="AB52" s="36">
        <f t="shared" si="8"/>
        <v>11900</v>
      </c>
      <c r="AC52" s="36">
        <f t="shared" si="9"/>
        <v>24900</v>
      </c>
      <c r="AD52" s="38">
        <f t="shared" si="10"/>
        <v>0</v>
      </c>
      <c r="AE52" s="35">
        <v>0</v>
      </c>
      <c r="AF52" s="35">
        <f t="shared" si="11"/>
        <v>9866.6666666666661</v>
      </c>
      <c r="AG52" s="35">
        <f>AF52+AC52+'Cost Sheet'!$AE52</f>
        <v>34766.666666666664</v>
      </c>
      <c r="AH52" s="37">
        <f>INDEX([6]Payouts!$G$4:$G$54,MATCH('Cost Sheet'!$A52,[6]Payouts!$A$4:$A$54,0))</f>
        <v>9866.6666666666661</v>
      </c>
      <c r="AI52" s="52">
        <f>INDEX([6]Payouts!$G$4:$G$54,MATCH('Cost Sheet'!$A52,[6]Payouts!$A$4:$A$54,0))</f>
        <v>9866.6666666666661</v>
      </c>
      <c r="AJ52" s="52">
        <f>INDEX([6]Payouts!$I$4:$I$54,MATCH(A52,[6]Payouts!$A$4:$A$54,0))</f>
        <v>110070.33333333334</v>
      </c>
      <c r="AK52" s="50">
        <f>INDEX([6]Payouts!$I$4:$I$54,MATCH(A52,[6]Payouts!$A$4:$A$54,0))</f>
        <v>110070.33333333334</v>
      </c>
      <c r="AL52" s="54" t="str">
        <f t="shared" si="12"/>
        <v>Overpaid</v>
      </c>
    </row>
    <row r="53" spans="1:38" ht="15" x14ac:dyDescent="0.25">
      <c r="A53" s="22">
        <v>1329</v>
      </c>
      <c r="B53" s="22" t="s">
        <v>29</v>
      </c>
      <c r="C53" s="22">
        <v>116</v>
      </c>
      <c r="D53" s="22" t="s">
        <v>28</v>
      </c>
      <c r="E53" s="22" t="str">
        <f t="shared" si="0"/>
        <v>Rajesh Kumar Misra_Pickup</v>
      </c>
      <c r="F53" s="23">
        <v>43318</v>
      </c>
      <c r="G53" s="22">
        <v>71249</v>
      </c>
      <c r="H53" s="22" t="s">
        <v>27</v>
      </c>
      <c r="I53" s="22">
        <v>2013</v>
      </c>
      <c r="J53" s="22" t="str">
        <f>INDEX([1]location!$B$2:$B$29,MATCH(C53,[1]location!$A$2:$A$29,0))</f>
        <v>Vadodara</v>
      </c>
      <c r="K53" s="22" t="str">
        <f>INDEX([1]location!$C$2:$C$29,MATCH(C53,[1]location!$A$2:$A$29,0))</f>
        <v>AMD</v>
      </c>
      <c r="L53" s="22" t="str">
        <f>INDEX([1]location!$D$2:$D$29,MATCH(C53,[1]location!$A$2:$A$29,0))</f>
        <v>Ahmedabad</v>
      </c>
      <c r="M53" s="22" t="str">
        <f>INDEX([2]vehicle_details!$B$2:$B$21,MATCH(G53,[2]vehicle_details!$A$2:$A$21,0))</f>
        <v>AL Dost</v>
      </c>
      <c r="N53" s="24">
        <f>INDEX([3]vehicle_mileage!$C$2:$C$21,MATCH(M53,[3]vehicle_mileage!$A$2:$A$21,0))</f>
        <v>12</v>
      </c>
      <c r="O53" s="25">
        <f t="shared" si="1"/>
        <v>133.33333333333334</v>
      </c>
      <c r="P53" s="26">
        <f t="shared" si="2"/>
        <v>9600</v>
      </c>
      <c r="Q53" s="26">
        <f>INDEX([4]maintenance!$E$2:$E$21,MATCH(M53,[4]maintenance!$A$2:$A$21,0))</f>
        <v>2213.3333333333335</v>
      </c>
      <c r="R53" s="22" t="str">
        <f>INDEX([5]vehicle_details!$B$2:$B$21,MATCH(G53,[5]vehicle_details!$A$2:$A$21,0))</f>
        <v>AL Dost</v>
      </c>
      <c r="S53" s="24" t="str">
        <f t="shared" si="3"/>
        <v>Mar</v>
      </c>
      <c r="T53" s="27" t="str">
        <f t="shared" si="4"/>
        <v>Not EMI</v>
      </c>
      <c r="U53" s="22">
        <f t="shared" si="5"/>
        <v>5</v>
      </c>
      <c r="V53" s="27">
        <f>INDEX([5]vehicle_details!$H$2:$H$21,MATCH(G53,[5]vehicle_details!A$2:A$21,0))</f>
        <v>401600</v>
      </c>
      <c r="W53" s="24" t="str">
        <f t="shared" si="6"/>
        <v>Not EMI</v>
      </c>
      <c r="X53" s="27">
        <f t="shared" si="7"/>
        <v>0</v>
      </c>
      <c r="Y53" s="22">
        <f>INDEX([2]vehicle_details!$C$2:$C$21,MATCH(G53,[2]vehicle_details!$A$2:$A$21,0))</f>
        <v>1.25</v>
      </c>
      <c r="Z53" s="28">
        <f>13000</f>
        <v>13000</v>
      </c>
      <c r="AA53" s="22">
        <f t="shared" si="13"/>
        <v>1</v>
      </c>
      <c r="AB53" s="27">
        <f t="shared" si="8"/>
        <v>11900</v>
      </c>
      <c r="AC53" s="27">
        <f t="shared" si="9"/>
        <v>24900</v>
      </c>
      <c r="AD53" s="29" t="str">
        <f t="shared" si="10"/>
        <v>52500</v>
      </c>
      <c r="AE53" s="26">
        <v>52500</v>
      </c>
      <c r="AF53" s="26">
        <f t="shared" si="11"/>
        <v>64313.333333333336</v>
      </c>
      <c r="AG53" s="26">
        <f>AF53+AC53+'Cost Sheet'!$AE53</f>
        <v>141713.33333333334</v>
      </c>
      <c r="AH53" s="28">
        <f>INDEX([6]Payouts!$G$4:$G$54,MATCH('Cost Sheet'!$A53,[6]Payouts!$A$4:$A$54,0))</f>
        <v>64313.333333333336</v>
      </c>
      <c r="AI53" s="26">
        <f>INDEX([6]Payouts!$G$4:$G$54,MATCH('Cost Sheet'!$A53,[6]Payouts!$A$4:$A$54,0))</f>
        <v>64313.333333333336</v>
      </c>
      <c r="AJ53" s="26">
        <f>INDEX([6]Payouts!$I$4:$I$54,MATCH(A53,[6]Payouts!$A$4:$A$54,0))</f>
        <v>-3452.333333333343</v>
      </c>
      <c r="AK53" s="49">
        <f>INDEX([6]Payouts!$I$4:$I$54,MATCH(A53,[6]Payouts!$A$4:$A$54,0))</f>
        <v>-3452.333333333343</v>
      </c>
      <c r="AL53" s="30" t="str">
        <f t="shared" si="12"/>
        <v>Underpaid</v>
      </c>
    </row>
    <row r="54" spans="1:38" ht="15" x14ac:dyDescent="0.25">
      <c r="A54" s="31">
        <v>1344</v>
      </c>
      <c r="B54" s="31" t="s">
        <v>26</v>
      </c>
      <c r="C54" s="31">
        <v>124</v>
      </c>
      <c r="D54" s="31" t="s">
        <v>25</v>
      </c>
      <c r="E54" s="31" t="str">
        <f t="shared" si="0"/>
        <v>Rakib Gulamkadar Bloch</v>
      </c>
      <c r="F54" s="32">
        <v>43332</v>
      </c>
      <c r="G54" s="31">
        <v>71231</v>
      </c>
      <c r="H54" s="31" t="s">
        <v>10</v>
      </c>
      <c r="I54" s="31">
        <v>2010</v>
      </c>
      <c r="J54" s="31" t="str">
        <f>INDEX([1]location!$B$2:$B$29,MATCH(C54,[1]location!$A$2:$A$29,0))</f>
        <v>Junagarh</v>
      </c>
      <c r="K54" s="31" t="str">
        <f>INDEX([1]location!$C$2:$C$29,MATCH(C54,[1]location!$A$2:$A$29,0))</f>
        <v>AMD</v>
      </c>
      <c r="L54" s="31" t="str">
        <f>INDEX([1]location!$D$2:$D$29,MATCH(C54,[1]location!$A$2:$A$29,0))</f>
        <v>Ahmedabad</v>
      </c>
      <c r="M54" s="31" t="str">
        <f>INDEX([2]vehicle_details!$B$2:$B$21,MATCH(G54,[2]vehicle_details!$A$2:$A$21,0))</f>
        <v>Tata Ace</v>
      </c>
      <c r="N54" s="33">
        <f>INDEX([3]vehicle_mileage!$C$2:$C$21,MATCH(M54,[3]vehicle_mileage!$A$2:$A$21,0))</f>
        <v>14</v>
      </c>
      <c r="O54" s="34">
        <f t="shared" si="1"/>
        <v>114.28571428571429</v>
      </c>
      <c r="P54" s="35">
        <f t="shared" si="2"/>
        <v>8228.5714285714294</v>
      </c>
      <c r="Q54" s="35">
        <f>INDEX([4]maintenance!$E$2:$E$21,MATCH(M54,[4]maintenance!$A$2:$A$21,0))</f>
        <v>2194.2857142857142</v>
      </c>
      <c r="R54" s="31" t="str">
        <f>INDEX([5]vehicle_details!$B$2:$B$21,MATCH(G54,[5]vehicle_details!$A$2:$A$21,0))</f>
        <v>Tata Ace</v>
      </c>
      <c r="S54" s="33" t="str">
        <f t="shared" si="3"/>
        <v>Own</v>
      </c>
      <c r="T54" s="36" t="str">
        <f t="shared" si="4"/>
        <v>Not EMI</v>
      </c>
      <c r="U54" s="31">
        <f t="shared" si="5"/>
        <v>8</v>
      </c>
      <c r="V54" s="36">
        <f>INDEX([5]vehicle_details!$H$2:$H$21,MATCH(G54,[5]vehicle_details!A$2:A$21,0))</f>
        <v>321440</v>
      </c>
      <c r="W54" s="33" t="str">
        <f t="shared" si="6"/>
        <v>Not EMI</v>
      </c>
      <c r="X54" s="36">
        <f t="shared" si="7"/>
        <v>0</v>
      </c>
      <c r="Y54" s="31">
        <f>INDEX([2]vehicle_details!$C$2:$C$21,MATCH(G54,[2]vehicle_details!$A$2:$A$21,0))</f>
        <v>0.75</v>
      </c>
      <c r="Z54" s="37">
        <f>13000</f>
        <v>13000</v>
      </c>
      <c r="AA54" s="31">
        <f t="shared" si="13"/>
        <v>1</v>
      </c>
      <c r="AB54" s="36">
        <f t="shared" si="8"/>
        <v>11900</v>
      </c>
      <c r="AC54" s="36">
        <f t="shared" si="9"/>
        <v>24900</v>
      </c>
      <c r="AD54" s="38">
        <f t="shared" si="10"/>
        <v>0</v>
      </c>
      <c r="AE54" s="35">
        <v>0</v>
      </c>
      <c r="AF54" s="35">
        <f t="shared" si="11"/>
        <v>10422.857142857143</v>
      </c>
      <c r="AG54" s="35">
        <f>AF54+AC54+'Cost Sheet'!$AE54</f>
        <v>35322.857142857145</v>
      </c>
      <c r="AH54" s="37">
        <f>INDEX([6]Payouts!$G$4:$G$54,MATCH('Cost Sheet'!$A54,[6]Payouts!$A$4:$A$54,0))</f>
        <v>10422.857142857143</v>
      </c>
      <c r="AI54" s="52">
        <f>INDEX([6]Payouts!$G$4:$G$54,MATCH('Cost Sheet'!$A54,[6]Payouts!$A$4:$A$54,0))</f>
        <v>10422.857142857143</v>
      </c>
      <c r="AJ54" s="52">
        <f>INDEX([6]Payouts!$I$4:$I$54,MATCH(A54,[6]Payouts!$A$4:$A$54,0))</f>
        <v>-29034.857142857145</v>
      </c>
      <c r="AK54" s="50">
        <f>INDEX([6]Payouts!$I$4:$I$54,MATCH(A54,[6]Payouts!$A$4:$A$54,0))</f>
        <v>-29034.857142857145</v>
      </c>
      <c r="AL54" s="54" t="str">
        <f t="shared" si="12"/>
        <v>Underpaid</v>
      </c>
    </row>
    <row r="55" spans="1:38" ht="15" x14ac:dyDescent="0.25">
      <c r="A55" s="22">
        <v>1240</v>
      </c>
      <c r="B55" s="22" t="s">
        <v>24</v>
      </c>
      <c r="C55" s="22">
        <v>125</v>
      </c>
      <c r="D55" s="22" t="s">
        <v>23</v>
      </c>
      <c r="E55" s="22" t="str">
        <f t="shared" si="0"/>
        <v>Sadhu Ram Kargwal</v>
      </c>
      <c r="F55" s="23">
        <v>43244</v>
      </c>
      <c r="G55" s="22">
        <v>71243</v>
      </c>
      <c r="H55" s="22" t="s">
        <v>3</v>
      </c>
      <c r="I55" s="22">
        <v>2018</v>
      </c>
      <c r="J55" s="22" t="str">
        <f>INDEX([1]location!$B$2:$B$29,MATCH(C55,[1]location!$A$2:$A$29,0))</f>
        <v>Mehsana</v>
      </c>
      <c r="K55" s="22" t="str">
        <f>INDEX([1]location!$C$2:$C$29,MATCH(C55,[1]location!$A$2:$A$29,0))</f>
        <v>AMD</v>
      </c>
      <c r="L55" s="22" t="str">
        <f>INDEX([1]location!$D$2:$D$29,MATCH(C55,[1]location!$A$2:$A$29,0))</f>
        <v>Ahmedabad</v>
      </c>
      <c r="M55" s="22" t="str">
        <f>INDEX([2]vehicle_details!$B$2:$B$21,MATCH(G55,[2]vehicle_details!$A$2:$A$21,0))</f>
        <v>Mahindra</v>
      </c>
      <c r="N55" s="24">
        <f>INDEX([3]vehicle_mileage!$C$2:$C$21,MATCH(M55,[3]vehicle_mileage!$A$2:$A$21,0))</f>
        <v>12</v>
      </c>
      <c r="O55" s="25">
        <f t="shared" si="1"/>
        <v>133.33333333333334</v>
      </c>
      <c r="P55" s="26">
        <f t="shared" si="2"/>
        <v>9600</v>
      </c>
      <c r="Q55" s="26">
        <f>INDEX([4]maintenance!$E$2:$E$21,MATCH(M55,[4]maintenance!$A$2:$A$21,0))</f>
        <v>2213.3333333333335</v>
      </c>
      <c r="R55" s="22" t="str">
        <f>INDEX([5]vehicle_details!$B$2:$B$21,MATCH(G55,[5]vehicle_details!$A$2:$A$21,0))</f>
        <v>Mahindra</v>
      </c>
      <c r="S55" s="24" t="str">
        <f t="shared" si="3"/>
        <v>EMI</v>
      </c>
      <c r="T55" s="27" t="str">
        <f t="shared" si="4"/>
        <v xml:space="preserve">4 </v>
      </c>
      <c r="U55" s="22">
        <f t="shared" si="5"/>
        <v>0</v>
      </c>
      <c r="V55" s="27">
        <f>INDEX([5]vehicle_details!$H$2:$H$21,MATCH(G55,[5]vehicle_details!A$2:A$21,0))</f>
        <v>601600</v>
      </c>
      <c r="W55" s="24">
        <f t="shared" si="6"/>
        <v>2022</v>
      </c>
      <c r="X55" s="27">
        <f t="shared" si="7"/>
        <v>15402.993258745464</v>
      </c>
      <c r="Y55" s="22">
        <f>INDEX([2]vehicle_details!$C$2:$C$21,MATCH(G55,[2]vehicle_details!$A$2:$A$21,0))</f>
        <v>1.5</v>
      </c>
      <c r="Z55" s="28">
        <f>13000</f>
        <v>13000</v>
      </c>
      <c r="AA55" s="22">
        <f t="shared" si="13"/>
        <v>1</v>
      </c>
      <c r="AB55" s="27">
        <f t="shared" si="8"/>
        <v>11900</v>
      </c>
      <c r="AC55" s="27">
        <f t="shared" si="9"/>
        <v>24900</v>
      </c>
      <c r="AD55" s="29">
        <f t="shared" si="10"/>
        <v>0</v>
      </c>
      <c r="AE55" s="26">
        <v>0</v>
      </c>
      <c r="AF55" s="26">
        <f t="shared" si="11"/>
        <v>27216.326592078796</v>
      </c>
      <c r="AG55" s="26">
        <f>AF55+AC55+'Cost Sheet'!$AE55</f>
        <v>52116.326592078796</v>
      </c>
      <c r="AH55" s="56">
        <f>INDEX([6]Payouts!$G$4:$G$54,MATCH('Cost Sheet'!$A55,[6]Payouts!$A$4:$A$54,0))</f>
        <v>39029.659925412132</v>
      </c>
      <c r="AI55" s="26">
        <f>INDEX([6]Payouts!$G$4:$G$54,MATCH('Cost Sheet'!$A55,[6]Payouts!$A$4:$A$54,0))</f>
        <v>39029.659925412132</v>
      </c>
      <c r="AJ55" s="60">
        <f>INDEX([6]Payouts!$I$4:$I$54,MATCH(A55,[6]Payouts!$A$4:$A$54,0))</f>
        <v>-64747.659925412125</v>
      </c>
      <c r="AK55" s="49">
        <f>INDEX([6]Payouts!$I$4:$I$54,MATCH(A55,[6]Payouts!$A$4:$A$54,0))</f>
        <v>-64747.659925412125</v>
      </c>
      <c r="AL55" s="30" t="str">
        <f t="shared" si="12"/>
        <v>Underpaid</v>
      </c>
    </row>
    <row r="56" spans="1:38" ht="15" x14ac:dyDescent="0.25">
      <c r="A56" s="31">
        <v>1240</v>
      </c>
      <c r="B56" s="31" t="s">
        <v>24</v>
      </c>
      <c r="C56" s="31">
        <v>125</v>
      </c>
      <c r="D56" s="31" t="s">
        <v>23</v>
      </c>
      <c r="E56" s="31" t="str">
        <f t="shared" si="0"/>
        <v>Sadhu Ram Kargwal</v>
      </c>
      <c r="F56" s="32">
        <v>43244</v>
      </c>
      <c r="G56" s="31">
        <v>71243</v>
      </c>
      <c r="H56" s="31" t="s">
        <v>10</v>
      </c>
      <c r="I56" s="31">
        <v>2017</v>
      </c>
      <c r="J56" s="31" t="str">
        <f>INDEX([1]location!$B$2:$B$29,MATCH(C56,[1]location!$A$2:$A$29,0))</f>
        <v>Mehsana</v>
      </c>
      <c r="K56" s="31" t="str">
        <f>INDEX([1]location!$C$2:$C$29,MATCH(C56,[1]location!$A$2:$A$29,0))</f>
        <v>AMD</v>
      </c>
      <c r="L56" s="31" t="str">
        <f>INDEX([1]location!$D$2:$D$29,MATCH(C56,[1]location!$A$2:$A$29,0))</f>
        <v>Ahmedabad</v>
      </c>
      <c r="M56" s="31" t="str">
        <f>INDEX([2]vehicle_details!$B$2:$B$21,MATCH(G56,[2]vehicle_details!$A$2:$A$21,0))</f>
        <v>Mahindra</v>
      </c>
      <c r="N56" s="33">
        <f>INDEX([3]vehicle_mileage!$C$2:$C$21,MATCH(M56,[3]vehicle_mileage!$A$2:$A$21,0))</f>
        <v>12</v>
      </c>
      <c r="O56" s="34">
        <f t="shared" si="1"/>
        <v>133.33333333333334</v>
      </c>
      <c r="P56" s="35">
        <f t="shared" si="2"/>
        <v>9600</v>
      </c>
      <c r="Q56" s="35">
        <f>INDEX([4]maintenance!$E$2:$E$21,MATCH(M56,[4]maintenance!$A$2:$A$21,0))</f>
        <v>2213.3333333333335</v>
      </c>
      <c r="R56" s="31" t="str">
        <f>INDEX([5]vehicle_details!$B$2:$B$21,MATCH(G56,[5]vehicle_details!$A$2:$A$21,0))</f>
        <v>Mahindra</v>
      </c>
      <c r="S56" s="33" t="str">
        <f t="shared" si="3"/>
        <v>Own</v>
      </c>
      <c r="T56" s="36" t="str">
        <f t="shared" si="4"/>
        <v>Not EMI</v>
      </c>
      <c r="U56" s="31">
        <f t="shared" si="5"/>
        <v>1</v>
      </c>
      <c r="V56" s="36">
        <f>INDEX([5]vehicle_details!$H$2:$H$21,MATCH(G56,[5]vehicle_details!A$2:A$21,0))</f>
        <v>601600</v>
      </c>
      <c r="W56" s="33" t="str">
        <f t="shared" si="6"/>
        <v>Not EMI</v>
      </c>
      <c r="X56" s="36">
        <f t="shared" si="7"/>
        <v>0</v>
      </c>
      <c r="Y56" s="31">
        <f>INDEX([2]vehicle_details!$C$2:$C$21,MATCH(G56,[2]vehicle_details!$A$2:$A$21,0))</f>
        <v>1.5</v>
      </c>
      <c r="Z56" s="37">
        <f>13000</f>
        <v>13000</v>
      </c>
      <c r="AA56" s="31">
        <f t="shared" si="13"/>
        <v>1</v>
      </c>
      <c r="AB56" s="36">
        <f t="shared" si="8"/>
        <v>11900</v>
      </c>
      <c r="AC56" s="36">
        <f t="shared" si="9"/>
        <v>24900</v>
      </c>
      <c r="AD56" s="38">
        <f t="shared" si="10"/>
        <v>0</v>
      </c>
      <c r="AE56" s="35">
        <v>0</v>
      </c>
      <c r="AF56" s="35">
        <f t="shared" si="11"/>
        <v>11813.333333333334</v>
      </c>
      <c r="AG56" s="35">
        <f>AF56+AC56+'Cost Sheet'!$AE56</f>
        <v>36713.333333333336</v>
      </c>
      <c r="AH56" s="57"/>
      <c r="AI56" s="52">
        <f>INDEX([6]Payouts!$G$4:$G$54,MATCH('Cost Sheet'!$A56,[6]Payouts!$A$4:$A$54,0))</f>
        <v>39029.659925412132</v>
      </c>
      <c r="AJ56" s="62"/>
      <c r="AK56" s="50">
        <f>INDEX([6]Payouts!$I$4:$I$54,MATCH(A56,[6]Payouts!$A$4:$A$54,0))</f>
        <v>-64747.659925412125</v>
      </c>
      <c r="AL56" s="54" t="str">
        <f t="shared" si="12"/>
        <v>Underpaid</v>
      </c>
    </row>
    <row r="57" spans="1:38" ht="15" x14ac:dyDescent="0.25">
      <c r="A57" s="22">
        <v>1237</v>
      </c>
      <c r="B57" s="22" t="s">
        <v>22</v>
      </c>
      <c r="C57" s="22">
        <v>113</v>
      </c>
      <c r="D57" s="22" t="s">
        <v>21</v>
      </c>
      <c r="E57" s="22" t="str">
        <f t="shared" si="0"/>
        <v>Sandeep Kumar</v>
      </c>
      <c r="F57" s="23">
        <v>43241</v>
      </c>
      <c r="G57" s="22">
        <v>71235</v>
      </c>
      <c r="H57" s="22" t="s">
        <v>3</v>
      </c>
      <c r="I57" s="22">
        <v>2007</v>
      </c>
      <c r="J57" s="22" t="str">
        <f>INDEX([1]location!$B$2:$B$29,MATCH(C57,[1]location!$A$2:$A$29,0))</f>
        <v>Ahmedabad Branch</v>
      </c>
      <c r="K57" s="22" t="str">
        <f>INDEX([1]location!$C$2:$C$29,MATCH(C57,[1]location!$A$2:$A$29,0))</f>
        <v>AMD</v>
      </c>
      <c r="L57" s="22" t="str">
        <f>INDEX([1]location!$D$2:$D$29,MATCH(C57,[1]location!$A$2:$A$29,0))</f>
        <v>Ahmedabad</v>
      </c>
      <c r="M57" s="22" t="str">
        <f>INDEX([2]vehicle_details!$B$2:$B$21,MATCH(G57,[2]vehicle_details!$A$2:$A$21,0))</f>
        <v>Eicher 17</v>
      </c>
      <c r="N57" s="24">
        <f>INDEX([3]vehicle_mileage!$C$2:$C$21,MATCH(M57,[3]vehicle_mileage!$A$2:$A$21,0))</f>
        <v>7</v>
      </c>
      <c r="O57" s="25">
        <f t="shared" si="1"/>
        <v>228.57142857142858</v>
      </c>
      <c r="P57" s="26">
        <f t="shared" si="2"/>
        <v>16457.142857142859</v>
      </c>
      <c r="Q57" s="26">
        <f>INDEX([4]maintenance!$E$2:$E$21,MATCH(M57,[4]maintenance!$A$2:$A$21,0))</f>
        <v>2308.5714285714284</v>
      </c>
      <c r="R57" s="22" t="str">
        <f>INDEX([5]vehicle_details!$B$2:$B$21,MATCH(G57,[5]vehicle_details!$A$2:$A$21,0))</f>
        <v>Eicher 17</v>
      </c>
      <c r="S57" s="24" t="str">
        <f t="shared" si="3"/>
        <v>EMI</v>
      </c>
      <c r="T57" s="27" t="str">
        <f t="shared" si="4"/>
        <v xml:space="preserve">4 </v>
      </c>
      <c r="U57" s="22">
        <f t="shared" si="5"/>
        <v>11</v>
      </c>
      <c r="V57" s="27">
        <f>INDEX([5]vehicle_details!$H$2:$H$21,MATCH(G57,[5]vehicle_details!A$2:A$21,0))</f>
        <v>924000</v>
      </c>
      <c r="W57" s="24">
        <f t="shared" si="6"/>
        <v>2011</v>
      </c>
      <c r="X57" s="27">
        <f t="shared" si="7"/>
        <v>23657.522890759326</v>
      </c>
      <c r="Y57" s="22">
        <f>INDEX([2]vehicle_details!$C$2:$C$21,MATCH(G57,[2]vehicle_details!$A$2:$A$21,0))</f>
        <v>4.5</v>
      </c>
      <c r="Z57" s="28">
        <f>13000</f>
        <v>13000</v>
      </c>
      <c r="AA57" s="22">
        <f t="shared" si="13"/>
        <v>2</v>
      </c>
      <c r="AB57" s="27">
        <f t="shared" si="8"/>
        <v>23800</v>
      </c>
      <c r="AC57" s="27">
        <f t="shared" si="9"/>
        <v>36800</v>
      </c>
      <c r="AD57" s="29">
        <f t="shared" si="10"/>
        <v>0</v>
      </c>
      <c r="AE57" s="26">
        <v>0</v>
      </c>
      <c r="AF57" s="26">
        <f t="shared" si="11"/>
        <v>42423.237176473616</v>
      </c>
      <c r="AG57" s="26">
        <f>AF57+AC57+'Cost Sheet'!$AE57</f>
        <v>79223.237176473616</v>
      </c>
      <c r="AH57" s="28">
        <f>INDEX([6]Payouts!$G$4:$G$54,MATCH('Cost Sheet'!$A57,[6]Payouts!$A$4:$A$54,0))</f>
        <v>42423.237176473616</v>
      </c>
      <c r="AI57" s="26">
        <f>INDEX([6]Payouts!$G$4:$G$54,MATCH('Cost Sheet'!$A57,[6]Payouts!$A$4:$A$54,0))</f>
        <v>42423.237176473616</v>
      </c>
      <c r="AJ57" s="26">
        <f>INDEX([6]Payouts!$I$4:$I$54,MATCH(A57,[6]Payouts!$A$4:$A$54,0))</f>
        <v>-17437.237176473616</v>
      </c>
      <c r="AK57" s="49">
        <f>INDEX([6]Payouts!$I$4:$I$54,MATCH(A57,[6]Payouts!$A$4:$A$54,0))</f>
        <v>-17437.237176473616</v>
      </c>
      <c r="AL57" s="30" t="str">
        <f t="shared" si="12"/>
        <v>Underpaid</v>
      </c>
    </row>
    <row r="58" spans="1:38" ht="15" x14ac:dyDescent="0.25">
      <c r="A58" s="31">
        <v>1338</v>
      </c>
      <c r="B58" s="31" t="s">
        <v>20</v>
      </c>
      <c r="C58" s="31">
        <v>115</v>
      </c>
      <c r="D58" s="31" t="s">
        <v>19</v>
      </c>
      <c r="E58" s="31" t="str">
        <f t="shared" si="0"/>
        <v>Shekh Jenulabedeen Badrudin</v>
      </c>
      <c r="F58" s="32">
        <v>43330</v>
      </c>
      <c r="G58" s="31">
        <v>71243</v>
      </c>
      <c r="H58" s="31" t="s">
        <v>3</v>
      </c>
      <c r="I58" s="31">
        <v>2018</v>
      </c>
      <c r="J58" s="31" t="str">
        <f>INDEX([1]location!$B$2:$B$29,MATCH(C58,[1]location!$A$2:$A$29,0))</f>
        <v>Rampura Branch</v>
      </c>
      <c r="K58" s="31" t="str">
        <f>INDEX([1]location!$C$2:$C$29,MATCH(C58,[1]location!$A$2:$A$29,0))</f>
        <v>AMD</v>
      </c>
      <c r="L58" s="31" t="str">
        <f>INDEX([1]location!$D$2:$D$29,MATCH(C58,[1]location!$A$2:$A$29,0))</f>
        <v>Ahmedabad</v>
      </c>
      <c r="M58" s="31" t="str">
        <f>INDEX([2]vehicle_details!$B$2:$B$21,MATCH(G58,[2]vehicle_details!$A$2:$A$21,0))</f>
        <v>Mahindra</v>
      </c>
      <c r="N58" s="33">
        <f>INDEX([3]vehicle_mileage!$C$2:$C$21,MATCH(M58,[3]vehicle_mileage!$A$2:$A$21,0))</f>
        <v>12</v>
      </c>
      <c r="O58" s="34">
        <f t="shared" si="1"/>
        <v>133.33333333333334</v>
      </c>
      <c r="P58" s="35">
        <f t="shared" si="2"/>
        <v>9600</v>
      </c>
      <c r="Q58" s="35">
        <f>INDEX([4]maintenance!$E$2:$E$21,MATCH(M58,[4]maintenance!$A$2:$A$21,0))</f>
        <v>2213.3333333333335</v>
      </c>
      <c r="R58" s="31" t="str">
        <f>INDEX([5]vehicle_details!$B$2:$B$21,MATCH(G58,[5]vehicle_details!$A$2:$A$21,0))</f>
        <v>Mahindra</v>
      </c>
      <c r="S58" s="33" t="str">
        <f t="shared" si="3"/>
        <v>EMI</v>
      </c>
      <c r="T58" s="36" t="str">
        <f t="shared" si="4"/>
        <v xml:space="preserve">4 </v>
      </c>
      <c r="U58" s="31">
        <f t="shared" si="5"/>
        <v>0</v>
      </c>
      <c r="V58" s="36">
        <f>INDEX([5]vehicle_details!$H$2:$H$21,MATCH(G58,[5]vehicle_details!A$2:A$21,0))</f>
        <v>601600</v>
      </c>
      <c r="W58" s="33">
        <f t="shared" si="6"/>
        <v>2022</v>
      </c>
      <c r="X58" s="36">
        <f t="shared" si="7"/>
        <v>15402.993258745464</v>
      </c>
      <c r="Y58" s="31">
        <f>INDEX([2]vehicle_details!$C$2:$C$21,MATCH(G58,[2]vehicle_details!$A$2:$A$21,0))</f>
        <v>1.5</v>
      </c>
      <c r="Z58" s="37">
        <f>13000</f>
        <v>13000</v>
      </c>
      <c r="AA58" s="31">
        <f t="shared" si="13"/>
        <v>1</v>
      </c>
      <c r="AB58" s="36">
        <f t="shared" si="8"/>
        <v>11900</v>
      </c>
      <c r="AC58" s="36">
        <f t="shared" si="9"/>
        <v>24900</v>
      </c>
      <c r="AD58" s="38">
        <f t="shared" si="10"/>
        <v>0</v>
      </c>
      <c r="AE58" s="35">
        <v>0</v>
      </c>
      <c r="AF58" s="35">
        <f t="shared" si="11"/>
        <v>27216.326592078796</v>
      </c>
      <c r="AG58" s="35">
        <f>AF58+AC58+'Cost Sheet'!$AE58</f>
        <v>52116.326592078796</v>
      </c>
      <c r="AH58" s="37">
        <f>INDEX([6]Payouts!$G$4:$G$54,MATCH('Cost Sheet'!$A58,[6]Payouts!$A$4:$A$54,0))</f>
        <v>27216.326592078796</v>
      </c>
      <c r="AI58" s="52">
        <f>INDEX([6]Payouts!$G$4:$G$54,MATCH('Cost Sheet'!$A58,[6]Payouts!$A$4:$A$54,0))</f>
        <v>27216.326592078796</v>
      </c>
      <c r="AJ58" s="52">
        <f>INDEX([6]Payouts!$I$4:$I$54,MATCH(A58,[6]Payouts!$A$4:$A$54,0))</f>
        <v>-20915.326592078796</v>
      </c>
      <c r="AK58" s="50">
        <f>INDEX([6]Payouts!$I$4:$I$54,MATCH(A58,[6]Payouts!$A$4:$A$54,0))</f>
        <v>-20915.326592078796</v>
      </c>
      <c r="AL58" s="54" t="str">
        <f t="shared" si="12"/>
        <v>Underpaid</v>
      </c>
    </row>
    <row r="59" spans="1:38" ht="15" x14ac:dyDescent="0.25">
      <c r="A59" s="22">
        <v>1367</v>
      </c>
      <c r="B59" s="22" t="s">
        <v>18</v>
      </c>
      <c r="C59" s="22">
        <v>116</v>
      </c>
      <c r="D59" s="22" t="s">
        <v>17</v>
      </c>
      <c r="E59" s="22" t="str">
        <f t="shared" si="0"/>
        <v>Shekh Seemabanu Mohammad</v>
      </c>
      <c r="F59" s="23">
        <v>43333</v>
      </c>
      <c r="G59" s="22">
        <v>71249</v>
      </c>
      <c r="H59" s="22" t="s">
        <v>10</v>
      </c>
      <c r="I59" s="22">
        <v>2013</v>
      </c>
      <c r="J59" s="22" t="str">
        <f>INDEX([1]location!$B$2:$B$29,MATCH(C59,[1]location!$A$2:$A$29,0))</f>
        <v>Vadodara</v>
      </c>
      <c r="K59" s="22" t="str">
        <f>INDEX([1]location!$C$2:$C$29,MATCH(C59,[1]location!$A$2:$A$29,0))</f>
        <v>AMD</v>
      </c>
      <c r="L59" s="22" t="str">
        <f>INDEX([1]location!$D$2:$D$29,MATCH(C59,[1]location!$A$2:$A$29,0))</f>
        <v>Ahmedabad</v>
      </c>
      <c r="M59" s="22" t="str">
        <f>INDEX([2]vehicle_details!$B$2:$B$21,MATCH(G59,[2]vehicle_details!$A$2:$A$21,0))</f>
        <v>AL Dost</v>
      </c>
      <c r="N59" s="24">
        <f>INDEX([3]vehicle_mileage!$C$2:$C$21,MATCH(M59,[3]vehicle_mileage!$A$2:$A$21,0))</f>
        <v>12</v>
      </c>
      <c r="O59" s="25">
        <f t="shared" si="1"/>
        <v>133.33333333333334</v>
      </c>
      <c r="P59" s="26">
        <f t="shared" si="2"/>
        <v>9600</v>
      </c>
      <c r="Q59" s="26">
        <f>INDEX([4]maintenance!$E$2:$E$21,MATCH(M59,[4]maintenance!$A$2:$A$21,0))</f>
        <v>2213.3333333333335</v>
      </c>
      <c r="R59" s="22" t="str">
        <f>INDEX([5]vehicle_details!$B$2:$B$21,MATCH(G59,[5]vehicle_details!$A$2:$A$21,0))</f>
        <v>AL Dost</v>
      </c>
      <c r="S59" s="24" t="str">
        <f t="shared" si="3"/>
        <v>Own</v>
      </c>
      <c r="T59" s="27" t="str">
        <f t="shared" si="4"/>
        <v>Not EMI</v>
      </c>
      <c r="U59" s="22">
        <f t="shared" si="5"/>
        <v>5</v>
      </c>
      <c r="V59" s="27">
        <f>INDEX([5]vehicle_details!$H$2:$H$21,MATCH(G59,[5]vehicle_details!A$2:A$21,0))</f>
        <v>401600</v>
      </c>
      <c r="W59" s="24" t="str">
        <f t="shared" si="6"/>
        <v>Not EMI</v>
      </c>
      <c r="X59" s="27">
        <f t="shared" si="7"/>
        <v>0</v>
      </c>
      <c r="Y59" s="22">
        <f>INDEX([2]vehicle_details!$C$2:$C$21,MATCH(G59,[2]vehicle_details!$A$2:$A$21,0))</f>
        <v>1.25</v>
      </c>
      <c r="Z59" s="28">
        <f>13000</f>
        <v>13000</v>
      </c>
      <c r="AA59" s="22">
        <f t="shared" si="13"/>
        <v>1</v>
      </c>
      <c r="AB59" s="27">
        <f t="shared" si="8"/>
        <v>11900</v>
      </c>
      <c r="AC59" s="27">
        <f t="shared" si="9"/>
        <v>24900</v>
      </c>
      <c r="AD59" s="29">
        <f t="shared" si="10"/>
        <v>0</v>
      </c>
      <c r="AE59" s="26">
        <v>0</v>
      </c>
      <c r="AF59" s="26">
        <f t="shared" si="11"/>
        <v>11813.333333333334</v>
      </c>
      <c r="AG59" s="26">
        <f>AF59+AC59+'Cost Sheet'!$AE59</f>
        <v>36713.333333333336</v>
      </c>
      <c r="AH59" s="28">
        <f>INDEX([6]Payouts!$G$4:$G$54,MATCH('Cost Sheet'!$A59,[6]Payouts!$A$4:$A$54,0))</f>
        <v>11813.333333333334</v>
      </c>
      <c r="AI59" s="26">
        <f>INDEX([6]Payouts!$G$4:$G$54,MATCH('Cost Sheet'!$A59,[6]Payouts!$A$4:$A$54,0))</f>
        <v>11813.333333333334</v>
      </c>
      <c r="AJ59" s="26">
        <f>INDEX([6]Payouts!$I$4:$I$54,MATCH(A59,[6]Payouts!$A$4:$A$54,0))</f>
        <v>-4376.3333333333358</v>
      </c>
      <c r="AK59" s="49">
        <f>INDEX([6]Payouts!$I$4:$I$54,MATCH(A59,[6]Payouts!$A$4:$A$54,0))</f>
        <v>-4376.3333333333358</v>
      </c>
      <c r="AL59" s="30" t="str">
        <f t="shared" si="12"/>
        <v>Underpaid</v>
      </c>
    </row>
    <row r="60" spans="1:38" ht="15" x14ac:dyDescent="0.25">
      <c r="A60" s="31">
        <v>1299</v>
      </c>
      <c r="B60" s="31" t="s">
        <v>16</v>
      </c>
      <c r="C60" s="31">
        <v>118</v>
      </c>
      <c r="D60" s="31" t="s">
        <v>15</v>
      </c>
      <c r="E60" s="31" t="str">
        <f t="shared" si="0"/>
        <v>Siddhant Subhash Borse</v>
      </c>
      <c r="F60" s="32">
        <v>43283</v>
      </c>
      <c r="G60" s="31">
        <v>71231</v>
      </c>
      <c r="H60" s="31" t="s">
        <v>3</v>
      </c>
      <c r="I60" s="31">
        <v>2018</v>
      </c>
      <c r="J60" s="31" t="str">
        <f>INDEX([1]location!$B$2:$B$29,MATCH(C60,[1]location!$A$2:$A$29,0))</f>
        <v>Surat</v>
      </c>
      <c r="K60" s="31" t="str">
        <f>INDEX([1]location!$C$2:$C$29,MATCH(C60,[1]location!$A$2:$A$29,0))</f>
        <v>AMD</v>
      </c>
      <c r="L60" s="31" t="str">
        <f>INDEX([1]location!$D$2:$D$29,MATCH(C60,[1]location!$A$2:$A$29,0))</f>
        <v>Ahmedabad</v>
      </c>
      <c r="M60" s="31" t="str">
        <f>INDEX([2]vehicle_details!$B$2:$B$21,MATCH(G60,[2]vehicle_details!$A$2:$A$21,0))</f>
        <v>Tata Ace</v>
      </c>
      <c r="N60" s="33">
        <f>INDEX([3]vehicle_mileage!$C$2:$C$21,MATCH(M60,[3]vehicle_mileage!$A$2:$A$21,0))</f>
        <v>14</v>
      </c>
      <c r="O60" s="34">
        <f t="shared" si="1"/>
        <v>114.28571428571429</v>
      </c>
      <c r="P60" s="35">
        <f t="shared" si="2"/>
        <v>8228.5714285714294</v>
      </c>
      <c r="Q60" s="35">
        <f>INDEX([4]maintenance!$E$2:$E$21,MATCH(M60,[4]maintenance!$A$2:$A$21,0))</f>
        <v>2194.2857142857142</v>
      </c>
      <c r="R60" s="31" t="str">
        <f>INDEX([5]vehicle_details!$B$2:$B$21,MATCH(G60,[5]vehicle_details!$A$2:$A$21,0))</f>
        <v>Tata Ace</v>
      </c>
      <c r="S60" s="33" t="str">
        <f t="shared" si="3"/>
        <v>EMI</v>
      </c>
      <c r="T60" s="36" t="str">
        <f t="shared" si="4"/>
        <v xml:space="preserve">4 </v>
      </c>
      <c r="U60" s="31">
        <f t="shared" si="5"/>
        <v>0</v>
      </c>
      <c r="V60" s="36">
        <f>INDEX([5]vehicle_details!$H$2:$H$21,MATCH(G60,[5]vehicle_details!A$2:A$21,0))</f>
        <v>321440</v>
      </c>
      <c r="W60" s="33">
        <f t="shared" si="6"/>
        <v>2022</v>
      </c>
      <c r="X60" s="36">
        <f t="shared" si="7"/>
        <v>8229.9503874520324</v>
      </c>
      <c r="Y60" s="31">
        <f>INDEX([2]vehicle_details!$C$2:$C$21,MATCH(G60,[2]vehicle_details!$A$2:$A$21,0))</f>
        <v>0.75</v>
      </c>
      <c r="Z60" s="37">
        <f>13000</f>
        <v>13000</v>
      </c>
      <c r="AA60" s="31">
        <f t="shared" si="13"/>
        <v>1</v>
      </c>
      <c r="AB60" s="36">
        <f t="shared" si="8"/>
        <v>11900</v>
      </c>
      <c r="AC60" s="36">
        <f t="shared" si="9"/>
        <v>24900</v>
      </c>
      <c r="AD60" s="38">
        <f t="shared" si="10"/>
        <v>0</v>
      </c>
      <c r="AE60" s="35">
        <v>0</v>
      </c>
      <c r="AF60" s="35">
        <f t="shared" si="11"/>
        <v>18652.807530309175</v>
      </c>
      <c r="AG60" s="35">
        <f>AF60+AC60+'Cost Sheet'!$AE60</f>
        <v>43552.807530309175</v>
      </c>
      <c r="AH60" s="37">
        <f>INDEX([6]Payouts!$G$4:$G$54,MATCH('Cost Sheet'!$A60,[6]Payouts!$A$4:$A$54,0))</f>
        <v>18652.807530309175</v>
      </c>
      <c r="AI60" s="52">
        <f>INDEX([6]Payouts!$G$4:$G$54,MATCH('Cost Sheet'!$A60,[6]Payouts!$A$4:$A$54,0))</f>
        <v>18652.807530309175</v>
      </c>
      <c r="AJ60" s="52">
        <f>INDEX([6]Payouts!$I$4:$I$54,MATCH(A60,[6]Payouts!$A$4:$A$54,0))</f>
        <v>-8434.8075303091755</v>
      </c>
      <c r="AK60" s="50">
        <f>INDEX([6]Payouts!$I$4:$I$54,MATCH(A60,[6]Payouts!$A$4:$A$54,0))</f>
        <v>-8434.8075303091755</v>
      </c>
      <c r="AL60" s="54" t="str">
        <f t="shared" si="12"/>
        <v>Underpaid</v>
      </c>
    </row>
    <row r="61" spans="1:38" ht="15" x14ac:dyDescent="0.25">
      <c r="A61" s="22">
        <v>1330</v>
      </c>
      <c r="B61" s="22" t="s">
        <v>14</v>
      </c>
      <c r="C61" s="22">
        <v>115</v>
      </c>
      <c r="D61" s="22" t="s">
        <v>13</v>
      </c>
      <c r="E61" s="22" t="str">
        <f t="shared" si="0"/>
        <v>Sureshbhai Rajabhai Bharwad</v>
      </c>
      <c r="F61" s="23">
        <v>43325</v>
      </c>
      <c r="G61" s="22">
        <v>71232</v>
      </c>
      <c r="H61" s="22" t="s">
        <v>3</v>
      </c>
      <c r="I61" s="22">
        <v>2017</v>
      </c>
      <c r="J61" s="22" t="str">
        <f>INDEX([1]location!$B$2:$B$29,MATCH(C61,[1]location!$A$2:$A$29,0))</f>
        <v>Rampura Branch</v>
      </c>
      <c r="K61" s="22" t="str">
        <f>INDEX([1]location!$C$2:$C$29,MATCH(C61,[1]location!$A$2:$A$29,0))</f>
        <v>AMD</v>
      </c>
      <c r="L61" s="22" t="str">
        <f>INDEX([1]location!$D$2:$D$29,MATCH(C61,[1]location!$A$2:$A$29,0))</f>
        <v>Ahmedabad</v>
      </c>
      <c r="M61" s="22" t="str">
        <f>INDEX([2]vehicle_details!$B$2:$B$21,MATCH(G61,[2]vehicle_details!$A$2:$A$21,0))</f>
        <v>Pickup</v>
      </c>
      <c r="N61" s="24">
        <f>INDEX([3]vehicle_mileage!$C$2:$C$21,MATCH(M61,[3]vehicle_mileage!$A$2:$A$21,0))</f>
        <v>12</v>
      </c>
      <c r="O61" s="25">
        <f t="shared" si="1"/>
        <v>133.33333333333334</v>
      </c>
      <c r="P61" s="26">
        <f t="shared" si="2"/>
        <v>9600</v>
      </c>
      <c r="Q61" s="26">
        <f>INDEX([4]maintenance!$E$2:$E$21,MATCH(M61,[4]maintenance!$A$2:$A$21,0))</f>
        <v>2213.3333333333335</v>
      </c>
      <c r="R61" s="22" t="str">
        <f>INDEX([5]vehicle_details!$B$2:$B$21,MATCH(G61,[5]vehicle_details!$A$2:$A$21,0))</f>
        <v>Pickup</v>
      </c>
      <c r="S61" s="24" t="str">
        <f t="shared" si="3"/>
        <v>EMI</v>
      </c>
      <c r="T61" s="27" t="str">
        <f t="shared" si="4"/>
        <v xml:space="preserve">4 </v>
      </c>
      <c r="U61" s="22">
        <f t="shared" si="5"/>
        <v>1</v>
      </c>
      <c r="V61" s="27">
        <f>INDEX([5]vehicle_details!$H$2:$H$21,MATCH(G61,[5]vehicle_details!A$2:A$21,0))</f>
        <v>521680</v>
      </c>
      <c r="W61" s="24">
        <f t="shared" si="6"/>
        <v>2021</v>
      </c>
      <c r="X61" s="27">
        <f t="shared" si="7"/>
        <v>13356.771148973296</v>
      </c>
      <c r="Y61" s="22">
        <f>INDEX([2]vehicle_details!$C$2:$C$21,MATCH(G61,[2]vehicle_details!$A$2:$A$21,0))</f>
        <v>1.5</v>
      </c>
      <c r="Z61" s="28">
        <f>13000</f>
        <v>13000</v>
      </c>
      <c r="AA61" s="22">
        <f t="shared" si="13"/>
        <v>1</v>
      </c>
      <c r="AB61" s="27">
        <f t="shared" si="8"/>
        <v>11900</v>
      </c>
      <c r="AC61" s="27">
        <f t="shared" si="9"/>
        <v>24900</v>
      </c>
      <c r="AD61" s="29">
        <f t="shared" si="10"/>
        <v>0</v>
      </c>
      <c r="AE61" s="26">
        <v>0</v>
      </c>
      <c r="AF61" s="26">
        <f t="shared" si="11"/>
        <v>25170.10448230663</v>
      </c>
      <c r="AG61" s="26">
        <f>AF61+AC61+'Cost Sheet'!$AE61</f>
        <v>50070.104482306633</v>
      </c>
      <c r="AH61" s="64">
        <f>INDEX([6]Payouts!$G$4:$G$54,MATCH('Cost Sheet'!$A61,[6]Payouts!$A$4:$A$54,0))</f>
        <v>113462.47578116821</v>
      </c>
      <c r="AI61" s="26">
        <f>INDEX([6]Payouts!$G$4:$G$54,MATCH('Cost Sheet'!$A61,[6]Payouts!$A$4:$A$54,0))</f>
        <v>113462.47578116821</v>
      </c>
      <c r="AJ61" s="58">
        <f>INDEX([6]Payouts!$I$4:$I$54,MATCH(A61,[6]Payouts!$A$4:$A$54,0))</f>
        <v>-48337.475781168207</v>
      </c>
      <c r="AK61" s="49">
        <f>INDEX([6]Payouts!$I$4:$I$54,MATCH(A61,[6]Payouts!$A$4:$A$54,0))</f>
        <v>-48337.475781168207</v>
      </c>
      <c r="AL61" s="30" t="str">
        <f t="shared" si="12"/>
        <v>Underpaid</v>
      </c>
    </row>
    <row r="62" spans="1:38" ht="15" x14ac:dyDescent="0.25">
      <c r="A62" s="31">
        <v>1330</v>
      </c>
      <c r="B62" s="31" t="s">
        <v>14</v>
      </c>
      <c r="C62" s="31">
        <v>115</v>
      </c>
      <c r="D62" s="31" t="s">
        <v>13</v>
      </c>
      <c r="E62" s="31" t="str">
        <f t="shared" si="0"/>
        <v>Sureshbhai Rajabhai Bharwad</v>
      </c>
      <c r="F62" s="32">
        <v>43325</v>
      </c>
      <c r="G62" s="31">
        <v>71231</v>
      </c>
      <c r="H62" s="31" t="s">
        <v>3</v>
      </c>
      <c r="I62" s="31">
        <v>2018</v>
      </c>
      <c r="J62" s="31" t="str">
        <f>INDEX([1]location!$B$2:$B$29,MATCH(C62,[1]location!$A$2:$A$29,0))</f>
        <v>Rampura Branch</v>
      </c>
      <c r="K62" s="31" t="str">
        <f>INDEX([1]location!$C$2:$C$29,MATCH(C62,[1]location!$A$2:$A$29,0))</f>
        <v>AMD</v>
      </c>
      <c r="L62" s="31" t="str">
        <f>INDEX([1]location!$D$2:$D$29,MATCH(C62,[1]location!$A$2:$A$29,0))</f>
        <v>Ahmedabad</v>
      </c>
      <c r="M62" s="31" t="str">
        <f>INDEX([2]vehicle_details!$B$2:$B$21,MATCH(G62,[2]vehicle_details!$A$2:$A$21,0))</f>
        <v>Tata Ace</v>
      </c>
      <c r="N62" s="33">
        <f>INDEX([3]vehicle_mileage!$C$2:$C$21,MATCH(M62,[3]vehicle_mileage!$A$2:$A$21,0))</f>
        <v>14</v>
      </c>
      <c r="O62" s="34">
        <f t="shared" si="1"/>
        <v>114.28571428571429</v>
      </c>
      <c r="P62" s="35">
        <f t="shared" si="2"/>
        <v>8228.5714285714294</v>
      </c>
      <c r="Q62" s="35">
        <f>INDEX([4]maintenance!$E$2:$E$21,MATCH(M62,[4]maintenance!$A$2:$A$21,0))</f>
        <v>2194.2857142857142</v>
      </c>
      <c r="R62" s="31" t="str">
        <f>INDEX([5]vehicle_details!$B$2:$B$21,MATCH(G62,[5]vehicle_details!$A$2:$A$21,0))</f>
        <v>Tata Ace</v>
      </c>
      <c r="S62" s="33" t="str">
        <f t="shared" si="3"/>
        <v>EMI</v>
      </c>
      <c r="T62" s="36" t="str">
        <f t="shared" si="4"/>
        <v xml:space="preserve">4 </v>
      </c>
      <c r="U62" s="31">
        <f t="shared" si="5"/>
        <v>0</v>
      </c>
      <c r="V62" s="36">
        <f>INDEX([5]vehicle_details!$H$2:$H$21,MATCH(G62,[5]vehicle_details!A$2:A$21,0))</f>
        <v>321440</v>
      </c>
      <c r="W62" s="33">
        <f t="shared" si="6"/>
        <v>2022</v>
      </c>
      <c r="X62" s="36">
        <f t="shared" si="7"/>
        <v>8229.9503874520324</v>
      </c>
      <c r="Y62" s="31">
        <f>INDEX([2]vehicle_details!$C$2:$C$21,MATCH(G62,[2]vehicle_details!$A$2:$A$21,0))</f>
        <v>0.75</v>
      </c>
      <c r="Z62" s="37">
        <f>13000</f>
        <v>13000</v>
      </c>
      <c r="AA62" s="31">
        <f t="shared" si="13"/>
        <v>1</v>
      </c>
      <c r="AB62" s="36">
        <f t="shared" si="8"/>
        <v>11900</v>
      </c>
      <c r="AC62" s="36">
        <f t="shared" si="9"/>
        <v>24900</v>
      </c>
      <c r="AD62" s="38">
        <f t="shared" si="10"/>
        <v>0</v>
      </c>
      <c r="AE62" s="35">
        <v>0</v>
      </c>
      <c r="AF62" s="35">
        <f t="shared" si="11"/>
        <v>18652.807530309175</v>
      </c>
      <c r="AG62" s="35">
        <f>AF62+AC62+'Cost Sheet'!$AE62</f>
        <v>43552.807530309175</v>
      </c>
      <c r="AH62" s="65"/>
      <c r="AI62" s="52">
        <f>INDEX([6]Payouts!$G$4:$G$54,MATCH('Cost Sheet'!$A62,[6]Payouts!$A$4:$A$54,0))</f>
        <v>113462.47578116821</v>
      </c>
      <c r="AJ62" s="63"/>
      <c r="AK62" s="50">
        <f>INDEX([6]Payouts!$I$4:$I$54,MATCH(A62,[6]Payouts!$A$4:$A$54,0))</f>
        <v>-48337.475781168207</v>
      </c>
      <c r="AL62" s="54" t="str">
        <f t="shared" si="12"/>
        <v>Underpaid</v>
      </c>
    </row>
    <row r="63" spans="1:38" ht="15" x14ac:dyDescent="0.25">
      <c r="A63" s="22">
        <v>1330</v>
      </c>
      <c r="B63" s="22" t="s">
        <v>14</v>
      </c>
      <c r="C63" s="22">
        <v>115</v>
      </c>
      <c r="D63" s="22" t="s">
        <v>13</v>
      </c>
      <c r="E63" s="22" t="str">
        <f t="shared" si="0"/>
        <v>Sureshbhai Rajabhai Bharwad</v>
      </c>
      <c r="F63" s="23">
        <v>43325</v>
      </c>
      <c r="G63" s="22">
        <v>71235</v>
      </c>
      <c r="H63" s="22" t="s">
        <v>3</v>
      </c>
      <c r="I63" s="22">
        <v>2018</v>
      </c>
      <c r="J63" s="22" t="str">
        <f>INDEX([1]location!$B$2:$B$29,MATCH(C63,[1]location!$A$2:$A$29,0))</f>
        <v>Rampura Branch</v>
      </c>
      <c r="K63" s="22" t="str">
        <f>INDEX([1]location!$C$2:$C$29,MATCH(C63,[1]location!$A$2:$A$29,0))</f>
        <v>AMD</v>
      </c>
      <c r="L63" s="22" t="str">
        <f>INDEX([1]location!$D$2:$D$29,MATCH(C63,[1]location!$A$2:$A$29,0))</f>
        <v>Ahmedabad</v>
      </c>
      <c r="M63" s="22" t="str">
        <f>INDEX([2]vehicle_details!$B$2:$B$21,MATCH(G63,[2]vehicle_details!$A$2:$A$21,0))</f>
        <v>Eicher 17</v>
      </c>
      <c r="N63" s="24">
        <f>INDEX([3]vehicle_mileage!$C$2:$C$21,MATCH(M63,[3]vehicle_mileage!$A$2:$A$21,0))</f>
        <v>7</v>
      </c>
      <c r="O63" s="25">
        <f t="shared" si="1"/>
        <v>228.57142857142858</v>
      </c>
      <c r="P63" s="26">
        <f t="shared" si="2"/>
        <v>16457.142857142859</v>
      </c>
      <c r="Q63" s="26">
        <f>INDEX([4]maintenance!$E$2:$E$21,MATCH(M63,[4]maintenance!$A$2:$A$21,0))</f>
        <v>2308.5714285714284</v>
      </c>
      <c r="R63" s="22" t="str">
        <f>INDEX([5]vehicle_details!$B$2:$B$21,MATCH(G63,[5]vehicle_details!$A$2:$A$21,0))</f>
        <v>Eicher 17</v>
      </c>
      <c r="S63" s="24" t="str">
        <f t="shared" si="3"/>
        <v>EMI</v>
      </c>
      <c r="T63" s="27" t="str">
        <f t="shared" si="4"/>
        <v xml:space="preserve">4 </v>
      </c>
      <c r="U63" s="22">
        <f t="shared" si="5"/>
        <v>0</v>
      </c>
      <c r="V63" s="27">
        <f>INDEX([5]vehicle_details!$H$2:$H$21,MATCH(G63,[5]vehicle_details!A$2:A$21,0))</f>
        <v>924000</v>
      </c>
      <c r="W63" s="24">
        <f t="shared" si="6"/>
        <v>2022</v>
      </c>
      <c r="X63" s="27">
        <f t="shared" si="7"/>
        <v>23657.522890759326</v>
      </c>
      <c r="Y63" s="22">
        <f>INDEX([2]vehicle_details!$C$2:$C$21,MATCH(G63,[2]vehicle_details!$A$2:$A$21,0))</f>
        <v>4.5</v>
      </c>
      <c r="Z63" s="28">
        <f>13000</f>
        <v>13000</v>
      </c>
      <c r="AA63" s="22">
        <f t="shared" si="13"/>
        <v>2</v>
      </c>
      <c r="AB63" s="27">
        <f t="shared" si="8"/>
        <v>23800</v>
      </c>
      <c r="AC63" s="27">
        <f t="shared" si="9"/>
        <v>36800</v>
      </c>
      <c r="AD63" s="29">
        <f t="shared" si="10"/>
        <v>0</v>
      </c>
      <c r="AE63" s="26">
        <v>0</v>
      </c>
      <c r="AF63" s="26">
        <f t="shared" si="11"/>
        <v>42423.237176473616</v>
      </c>
      <c r="AG63" s="26">
        <f>AF63+AC63+'Cost Sheet'!$AE63</f>
        <v>79223.237176473616</v>
      </c>
      <c r="AH63" s="65"/>
      <c r="AI63" s="26">
        <f>INDEX([6]Payouts!$G$4:$G$54,MATCH('Cost Sheet'!$A63,[6]Payouts!$A$4:$A$54,0))</f>
        <v>113462.47578116821</v>
      </c>
      <c r="AJ63" s="63"/>
      <c r="AK63" s="49">
        <f>INDEX([6]Payouts!$I$4:$I$54,MATCH(A63,[6]Payouts!$A$4:$A$54,0))</f>
        <v>-48337.475781168207</v>
      </c>
      <c r="AL63" s="30" t="str">
        <f t="shared" si="12"/>
        <v>Underpaid</v>
      </c>
    </row>
    <row r="64" spans="1:38" ht="15" x14ac:dyDescent="0.25">
      <c r="A64" s="31">
        <v>1330</v>
      </c>
      <c r="B64" s="31" t="s">
        <v>14</v>
      </c>
      <c r="C64" s="31">
        <v>115</v>
      </c>
      <c r="D64" s="31" t="s">
        <v>13</v>
      </c>
      <c r="E64" s="31" t="str">
        <f t="shared" si="0"/>
        <v>Sureshbhai Rajabhai Bharwad</v>
      </c>
      <c r="F64" s="32">
        <v>43325</v>
      </c>
      <c r="G64" s="31">
        <v>71243</v>
      </c>
      <c r="H64" s="31" t="s">
        <v>3</v>
      </c>
      <c r="I64" s="31">
        <v>2017</v>
      </c>
      <c r="J64" s="31" t="str">
        <f>INDEX([1]location!$B$2:$B$29,MATCH(C64,[1]location!$A$2:$A$29,0))</f>
        <v>Rampura Branch</v>
      </c>
      <c r="K64" s="31" t="str">
        <f>INDEX([1]location!$C$2:$C$29,MATCH(C64,[1]location!$A$2:$A$29,0))</f>
        <v>AMD</v>
      </c>
      <c r="L64" s="31" t="str">
        <f>INDEX([1]location!$D$2:$D$29,MATCH(C64,[1]location!$A$2:$A$29,0))</f>
        <v>Ahmedabad</v>
      </c>
      <c r="M64" s="31" t="str">
        <f>INDEX([2]vehicle_details!$B$2:$B$21,MATCH(G64,[2]vehicle_details!$A$2:$A$21,0))</f>
        <v>Mahindra</v>
      </c>
      <c r="N64" s="33">
        <f>INDEX([3]vehicle_mileage!$C$2:$C$21,MATCH(M64,[3]vehicle_mileage!$A$2:$A$21,0))</f>
        <v>12</v>
      </c>
      <c r="O64" s="34">
        <f t="shared" si="1"/>
        <v>133.33333333333334</v>
      </c>
      <c r="P64" s="35">
        <f t="shared" si="2"/>
        <v>9600</v>
      </c>
      <c r="Q64" s="35">
        <f>INDEX([4]maintenance!$E$2:$E$21,MATCH(M64,[4]maintenance!$A$2:$A$21,0))</f>
        <v>2213.3333333333335</v>
      </c>
      <c r="R64" s="31" t="str">
        <f>INDEX([5]vehicle_details!$B$2:$B$21,MATCH(G64,[5]vehicle_details!$A$2:$A$21,0))</f>
        <v>Mahindra</v>
      </c>
      <c r="S64" s="33" t="str">
        <f t="shared" si="3"/>
        <v>EMI</v>
      </c>
      <c r="T64" s="36" t="str">
        <f t="shared" si="4"/>
        <v xml:space="preserve">4 </v>
      </c>
      <c r="U64" s="31">
        <f t="shared" si="5"/>
        <v>1</v>
      </c>
      <c r="V64" s="36">
        <f>INDEX([5]vehicle_details!$H$2:$H$21,MATCH(G64,[5]vehicle_details!A$2:A$21,0))</f>
        <v>601600</v>
      </c>
      <c r="W64" s="33">
        <f t="shared" si="6"/>
        <v>2021</v>
      </c>
      <c r="X64" s="36">
        <f t="shared" si="7"/>
        <v>15402.993258745464</v>
      </c>
      <c r="Y64" s="31">
        <f>INDEX([2]vehicle_details!$C$2:$C$21,MATCH(G64,[2]vehicle_details!$A$2:$A$21,0))</f>
        <v>1.5</v>
      </c>
      <c r="Z64" s="37">
        <f>13000</f>
        <v>13000</v>
      </c>
      <c r="AA64" s="31">
        <f t="shared" si="13"/>
        <v>1</v>
      </c>
      <c r="AB64" s="36">
        <f t="shared" si="8"/>
        <v>11900</v>
      </c>
      <c r="AC64" s="36">
        <f t="shared" si="9"/>
        <v>24900</v>
      </c>
      <c r="AD64" s="38">
        <f t="shared" si="10"/>
        <v>0</v>
      </c>
      <c r="AE64" s="35">
        <v>0</v>
      </c>
      <c r="AF64" s="35">
        <f t="shared" si="11"/>
        <v>27216.326592078796</v>
      </c>
      <c r="AG64" s="35">
        <f>AF64+AC64+'Cost Sheet'!$AE64</f>
        <v>52116.326592078796</v>
      </c>
      <c r="AH64" s="66"/>
      <c r="AI64" s="52">
        <f>INDEX([6]Payouts!$G$4:$G$54,MATCH('Cost Sheet'!$A64,[6]Payouts!$A$4:$A$54,0))</f>
        <v>113462.47578116821</v>
      </c>
      <c r="AJ64" s="59"/>
      <c r="AK64" s="50">
        <f>INDEX([6]Payouts!$I$4:$I$54,MATCH(A64,[6]Payouts!$A$4:$A$54,0))</f>
        <v>-48337.475781168207</v>
      </c>
      <c r="AL64" s="54" t="str">
        <f t="shared" si="12"/>
        <v>Underpaid</v>
      </c>
    </row>
    <row r="65" spans="1:38" ht="15" x14ac:dyDescent="0.25">
      <c r="A65" s="22">
        <v>1331</v>
      </c>
      <c r="B65" s="22" t="s">
        <v>12</v>
      </c>
      <c r="C65" s="22">
        <v>119</v>
      </c>
      <c r="D65" s="22" t="s">
        <v>11</v>
      </c>
      <c r="E65" s="22" t="str">
        <f t="shared" si="0"/>
        <v>Swapnil Pandey_Bp</v>
      </c>
      <c r="F65" s="23">
        <v>43321</v>
      </c>
      <c r="G65" s="22">
        <v>71243</v>
      </c>
      <c r="H65" s="22" t="s">
        <v>10</v>
      </c>
      <c r="I65" s="22">
        <v>2018</v>
      </c>
      <c r="J65" s="22" t="str">
        <f>INDEX([1]location!$B$2:$B$29,MATCH(C65,[1]location!$A$2:$A$29,0))</f>
        <v>Ahmmedabad City</v>
      </c>
      <c r="K65" s="22" t="str">
        <f>INDEX([1]location!$C$2:$C$29,MATCH(C65,[1]location!$A$2:$A$29,0))</f>
        <v>AMD</v>
      </c>
      <c r="L65" s="22" t="str">
        <f>INDEX([1]location!$D$2:$D$29,MATCH(C65,[1]location!$A$2:$A$29,0))</f>
        <v>Ahmedabad</v>
      </c>
      <c r="M65" s="22" t="str">
        <f>INDEX([2]vehicle_details!$B$2:$B$21,MATCH(G65,[2]vehicle_details!$A$2:$A$21,0))</f>
        <v>Mahindra</v>
      </c>
      <c r="N65" s="24">
        <f>INDEX([3]vehicle_mileage!$C$2:$C$21,MATCH(M65,[3]vehicle_mileage!$A$2:$A$21,0))</f>
        <v>12</v>
      </c>
      <c r="O65" s="25">
        <f t="shared" si="1"/>
        <v>133.33333333333334</v>
      </c>
      <c r="P65" s="26">
        <f t="shared" si="2"/>
        <v>9600</v>
      </c>
      <c r="Q65" s="26">
        <f>INDEX([4]maintenance!$E$2:$E$21,MATCH(M65,[4]maintenance!$A$2:$A$21,0))</f>
        <v>2213.3333333333335</v>
      </c>
      <c r="R65" s="22" t="str">
        <f>INDEX([5]vehicle_details!$B$2:$B$21,MATCH(G65,[5]vehicle_details!$A$2:$A$21,0))</f>
        <v>Mahindra</v>
      </c>
      <c r="S65" s="24" t="str">
        <f t="shared" si="3"/>
        <v>Own</v>
      </c>
      <c r="T65" s="27" t="str">
        <f t="shared" si="4"/>
        <v>Not EMI</v>
      </c>
      <c r="U65" s="22">
        <f t="shared" si="5"/>
        <v>0</v>
      </c>
      <c r="V65" s="27">
        <f>INDEX([5]vehicle_details!$H$2:$H$21,MATCH(G65,[5]vehicle_details!A$2:A$21,0))</f>
        <v>601600</v>
      </c>
      <c r="W65" s="24" t="str">
        <f t="shared" si="6"/>
        <v>Not EMI</v>
      </c>
      <c r="X65" s="27">
        <f t="shared" si="7"/>
        <v>0</v>
      </c>
      <c r="Y65" s="22">
        <f>INDEX([2]vehicle_details!$C$2:$C$21,MATCH(G65,[2]vehicle_details!$A$2:$A$21,0))</f>
        <v>1.5</v>
      </c>
      <c r="Z65" s="28">
        <f>13000</f>
        <v>13000</v>
      </c>
      <c r="AA65" s="22">
        <f t="shared" si="13"/>
        <v>1</v>
      </c>
      <c r="AB65" s="27">
        <f t="shared" si="8"/>
        <v>11900</v>
      </c>
      <c r="AC65" s="27">
        <f t="shared" si="9"/>
        <v>24900</v>
      </c>
      <c r="AD65" s="29">
        <f t="shared" si="10"/>
        <v>0</v>
      </c>
      <c r="AE65" s="26">
        <v>0</v>
      </c>
      <c r="AF65" s="26">
        <f t="shared" si="11"/>
        <v>11813.333333333334</v>
      </c>
      <c r="AG65" s="26">
        <f>AF65+AC65+'Cost Sheet'!$AE65</f>
        <v>36713.333333333336</v>
      </c>
      <c r="AH65" s="56">
        <f>INDEX([6]Payouts!$G$4:$G$54,MATCH('Cost Sheet'!$A65,[6]Payouts!$A$4:$A$54,0))</f>
        <v>23626.666666666668</v>
      </c>
      <c r="AI65" s="26">
        <f>INDEX([6]Payouts!$G$4:$G$54,MATCH('Cost Sheet'!$A65,[6]Payouts!$A$4:$A$54,0))</f>
        <v>23626.666666666668</v>
      </c>
      <c r="AJ65" s="60">
        <f>INDEX([6]Payouts!$I$4:$I$54,MATCH(A65,[6]Payouts!$A$4:$A$54,0))</f>
        <v>98.333333333328483</v>
      </c>
      <c r="AK65" s="49">
        <f>INDEX([6]Payouts!$I$4:$I$54,MATCH(A65,[6]Payouts!$A$4:$A$54,0))</f>
        <v>98.333333333328483</v>
      </c>
      <c r="AL65" s="30" t="str">
        <f t="shared" si="12"/>
        <v>Normal</v>
      </c>
    </row>
    <row r="66" spans="1:38" ht="15" x14ac:dyDescent="0.25">
      <c r="A66" s="31">
        <v>1331</v>
      </c>
      <c r="B66" s="31" t="s">
        <v>12</v>
      </c>
      <c r="C66" s="31">
        <v>119</v>
      </c>
      <c r="D66" s="31" t="s">
        <v>11</v>
      </c>
      <c r="E66" s="31" t="str">
        <f t="shared" si="0"/>
        <v>Swapnil Pandey_Bp</v>
      </c>
      <c r="F66" s="32">
        <v>43321</v>
      </c>
      <c r="G66" s="31">
        <v>71243</v>
      </c>
      <c r="H66" s="31" t="s">
        <v>10</v>
      </c>
      <c r="I66" s="31">
        <v>2005</v>
      </c>
      <c r="J66" s="31" t="str">
        <f>INDEX([1]location!$B$2:$B$29,MATCH(C66,[1]location!$A$2:$A$29,0))</f>
        <v>Ahmmedabad City</v>
      </c>
      <c r="K66" s="31" t="str">
        <f>INDEX([1]location!$C$2:$C$29,MATCH(C66,[1]location!$A$2:$A$29,0))</f>
        <v>AMD</v>
      </c>
      <c r="L66" s="31" t="str">
        <f>INDEX([1]location!$D$2:$D$29,MATCH(C66,[1]location!$A$2:$A$29,0))</f>
        <v>Ahmedabad</v>
      </c>
      <c r="M66" s="31" t="str">
        <f>INDEX([2]vehicle_details!$B$2:$B$21,MATCH(G66,[2]vehicle_details!$A$2:$A$21,0))</f>
        <v>Mahindra</v>
      </c>
      <c r="N66" s="33">
        <f>INDEX([3]vehicle_mileage!$C$2:$C$21,MATCH(M66,[3]vehicle_mileage!$A$2:$A$21,0))</f>
        <v>12</v>
      </c>
      <c r="O66" s="34">
        <f t="shared" si="1"/>
        <v>133.33333333333334</v>
      </c>
      <c r="P66" s="35">
        <f t="shared" si="2"/>
        <v>9600</v>
      </c>
      <c r="Q66" s="35">
        <f>INDEX([4]maintenance!$E$2:$E$21,MATCH(M66,[4]maintenance!$A$2:$A$21,0))</f>
        <v>2213.3333333333335</v>
      </c>
      <c r="R66" s="31" t="str">
        <f>INDEX([5]vehicle_details!$B$2:$B$21,MATCH(G66,[5]vehicle_details!$A$2:$A$21,0))</f>
        <v>Mahindra</v>
      </c>
      <c r="S66" s="33" t="str">
        <f t="shared" si="3"/>
        <v>Own</v>
      </c>
      <c r="T66" s="36" t="str">
        <f t="shared" si="4"/>
        <v>Not EMI</v>
      </c>
      <c r="U66" s="31">
        <f t="shared" si="5"/>
        <v>13</v>
      </c>
      <c r="V66" s="36">
        <f>INDEX([5]vehicle_details!$H$2:$H$21,MATCH(G66,[5]vehicle_details!A$2:A$21,0))</f>
        <v>601600</v>
      </c>
      <c r="W66" s="33" t="str">
        <f t="shared" si="6"/>
        <v>Not EMI</v>
      </c>
      <c r="X66" s="36">
        <f t="shared" si="7"/>
        <v>0</v>
      </c>
      <c r="Y66" s="31">
        <f>INDEX([2]vehicle_details!$C$2:$C$21,MATCH(G66,[2]vehicle_details!$A$2:$A$21,0))</f>
        <v>1.5</v>
      </c>
      <c r="Z66" s="37">
        <f>13000</f>
        <v>13000</v>
      </c>
      <c r="AA66" s="31">
        <f t="shared" si="13"/>
        <v>1</v>
      </c>
      <c r="AB66" s="36">
        <f t="shared" si="8"/>
        <v>11900</v>
      </c>
      <c r="AC66" s="36">
        <f t="shared" si="9"/>
        <v>24900</v>
      </c>
      <c r="AD66" s="38">
        <f t="shared" si="10"/>
        <v>0</v>
      </c>
      <c r="AE66" s="35">
        <v>0</v>
      </c>
      <c r="AF66" s="35">
        <f t="shared" si="11"/>
        <v>11813.333333333334</v>
      </c>
      <c r="AG66" s="35">
        <f>AF66+AC66+'Cost Sheet'!$AE66</f>
        <v>36713.333333333336</v>
      </c>
      <c r="AH66" s="57"/>
      <c r="AI66" s="52">
        <f>INDEX([6]Payouts!$G$4:$G$54,MATCH('Cost Sheet'!$A66,[6]Payouts!$A$4:$A$54,0))</f>
        <v>23626.666666666668</v>
      </c>
      <c r="AJ66" s="62"/>
      <c r="AK66" s="50">
        <f>INDEX([6]Payouts!$I$4:$I$54,MATCH(A66,[6]Payouts!$A$4:$A$54,0))</f>
        <v>98.333333333328483</v>
      </c>
      <c r="AL66" s="54" t="str">
        <f t="shared" si="12"/>
        <v>Normal</v>
      </c>
    </row>
    <row r="67" spans="1:38" ht="15" x14ac:dyDescent="0.25">
      <c r="A67" s="22">
        <v>1105</v>
      </c>
      <c r="B67" s="22" t="s">
        <v>9</v>
      </c>
      <c r="C67" s="22">
        <v>112</v>
      </c>
      <c r="D67" s="22" t="s">
        <v>8</v>
      </c>
      <c r="E67" s="22" t="str">
        <f t="shared" si="0"/>
        <v>Vikas Agarwal</v>
      </c>
      <c r="F67" s="23">
        <v>42994</v>
      </c>
      <c r="G67" s="22">
        <v>71238</v>
      </c>
      <c r="H67" s="22" t="s">
        <v>3</v>
      </c>
      <c r="I67" s="22">
        <v>2008</v>
      </c>
      <c r="J67" s="22" t="str">
        <f>INDEX([1]location!$B$2:$B$29,MATCH(C67,[1]location!$A$2:$A$29,0))</f>
        <v>Vapi</v>
      </c>
      <c r="K67" s="22" t="str">
        <f>INDEX([1]location!$C$2:$C$29,MATCH(C67,[1]location!$A$2:$A$29,0))</f>
        <v>AMD</v>
      </c>
      <c r="L67" s="22" t="str">
        <f>INDEX([1]location!$D$2:$D$29,MATCH(C67,[1]location!$A$2:$A$29,0))</f>
        <v>Ahmedabad</v>
      </c>
      <c r="M67" s="22" t="str">
        <f>INDEX([2]vehicle_details!$B$2:$B$21,MATCH(G67,[2]vehicle_details!$A$2:$A$21,0))</f>
        <v>Eicher 20</v>
      </c>
      <c r="N67" s="24">
        <f>INDEX([3]vehicle_mileage!$C$2:$C$21,MATCH(M67,[3]vehicle_mileage!$A$2:$A$21,0))</f>
        <v>6</v>
      </c>
      <c r="O67" s="25">
        <f t="shared" si="1"/>
        <v>266.66666666666669</v>
      </c>
      <c r="P67" s="26">
        <f t="shared" si="2"/>
        <v>19200</v>
      </c>
      <c r="Q67" s="26">
        <f>INDEX([4]maintenance!$E$2:$E$21,MATCH(M67,[4]maintenance!$A$2:$A$21,0))</f>
        <v>2346.666666666667</v>
      </c>
      <c r="R67" s="22" t="str">
        <f>INDEX([5]vehicle_details!$B$2:$B$21,MATCH(G67,[5]vehicle_details!$A$2:$A$21,0))</f>
        <v>Eicher 20</v>
      </c>
      <c r="S67" s="24" t="str">
        <f t="shared" si="3"/>
        <v>EMI</v>
      </c>
      <c r="T67" s="27" t="str">
        <f t="shared" si="4"/>
        <v xml:space="preserve">4 </v>
      </c>
      <c r="U67" s="22">
        <f t="shared" si="5"/>
        <v>9</v>
      </c>
      <c r="V67" s="27">
        <f>INDEX([5]vehicle_details!$H$2:$H$21,MATCH(G67,[5]vehicle_details!A$2:A$21,0))</f>
        <v>1003600</v>
      </c>
      <c r="W67" s="24">
        <f t="shared" si="6"/>
        <v>2012</v>
      </c>
      <c r="X67" s="27">
        <f t="shared" si="7"/>
        <v>25695.55191901089</v>
      </c>
      <c r="Y67" s="22">
        <f>INDEX([2]vehicle_details!$C$2:$C$21,MATCH(G67,[2]vehicle_details!$A$2:$A$21,0))</f>
        <v>6.5</v>
      </c>
      <c r="Z67" s="28">
        <f>13000</f>
        <v>13000</v>
      </c>
      <c r="AA67" s="22">
        <f t="shared" si="13"/>
        <v>2</v>
      </c>
      <c r="AB67" s="27">
        <f t="shared" si="8"/>
        <v>23800</v>
      </c>
      <c r="AC67" s="27">
        <f t="shared" si="9"/>
        <v>36800</v>
      </c>
      <c r="AD67" s="29">
        <f t="shared" si="10"/>
        <v>0</v>
      </c>
      <c r="AE67" s="26">
        <v>0</v>
      </c>
      <c r="AF67" s="26">
        <f t="shared" si="11"/>
        <v>47242.218585677561</v>
      </c>
      <c r="AG67" s="26">
        <f>AF67+AC67+'Cost Sheet'!$AE67</f>
        <v>84042.218585677561</v>
      </c>
      <c r="AH67" s="28">
        <f>INDEX([6]Payouts!$G$4:$G$54,MATCH('Cost Sheet'!$A67,[6]Payouts!$A$4:$A$54,0))</f>
        <v>47242.218585677561</v>
      </c>
      <c r="AI67" s="26">
        <f>INDEX([6]Payouts!$G$4:$G$54,MATCH('Cost Sheet'!$A67,[6]Payouts!$A$4:$A$54,0))</f>
        <v>47242.218585677561</v>
      </c>
      <c r="AJ67" s="26">
        <f>INDEX([6]Payouts!$I$4:$I$54,MATCH(A67,[6]Payouts!$A$4:$A$54,0))</f>
        <v>-23159.218585677561</v>
      </c>
      <c r="AK67" s="49">
        <f>INDEX([6]Payouts!$I$4:$I$54,MATCH(A67,[6]Payouts!$A$4:$A$54,0))</f>
        <v>-23159.218585677561</v>
      </c>
      <c r="AL67" s="30" t="str">
        <f t="shared" si="12"/>
        <v>Underpaid</v>
      </c>
    </row>
    <row r="68" spans="1:38" ht="15" x14ac:dyDescent="0.25">
      <c r="A68" s="31">
        <v>1104</v>
      </c>
      <c r="B68" s="31" t="s">
        <v>7</v>
      </c>
      <c r="C68" s="31">
        <v>120</v>
      </c>
      <c r="D68" s="31" t="s">
        <v>6</v>
      </c>
      <c r="E68" s="31" t="str">
        <f t="shared" si="0"/>
        <v>Virendra Solanki</v>
      </c>
      <c r="F68" s="32">
        <v>42993</v>
      </c>
      <c r="G68" s="31">
        <v>71249</v>
      </c>
      <c r="H68" s="31" t="s">
        <v>3</v>
      </c>
      <c r="I68" s="31">
        <v>2017</v>
      </c>
      <c r="J68" s="31" t="str">
        <f>INDEX([1]location!$B$2:$B$29,MATCH(C68,[1]location!$A$2:$A$29,0))</f>
        <v>Sanand</v>
      </c>
      <c r="K68" s="31" t="str">
        <f>INDEX([1]location!$C$2:$C$29,MATCH(C68,[1]location!$A$2:$A$29,0))</f>
        <v>AMD</v>
      </c>
      <c r="L68" s="31" t="str">
        <f>INDEX([1]location!$D$2:$D$29,MATCH(C68,[1]location!$A$2:$A$29,0))</f>
        <v>Ahmedabad</v>
      </c>
      <c r="M68" s="31" t="str">
        <f>INDEX([2]vehicle_details!$B$2:$B$21,MATCH(G68,[2]vehicle_details!$A$2:$A$21,0))</f>
        <v>AL Dost</v>
      </c>
      <c r="N68" s="33">
        <f>INDEX([3]vehicle_mileage!$C$2:$C$21,MATCH(M68,[3]vehicle_mileage!$A$2:$A$21,0))</f>
        <v>12</v>
      </c>
      <c r="O68" s="34">
        <f t="shared" si="1"/>
        <v>133.33333333333334</v>
      </c>
      <c r="P68" s="35">
        <f t="shared" si="2"/>
        <v>9600</v>
      </c>
      <c r="Q68" s="35">
        <f>INDEX([4]maintenance!$E$2:$E$21,MATCH(M68,[4]maintenance!$A$2:$A$21,0))</f>
        <v>2213.3333333333335</v>
      </c>
      <c r="R68" s="31" t="str">
        <f>INDEX([5]vehicle_details!$B$2:$B$21,MATCH(G68,[5]vehicle_details!$A$2:$A$21,0))</f>
        <v>AL Dost</v>
      </c>
      <c r="S68" s="33" t="str">
        <f t="shared" si="3"/>
        <v>EMI</v>
      </c>
      <c r="T68" s="36" t="str">
        <f t="shared" si="4"/>
        <v xml:space="preserve">4 </v>
      </c>
      <c r="U68" s="31">
        <f t="shared" si="5"/>
        <v>0</v>
      </c>
      <c r="V68" s="36">
        <f>INDEX([5]vehicle_details!$H$2:$H$21,MATCH(G68,[5]vehicle_details!A$2:A$21,0))</f>
        <v>401600</v>
      </c>
      <c r="W68" s="33">
        <f t="shared" si="6"/>
        <v>2021</v>
      </c>
      <c r="X68" s="36">
        <f t="shared" si="7"/>
        <v>10282.31730836466</v>
      </c>
      <c r="Y68" s="31">
        <f>INDEX([2]vehicle_details!$C$2:$C$21,MATCH(G68,[2]vehicle_details!$A$2:$A$21,0))</f>
        <v>1.25</v>
      </c>
      <c r="Z68" s="37">
        <f>13000</f>
        <v>13000</v>
      </c>
      <c r="AA68" s="31">
        <f t="shared" si="13"/>
        <v>1</v>
      </c>
      <c r="AB68" s="36">
        <f t="shared" si="8"/>
        <v>11900</v>
      </c>
      <c r="AC68" s="36">
        <f t="shared" si="9"/>
        <v>24900</v>
      </c>
      <c r="AD68" s="38">
        <f t="shared" si="10"/>
        <v>0</v>
      </c>
      <c r="AE68" s="35">
        <v>0</v>
      </c>
      <c r="AF68" s="35">
        <f t="shared" si="11"/>
        <v>22095.650641697994</v>
      </c>
      <c r="AG68" s="35">
        <f>AF68+AC68+'Cost Sheet'!$AE68</f>
        <v>46995.650641697997</v>
      </c>
      <c r="AH68" s="37">
        <f>INDEX([6]Payouts!$G$4:$G$54,MATCH('Cost Sheet'!$A68,[6]Payouts!$A$4:$A$54,0))</f>
        <v>22095.650641697994</v>
      </c>
      <c r="AI68" s="52">
        <f>INDEX([6]Payouts!$G$4:$G$54,MATCH('Cost Sheet'!$A68,[6]Payouts!$A$4:$A$54,0))</f>
        <v>22095.650641697994</v>
      </c>
      <c r="AJ68" s="52">
        <f>INDEX([6]Payouts!$I$4:$I$54,MATCH(A68,[6]Payouts!$A$4:$A$54,0))</f>
        <v>-31497.650641697997</v>
      </c>
      <c r="AK68" s="50">
        <f>INDEX([6]Payouts!$I$4:$I$54,MATCH(A68,[6]Payouts!$A$4:$A$54,0))</f>
        <v>-31497.650641697997</v>
      </c>
      <c r="AL68" s="54" t="str">
        <f t="shared" si="12"/>
        <v>Underpaid</v>
      </c>
    </row>
    <row r="69" spans="1:38" ht="15" x14ac:dyDescent="0.25">
      <c r="A69" s="22">
        <v>1171</v>
      </c>
      <c r="B69" s="22" t="s">
        <v>5</v>
      </c>
      <c r="C69" s="22">
        <v>120</v>
      </c>
      <c r="D69" s="22" t="s">
        <v>4</v>
      </c>
      <c r="E69" s="22" t="str">
        <f t="shared" si="0"/>
        <v>Visharad Chauhan</v>
      </c>
      <c r="F69" s="23">
        <v>43166</v>
      </c>
      <c r="G69" s="22">
        <v>71249</v>
      </c>
      <c r="H69" s="22" t="s">
        <v>3</v>
      </c>
      <c r="I69" s="22">
        <v>2017</v>
      </c>
      <c r="J69" s="22" t="str">
        <f>INDEX([1]location!$B$2:$B$29,MATCH(C69,[1]location!$A$2:$A$29,0))</f>
        <v>Sanand</v>
      </c>
      <c r="K69" s="22" t="str">
        <f>INDEX([1]location!$C$2:$C$29,MATCH(C69,[1]location!$A$2:$A$29,0))</f>
        <v>AMD</v>
      </c>
      <c r="L69" s="22" t="str">
        <f>INDEX([1]location!$D$2:$D$29,MATCH(C69,[1]location!$A$2:$A$29,0))</f>
        <v>Ahmedabad</v>
      </c>
      <c r="M69" s="22" t="str">
        <f>INDEX([2]vehicle_details!$B$2:$B$21,MATCH(G69,[2]vehicle_details!$A$2:$A$21,0))</f>
        <v>AL Dost</v>
      </c>
      <c r="N69" s="24">
        <f>INDEX([3]vehicle_mileage!$C$2:$C$21,MATCH(M69,[3]vehicle_mileage!$A$2:$A$21,0))</f>
        <v>12</v>
      </c>
      <c r="O69" s="25">
        <f t="shared" si="1"/>
        <v>133.33333333333334</v>
      </c>
      <c r="P69" s="26">
        <f t="shared" si="2"/>
        <v>9600</v>
      </c>
      <c r="Q69" s="26">
        <f>INDEX([4]maintenance!$E$2:$E$21,MATCH(M69,[4]maintenance!$A$2:$A$21,0))</f>
        <v>2213.3333333333335</v>
      </c>
      <c r="R69" s="22" t="str">
        <f>INDEX([5]vehicle_details!$B$2:$B$21,MATCH(G69,[5]vehicle_details!$A$2:$A$21,0))</f>
        <v>AL Dost</v>
      </c>
      <c r="S69" s="24" t="str">
        <f t="shared" si="3"/>
        <v>EMI</v>
      </c>
      <c r="T69" s="27" t="str">
        <f t="shared" si="4"/>
        <v xml:space="preserve">4 </v>
      </c>
      <c r="U69" s="22">
        <f t="shared" si="5"/>
        <v>1</v>
      </c>
      <c r="V69" s="27">
        <f>INDEX([5]vehicle_details!$H$2:$H$21,MATCH(G69,[5]vehicle_details!A$2:A$21,0))</f>
        <v>401600</v>
      </c>
      <c r="W69" s="24">
        <f t="shared" si="6"/>
        <v>2021</v>
      </c>
      <c r="X69" s="27">
        <f t="shared" si="7"/>
        <v>10282.31730836466</v>
      </c>
      <c r="Y69" s="22">
        <f>INDEX([2]vehicle_details!$C$2:$C$21,MATCH(G69,[2]vehicle_details!$A$2:$A$21,0))</f>
        <v>1.25</v>
      </c>
      <c r="Z69" s="28">
        <f>13000</f>
        <v>13000</v>
      </c>
      <c r="AA69" s="22">
        <f t="shared" si="13"/>
        <v>1</v>
      </c>
      <c r="AB69" s="27">
        <f t="shared" si="8"/>
        <v>11900</v>
      </c>
      <c r="AC69" s="27">
        <f t="shared" si="9"/>
        <v>24900</v>
      </c>
      <c r="AD69" s="29">
        <f t="shared" si="10"/>
        <v>0</v>
      </c>
      <c r="AE69" s="26">
        <v>0</v>
      </c>
      <c r="AF69" s="26">
        <f t="shared" si="11"/>
        <v>22095.650641697994</v>
      </c>
      <c r="AG69" s="26">
        <f>AF69+AC69+'Cost Sheet'!$AE69</f>
        <v>46995.650641697997</v>
      </c>
      <c r="AH69" s="28">
        <f>INDEX([6]Payouts!$G$4:$G$54,MATCH('Cost Sheet'!$A69,[6]Payouts!$A$4:$A$54,0))</f>
        <v>22095.650641697994</v>
      </c>
      <c r="AI69" s="26">
        <f>INDEX([6]Payouts!$G$4:$G$54,MATCH('Cost Sheet'!$A69,[6]Payouts!$A$4:$A$54,0))</f>
        <v>22095.650641697994</v>
      </c>
      <c r="AJ69" s="26">
        <f>INDEX([6]Payouts!$I$4:$I$54,MATCH(A69,[6]Payouts!$A$4:$A$54,0))</f>
        <v>-32443.650641697997</v>
      </c>
      <c r="AK69" s="49">
        <f>INDEX([6]Payouts!$I$4:$I$54,MATCH(A69,[6]Payouts!$A$4:$A$54,0))</f>
        <v>-32443.650641697997</v>
      </c>
      <c r="AL69" s="30" t="str">
        <f t="shared" si="12"/>
        <v>Underpaid</v>
      </c>
    </row>
    <row r="70" spans="1:38" ht="15" x14ac:dyDescent="0.25">
      <c r="A70" s="41">
        <v>1151</v>
      </c>
      <c r="B70" s="41" t="s">
        <v>2</v>
      </c>
      <c r="C70" s="41">
        <v>116</v>
      </c>
      <c r="D70" s="41" t="s">
        <v>1</v>
      </c>
      <c r="E70" s="41" t="str">
        <f t="shared" ref="E70" si="14">PROPER(D70)</f>
        <v>Zainulsha.M.Diwan</v>
      </c>
      <c r="F70" s="42">
        <v>43120</v>
      </c>
      <c r="G70" s="41">
        <v>71234</v>
      </c>
      <c r="H70" s="41" t="s">
        <v>0</v>
      </c>
      <c r="I70" s="41">
        <v>2013</v>
      </c>
      <c r="J70" s="41" t="str">
        <f>INDEX([1]location!$B$2:$B$29,MATCH(C70,[1]location!$A$2:$A$29,0))</f>
        <v>Vadodara</v>
      </c>
      <c r="K70" s="41" t="str">
        <f>INDEX([1]location!$C$2:$C$29,MATCH(C70,[1]location!$A$2:$A$29,0))</f>
        <v>AMD</v>
      </c>
      <c r="L70" s="41" t="str">
        <f>INDEX([1]location!$D$2:$D$29,MATCH(C70,[1]location!$A$2:$A$29,0))</f>
        <v>Ahmedabad</v>
      </c>
      <c r="M70" s="41" t="str">
        <f>INDEX([2]vehicle_details!$B$2:$B$21,MATCH(G70,[2]vehicle_details!$A$2:$A$21,0))</f>
        <v>Eicher 14</v>
      </c>
      <c r="N70" s="43">
        <f>INDEX([3]vehicle_mileage!$C$2:$C$21,MATCH(M70,[3]vehicle_mileage!$A$2:$A$21,0))</f>
        <v>8</v>
      </c>
      <c r="O70" s="44">
        <f t="shared" ref="O70" si="15">1600/N70</f>
        <v>200</v>
      </c>
      <c r="P70" s="45">
        <f t="shared" ref="P70" si="16">O70*72</f>
        <v>14400</v>
      </c>
      <c r="Q70" s="45">
        <f>INDEX([4]maintenance!$E$2:$E$21,MATCH(M70,[4]maintenance!$A$2:$A$21,0))</f>
        <v>2280</v>
      </c>
      <c r="R70" s="41" t="str">
        <f>INDEX([5]vehicle_details!$B$2:$B$21,MATCH(G70,[5]vehicle_details!$A$2:$A$21,0))</f>
        <v>Eicher 14</v>
      </c>
      <c r="S70" s="43" t="str">
        <f t="shared" ref="S70" si="17">LEFT(H70,3)</f>
        <v>Mar</v>
      </c>
      <c r="T70" s="46" t="str">
        <f t="shared" ref="T70" si="18">IF(LEFT(H70, 3)="EMI", MID(H70, 6, FIND(" yrs", H70) - 5), IF(H70="Owned", "Not EMI", IF(H70="Market", "Not EMI","Not EMI")))</f>
        <v>Not EMI</v>
      </c>
      <c r="U70" s="41">
        <f t="shared" ref="U70" si="19">YEAR(F70)-I70</f>
        <v>5</v>
      </c>
      <c r="V70" s="46">
        <f>INDEX([5]vehicle_details!$H$2:$H$21,MATCH(G70,[5]vehicle_details!A$2:A$21,0))</f>
        <v>603200</v>
      </c>
      <c r="W70" s="43" t="str">
        <f t="shared" ref="W70" si="20">IFERROR(I70+T70,"Not EMI")</f>
        <v>Not EMI</v>
      </c>
      <c r="X70" s="46">
        <f t="shared" ref="X70" si="21">IFERROR(-(PMT(10.5%/12,T70*12,V70)),0)</f>
        <v>0</v>
      </c>
      <c r="Y70" s="41">
        <f>INDEX([2]vehicle_details!$C$2:$C$21,MATCH(G70,[2]vehicle_details!$A$2:$A$21,0))</f>
        <v>2.5</v>
      </c>
      <c r="Z70" s="47">
        <f>13000</f>
        <v>13000</v>
      </c>
      <c r="AA70" s="41">
        <f t="shared" si="13"/>
        <v>2</v>
      </c>
      <c r="AB70" s="46">
        <f t="shared" ref="AB70" si="22">AA70*11900</f>
        <v>23800</v>
      </c>
      <c r="AC70" s="46">
        <f t="shared" ref="AC70" si="23">AB70+Z70</f>
        <v>36800</v>
      </c>
      <c r="AD70" s="48" t="str">
        <f t="shared" ref="AD70" si="24">IF(LEFT(H70, 3)="EMI", 0, IF(H70="Owned", 0, IF(LEFT(H70, 6)="Market", MID(H70, FIND("(", H70) + 1, FIND(")", H70) - FIND("(", H70) - 1), "")))</f>
        <v>68000</v>
      </c>
      <c r="AE70" s="45">
        <v>68000</v>
      </c>
      <c r="AF70" s="45">
        <f t="shared" ref="AF70" si="25">AE70+X70+Q70+P70</f>
        <v>84680</v>
      </c>
      <c r="AG70" s="45">
        <f>AF70+AC70+'Cost Sheet'!$AE70</f>
        <v>189480</v>
      </c>
      <c r="AH70" s="47">
        <f>INDEX([6]Payouts!$G$4:$G$54,MATCH('Cost Sheet'!$A70,[6]Payouts!$A$4:$A$54,0))</f>
        <v>84680</v>
      </c>
      <c r="AI70" s="52">
        <f>INDEX([6]Payouts!$G$4:$G$54,MATCH('Cost Sheet'!$A70,[6]Payouts!$A$4:$A$54,0))</f>
        <v>84680</v>
      </c>
      <c r="AJ70" s="53">
        <f>INDEX([6]Payouts!$I$4:$I$54,MATCH(A70,[6]Payouts!$A$4:$A$54,0))</f>
        <v>-86386</v>
      </c>
      <c r="AK70" s="51">
        <f>INDEX([6]Payouts!$I$4:$I$54,MATCH(A70,[6]Payouts!$A$4:$A$54,0))</f>
        <v>-86386</v>
      </c>
      <c r="AL70" s="54" t="str">
        <f t="shared" ref="AL70" si="26" xml:space="preserve"> IF( ((AK70/AI70 )*100) &lt; 0, "Underpaid", IF( AND(((AK70/AI70 )*100) &gt;0, ((AK70/AI70 )*100) &lt;25), "Normal", IF(((AK70/AI70 )*100) &gt;= 25, "Overpaid","ERROR")))</f>
        <v>Underpaid</v>
      </c>
    </row>
    <row r="73" spans="1:38" ht="15.75" customHeight="1" x14ac:dyDescent="0.2">
      <c r="G73" t="s">
        <v>10</v>
      </c>
      <c r="H73">
        <f>COUNTIF(H5:H70,G73)</f>
        <v>24</v>
      </c>
      <c r="I73">
        <f>3/4</f>
        <v>0.75</v>
      </c>
      <c r="J73">
        <f>1/18</f>
        <v>5.5555555555555552E-2</v>
      </c>
    </row>
    <row r="74" spans="1:38" ht="15.75" customHeight="1" x14ac:dyDescent="0.2">
      <c r="G74" t="s">
        <v>165</v>
      </c>
      <c r="H74">
        <f>COUNTIF(H4:H70,G74)</f>
        <v>36</v>
      </c>
      <c r="I74">
        <f>H73/H74</f>
        <v>0.66666666666666663</v>
      </c>
    </row>
  </sheetData>
  <mergeCells count="33">
    <mergeCell ref="Y2:AC2"/>
    <mergeCell ref="AE2:AG2"/>
    <mergeCell ref="AE1:AG1"/>
    <mergeCell ref="R3:S3"/>
    <mergeCell ref="T3:U3"/>
    <mergeCell ref="J1:AC1"/>
    <mergeCell ref="O3:P3"/>
    <mergeCell ref="J3:M3"/>
    <mergeCell ref="AA3:AB3"/>
    <mergeCell ref="J2:P2"/>
    <mergeCell ref="R2:X2"/>
    <mergeCell ref="AH38:AH39"/>
    <mergeCell ref="AH5:AH6"/>
    <mergeCell ref="AH14:AH16"/>
    <mergeCell ref="AH18:AH19"/>
    <mergeCell ref="AH1:AJ1"/>
    <mergeCell ref="AH2:AJ2"/>
    <mergeCell ref="AH65:AH66"/>
    <mergeCell ref="AJ5:AJ6"/>
    <mergeCell ref="AJ14:AJ16"/>
    <mergeCell ref="AJ18:AJ19"/>
    <mergeCell ref="AJ27:AJ29"/>
    <mergeCell ref="AJ31:AJ33"/>
    <mergeCell ref="AJ38:AJ39"/>
    <mergeCell ref="AJ46:AJ47"/>
    <mergeCell ref="AJ55:AJ56"/>
    <mergeCell ref="AJ61:AJ64"/>
    <mergeCell ref="AJ65:AJ66"/>
    <mergeCell ref="AH61:AH64"/>
    <mergeCell ref="AH27:AH29"/>
    <mergeCell ref="AH46:AH47"/>
    <mergeCell ref="AH55:AH56"/>
    <mergeCell ref="AH31:AH33"/>
  </mergeCells>
  <conditionalFormatting sqref="AG5:AG70">
    <cfRule type="cellIs" priority="1" operator="lessThan">
      <formula>$AN$19</formula>
    </cfRule>
  </conditionalFormatting>
  <conditionalFormatting sqref="AH4:AI4">
    <cfRule type="expression" dxfId="1" priority="7">
      <formula>COUNTIF($B$4:$I$55,#REF!)&gt;1</formula>
    </cfRule>
  </conditionalFormatting>
  <conditionalFormatting sqref="AJ4:AL4">
    <cfRule type="expression" dxfId="0" priority="6">
      <formula>COUNTIF($B$4:$I$55,#REF!)&gt;1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FB1C-2FF7-4E7A-A9BF-850EB3A3890F}">
  <sheetPr>
    <tabColor rgb="FFFFC000"/>
  </sheetPr>
  <dimension ref="A1:D110"/>
  <sheetViews>
    <sheetView tabSelected="1" workbookViewId="0">
      <selection activeCell="E13" sqref="E13"/>
    </sheetView>
  </sheetViews>
  <sheetFormatPr defaultRowHeight="12.75" x14ac:dyDescent="0.2"/>
  <cols>
    <col min="1" max="1" width="19.28515625" bestFit="1" customWidth="1"/>
    <col min="2" max="2" width="19" bestFit="1" customWidth="1"/>
    <col min="3" max="3" width="18.5703125" bestFit="1" customWidth="1"/>
    <col min="4" max="4" width="19.5703125" bestFit="1" customWidth="1"/>
    <col min="5" max="5" width="27.85546875" bestFit="1" customWidth="1"/>
    <col min="6" max="104" width="31.28515625" bestFit="1" customWidth="1"/>
  </cols>
  <sheetData>
    <row r="1" spans="1:4" ht="12.75" customHeight="1" x14ac:dyDescent="0.2">
      <c r="A1" s="78" t="s">
        <v>164</v>
      </c>
      <c r="B1" s="79"/>
      <c r="C1" s="79"/>
      <c r="D1" s="80"/>
    </row>
    <row r="2" spans="1:4" ht="13.5" customHeight="1" thickBot="1" x14ac:dyDescent="0.25">
      <c r="A2" s="81"/>
      <c r="B2" s="82"/>
      <c r="C2" s="82"/>
      <c r="D2" s="83"/>
    </row>
    <row r="5" spans="1:4" ht="15.75" x14ac:dyDescent="0.25">
      <c r="A5" s="55" t="s">
        <v>133</v>
      </c>
      <c r="B5" s="11" t="s">
        <v>169</v>
      </c>
    </row>
    <row r="6" spans="1:4" ht="15.75" x14ac:dyDescent="0.25">
      <c r="A6" s="10" t="s">
        <v>170</v>
      </c>
      <c r="B6" s="10">
        <v>3</v>
      </c>
    </row>
    <row r="7" spans="1:4" ht="15.75" x14ac:dyDescent="0.25">
      <c r="A7" s="10" t="s">
        <v>171</v>
      </c>
      <c r="B7" s="10">
        <v>8</v>
      </c>
    </row>
    <row r="8" spans="1:4" ht="15.75" x14ac:dyDescent="0.25">
      <c r="A8" s="10" t="s">
        <v>172</v>
      </c>
      <c r="B8" s="10">
        <v>5</v>
      </c>
    </row>
    <row r="9" spans="1:4" ht="15.75" x14ac:dyDescent="0.25">
      <c r="A9" s="10" t="s">
        <v>173</v>
      </c>
      <c r="B9" s="10">
        <v>10</v>
      </c>
    </row>
    <row r="10" spans="1:4" ht="15.75" x14ac:dyDescent="0.25">
      <c r="A10" s="10" t="s">
        <v>174</v>
      </c>
      <c r="B10" s="10">
        <v>7</v>
      </c>
    </row>
    <row r="11" spans="1:4" ht="15.75" x14ac:dyDescent="0.25">
      <c r="A11" s="10" t="s">
        <v>175</v>
      </c>
      <c r="B11" s="10">
        <v>2</v>
      </c>
    </row>
    <row r="12" spans="1:4" ht="15.75" x14ac:dyDescent="0.25">
      <c r="A12" s="10" t="s">
        <v>176</v>
      </c>
      <c r="B12" s="10">
        <v>9</v>
      </c>
    </row>
    <row r="13" spans="1:4" ht="15.75" x14ac:dyDescent="0.25">
      <c r="A13" s="10" t="s">
        <v>177</v>
      </c>
      <c r="B13" s="10">
        <v>11</v>
      </c>
    </row>
    <row r="14" spans="1:4" ht="15.75" x14ac:dyDescent="0.25">
      <c r="A14" s="10" t="s">
        <v>178</v>
      </c>
      <c r="B14" s="10">
        <v>12</v>
      </c>
    </row>
    <row r="15" spans="1:4" ht="15.75" x14ac:dyDescent="0.25">
      <c r="A15" s="10" t="s">
        <v>179</v>
      </c>
      <c r="B15" s="10">
        <v>13</v>
      </c>
    </row>
    <row r="16" spans="1:4" ht="15.75" x14ac:dyDescent="0.25">
      <c r="A16" s="10" t="s">
        <v>180</v>
      </c>
      <c r="B16" s="10">
        <v>14</v>
      </c>
    </row>
    <row r="17" spans="1:2" ht="15.75" x14ac:dyDescent="0.25">
      <c r="A17" s="10" t="s">
        <v>181</v>
      </c>
      <c r="B17" s="10">
        <v>4</v>
      </c>
    </row>
    <row r="18" spans="1:2" ht="15.75" x14ac:dyDescent="0.25">
      <c r="A18" s="10" t="s">
        <v>182</v>
      </c>
      <c r="B18" s="10">
        <v>1</v>
      </c>
    </row>
    <row r="19" spans="1:2" ht="15.75" x14ac:dyDescent="0.25">
      <c r="A19" s="10" t="s">
        <v>183</v>
      </c>
      <c r="B19" s="10">
        <v>6</v>
      </c>
    </row>
    <row r="58" ht="13.5" thickBot="1" x14ac:dyDescent="0.25"/>
    <row r="60" ht="13.5" thickBot="1" x14ac:dyDescent="0.25"/>
    <row r="63" ht="13.5" thickBot="1" x14ac:dyDescent="0.25"/>
    <row r="64" ht="13.5" thickBot="1" x14ac:dyDescent="0.25"/>
    <row r="65" ht="13.5" thickBot="1" x14ac:dyDescent="0.25"/>
    <row r="67" ht="13.5" thickBot="1" x14ac:dyDescent="0.25"/>
    <row r="68" ht="13.5" thickBot="1" x14ac:dyDescent="0.25"/>
    <row r="69" ht="13.5" thickBot="1" x14ac:dyDescent="0.25"/>
    <row r="70" ht="13.5" thickBot="1" x14ac:dyDescent="0.25"/>
    <row r="73" ht="13.5" thickBot="1" x14ac:dyDescent="0.25"/>
    <row r="74" ht="13.5" thickBot="1" x14ac:dyDescent="0.25"/>
    <row r="80" ht="13.5" thickBot="1" x14ac:dyDescent="0.25"/>
    <row r="81" ht="13.5" thickBot="1" x14ac:dyDescent="0.25"/>
    <row r="82" ht="13.5" thickBot="1" x14ac:dyDescent="0.25"/>
    <row r="83" ht="13.5" thickBot="1" x14ac:dyDescent="0.25"/>
    <row r="85" ht="13.5" thickBot="1" x14ac:dyDescent="0.25"/>
    <row r="88" ht="13.5" thickBot="1" x14ac:dyDescent="0.25"/>
    <row r="89" ht="13.5" thickBot="1" x14ac:dyDescent="0.25"/>
    <row r="90" ht="13.5" thickBot="1" x14ac:dyDescent="0.25"/>
    <row r="91" ht="13.5" thickBot="1" x14ac:dyDescent="0.25"/>
    <row r="92" ht="13.5" thickBot="1" x14ac:dyDescent="0.25"/>
    <row r="93" ht="13.5" thickBot="1" x14ac:dyDescent="0.25"/>
    <row r="109" ht="13.5" thickBot="1" x14ac:dyDescent="0.25"/>
    <row r="110" ht="13.5" thickBot="1" x14ac:dyDescent="0.25"/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</vt:lpstr>
      <vt:lpstr>Cost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Agarwal</dc:creator>
  <cp:lastModifiedBy>Pragyan Dhar</cp:lastModifiedBy>
  <dcterms:created xsi:type="dcterms:W3CDTF">2024-04-27T10:48:34Z</dcterms:created>
  <dcterms:modified xsi:type="dcterms:W3CDTF">2024-07-21T14:36:07Z</dcterms:modified>
</cp:coreProperties>
</file>